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drawings/drawing2.xml" ContentType="application/vnd.openxmlformats-officedocument.drawing+xml"/>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drawings/drawing4.xml" ContentType="application/vnd.openxmlformats-officedocument.drawing+xml"/>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drawings/drawing5.xml" ContentType="application/vnd.openxmlformats-officedocument.drawing+xml"/>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drawings/drawing6.xml" ContentType="application/vnd.openxmlformats-officedocument.drawing+xml"/>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drawings/drawing7.xml" ContentType="application/vnd.openxmlformats-officedocument.drawing+xml"/>
  <Override PartName="/xl/pivotTables/pivotTable1.xml" ContentType="application/vnd.openxmlformats-officedocument.spreadsheetml.pivotTable+xml"/>
  <Override PartName="/xl/drawings/drawing8.xml" ContentType="application/vnd.openxmlformats-officedocument.drawing+xml"/>
  <Override PartName="/xl/comments5.xml" ContentType="application/vnd.openxmlformats-officedocument.spreadsheetml.comments+xml"/>
  <Override PartName="/xl/drawings/drawing9.xml" ContentType="application/vnd.openxmlformats-officedocument.drawing+xml"/>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drawings/drawing10.xml" ContentType="application/vnd.openxmlformats-officedocument.drawing+xml"/>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drawings/drawing11.xml" ContentType="application/vnd.openxmlformats-officedocument.drawing+xml"/>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drawings/drawing12.xml" ContentType="application/vnd.openxmlformats-officedocument.drawing+xml"/>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drawings/drawing13.xml" ContentType="application/vnd.openxmlformats-officedocument.drawing+xml"/>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drawings/drawing14.xml" ContentType="application/vnd.openxmlformats-officedocument.drawing+xml"/>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usepa-my.sharepoint.com/personal/carroll_zane_epa_gov/Documents/ORD/COMET/COMET_NYC_v16.0.1/COMET_NYC_v16.0.1/"/>
    </mc:Choice>
  </mc:AlternateContent>
  <xr:revisionPtr revIDLastSave="14834" documentId="13_ncr:1_{4391AB20-2DAE-4FFE-BE0C-A53CBC668824}" xr6:coauthVersionLast="47" xr6:coauthVersionMax="47" xr10:uidLastSave="{EE8C76A6-F84F-4B70-B143-E31B58075CB8}"/>
  <bookViews>
    <workbookView xWindow="53880" yWindow="-120" windowWidth="29040" windowHeight="15720" tabRatio="916" firstSheet="8" activeTab="33" xr2:uid="{00000000-000D-0000-FFFF-FFFF00000000}"/>
  </bookViews>
  <sheets>
    <sheet name="ANSv6.1-Commodities" sheetId="1" state="veryHidden" r:id="rId1"/>
    <sheet name="ANSv6.1-Technologies" sheetId="2" state="veryHidden" r:id="rId2"/>
    <sheet name="Commodities" sheetId="10" r:id="rId3"/>
    <sheet name="Technologies" sheetId="11" r:id="rId4"/>
    <sheet name="CommData_DMD" sheetId="54" r:id="rId5"/>
    <sheet name="TechData_DMD" sheetId="15" r:id="rId6"/>
    <sheet name="TechData_SolarPV" sheetId="56" r:id="rId7"/>
    <sheet name="TechData_SESC" sheetId="14" r:id="rId8"/>
    <sheet name="TechData-Emis" sheetId="44" r:id="rId9"/>
    <sheet name="TechData_CHP" sheetId="75" r:id="rId10"/>
    <sheet name="TechData_ZZ" sheetId="16" r:id="rId11"/>
    <sheet name="DmdCalc" sheetId="60" r:id="rId12"/>
    <sheet name="Fuel Share" sheetId="80" r:id="rId13"/>
    <sheet name="Resid" sheetId="72" r:id="rId14"/>
    <sheet name="GHG_INV" sheetId="79" r:id="rId15"/>
    <sheet name="Original" sheetId="63" r:id="rId16"/>
    <sheet name="Pop" sheetId="28" r:id="rId17"/>
    <sheet name="ANSv6.1-Constraints" sheetId="7" state="veryHidden" r:id="rId18"/>
    <sheet name="ANSv6.1-CommData" sheetId="4" state="veryHidden" r:id="rId19"/>
    <sheet name="ANSv6.1-TechData" sheetId="3" state="veryHidden" r:id="rId20"/>
    <sheet name="ANSv6.1-ConstrData" sheetId="8" state="veryHidden" r:id="rId21"/>
    <sheet name="BldgArea" sheetId="85" r:id="rId22"/>
    <sheet name="RECS" sheetId="89" r:id="rId23"/>
    <sheet name="Lighting" sheetId="29" r:id="rId24"/>
    <sheet name="Rooftop Calc" sheetId="84" r:id="rId25"/>
    <sheet name="ANSv6.0-ConstrData" sheetId="36" state="veryHidden" r:id="rId26"/>
    <sheet name="ANSv6.0-TechData" sheetId="35" state="veryHidden" r:id="rId27"/>
    <sheet name="ANSv6.0-CommData" sheetId="34" state="veryHidden" r:id="rId28"/>
    <sheet name="ANSv6.0-Constraints" sheetId="33" state="veryHidden" r:id="rId29"/>
    <sheet name="ANSv6.0-Technologies" sheetId="32" state="veryHidden" r:id="rId30"/>
    <sheet name="ANSv6.0-Commodities" sheetId="19" state="veryHidden" r:id="rId31"/>
    <sheet name="EmisRes" sheetId="40" r:id="rId32"/>
    <sheet name="conversion factors" sheetId="90" r:id="rId33"/>
    <sheet name="Conv Factors" sheetId="31"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_1995_Implicit_GDP_Deflator" localSheetId="23">Lighting!#REF!</definedName>
    <definedName name="_2001_Implicit_GDP_Deflator" localSheetId="23">Lighting!#REF!</definedName>
    <definedName name="_xlnm._FilterDatabase" localSheetId="4" hidden="1">CommData_DMD!$A$5:$AB$5</definedName>
    <definedName name="_xlnm._FilterDatabase" localSheetId="13" hidden="1">Resid!$A$4:$BH$131</definedName>
    <definedName name="_xlnm._FilterDatabase" localSheetId="5" hidden="1">TechData_DMD!$A$7:$AG$72</definedName>
    <definedName name="_xlnm._FilterDatabase" localSheetId="3" hidden="1">Technologies!$B$7:$J$89</definedName>
    <definedName name="act_foundp" localSheetId="32">#REF!</definedName>
    <definedName name="act_foundp">'[1]WithReg-Coke'!$N$120</definedName>
    <definedName name="act_furnp" localSheetId="32">#REF!</definedName>
    <definedName name="act_furnp">'[1]WithReg-Coke'!$M$120</definedName>
    <definedName name="AnswerData" localSheetId="32">#REF!</definedName>
    <definedName name="AnswerData">#REF!</definedName>
    <definedName name="avg_water_heater_PJ" localSheetId="21">#REF!</definedName>
    <definedName name="avg_water_heater_PJ" localSheetId="4">#REF!</definedName>
    <definedName name="avg_water_heater_PJ" localSheetId="13">#REF!</definedName>
    <definedName name="avg_water_heater_PJ" localSheetId="24">#REF!</definedName>
    <definedName name="avg_water_heater_PJ" localSheetId="6">#REF!</definedName>
    <definedName name="avg_water_heater_PJ">#REF!</definedName>
    <definedName name="base_foundp" localSheetId="32">#REF!</definedName>
    <definedName name="base_foundp">#REF!</definedName>
    <definedName name="base_furnp" localSheetId="32">#REF!</definedName>
    <definedName name="base_furnp">#REF!</definedName>
    <definedName name="base_steelp" localSheetId="32">#REF!</definedName>
    <definedName name="base_steelp">'[1]Baseline-Steel Mill Products'!$K$39</definedName>
    <definedName name="bprint" localSheetId="32">#REF!</definedName>
    <definedName name="bprint">#REF!</definedName>
    <definedName name="btu_per_mmbtu">'Conv Factors'!$C$13</definedName>
    <definedName name="btu_per_watthr" localSheetId="32">#REF!</definedName>
    <definedName name="btu_per_watthr">'Conv Factors'!$C$6</definedName>
    <definedName name="BTUtoPJ">'conversion factors'!$B$7</definedName>
    <definedName name="cfm_hrs_per_trillion_cfm_hrs">'Conv Factors'!$C$9</definedName>
    <definedName name="CMM_SUPPLY_CRV_TABLE" localSheetId="32">#REF!</definedName>
    <definedName name="CMM_SUPPLY_CRV_TABLE">[2]cum2025curves!#REF!</definedName>
    <definedName name="cprint" localSheetId="32">#REF!</definedName>
    <definedName name="cprint">#REF!</definedName>
    <definedName name="days_per_year" localSheetId="32">#REF!</definedName>
    <definedName name="Days_per_year">'Conv Factors'!$C$4</definedName>
    <definedName name="DCF" localSheetId="32">#REF!</definedName>
    <definedName name="DCF">[3]ReadMe!$D$49</definedName>
    <definedName name="DenatEthPJperGal">'conversion factors'!$B$17</definedName>
    <definedName name="dollar____per__m" localSheetId="32">#REF!</definedName>
    <definedName name="dollar____per__m">'Conv Factors'!$C$8</definedName>
    <definedName name="dolomite_conv" localSheetId="32">#REF!</definedName>
    <definedName name="dolomite_conv">#REF!</definedName>
    <definedName name="dolomite_conv_13" localSheetId="32">#REF!</definedName>
    <definedName name="dolomite_conv_13">#REF!</definedName>
    <definedName name="Domestic" localSheetId="32">#REF!</definedName>
    <definedName name="Domestic">'[4]Dom Calcs'!$P$22</definedName>
    <definedName name="Domestic_12" localSheetId="32">#REF!</definedName>
    <definedName name="Domestic_12">'[5]Dom Calcs'!$P$22</definedName>
    <definedName name="Domestic_13" localSheetId="32">#REF!</definedName>
    <definedName name="Domestic_13">'[6]Dom Calcs'!$P$22</definedName>
    <definedName name="EthanolPJperGal">'conversion factors'!$B$16</definedName>
    <definedName name="Excel_BuiltIn__FilterDatabase_2" localSheetId="32">#REF!</definedName>
    <definedName name="Excel_BuiltIn__FilterDatabase_2">'[7]CRF Reporter'!$A$1:$AA$55</definedName>
    <definedName name="exch_rate" localSheetId="32">#REF!</definedName>
    <definedName name="exch_rate">#REF!</definedName>
    <definedName name="FID_1" localSheetId="32">#REF!</definedName>
    <definedName name="FID_1">[8]AGR_Fuels!$A$2</definedName>
    <definedName name="fitfile" localSheetId="32">#REF!</definedName>
    <definedName name="fitfile">[9]MODEL!$D$38</definedName>
    <definedName name="FO2_l_to_gj">'Conv Factors'!$C$23</definedName>
    <definedName name="FO4_l_to_gj">'Conv Factors'!$C$24</definedName>
    <definedName name="FO6_l_to_gj">'Conv Factors'!$C$25</definedName>
    <definedName name="foundryred1" localSheetId="32">#REF!</definedName>
    <definedName name="foundryred1">'[1]WithReg-Coke'!$N$130</definedName>
    <definedName name="foundryred2" localSheetId="32">#REF!</definedName>
    <definedName name="foundryred2">'[1]WithReg-Coke'!$N$131</definedName>
    <definedName name="foundryred3" localSheetId="32">#REF!</definedName>
    <definedName name="foundryred3">'[1]WithReg-Coke'!$N$132</definedName>
    <definedName name="foundryred4" localSheetId="32">#REF!</definedName>
    <definedName name="foundryred4">'[1]WithReg-Coke'!$N$133</definedName>
    <definedName name="furnacered1" localSheetId="32">#REF!</definedName>
    <definedName name="furnacered1">'[1]WithReg-Coke'!$M$130</definedName>
    <definedName name="furnacered2" localSheetId="32">#REF!</definedName>
    <definedName name="furnacered2">'[1]WithReg-Coke'!$M$131</definedName>
    <definedName name="furnacered3" localSheetId="32">#REF!</definedName>
    <definedName name="furnacered3">'[1]WithReg-Coke'!$M$132</definedName>
    <definedName name="furnacered4" localSheetId="32">#REF!</definedName>
    <definedName name="furnacered4">'[1]WithReg-Coke'!$M$133</definedName>
    <definedName name="gal_to_liter">'Conv Factors'!$C$20</definedName>
    <definedName name="GasolinePJperGal">'conversion factors'!$B$13</definedName>
    <definedName name="GJ_to_PJ">'Conv Factors'!$C$18</definedName>
    <definedName name="hours_per_day" localSheetId="32">#REF!</definedName>
    <definedName name="Hours_per_day">'Conv Factors'!$C$3</definedName>
    <definedName name="Industrial" localSheetId="32">#REF!</definedName>
    <definedName name="Industrial">'[4]Ind Calcs'!$P$65</definedName>
    <definedName name="Industrial_12" localSheetId="32">#REF!</definedName>
    <definedName name="Industrial_12">'[5]Ind Calcs'!$P$65</definedName>
    <definedName name="Industrial_13" localSheetId="32">#REF!</definedName>
    <definedName name="Industrial_13">'[6]Ind Calcs'!$P$65</definedName>
    <definedName name="INF" localSheetId="32">#REF!</definedName>
    <definedName name="INF">[9]MODEL!$H$14</definedName>
    <definedName name="input_coeff" localSheetId="32">#REF!</definedName>
    <definedName name="input_coeff">'[10]input coefficients'!$A$2:$I$1311</definedName>
    <definedName name="inputprices" localSheetId="32">#REF!</definedName>
    <definedName name="inputprices">'[10]input prices'!$A$26:$F$52</definedName>
    <definedName name="inputprices2" localSheetId="32">#REF!</definedName>
    <definedName name="inputprices2">'[10]input prices'!$A$3:$F$14</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j_per_btu" localSheetId="32">#REF!</definedName>
    <definedName name="j_per_btu">'Conv Factors'!$C$5</definedName>
    <definedName name="j_per_pj" localSheetId="32">#REF!</definedName>
    <definedName name="j_per_pj">'Conv Factors'!$C$7</definedName>
    <definedName name="j_per_pj2">#REF!</definedName>
    <definedName name="KgPerTon">'conversion factors'!$E$11</definedName>
    <definedName name="kgs_to_gj">'Conv Factors'!$C$26</definedName>
    <definedName name="kgs_to_pj">'Conv Factors'!$C$28</definedName>
    <definedName name="kwh_to_gj">'Conv Factors'!$C$21</definedName>
    <definedName name="kwhr_per_j">'Conv Factors'!$C$11</definedName>
    <definedName name="labor" localSheetId="32">#REF!</definedName>
    <definedName name="labor">#REF!</definedName>
    <definedName name="LbsPerKg">'conversion factors'!$E$5</definedName>
    <definedName name="LbsPerTon">'conversion factors'!$E$6</definedName>
    <definedName name="Lighting_average_operating_hours_per_day">'Conv Factors'!$C$16</definedName>
    <definedName name="limestone_conv" localSheetId="32">#REF!</definedName>
    <definedName name="limestone_conv">#REF!</definedName>
    <definedName name="limestone_conv_13" localSheetId="32">#REF!</definedName>
    <definedName name="limestone_conv_13">#REF!</definedName>
    <definedName name="LPGPJperGal">'conversion factors'!$B$29</definedName>
    <definedName name="lumens_per_billion_lumens" localSheetId="21">#REF!</definedName>
    <definedName name="lumens_per_billion_lumens" localSheetId="32">#REF!</definedName>
    <definedName name="lumens_per_billion_lumens">#REF!</definedName>
    <definedName name="MAXREC" localSheetId="32">#REF!</definedName>
    <definedName name="MAXREC">#REF!</definedName>
    <definedName name="million_short_tons_to_short_ton" localSheetId="32">#REF!</definedName>
    <definedName name="million_short_tons_to_short_ton">[11]Steps!$Y$5</definedName>
    <definedName name="MMBTU_to_PJ" localSheetId="32">#REF!</definedName>
    <definedName name="MMBtu_to_PJ">'Conv Factors'!$C$14</definedName>
    <definedName name="Output" localSheetId="32">#REF!</definedName>
    <definedName name="Output">'[12]Unc Inputs'!$D$13</definedName>
    <definedName name="Output_13" localSheetId="32">#REF!</definedName>
    <definedName name="Output_13">'[13]Unc Inputs'!$D$92</definedName>
    <definedName name="Output2" localSheetId="32">#REF!</definedName>
    <definedName name="Output2">'[14]Unc Inputs'!$F$45</definedName>
    <definedName name="Output2_13" localSheetId="32">#REF!</definedName>
    <definedName name="Output2_13">'[13]Unc Inputs'!$F$88</definedName>
    <definedName name="Output3" localSheetId="32">#REF!</definedName>
    <definedName name="Output3">'[14]Unc Inputs'!$F$46</definedName>
    <definedName name="Output3_13" localSheetId="32">#REF!</definedName>
    <definedName name="Output3_13">'[13]Unc Inputs'!$F$89</definedName>
    <definedName name="P_III_2_CA">#REF!</definedName>
    <definedName name="P_IV_7">#REF!</definedName>
    <definedName name="PJ_per_quad">'Conv Factors'!$C$17</definedName>
    <definedName name="PJ_to_BTU">'Conv Factors'!$C$19</definedName>
    <definedName name="PP_FuelsUsed" localSheetId="32">#REF!</definedName>
    <definedName name="PP_FuelsUsed">[15]Calcs!$HB$3:$HM$103</definedName>
    <definedName name="PP_MDBP_Paper_or_PB" localSheetId="32">#REF!</definedName>
    <definedName name="PP_MDBP_Paper_or_PB">[15]Calcs!$GV$3:$GZ$327</definedName>
    <definedName name="PPElecPrice" localSheetId="32">#REF!</definedName>
    <definedName name="PPElecPrice">[15]Energy!$A$34:$B$83</definedName>
    <definedName name="PPEmissionsISIS" localSheetId="32">#REF!</definedName>
    <definedName name="PPEmissionsISIS">[15]Calcs!$GN$3:$GT$103</definedName>
    <definedName name="PPMDBP_Cap" localSheetId="32">#REF!</definedName>
    <definedName name="PPMDBP_Cap">[16]Calcs!$GF$3:$GG$326</definedName>
    <definedName name="PPnonIntFuel" localSheetId="32">#REF!</definedName>
    <definedName name="PPnonIntFuel">[15]Calcs!$GG$3:$GI$220</definedName>
    <definedName name="PPP" localSheetId="32">#REF!</definedName>
    <definedName name="PPP">[9]MODEL!$D$12</definedName>
    <definedName name="PPPEX" localSheetId="32">#REF!</definedName>
    <definedName name="PPPEX">[9]MODEL!$D$13</definedName>
    <definedName name="PPStateRegion" localSheetId="32">#REF!</definedName>
    <definedName name="PPStateRegion">[15]Calcs!$F$3:$H$53</definedName>
    <definedName name="q_2005NEI_Emissions" localSheetId="32">#REF!</definedName>
    <definedName name="q_2005NEI_Emissions">#REF!</definedName>
    <definedName name="q_IS_2008NEI_fromWB" localSheetId="32">#REF!</definedName>
    <definedName name="q_IS_2008NEI_fromWB">#REF!</definedName>
    <definedName name="quad_to_PJ">'Conv Factors'!$C$27</definedName>
    <definedName name="rail_coal" localSheetId="32">#REF!</definedName>
    <definedName name="rail_coal">#REF!</definedName>
    <definedName name="regid_coke" localSheetId="32">#REF!</definedName>
    <definedName name="regid_coke">'[1]WithReg-Coke'!$Q$117</definedName>
    <definedName name="regid_steel" localSheetId="32">#REF!</definedName>
    <definedName name="regid_steel">'[1]Control-Steel Mill Products'!$C$2</definedName>
    <definedName name="regions" localSheetId="32">#REF!</definedName>
    <definedName name="regions">[17]data!$F$2:$G$52</definedName>
    <definedName name="regionsElec" localSheetId="32">#REF!</definedName>
    <definedName name="regionsElec">[18]Appendix!$I$9:$J$59</definedName>
    <definedName name="RiskAutoStopPercChange">1.5</definedName>
    <definedName name="RiskCollectDistributionSamples">2</definedName>
    <definedName name="RiskExcelReportsGoInNewWorkbook">FALSE</definedName>
    <definedName name="RiskExcelReportsToGenerate">7554</definedName>
    <definedName name="RiskExcelReportsToGenerate_13">6535</definedName>
    <definedName name="RiskFixedSeed">1</definedName>
    <definedName name="RiskGenerateExcelReportsAtEndOfSimulation">TRUE</definedName>
    <definedName name="RiskHasSettings">TRUE</definedName>
    <definedName name="RiskMinimizeOnStart">FALSE</definedName>
    <definedName name="RiskMonitorConvergence">TRUE</definedName>
    <definedName name="RiskMonitorConvergence_13">FALSE</definedName>
    <definedName name="RiskNumIterations">5000</definedName>
    <definedName name="RiskNumIterations_12">10000</definedName>
    <definedName name="RiskNumIterations_13">10000</definedName>
    <definedName name="RiskNumSimulations">1</definedName>
    <definedName name="RiskPauseOnError">FALSE</definedName>
    <definedName name="RiskRealTimeResults">TRUE</definedName>
    <definedName name="RiskRealTimeResults_13">FALSE</definedName>
    <definedName name="RiskReportGraphFormat">0</definedName>
    <definedName name="RiskResultsUpdateFreq">10</definedName>
    <definedName name="RiskResultsUpdateFreq_12">100</definedName>
    <definedName name="RiskResultsUpdateFreq_13">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1</definedName>
    <definedName name="RiskStandardRecalc_13">2</definedName>
    <definedName name="RiskStatFunctionsUpdateFreq">50</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scf_to_gj">'Conv Factors'!$C$22</definedName>
    <definedName name="tBTU_to_PJ">'Conv Factors'!$C$15</definedName>
    <definedName name="TECHNAME" localSheetId="32">#REF!</definedName>
    <definedName name="TECHNAME">#REF!</definedName>
    <definedName name="Total" localSheetId="32">#REF!</definedName>
    <definedName name="Total">[4]Summary!$Q$31</definedName>
    <definedName name="Total_12" localSheetId="32">#REF!</definedName>
    <definedName name="Total_12">[5]Summary!$Q$31</definedName>
    <definedName name="Total_13" localSheetId="32">#REF!</definedName>
    <definedName name="Total_13">[6]Summary!$Q$31</definedName>
    <definedName name="TRNDTYPE" localSheetId="32">#REF!</definedName>
    <definedName name="TRNDTYPE">#REF!</definedName>
    <definedName name="uncsum" localSheetId="32">#REF!</definedName>
    <definedName name="uncsum">'[12]Unc Inputs'!$A$2:$L$6</definedName>
    <definedName name="units_per_m_units">'Conv Factors'!$C$12</definedName>
    <definedName name="vlookup_production" localSheetId="32">#REF!</definedName>
    <definedName name="vlookup_production">'[19]from 2008NEI and Calcs tabs'!$K$2:$P$360</definedName>
    <definedName name="x" localSheetId="32">#REF!</definedName>
    <definedName name="x">[20]AGR_Fuels!$A$2</definedName>
  </definedNames>
  <calcPr calcId="191028"/>
  <pivotCaches>
    <pivotCache cacheId="0" r:id="rId5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3" i="56" l="1"/>
  <c r="N76" i="84"/>
  <c r="AH51" i="15"/>
  <c r="AH50" i="15"/>
  <c r="AH49" i="15"/>
  <c r="AH27" i="15"/>
  <c r="AH26" i="15"/>
  <c r="AH25" i="15"/>
  <c r="E70" i="28"/>
  <c r="E71" i="28"/>
  <c r="K28" i="28"/>
  <c r="J28" i="28"/>
  <c r="I28" i="28"/>
  <c r="H28" i="28"/>
  <c r="F35" i="28"/>
  <c r="J31" i="28"/>
  <c r="F36" i="28"/>
  <c r="I31" i="28"/>
  <c r="H31" i="28"/>
  <c r="G31" i="28"/>
  <c r="F31" i="28"/>
  <c r="E36" i="28"/>
  <c r="F33" i="28"/>
  <c r="F28" i="28"/>
  <c r="J33" i="28" l="1"/>
  <c r="J36" i="28" s="1"/>
  <c r="I33" i="28"/>
  <c r="I36" i="28" s="1"/>
  <c r="H33" i="28"/>
  <c r="H36" i="28" s="1"/>
  <c r="F81" i="15"/>
  <c r="F83" i="15"/>
  <c r="F84" i="15"/>
  <c r="F85" i="15"/>
  <c r="F86" i="15"/>
  <c r="F87" i="15"/>
  <c r="F88" i="15"/>
  <c r="F89" i="15"/>
  <c r="F90" i="15"/>
  <c r="F91" i="15"/>
  <c r="F92" i="15"/>
  <c r="F93" i="15"/>
  <c r="F94" i="15"/>
  <c r="F95" i="15"/>
  <c r="F97" i="15"/>
  <c r="F98" i="15"/>
  <c r="F99" i="15"/>
  <c r="F100" i="15"/>
  <c r="F101" i="15"/>
  <c r="F102" i="15"/>
  <c r="F103" i="15"/>
  <c r="F104" i="15"/>
  <c r="F105" i="15"/>
  <c r="F106" i="15"/>
  <c r="F107" i="15"/>
  <c r="F108" i="15"/>
  <c r="F109" i="15"/>
  <c r="F110" i="15"/>
  <c r="F111" i="15"/>
  <c r="F112" i="15"/>
  <c r="F113" i="15"/>
  <c r="F114" i="15"/>
  <c r="F115" i="15"/>
  <c r="F117" i="15"/>
  <c r="F118" i="15"/>
  <c r="F119" i="15"/>
  <c r="F120" i="15"/>
  <c r="F121" i="15"/>
  <c r="F122" i="15"/>
  <c r="F123" i="15"/>
  <c r="F124" i="15"/>
  <c r="F125" i="15"/>
  <c r="F126" i="15"/>
  <c r="F127" i="15"/>
  <c r="F128" i="15"/>
  <c r="F129" i="15"/>
  <c r="F130" i="15"/>
  <c r="F131" i="15"/>
  <c r="F132" i="15"/>
  <c r="F133" i="15"/>
  <c r="F134" i="15"/>
  <c r="F135" i="15"/>
  <c r="F136" i="15"/>
  <c r="F137" i="15"/>
  <c r="F139" i="15"/>
  <c r="F140" i="15"/>
  <c r="F141" i="15"/>
  <c r="F142" i="15"/>
  <c r="F143" i="15"/>
  <c r="F144" i="15"/>
  <c r="F145" i="15"/>
  <c r="F146" i="15"/>
  <c r="F148" i="15"/>
  <c r="F149" i="15"/>
  <c r="F150" i="15"/>
  <c r="F151" i="15"/>
  <c r="F152" i="15"/>
  <c r="F154" i="15"/>
  <c r="F155" i="15"/>
  <c r="F156" i="15"/>
  <c r="F157" i="15"/>
  <c r="F158" i="15"/>
  <c r="F159" i="15"/>
  <c r="F161" i="15"/>
  <c r="F162" i="15"/>
  <c r="F163" i="15"/>
  <c r="F164" i="15"/>
  <c r="F166" i="15"/>
  <c r="F167" i="15"/>
  <c r="F168" i="15"/>
  <c r="F169" i="15"/>
  <c r="F171" i="15"/>
  <c r="F172" i="15"/>
  <c r="F174" i="15"/>
  <c r="F175" i="15"/>
  <c r="F176" i="15"/>
  <c r="F177" i="15"/>
  <c r="F179" i="15"/>
  <c r="F180" i="15"/>
  <c r="F181" i="15"/>
  <c r="E384" i="15"/>
  <c r="F384" i="15"/>
  <c r="J384" i="15"/>
  <c r="E385" i="15"/>
  <c r="F385" i="15"/>
  <c r="G385" i="15"/>
  <c r="I385" i="15"/>
  <c r="J385" i="15"/>
  <c r="E386" i="15"/>
  <c r="F386" i="15"/>
  <c r="G386" i="15"/>
  <c r="I386" i="15"/>
  <c r="J386" i="15"/>
  <c r="E387" i="15"/>
  <c r="F387" i="15"/>
  <c r="G387" i="15"/>
  <c r="I387" i="15"/>
  <c r="J387" i="15"/>
  <c r="E388" i="15"/>
  <c r="F388" i="15"/>
  <c r="G388" i="15"/>
  <c r="I388" i="15"/>
  <c r="J388" i="15"/>
  <c r="E389" i="15"/>
  <c r="F389" i="15"/>
  <c r="G389" i="15"/>
  <c r="I389" i="15"/>
  <c r="J389" i="15"/>
  <c r="E390" i="15"/>
  <c r="F390" i="15"/>
  <c r="G390" i="15"/>
  <c r="I390" i="15"/>
  <c r="J390" i="15"/>
  <c r="E391" i="15"/>
  <c r="F391" i="15"/>
  <c r="G391" i="15"/>
  <c r="I391" i="15"/>
  <c r="J391" i="15"/>
  <c r="E392" i="15"/>
  <c r="F392" i="15"/>
  <c r="G392" i="15"/>
  <c r="I392" i="15"/>
  <c r="J392" i="15"/>
  <c r="E393" i="15"/>
  <c r="F393" i="15"/>
  <c r="G393" i="15"/>
  <c r="I393" i="15"/>
  <c r="J393" i="15"/>
  <c r="E394" i="15"/>
  <c r="F394" i="15"/>
  <c r="G394" i="15"/>
  <c r="I394" i="15"/>
  <c r="J394" i="15"/>
  <c r="E395" i="15"/>
  <c r="F395" i="15"/>
  <c r="G395" i="15"/>
  <c r="I395" i="15"/>
  <c r="J395" i="15"/>
  <c r="E396" i="15"/>
  <c r="F396" i="15"/>
  <c r="G396" i="15"/>
  <c r="I396" i="15"/>
  <c r="J396" i="15"/>
  <c r="L396" i="15"/>
  <c r="E398" i="15"/>
  <c r="F398" i="15"/>
  <c r="J398" i="15"/>
  <c r="E399" i="15"/>
  <c r="F399" i="15"/>
  <c r="G399" i="15"/>
  <c r="I399" i="15"/>
  <c r="J399" i="15"/>
  <c r="E400" i="15"/>
  <c r="F400" i="15"/>
  <c r="G400" i="15"/>
  <c r="I400" i="15"/>
  <c r="J400" i="15"/>
  <c r="E401" i="15"/>
  <c r="F401" i="15"/>
  <c r="G401" i="15"/>
  <c r="I401" i="15"/>
  <c r="J401" i="15"/>
  <c r="E402" i="15"/>
  <c r="F402" i="15"/>
  <c r="G402" i="15"/>
  <c r="I402" i="15"/>
  <c r="J402" i="15"/>
  <c r="E403" i="15"/>
  <c r="F403" i="15"/>
  <c r="G403" i="15"/>
  <c r="I403" i="15"/>
  <c r="J403" i="15"/>
  <c r="E404" i="15"/>
  <c r="F404" i="15"/>
  <c r="G404" i="15"/>
  <c r="I404" i="15"/>
  <c r="J404" i="15"/>
  <c r="E406" i="15"/>
  <c r="F406" i="15"/>
  <c r="H406" i="15"/>
  <c r="I406" i="15"/>
  <c r="J406" i="15"/>
  <c r="E407" i="15"/>
  <c r="F407" i="15"/>
  <c r="G407" i="15"/>
  <c r="H407" i="15"/>
  <c r="I407" i="15"/>
  <c r="J407" i="15"/>
  <c r="E409" i="15"/>
  <c r="F409" i="15"/>
  <c r="G409" i="15"/>
  <c r="H409" i="15"/>
  <c r="I409" i="15"/>
  <c r="J409" i="15"/>
  <c r="E410" i="15"/>
  <c r="F410" i="15"/>
  <c r="G410" i="15"/>
  <c r="H410" i="15"/>
  <c r="I410" i="15"/>
  <c r="J410" i="15"/>
  <c r="E411" i="15"/>
  <c r="F411" i="15"/>
  <c r="G411" i="15"/>
  <c r="H411" i="15"/>
  <c r="I411" i="15"/>
  <c r="J411" i="15"/>
  <c r="E412" i="15"/>
  <c r="F412" i="15"/>
  <c r="G412" i="15"/>
  <c r="H412" i="15"/>
  <c r="I412" i="15"/>
  <c r="J412" i="15"/>
  <c r="E414" i="15"/>
  <c r="F414" i="15"/>
  <c r="G414" i="15"/>
  <c r="H414" i="15"/>
  <c r="I414" i="15"/>
  <c r="J414" i="15"/>
  <c r="E415" i="15"/>
  <c r="F415" i="15"/>
  <c r="G415" i="15"/>
  <c r="H415" i="15"/>
  <c r="I415" i="15"/>
  <c r="J415" i="15"/>
  <c r="E416" i="15"/>
  <c r="F416" i="15"/>
  <c r="G416" i="15"/>
  <c r="H416" i="15"/>
  <c r="I416" i="15"/>
  <c r="J416" i="15"/>
  <c r="E417" i="15"/>
  <c r="F417" i="15"/>
  <c r="G417" i="15"/>
  <c r="H417" i="15"/>
  <c r="I417" i="15"/>
  <c r="J417" i="15"/>
  <c r="E418" i="15"/>
  <c r="F418" i="15"/>
  <c r="G418" i="15"/>
  <c r="H418" i="15"/>
  <c r="I418" i="15"/>
  <c r="J418" i="15"/>
  <c r="E419" i="15"/>
  <c r="F419" i="15"/>
  <c r="H419" i="15"/>
  <c r="I419" i="15"/>
  <c r="J419" i="15"/>
  <c r="E420" i="15"/>
  <c r="F420" i="15"/>
  <c r="G420" i="15"/>
  <c r="H420" i="15"/>
  <c r="I420" i="15"/>
  <c r="J420" i="15"/>
  <c r="E422" i="15"/>
  <c r="F422" i="15"/>
  <c r="G422" i="15"/>
  <c r="H422" i="15"/>
  <c r="I422" i="15"/>
  <c r="J422" i="15"/>
  <c r="E423" i="15"/>
  <c r="F423" i="15"/>
  <c r="G423" i="15"/>
  <c r="H423" i="15"/>
  <c r="I423" i="15"/>
  <c r="J423" i="15"/>
  <c r="E424" i="15"/>
  <c r="F424" i="15"/>
  <c r="G424" i="15"/>
  <c r="H424" i="15"/>
  <c r="I424" i="15"/>
  <c r="J424" i="15"/>
  <c r="E425" i="15"/>
  <c r="F425" i="15"/>
  <c r="G425" i="15"/>
  <c r="H425" i="15"/>
  <c r="I425" i="15"/>
  <c r="J425" i="15"/>
  <c r="E426" i="15"/>
  <c r="F426" i="15"/>
  <c r="G426" i="15"/>
  <c r="H426" i="15"/>
  <c r="I426" i="15"/>
  <c r="J426" i="15"/>
  <c r="E427" i="15"/>
  <c r="F427" i="15"/>
  <c r="G427" i="15"/>
  <c r="H427" i="15"/>
  <c r="I427" i="15"/>
  <c r="J427" i="15"/>
  <c r="E428" i="15"/>
  <c r="F428" i="15"/>
  <c r="G428" i="15"/>
  <c r="H428" i="15"/>
  <c r="I428" i="15"/>
  <c r="J428" i="15"/>
  <c r="E429" i="15"/>
  <c r="F429" i="15"/>
  <c r="G429" i="15"/>
  <c r="H429" i="15"/>
  <c r="I429" i="15"/>
  <c r="J429" i="15"/>
  <c r="E430" i="15"/>
  <c r="F430" i="15"/>
  <c r="G430" i="15"/>
  <c r="H430" i="15"/>
  <c r="I430" i="15"/>
  <c r="J430" i="15"/>
  <c r="E431" i="15"/>
  <c r="F431" i="15"/>
  <c r="G431" i="15"/>
  <c r="H431" i="15"/>
  <c r="I431" i="15"/>
  <c r="J431" i="15"/>
  <c r="E432" i="15"/>
  <c r="F432" i="15"/>
  <c r="G432" i="15"/>
  <c r="H432" i="15"/>
  <c r="I432" i="15"/>
  <c r="J432" i="15"/>
  <c r="E433" i="15"/>
  <c r="F433" i="15"/>
  <c r="G433" i="15"/>
  <c r="H433" i="15"/>
  <c r="I433" i="15"/>
  <c r="J433" i="15"/>
  <c r="E434" i="15"/>
  <c r="F434" i="15"/>
  <c r="G434" i="15"/>
  <c r="H434" i="15"/>
  <c r="I434" i="15"/>
  <c r="J434" i="15"/>
  <c r="E435" i="15"/>
  <c r="F435" i="15"/>
  <c r="G435" i="15"/>
  <c r="H435" i="15"/>
  <c r="I435" i="15"/>
  <c r="J435" i="15"/>
  <c r="E436" i="15"/>
  <c r="F436" i="15"/>
  <c r="G436" i="15"/>
  <c r="H436" i="15"/>
  <c r="I436" i="15"/>
  <c r="J436" i="15"/>
  <c r="E437" i="15"/>
  <c r="F437" i="15"/>
  <c r="G437" i="15"/>
  <c r="H437" i="15"/>
  <c r="I437" i="15"/>
  <c r="J437" i="15"/>
  <c r="E439" i="15"/>
  <c r="F439" i="15"/>
  <c r="G439" i="15"/>
  <c r="H439" i="15"/>
  <c r="I439" i="15"/>
  <c r="J439" i="15"/>
  <c r="E440" i="15"/>
  <c r="F440" i="15"/>
  <c r="G440" i="15"/>
  <c r="H440" i="15"/>
  <c r="I440" i="15"/>
  <c r="J440" i="15"/>
  <c r="E441" i="15"/>
  <c r="F441" i="15"/>
  <c r="G441" i="15"/>
  <c r="H441" i="15"/>
  <c r="I441" i="15"/>
  <c r="J441" i="15"/>
  <c r="E442" i="15"/>
  <c r="F442" i="15"/>
  <c r="G442" i="15"/>
  <c r="H442" i="15"/>
  <c r="I442" i="15"/>
  <c r="J442" i="15"/>
  <c r="E443" i="15"/>
  <c r="F443" i="15"/>
  <c r="H443" i="15"/>
  <c r="I443" i="15"/>
  <c r="J443" i="15"/>
  <c r="E444" i="15"/>
  <c r="F444" i="15"/>
  <c r="G444" i="15"/>
  <c r="H444" i="15"/>
  <c r="I444" i="15"/>
  <c r="J444" i="15"/>
  <c r="E445" i="15"/>
  <c r="F445" i="15"/>
  <c r="G445" i="15"/>
  <c r="H445" i="15"/>
  <c r="I445" i="15"/>
  <c r="J445" i="15"/>
  <c r="E447" i="15"/>
  <c r="F447" i="15"/>
  <c r="G447" i="15"/>
  <c r="H447" i="15"/>
  <c r="I447" i="15"/>
  <c r="J447" i="15"/>
  <c r="E448" i="15"/>
  <c r="F448" i="15"/>
  <c r="G448" i="15"/>
  <c r="H448" i="15"/>
  <c r="I448" i="15"/>
  <c r="J448" i="15"/>
  <c r="E449" i="15"/>
  <c r="F449" i="15"/>
  <c r="G449" i="15"/>
  <c r="H449" i="15"/>
  <c r="I449" i="15"/>
  <c r="J449" i="15"/>
  <c r="E450" i="15"/>
  <c r="F450" i="15"/>
  <c r="G450" i="15"/>
  <c r="H450" i="15"/>
  <c r="I450" i="15"/>
  <c r="J450" i="15"/>
  <c r="E451" i="15"/>
  <c r="F451" i="15"/>
  <c r="G451" i="15"/>
  <c r="H451" i="15"/>
  <c r="I451" i="15"/>
  <c r="J451" i="15"/>
  <c r="E452" i="15"/>
  <c r="F452" i="15"/>
  <c r="G452" i="15"/>
  <c r="H452" i="15"/>
  <c r="I452" i="15"/>
  <c r="J452" i="15"/>
  <c r="E453" i="15"/>
  <c r="F453" i="15"/>
  <c r="G453" i="15"/>
  <c r="H453" i="15"/>
  <c r="I453" i="15"/>
  <c r="J453" i="15"/>
  <c r="E454" i="15"/>
  <c r="F454" i="15"/>
  <c r="G454" i="15"/>
  <c r="H454" i="15"/>
  <c r="I454" i="15"/>
  <c r="J454" i="15"/>
  <c r="E455" i="15"/>
  <c r="F455" i="15"/>
  <c r="G455" i="15"/>
  <c r="H455" i="15"/>
  <c r="I455" i="15"/>
  <c r="J455" i="15"/>
  <c r="E456" i="15"/>
  <c r="F456" i="15"/>
  <c r="G456" i="15"/>
  <c r="H456" i="15"/>
  <c r="I456" i="15"/>
  <c r="J456" i="15"/>
  <c r="E457" i="15"/>
  <c r="F457" i="15"/>
  <c r="G457" i="15"/>
  <c r="H457" i="15"/>
  <c r="I457" i="15"/>
  <c r="J457" i="15"/>
  <c r="E458" i="15"/>
  <c r="F458" i="15"/>
  <c r="G458" i="15"/>
  <c r="H458" i="15"/>
  <c r="I458" i="15"/>
  <c r="J458" i="15"/>
  <c r="E459" i="15"/>
  <c r="F459" i="15"/>
  <c r="G459" i="15"/>
  <c r="H459" i="15"/>
  <c r="I459" i="15"/>
  <c r="J459" i="15"/>
  <c r="E460" i="15"/>
  <c r="F460" i="15"/>
  <c r="G460" i="15"/>
  <c r="H460" i="15"/>
  <c r="I460" i="15"/>
  <c r="J460" i="15"/>
  <c r="E461" i="15"/>
  <c r="F461" i="15"/>
  <c r="G461" i="15"/>
  <c r="H461" i="15"/>
  <c r="I461" i="15"/>
  <c r="J461" i="15"/>
  <c r="E462" i="15"/>
  <c r="F462" i="15"/>
  <c r="G462" i="15"/>
  <c r="H462" i="15"/>
  <c r="I462" i="15"/>
  <c r="J462" i="15"/>
  <c r="C56" i="63" l="1"/>
  <c r="C55" i="63"/>
  <c r="E36" i="63"/>
  <c r="D57" i="63"/>
  <c r="C36" i="63"/>
  <c r="X21" i="29"/>
  <c r="AV128" i="72"/>
  <c r="AV129" i="72"/>
  <c r="AV130" i="72"/>
  <c r="AV131" i="72"/>
  <c r="AV127" i="72"/>
  <c r="AG128" i="72"/>
  <c r="AG129" i="72"/>
  <c r="AG130" i="72"/>
  <c r="AG131" i="72"/>
  <c r="AG127" i="72"/>
  <c r="X42" i="29"/>
  <c r="W42" i="29"/>
  <c r="V46" i="29"/>
  <c r="V37" i="29"/>
  <c r="V45" i="29"/>
  <c r="V36" i="29"/>
  <c r="V44" i="29"/>
  <c r="V35" i="29"/>
  <c r="V43" i="29"/>
  <c r="V34" i="29"/>
  <c r="W34" i="29" s="1"/>
  <c r="V42" i="29"/>
  <c r="V33" i="29"/>
  <c r="U46" i="29"/>
  <c r="U47" i="29" s="1"/>
  <c r="U45" i="29"/>
  <c r="U37" i="29"/>
  <c r="U36" i="29"/>
  <c r="U23" i="29"/>
  <c r="U22" i="29"/>
  <c r="U21" i="29"/>
  <c r="W45" i="29"/>
  <c r="W44" i="29"/>
  <c r="W43" i="29"/>
  <c r="W46" i="29" l="1"/>
  <c r="W47" i="29" s="1"/>
  <c r="W36" i="29"/>
  <c r="W37" i="29"/>
  <c r="X33" i="29"/>
  <c r="U38" i="29"/>
  <c r="W33" i="29"/>
  <c r="W38" i="29" s="1"/>
  <c r="W35" i="29"/>
  <c r="G41" i="80" l="1"/>
  <c r="S60" i="72"/>
  <c r="E64" i="11"/>
  <c r="D64" i="11"/>
  <c r="B64" i="11"/>
  <c r="E63" i="11"/>
  <c r="D63" i="11"/>
  <c r="B63" i="11"/>
  <c r="E62" i="11"/>
  <c r="D62" i="11"/>
  <c r="B62" i="11"/>
  <c r="E61" i="11"/>
  <c r="D61" i="11"/>
  <c r="B61" i="11"/>
  <c r="E60" i="11"/>
  <c r="D60" i="11"/>
  <c r="B60" i="11"/>
  <c r="E50" i="11"/>
  <c r="D50" i="11"/>
  <c r="B50" i="11"/>
  <c r="K45" i="85" l="1"/>
  <c r="C49" i="28"/>
  <c r="E62" i="28" s="1"/>
  <c r="E44" i="28"/>
  <c r="C40" i="28"/>
  <c r="D40" i="28"/>
  <c r="M67" i="79"/>
  <c r="L67" i="79"/>
  <c r="L65" i="79"/>
  <c r="D89" i="79"/>
  <c r="D79" i="79"/>
  <c r="D69" i="79"/>
  <c r="D65" i="79"/>
  <c r="G65" i="90"/>
  <c r="G64" i="90"/>
  <c r="G63" i="90"/>
  <c r="G62" i="90"/>
  <c r="G61" i="90"/>
  <c r="G60" i="90"/>
  <c r="G59" i="90"/>
  <c r="G58" i="90"/>
  <c r="G57" i="90"/>
  <c r="G56" i="90"/>
  <c r="G55" i="90"/>
  <c r="G54" i="90"/>
  <c r="B54" i="90"/>
  <c r="G53" i="90"/>
  <c r="G52" i="90"/>
  <c r="G51" i="90"/>
  <c r="G50" i="90"/>
  <c r="G49" i="90"/>
  <c r="G48" i="90"/>
  <c r="G47" i="90"/>
  <c r="G46" i="90"/>
  <c r="G45" i="90"/>
  <c r="G44" i="90"/>
  <c r="G43" i="90"/>
  <c r="G42" i="90"/>
  <c r="G41" i="90"/>
  <c r="G40" i="90"/>
  <c r="S39" i="90"/>
  <c r="N39" i="90"/>
  <c r="P39" i="90" s="1"/>
  <c r="G39" i="90"/>
  <c r="S38" i="90"/>
  <c r="P38" i="90"/>
  <c r="G38" i="90"/>
  <c r="S37" i="90"/>
  <c r="P37" i="90"/>
  <c r="G37" i="90"/>
  <c r="S36" i="90"/>
  <c r="G36" i="90"/>
  <c r="B36" i="90"/>
  <c r="G35" i="90"/>
  <c r="S34" i="90"/>
  <c r="N34" i="90"/>
  <c r="P34" i="90" s="1"/>
  <c r="G34" i="90"/>
  <c r="S33" i="90"/>
  <c r="P33" i="90"/>
  <c r="G33" i="90"/>
  <c r="P32" i="90"/>
  <c r="G32" i="90"/>
  <c r="P31" i="90"/>
  <c r="G31" i="90"/>
  <c r="P30" i="90"/>
  <c r="G30" i="90"/>
  <c r="B30" i="90"/>
  <c r="G29" i="90"/>
  <c r="S28" i="90"/>
  <c r="N28" i="90"/>
  <c r="P28" i="90" s="1"/>
  <c r="G28" i="90"/>
  <c r="S27" i="90"/>
  <c r="P27" i="90"/>
  <c r="N27" i="90"/>
  <c r="G27" i="90"/>
  <c r="S26" i="90"/>
  <c r="N26" i="90"/>
  <c r="P26" i="90" s="1"/>
  <c r="G26" i="90"/>
  <c r="B26" i="90"/>
  <c r="S25" i="90"/>
  <c r="P25" i="90"/>
  <c r="N25" i="90"/>
  <c r="G25" i="90"/>
  <c r="S24" i="90"/>
  <c r="N24" i="90"/>
  <c r="P24" i="90" s="1"/>
  <c r="G24" i="90"/>
  <c r="G23" i="90"/>
  <c r="S22" i="90"/>
  <c r="P22" i="90"/>
  <c r="N22" i="90"/>
  <c r="S21" i="90"/>
  <c r="P21" i="90"/>
  <c r="S20" i="90"/>
  <c r="P20" i="90"/>
  <c r="P18" i="90"/>
  <c r="S17" i="90"/>
  <c r="P17" i="90"/>
  <c r="B16" i="90"/>
  <c r="B17" i="90" s="1"/>
  <c r="B18" i="90" s="1"/>
  <c r="S15" i="90"/>
  <c r="P15" i="90"/>
  <c r="B15" i="90"/>
  <c r="P14" i="90"/>
  <c r="B14" i="90"/>
  <c r="S13" i="90"/>
  <c r="P13" i="90"/>
  <c r="B13" i="90"/>
  <c r="S12" i="90"/>
  <c r="P12" i="90"/>
  <c r="S11" i="90"/>
  <c r="P11" i="90"/>
  <c r="E11" i="90"/>
  <c r="B64" i="90" s="1"/>
  <c r="S10" i="90"/>
  <c r="P10" i="90"/>
  <c r="E10" i="90"/>
  <c r="E12" i="90" s="1"/>
  <c r="S9" i="90"/>
  <c r="P9" i="90"/>
  <c r="E9" i="90"/>
  <c r="S8" i="90"/>
  <c r="P8" i="90"/>
  <c r="B8" i="90"/>
  <c r="S7" i="90"/>
  <c r="P7" i="90"/>
  <c r="B7" i="90"/>
  <c r="B59" i="90" s="1"/>
  <c r="B6" i="90"/>
  <c r="B5" i="90"/>
  <c r="B10" i="90" s="1"/>
  <c r="G2" i="90" s="1"/>
  <c r="G35" i="63"/>
  <c r="C57" i="63"/>
  <c r="N38" i="63"/>
  <c r="N57" i="63"/>
  <c r="O21" i="89"/>
  <c r="O20" i="89"/>
  <c r="O19" i="89"/>
  <c r="O18" i="89"/>
  <c r="S16" i="89"/>
  <c r="R16" i="89"/>
  <c r="P16" i="89"/>
  <c r="Q16" i="89"/>
  <c r="O16" i="89"/>
  <c r="O13" i="89"/>
  <c r="O12" i="89"/>
  <c r="O5" i="89"/>
  <c r="P13" i="89"/>
  <c r="Q13" i="89"/>
  <c r="P12" i="89"/>
  <c r="Q12" i="89"/>
  <c r="O14" i="89"/>
  <c r="O10" i="89"/>
  <c r="O9" i="89"/>
  <c r="P10" i="89"/>
  <c r="Q8" i="89"/>
  <c r="P8" i="89"/>
  <c r="O8" i="89"/>
  <c r="Q7" i="89"/>
  <c r="Q6" i="89"/>
  <c r="P6" i="89"/>
  <c r="O6" i="89"/>
  <c r="P5" i="89"/>
  <c r="Q5" i="89"/>
  <c r="O7" i="89"/>
  <c r="S6" i="89"/>
  <c r="S5" i="89"/>
  <c r="R10" i="89"/>
  <c r="R9" i="89"/>
  <c r="R8" i="89"/>
  <c r="R7" i="89"/>
  <c r="R6" i="89"/>
  <c r="R5" i="89"/>
  <c r="D62" i="28" l="1"/>
  <c r="B21" i="90"/>
  <c r="B24" i="90"/>
  <c r="B29" i="90"/>
  <c r="B28" i="90" s="1"/>
  <c r="B49" i="90"/>
  <c r="B22" i="90"/>
  <c r="B58" i="90"/>
  <c r="B20" i="90"/>
  <c r="B53" i="90"/>
  <c r="B27" i="90"/>
  <c r="B48" i="90"/>
  <c r="D91" i="79" l="1"/>
  <c r="D81" i="79"/>
  <c r="D71" i="79"/>
  <c r="C28" i="31"/>
  <c r="S45" i="85" l="1"/>
  <c r="AG56" i="72" l="1"/>
  <c r="AV124" i="72"/>
  <c r="AV123" i="72"/>
  <c r="AV122" i="72"/>
  <c r="AV58" i="72"/>
  <c r="AV57" i="72"/>
  <c r="AV56" i="72"/>
  <c r="AU126" i="72"/>
  <c r="AF126" i="72"/>
  <c r="AG124" i="72"/>
  <c r="AG123" i="72"/>
  <c r="AG122" i="72"/>
  <c r="AG58" i="72"/>
  <c r="R58" i="72"/>
  <c r="AG57" i="72"/>
  <c r="R57" i="72"/>
  <c r="R56" i="72"/>
  <c r="Q118" i="72"/>
  <c r="P18" i="89"/>
  <c r="Q18" i="89"/>
  <c r="P19" i="89"/>
  <c r="Q19" i="89"/>
  <c r="P20" i="89"/>
  <c r="Q20" i="89"/>
  <c r="P21" i="89"/>
  <c r="Q21" i="89"/>
  <c r="Q14" i="89"/>
  <c r="E81" i="89"/>
  <c r="P14" i="89"/>
  <c r="P7" i="89"/>
  <c r="P9" i="89"/>
  <c r="Q9" i="89"/>
  <c r="Q10" i="89"/>
  <c r="E53" i="89"/>
  <c r="D53" i="89"/>
  <c r="C53" i="89"/>
  <c r="K6" i="89"/>
  <c r="L6" i="89" s="1"/>
  <c r="K7" i="89"/>
  <c r="L7" i="89" s="1"/>
  <c r="K8" i="89"/>
  <c r="L8" i="89" s="1"/>
  <c r="V8" i="89" s="1"/>
  <c r="AU34" i="72" s="1"/>
  <c r="K9" i="89"/>
  <c r="L9" i="89" s="1"/>
  <c r="V9" i="89" s="1"/>
  <c r="AU45" i="72" s="1"/>
  <c r="K10" i="89"/>
  <c r="L10" i="89" s="1"/>
  <c r="V10" i="89" s="1"/>
  <c r="AU51" i="72" s="1"/>
  <c r="K18" i="89"/>
  <c r="L18" i="89" s="1"/>
  <c r="V12" i="89" s="1"/>
  <c r="AU63" i="72" s="1"/>
  <c r="K19" i="89"/>
  <c r="L19" i="89" s="1"/>
  <c r="V13" i="89" s="1"/>
  <c r="AU71" i="72" s="1"/>
  <c r="K20" i="89"/>
  <c r="L20" i="89" s="1"/>
  <c r="V14" i="89" s="1"/>
  <c r="AU81" i="72" s="1"/>
  <c r="K21" i="89"/>
  <c r="L21" i="89" s="1"/>
  <c r="K22" i="89"/>
  <c r="L22" i="89" s="1"/>
  <c r="V16" i="89" s="1"/>
  <c r="K29" i="89"/>
  <c r="L29" i="89" s="1"/>
  <c r="V18" i="89" s="1"/>
  <c r="AU101" i="72" s="1"/>
  <c r="K30" i="89"/>
  <c r="L30" i="89" s="1"/>
  <c r="V19" i="89" s="1"/>
  <c r="AU109" i="72" s="1"/>
  <c r="K31" i="89"/>
  <c r="L31" i="89" s="1"/>
  <c r="V20" i="89" s="1"/>
  <c r="AU118" i="72" s="1"/>
  <c r="K32" i="89"/>
  <c r="L32" i="89" s="1"/>
  <c r="V21" i="89" s="1"/>
  <c r="K33" i="89"/>
  <c r="L33" i="89" s="1"/>
  <c r="K11" i="89"/>
  <c r="L11" i="89" s="1"/>
  <c r="K12" i="89"/>
  <c r="L12" i="89" s="1"/>
  <c r="K13" i="89"/>
  <c r="L13" i="89" s="1"/>
  <c r="K14" i="89"/>
  <c r="L14" i="89" s="1"/>
  <c r="K15" i="89"/>
  <c r="L15" i="89" s="1"/>
  <c r="T9" i="89" s="1"/>
  <c r="Q45" i="72" s="1"/>
  <c r="K16" i="89"/>
  <c r="L16" i="89" s="1"/>
  <c r="K23" i="89"/>
  <c r="L23" i="89" s="1"/>
  <c r="K24" i="89"/>
  <c r="L24" i="89" s="1"/>
  <c r="T13" i="89" s="1"/>
  <c r="U13" i="89" s="1"/>
  <c r="AF71" i="72" s="1"/>
  <c r="K25" i="89"/>
  <c r="L25" i="89" s="1"/>
  <c r="K26" i="89"/>
  <c r="L26" i="89" s="1"/>
  <c r="K27" i="89"/>
  <c r="L27" i="89" s="1"/>
  <c r="T16" i="89" s="1"/>
  <c r="K34" i="89"/>
  <c r="L34" i="89" s="1"/>
  <c r="T18" i="89" s="1"/>
  <c r="Q101" i="72" s="1"/>
  <c r="K35" i="89"/>
  <c r="L35" i="89" s="1"/>
  <c r="K36" i="89"/>
  <c r="L36" i="89" s="1"/>
  <c r="T20" i="89" s="1"/>
  <c r="K37" i="89"/>
  <c r="L37" i="89" s="1"/>
  <c r="T21" i="89" s="1"/>
  <c r="U21" i="89" s="1"/>
  <c r="K38" i="89"/>
  <c r="L38" i="89" s="1"/>
  <c r="K5" i="89"/>
  <c r="L5" i="89" s="1"/>
  <c r="D80" i="60"/>
  <c r="M134" i="72"/>
  <c r="AU96" i="72" l="1"/>
  <c r="AU93" i="72" s="1"/>
  <c r="U16" i="89"/>
  <c r="AF96" i="72" s="1"/>
  <c r="AF93" i="72" s="1"/>
  <c r="Q96" i="72"/>
  <c r="Q93" i="72" s="1"/>
  <c r="T14" i="89"/>
  <c r="Q81" i="72" s="1"/>
  <c r="T10" i="89"/>
  <c r="Q51" i="72" s="1"/>
  <c r="Q42" i="72" s="1"/>
  <c r="R45" i="72" s="1"/>
  <c r="T19" i="89"/>
  <c r="Q109" i="72" s="1"/>
  <c r="Q71" i="72"/>
  <c r="T5" i="89"/>
  <c r="Q9" i="72" s="1"/>
  <c r="T8" i="89"/>
  <c r="U8" i="89" s="1"/>
  <c r="AF34" i="72" s="1"/>
  <c r="V5" i="89"/>
  <c r="AU9" i="72" s="1"/>
  <c r="V7" i="89"/>
  <c r="AU27" i="72" s="1"/>
  <c r="AU24" i="72" s="1"/>
  <c r="AV27" i="72" s="1"/>
  <c r="T7" i="89"/>
  <c r="Q27" i="72" s="1"/>
  <c r="T6" i="89"/>
  <c r="V6" i="89"/>
  <c r="AU12" i="72" s="1"/>
  <c r="U9" i="89"/>
  <c r="AF45" i="72" s="1"/>
  <c r="AU60" i="72"/>
  <c r="AU42" i="72"/>
  <c r="AU116" i="72"/>
  <c r="AV118" i="72" s="1"/>
  <c r="AU99" i="72"/>
  <c r="AV101" i="72" s="1"/>
  <c r="AU107" i="72"/>
  <c r="AV109" i="72" s="1"/>
  <c r="T12" i="89"/>
  <c r="U18" i="89"/>
  <c r="AF101" i="72" s="1"/>
  <c r="AF99" i="72" s="1"/>
  <c r="AG101" i="72" s="1"/>
  <c r="U20" i="89"/>
  <c r="AF118" i="72" s="1"/>
  <c r="AF116" i="72" s="1"/>
  <c r="AG118" i="72" s="1"/>
  <c r="U10" i="89" l="1"/>
  <c r="AF51" i="72" s="1"/>
  <c r="AF42" i="72" s="1"/>
  <c r="AG51" i="72" s="1"/>
  <c r="U6" i="89"/>
  <c r="AF12" i="72" s="1"/>
  <c r="Q12" i="72"/>
  <c r="Q6" i="72" s="1"/>
  <c r="R9" i="72" s="1"/>
  <c r="Q34" i="72"/>
  <c r="AU6" i="72"/>
  <c r="AV12" i="72" s="1"/>
  <c r="U12" i="89"/>
  <c r="AF63" i="72" s="1"/>
  <c r="Q63" i="72"/>
  <c r="Q60" i="72" s="1"/>
  <c r="R63" i="72" s="1"/>
  <c r="T63" i="72" s="1"/>
  <c r="U19" i="89"/>
  <c r="AF109" i="72" s="1"/>
  <c r="AF107" i="72" s="1"/>
  <c r="AG109" i="72" s="1"/>
  <c r="U5" i="89"/>
  <c r="AF9" i="72" s="1"/>
  <c r="U7" i="89"/>
  <c r="AF27" i="72" s="1"/>
  <c r="AF24" i="72" s="1"/>
  <c r="AG34" i="72" s="1"/>
  <c r="U14" i="89"/>
  <c r="AF81" i="72" s="1"/>
  <c r="AV34" i="72"/>
  <c r="AV51" i="72"/>
  <c r="AV45" i="72"/>
  <c r="AV71" i="72"/>
  <c r="AV81" i="72"/>
  <c r="AV63" i="72"/>
  <c r="AF6" i="72" l="1"/>
  <c r="AG9" i="72" s="1"/>
  <c r="AV9" i="72"/>
  <c r="AG45" i="72"/>
  <c r="AF60" i="72"/>
  <c r="AG27" i="72"/>
  <c r="C88" i="79"/>
  <c r="AG12" i="72" l="1"/>
  <c r="AG63" i="72"/>
  <c r="AG71" i="72"/>
  <c r="AG81" i="72"/>
  <c r="M82" i="84"/>
  <c r="M89" i="84" s="1"/>
  <c r="M96" i="84" s="1"/>
  <c r="M103" i="84" s="1"/>
  <c r="M110" i="84" s="1"/>
  <c r="M76" i="84"/>
  <c r="AD58" i="84"/>
  <c r="W62" i="84"/>
  <c r="X62" i="84"/>
  <c r="N82" i="84"/>
  <c r="O82" i="84"/>
  <c r="P82" i="84"/>
  <c r="Q82" i="84"/>
  <c r="R82" i="84"/>
  <c r="N83" i="84"/>
  <c r="O83" i="84"/>
  <c r="P83" i="84"/>
  <c r="Q83" i="84"/>
  <c r="R83" i="84"/>
  <c r="M83" i="84"/>
  <c r="O76" i="84"/>
  <c r="P76" i="84"/>
  <c r="Q76" i="84"/>
  <c r="R76" i="84"/>
  <c r="N77" i="84"/>
  <c r="O77" i="84"/>
  <c r="P77" i="84"/>
  <c r="Q77" i="84"/>
  <c r="R77" i="84"/>
  <c r="M77" i="84"/>
  <c r="N70" i="84"/>
  <c r="O70" i="84"/>
  <c r="P70" i="84"/>
  <c r="Q70" i="84"/>
  <c r="R70" i="84"/>
  <c r="N71" i="84"/>
  <c r="O71" i="84"/>
  <c r="P71" i="84"/>
  <c r="Q71" i="84"/>
  <c r="R71" i="84"/>
  <c r="M70" i="84"/>
  <c r="M71" i="84"/>
  <c r="M52" i="84"/>
  <c r="M53" i="84"/>
  <c r="P51" i="84"/>
  <c r="O51" i="84"/>
  <c r="N51" i="84"/>
  <c r="M51" i="84"/>
  <c r="F5" i="84"/>
  <c r="G5" i="84"/>
  <c r="H5" i="84"/>
  <c r="I5" i="84"/>
  <c r="F6" i="84"/>
  <c r="G6" i="84"/>
  <c r="H6" i="84"/>
  <c r="I6" i="84"/>
  <c r="F7" i="84"/>
  <c r="G7" i="84"/>
  <c r="H7" i="84"/>
  <c r="I7" i="84"/>
  <c r="F8" i="84"/>
  <c r="G8" i="84"/>
  <c r="H8" i="84"/>
  <c r="I8" i="84"/>
  <c r="F9" i="84"/>
  <c r="G9" i="84"/>
  <c r="H9" i="84"/>
  <c r="I9" i="84"/>
  <c r="F10" i="84"/>
  <c r="G10" i="84"/>
  <c r="H10" i="84"/>
  <c r="I10" i="84"/>
  <c r="F11" i="84"/>
  <c r="G11" i="84"/>
  <c r="H11" i="84"/>
  <c r="I11" i="84"/>
  <c r="F12" i="84"/>
  <c r="G12" i="84"/>
  <c r="H12" i="84"/>
  <c r="I12" i="84"/>
  <c r="F13" i="84"/>
  <c r="G13" i="84"/>
  <c r="H13" i="84"/>
  <c r="I13" i="84"/>
  <c r="F14" i="84"/>
  <c r="G14" i="84"/>
  <c r="H14" i="84"/>
  <c r="I14" i="84"/>
  <c r="F15" i="84"/>
  <c r="G15" i="84"/>
  <c r="H15" i="84"/>
  <c r="I15" i="84"/>
  <c r="F16" i="84"/>
  <c r="G16" i="84"/>
  <c r="H16" i="84"/>
  <c r="I16" i="84"/>
  <c r="F17" i="84"/>
  <c r="G17" i="84"/>
  <c r="H17" i="84"/>
  <c r="I17" i="84"/>
  <c r="F18" i="84"/>
  <c r="G18" i="84"/>
  <c r="H18" i="84"/>
  <c r="I18" i="84"/>
  <c r="F19" i="84"/>
  <c r="G19" i="84"/>
  <c r="H19" i="84"/>
  <c r="I19" i="84"/>
  <c r="F20" i="84"/>
  <c r="G20" i="84"/>
  <c r="H20" i="84"/>
  <c r="I20" i="84"/>
  <c r="F21" i="84"/>
  <c r="G21" i="84"/>
  <c r="H21" i="84"/>
  <c r="I21" i="84"/>
  <c r="F22" i="84"/>
  <c r="G22" i="84"/>
  <c r="H22" i="84"/>
  <c r="I22" i="84"/>
  <c r="F23" i="84"/>
  <c r="G23" i="84"/>
  <c r="H23" i="84"/>
  <c r="I23" i="84"/>
  <c r="F24" i="84"/>
  <c r="G24" i="84"/>
  <c r="H24" i="84"/>
  <c r="I24" i="84"/>
  <c r="F25" i="84"/>
  <c r="G25" i="84"/>
  <c r="H25" i="84"/>
  <c r="I25" i="84"/>
  <c r="F26" i="84"/>
  <c r="G26" i="84"/>
  <c r="H26" i="84"/>
  <c r="I26" i="84"/>
  <c r="F27" i="84"/>
  <c r="G27" i="84"/>
  <c r="H27" i="84"/>
  <c r="I27" i="84"/>
  <c r="F28" i="84"/>
  <c r="G28" i="84"/>
  <c r="H28" i="84"/>
  <c r="I28" i="84"/>
  <c r="F29" i="84"/>
  <c r="G29" i="84"/>
  <c r="H29" i="84"/>
  <c r="I29" i="84"/>
  <c r="F30" i="84"/>
  <c r="G30" i="84"/>
  <c r="H30" i="84"/>
  <c r="I30" i="84"/>
  <c r="F31" i="84"/>
  <c r="G31" i="84"/>
  <c r="H31" i="84"/>
  <c r="I31" i="84"/>
  <c r="F32" i="84"/>
  <c r="G32" i="84"/>
  <c r="H32" i="84"/>
  <c r="I32" i="84"/>
  <c r="F33" i="84"/>
  <c r="G33" i="84"/>
  <c r="H33" i="84"/>
  <c r="I33" i="84"/>
  <c r="F34" i="84"/>
  <c r="G34" i="84"/>
  <c r="H34" i="84"/>
  <c r="I34" i="84"/>
  <c r="F35" i="84"/>
  <c r="G35" i="84"/>
  <c r="H35" i="84"/>
  <c r="I35" i="84"/>
  <c r="F36" i="84"/>
  <c r="G36" i="84"/>
  <c r="H36" i="84"/>
  <c r="I36" i="84"/>
  <c r="F37" i="84"/>
  <c r="G37" i="84"/>
  <c r="H37" i="84"/>
  <c r="I37" i="84"/>
  <c r="F38" i="84"/>
  <c r="G38" i="84"/>
  <c r="H38" i="84"/>
  <c r="I38" i="84"/>
  <c r="F39" i="84"/>
  <c r="G39" i="84"/>
  <c r="H39" i="84"/>
  <c r="I39" i="84"/>
  <c r="F40" i="84"/>
  <c r="G40" i="84"/>
  <c r="H40" i="84"/>
  <c r="I40" i="84"/>
  <c r="F41" i="84"/>
  <c r="G41" i="84"/>
  <c r="H41" i="84"/>
  <c r="I41" i="84"/>
  <c r="F42" i="84"/>
  <c r="G42" i="84"/>
  <c r="H42" i="84"/>
  <c r="I42" i="84"/>
  <c r="F43" i="84"/>
  <c r="G43" i="84"/>
  <c r="H43" i="84"/>
  <c r="I43" i="84"/>
  <c r="F44" i="84"/>
  <c r="G44" i="84"/>
  <c r="H44" i="84"/>
  <c r="I44" i="84"/>
  <c r="F45" i="84"/>
  <c r="G45" i="84"/>
  <c r="H45" i="84"/>
  <c r="I45" i="84"/>
  <c r="F46" i="84"/>
  <c r="G46" i="84"/>
  <c r="H46" i="84"/>
  <c r="I46" i="84"/>
  <c r="F47" i="84"/>
  <c r="G47" i="84"/>
  <c r="H47" i="84"/>
  <c r="I47" i="84"/>
  <c r="F48" i="84"/>
  <c r="G48" i="84"/>
  <c r="H48" i="84"/>
  <c r="I48" i="84"/>
  <c r="F49" i="84"/>
  <c r="G49" i="84"/>
  <c r="H49" i="84"/>
  <c r="I49" i="84"/>
  <c r="F50" i="84"/>
  <c r="G50" i="84"/>
  <c r="H50" i="84"/>
  <c r="I50" i="84"/>
  <c r="F51" i="84"/>
  <c r="G51" i="84"/>
  <c r="H51" i="84"/>
  <c r="I51" i="84"/>
  <c r="F52" i="84"/>
  <c r="G52" i="84"/>
  <c r="H52" i="84"/>
  <c r="I52" i="84"/>
  <c r="F53" i="84"/>
  <c r="G53" i="84"/>
  <c r="H53" i="84"/>
  <c r="I53" i="84"/>
  <c r="F54" i="84"/>
  <c r="G54" i="84"/>
  <c r="H54" i="84"/>
  <c r="I54" i="84"/>
  <c r="F55" i="84"/>
  <c r="G55" i="84"/>
  <c r="H55" i="84"/>
  <c r="I55" i="84"/>
  <c r="F56" i="84"/>
  <c r="G56" i="84"/>
  <c r="H56" i="84"/>
  <c r="I56" i="84"/>
  <c r="F57" i="84"/>
  <c r="G57" i="84"/>
  <c r="H57" i="84"/>
  <c r="I57" i="84"/>
  <c r="F58" i="84"/>
  <c r="G58" i="84"/>
  <c r="H58" i="84"/>
  <c r="I58" i="84"/>
  <c r="F59" i="84"/>
  <c r="G59" i="84"/>
  <c r="H59" i="84"/>
  <c r="I59" i="84"/>
  <c r="F60" i="84"/>
  <c r="G60" i="84"/>
  <c r="H60" i="84"/>
  <c r="I60" i="84"/>
  <c r="F61" i="84"/>
  <c r="G61" i="84"/>
  <c r="H61" i="84"/>
  <c r="I61" i="84"/>
  <c r="F62" i="84"/>
  <c r="G62" i="84"/>
  <c r="H62" i="84"/>
  <c r="I62" i="84"/>
  <c r="F63" i="84"/>
  <c r="G63" i="84"/>
  <c r="H63" i="84"/>
  <c r="I63" i="84"/>
  <c r="F64" i="84"/>
  <c r="G64" i="84"/>
  <c r="H64" i="84"/>
  <c r="I64" i="84"/>
  <c r="F65" i="84"/>
  <c r="G65" i="84"/>
  <c r="H65" i="84"/>
  <c r="I65" i="84"/>
  <c r="F66" i="84"/>
  <c r="G66" i="84"/>
  <c r="H66" i="84"/>
  <c r="I66" i="84"/>
  <c r="F67" i="84"/>
  <c r="G67" i="84"/>
  <c r="H67" i="84"/>
  <c r="I67" i="84"/>
  <c r="F68" i="84"/>
  <c r="G68" i="84"/>
  <c r="H68" i="84"/>
  <c r="I68" i="84"/>
  <c r="F69" i="84"/>
  <c r="G69" i="84"/>
  <c r="H69" i="84"/>
  <c r="I69" i="84"/>
  <c r="F70" i="84"/>
  <c r="G70" i="84"/>
  <c r="H70" i="84"/>
  <c r="I70" i="84"/>
  <c r="F71" i="84"/>
  <c r="G71" i="84"/>
  <c r="H71" i="84"/>
  <c r="I71" i="84"/>
  <c r="F72" i="84"/>
  <c r="G72" i="84"/>
  <c r="H72" i="84"/>
  <c r="I72" i="84"/>
  <c r="F73" i="84"/>
  <c r="G73" i="84"/>
  <c r="H73" i="84"/>
  <c r="I73" i="84"/>
  <c r="F74" i="84"/>
  <c r="G74" i="84"/>
  <c r="H74" i="84"/>
  <c r="I74" i="84"/>
  <c r="F75" i="84"/>
  <c r="G75" i="84"/>
  <c r="H75" i="84"/>
  <c r="I75" i="84"/>
  <c r="F76" i="84"/>
  <c r="G76" i="84"/>
  <c r="H76" i="84"/>
  <c r="I76" i="84"/>
  <c r="F77" i="84"/>
  <c r="G77" i="84"/>
  <c r="H77" i="84"/>
  <c r="I77" i="84"/>
  <c r="F78" i="84"/>
  <c r="G78" i="84"/>
  <c r="H78" i="84"/>
  <c r="I78" i="84"/>
  <c r="F79" i="84"/>
  <c r="G79" i="84"/>
  <c r="H79" i="84"/>
  <c r="I79" i="84"/>
  <c r="F80" i="84"/>
  <c r="G80" i="84"/>
  <c r="H80" i="84"/>
  <c r="I80" i="84"/>
  <c r="F81" i="84"/>
  <c r="G81" i="84"/>
  <c r="H81" i="84"/>
  <c r="I81" i="84"/>
  <c r="F82" i="84"/>
  <c r="G82" i="84"/>
  <c r="H82" i="84"/>
  <c r="I82" i="84"/>
  <c r="F83" i="84"/>
  <c r="G83" i="84"/>
  <c r="H83" i="84"/>
  <c r="I83" i="84"/>
  <c r="F84" i="84"/>
  <c r="G84" i="84"/>
  <c r="H84" i="84"/>
  <c r="I84" i="84"/>
  <c r="F85" i="84"/>
  <c r="G85" i="84"/>
  <c r="H85" i="84"/>
  <c r="I85" i="84"/>
  <c r="F86" i="84"/>
  <c r="G86" i="84"/>
  <c r="H86" i="84"/>
  <c r="I86" i="84"/>
  <c r="F87" i="84"/>
  <c r="G87" i="84"/>
  <c r="H87" i="84"/>
  <c r="I87" i="84"/>
  <c r="F88" i="84"/>
  <c r="G88" i="84"/>
  <c r="H88" i="84"/>
  <c r="I88" i="84"/>
  <c r="F89" i="84"/>
  <c r="G89" i="84"/>
  <c r="H89" i="84"/>
  <c r="I89" i="84"/>
  <c r="F90" i="84"/>
  <c r="G90" i="84"/>
  <c r="H90" i="84"/>
  <c r="I90" i="84"/>
  <c r="F91" i="84"/>
  <c r="G91" i="84"/>
  <c r="H91" i="84"/>
  <c r="I91" i="84"/>
  <c r="F92" i="84"/>
  <c r="G92" i="84"/>
  <c r="H92" i="84"/>
  <c r="I92" i="84"/>
  <c r="F93" i="84"/>
  <c r="G93" i="84"/>
  <c r="H93" i="84"/>
  <c r="I93" i="84"/>
  <c r="F94" i="84"/>
  <c r="G94" i="84"/>
  <c r="H94" i="84"/>
  <c r="I94" i="84"/>
  <c r="F95" i="84"/>
  <c r="G95" i="84"/>
  <c r="H95" i="84"/>
  <c r="I95" i="84"/>
  <c r="F96" i="84"/>
  <c r="G96" i="84"/>
  <c r="H96" i="84"/>
  <c r="I96" i="84"/>
  <c r="F97" i="84"/>
  <c r="G97" i="84"/>
  <c r="H97" i="84"/>
  <c r="I97" i="84"/>
  <c r="F98" i="84"/>
  <c r="G98" i="84"/>
  <c r="H98" i="84"/>
  <c r="I98" i="84"/>
  <c r="F99" i="84"/>
  <c r="G99" i="84"/>
  <c r="H99" i="84"/>
  <c r="I99" i="84"/>
  <c r="F100" i="84"/>
  <c r="G100" i="84"/>
  <c r="H100" i="84"/>
  <c r="I100" i="84"/>
  <c r="F101" i="84"/>
  <c r="G101" i="84"/>
  <c r="H101" i="84"/>
  <c r="I101" i="84"/>
  <c r="F102" i="84"/>
  <c r="G102" i="84"/>
  <c r="H102" i="84"/>
  <c r="I102" i="84"/>
  <c r="F103" i="84"/>
  <c r="G103" i="84"/>
  <c r="H103" i="84"/>
  <c r="I103" i="84"/>
  <c r="F104" i="84"/>
  <c r="G104" i="84"/>
  <c r="H104" i="84"/>
  <c r="I104" i="84"/>
  <c r="F105" i="84"/>
  <c r="G105" i="84"/>
  <c r="H105" i="84"/>
  <c r="I105" i="84"/>
  <c r="F106" i="84"/>
  <c r="G106" i="84"/>
  <c r="H106" i="84"/>
  <c r="I106" i="84"/>
  <c r="F107" i="84"/>
  <c r="G107" i="84"/>
  <c r="H107" i="84"/>
  <c r="I107" i="84"/>
  <c r="F108" i="84"/>
  <c r="G108" i="84"/>
  <c r="H108" i="84"/>
  <c r="I108" i="84"/>
  <c r="I4" i="84"/>
  <c r="H4" i="84"/>
  <c r="G4" i="84"/>
  <c r="F4" i="84"/>
  <c r="M25" i="84"/>
  <c r="M22" i="84"/>
  <c r="M21" i="84"/>
  <c r="N25" i="84"/>
  <c r="M33" i="84"/>
  <c r="G65" i="79"/>
  <c r="B59" i="11"/>
  <c r="M117" i="84" l="1"/>
  <c r="M124" i="84" s="1"/>
  <c r="M69" i="84"/>
  <c r="M75" i="84"/>
  <c r="D11" i="60"/>
  <c r="C120" i="28"/>
  <c r="G9" i="60"/>
  <c r="T45" i="85"/>
  <c r="U45" i="85"/>
  <c r="T46" i="85"/>
  <c r="U46" i="85"/>
  <c r="T47" i="85"/>
  <c r="U47" i="85"/>
  <c r="T48" i="85"/>
  <c r="U48" i="85"/>
  <c r="T49" i="85"/>
  <c r="U49" i="85"/>
  <c r="S46" i="85"/>
  <c r="S47" i="85"/>
  <c r="S48" i="85"/>
  <c r="S49" i="85"/>
  <c r="L45" i="85"/>
  <c r="M45" i="85"/>
  <c r="L46" i="85"/>
  <c r="M46" i="85"/>
  <c r="L47" i="85"/>
  <c r="M47" i="85"/>
  <c r="L48" i="85"/>
  <c r="M48" i="85"/>
  <c r="L49" i="85"/>
  <c r="M49" i="85"/>
  <c r="K46" i="85"/>
  <c r="K47" i="85"/>
  <c r="K48" i="85"/>
  <c r="K49" i="85"/>
  <c r="E45" i="85"/>
  <c r="D45" i="85"/>
  <c r="D46" i="85"/>
  <c r="E46" i="85"/>
  <c r="D47" i="85"/>
  <c r="E47" i="85"/>
  <c r="D48" i="85"/>
  <c r="E48" i="85"/>
  <c r="D49" i="85"/>
  <c r="E49" i="85"/>
  <c r="C46" i="85"/>
  <c r="C47" i="85"/>
  <c r="C48" i="85"/>
  <c r="C49" i="85"/>
  <c r="C45" i="85"/>
  <c r="C37" i="85"/>
  <c r="AD25" i="15" l="1"/>
  <c r="AF25" i="15"/>
  <c r="AG25" i="15"/>
  <c r="AD26" i="15"/>
  <c r="AF26" i="15"/>
  <c r="AG26" i="15"/>
  <c r="AD27" i="15"/>
  <c r="AF27" i="15"/>
  <c r="AG27" i="15"/>
  <c r="AC26" i="15"/>
  <c r="AC27" i="15"/>
  <c r="AC25" i="15"/>
  <c r="AG51" i="15"/>
  <c r="AF51" i="15"/>
  <c r="AD51" i="15"/>
  <c r="AG50" i="15"/>
  <c r="AF50" i="15"/>
  <c r="AD50" i="15"/>
  <c r="AG49" i="15"/>
  <c r="AF49" i="15"/>
  <c r="AD49" i="15"/>
  <c r="AC50" i="15"/>
  <c r="AC51" i="15"/>
  <c r="AC49" i="15"/>
  <c r="H58" i="15"/>
  <c r="Y49" i="15"/>
  <c r="AA49" i="15"/>
  <c r="AB49" i="15"/>
  <c r="Y50" i="15"/>
  <c r="AA50" i="15"/>
  <c r="AB50" i="15"/>
  <c r="Y51" i="15"/>
  <c r="AA51" i="15"/>
  <c r="AB51" i="15"/>
  <c r="X50" i="15"/>
  <c r="X51" i="15"/>
  <c r="X49" i="15"/>
  <c r="Y25" i="15"/>
  <c r="AA25" i="15"/>
  <c r="AB25" i="15"/>
  <c r="Y26" i="15"/>
  <c r="AA26" i="15"/>
  <c r="AB26" i="15"/>
  <c r="Y27" i="15"/>
  <c r="AA27" i="15"/>
  <c r="AB27" i="15"/>
  <c r="X26" i="15"/>
  <c r="X27" i="15"/>
  <c r="X25" i="15"/>
  <c r="S25" i="15"/>
  <c r="R6" i="72"/>
  <c r="F59" i="63" l="1"/>
  <c r="F60" i="63"/>
  <c r="G59" i="63"/>
  <c r="H61" i="63"/>
  <c r="I60" i="63"/>
  <c r="F49" i="28" l="1"/>
  <c r="F37" i="28" s="1"/>
  <c r="D37" i="85"/>
  <c r="E37" i="85"/>
  <c r="S38" i="85"/>
  <c r="S37" i="85"/>
  <c r="U41" i="85"/>
  <c r="T41" i="85"/>
  <c r="S41" i="85"/>
  <c r="V41" i="85" s="1"/>
  <c r="U40" i="85"/>
  <c r="T40" i="85"/>
  <c r="S40" i="85"/>
  <c r="U39" i="85"/>
  <c r="T39" i="85"/>
  <c r="S39" i="85"/>
  <c r="U38" i="85"/>
  <c r="T38" i="85"/>
  <c r="U37" i="85"/>
  <c r="U42" i="85" s="1"/>
  <c r="T37" i="85"/>
  <c r="K40" i="85"/>
  <c r="K39" i="85"/>
  <c r="K38" i="85"/>
  <c r="K37" i="85"/>
  <c r="M41" i="85"/>
  <c r="L41" i="85"/>
  <c r="K41" i="85"/>
  <c r="M40" i="85"/>
  <c r="L40" i="85"/>
  <c r="M39" i="85"/>
  <c r="L39" i="85"/>
  <c r="M38" i="85"/>
  <c r="L38" i="85"/>
  <c r="M37" i="85"/>
  <c r="L37" i="85"/>
  <c r="E41" i="85"/>
  <c r="E40" i="85"/>
  <c r="E39" i="85"/>
  <c r="E38" i="85"/>
  <c r="D40" i="85"/>
  <c r="D39" i="85"/>
  <c r="D38" i="85"/>
  <c r="C41" i="85"/>
  <c r="C39" i="85"/>
  <c r="C38" i="85"/>
  <c r="D41" i="85"/>
  <c r="C40" i="85"/>
  <c r="W34" i="85"/>
  <c r="G34" i="85"/>
  <c r="F34" i="85"/>
  <c r="E34" i="85"/>
  <c r="D34" i="85"/>
  <c r="C34" i="85"/>
  <c r="V34" i="85"/>
  <c r="U34" i="85"/>
  <c r="T34" i="85"/>
  <c r="S34" i="85"/>
  <c r="O34" i="85"/>
  <c r="N34" i="85"/>
  <c r="M34" i="85"/>
  <c r="L34" i="85"/>
  <c r="K34" i="85"/>
  <c r="X33" i="85"/>
  <c r="P33" i="85"/>
  <c r="H33" i="85"/>
  <c r="X32" i="85"/>
  <c r="P32" i="85"/>
  <c r="H32" i="85"/>
  <c r="X31" i="85"/>
  <c r="P31" i="85"/>
  <c r="H31" i="85"/>
  <c r="X30" i="85"/>
  <c r="P30" i="85"/>
  <c r="H30" i="85"/>
  <c r="X29" i="85"/>
  <c r="P29" i="85"/>
  <c r="H29" i="85"/>
  <c r="X28" i="85"/>
  <c r="P28" i="85"/>
  <c r="H28" i="85"/>
  <c r="X27" i="85"/>
  <c r="P27" i="85"/>
  <c r="H27" i="85"/>
  <c r="X26" i="85"/>
  <c r="P26" i="85"/>
  <c r="H26" i="85"/>
  <c r="X25" i="85"/>
  <c r="P25" i="85"/>
  <c r="H25" i="85"/>
  <c r="X24" i="85"/>
  <c r="P24" i="85"/>
  <c r="H24" i="85"/>
  <c r="X23" i="85"/>
  <c r="P23" i="85"/>
  <c r="H23" i="85"/>
  <c r="X22" i="85"/>
  <c r="P22" i="85"/>
  <c r="H22" i="85"/>
  <c r="X21" i="85"/>
  <c r="P21" i="85"/>
  <c r="H21" i="85"/>
  <c r="X20" i="85"/>
  <c r="P20" i="85"/>
  <c r="H20" i="85"/>
  <c r="X19" i="85"/>
  <c r="P19" i="85"/>
  <c r="H19" i="85"/>
  <c r="X18" i="85"/>
  <c r="P18" i="85"/>
  <c r="H18" i="85"/>
  <c r="X17" i="85"/>
  <c r="P17" i="85"/>
  <c r="H17" i="85"/>
  <c r="X16" i="85"/>
  <c r="P16" i="85"/>
  <c r="H16" i="85"/>
  <c r="X15" i="85"/>
  <c r="P15" i="85"/>
  <c r="H15" i="85"/>
  <c r="X14" i="85"/>
  <c r="P14" i="85"/>
  <c r="H14" i="85"/>
  <c r="X13" i="85"/>
  <c r="P13" i="85"/>
  <c r="H13" i="85"/>
  <c r="X12" i="85"/>
  <c r="P12" i="85"/>
  <c r="H12" i="85"/>
  <c r="X11" i="85"/>
  <c r="P11" i="85"/>
  <c r="H11" i="85"/>
  <c r="X10" i="85"/>
  <c r="P10" i="85"/>
  <c r="H10" i="85"/>
  <c r="X9" i="85"/>
  <c r="P9" i="85"/>
  <c r="H9" i="85"/>
  <c r="X8" i="85"/>
  <c r="P8" i="85"/>
  <c r="H8" i="85"/>
  <c r="X7" i="85"/>
  <c r="P7" i="85"/>
  <c r="H7" i="85"/>
  <c r="X6" i="85"/>
  <c r="P6" i="85"/>
  <c r="H6" i="85"/>
  <c r="X5" i="85"/>
  <c r="P5" i="85"/>
  <c r="H5" i="85"/>
  <c r="X4" i="85"/>
  <c r="P4" i="85"/>
  <c r="H4" i="85"/>
  <c r="E37" i="28" l="1"/>
  <c r="G37" i="28"/>
  <c r="M42" i="85"/>
  <c r="D42" i="85"/>
  <c r="C42" i="85"/>
  <c r="E42" i="85"/>
  <c r="F42" i="85" s="1"/>
  <c r="F37" i="85"/>
  <c r="S42" i="85"/>
  <c r="V40" i="85"/>
  <c r="L42" i="85"/>
  <c r="N41" i="85"/>
  <c r="T42" i="85"/>
  <c r="N38" i="85"/>
  <c r="V39" i="85"/>
  <c r="N39" i="85"/>
  <c r="N40" i="85"/>
  <c r="V38" i="85"/>
  <c r="V37" i="85"/>
  <c r="K42" i="85"/>
  <c r="N37" i="85"/>
  <c r="F41" i="85"/>
  <c r="F40" i="85"/>
  <c r="F39" i="85"/>
  <c r="F38" i="85"/>
  <c r="H34" i="85"/>
  <c r="P34" i="85"/>
  <c r="X34" i="85"/>
  <c r="N42" i="85" l="1"/>
  <c r="V42" i="85"/>
  <c r="C65" i="79" l="1"/>
  <c r="C23" i="28" l="1"/>
  <c r="C35" i="63"/>
  <c r="R131" i="72" l="1"/>
  <c r="R130" i="72"/>
  <c r="R129" i="72"/>
  <c r="R128" i="72"/>
  <c r="R127" i="72"/>
  <c r="N24" i="29"/>
  <c r="M23" i="29"/>
  <c r="M62" i="60"/>
  <c r="H62" i="60"/>
  <c r="G62" i="60"/>
  <c r="F62" i="60"/>
  <c r="E62" i="60"/>
  <c r="D62" i="60"/>
  <c r="O31" i="29"/>
  <c r="O30" i="29"/>
  <c r="P29" i="29"/>
  <c r="P26" i="29"/>
  <c r="P24" i="29"/>
  <c r="O24" i="29"/>
  <c r="O23" i="29"/>
  <c r="M24" i="29"/>
  <c r="N31" i="29"/>
  <c r="N32" i="29"/>
  <c r="N33" i="29"/>
  <c r="N34" i="29"/>
  <c r="N47" i="29"/>
  <c r="N48" i="29"/>
  <c r="N49" i="29"/>
  <c r="N54" i="29"/>
  <c r="N55" i="29"/>
  <c r="N56" i="29"/>
  <c r="N59" i="29"/>
  <c r="N60" i="29"/>
  <c r="N61" i="29"/>
  <c r="N64" i="29"/>
  <c r="N65" i="29"/>
  <c r="N66" i="29"/>
  <c r="N79" i="29"/>
  <c r="N80" i="29"/>
  <c r="N92" i="29"/>
  <c r="N93" i="29"/>
  <c r="N94" i="29"/>
  <c r="N101" i="29"/>
  <c r="N102" i="29"/>
  <c r="N103" i="29"/>
  <c r="N106" i="29"/>
  <c r="N107" i="29"/>
  <c r="N108" i="29"/>
  <c r="N111" i="29"/>
  <c r="N125" i="29"/>
  <c r="N124" i="29"/>
  <c r="N123" i="29"/>
  <c r="N118" i="29"/>
  <c r="N114" i="29"/>
  <c r="N110" i="29"/>
  <c r="N105" i="29"/>
  <c r="N100" i="29"/>
  <c r="N98" i="29"/>
  <c r="N91" i="29"/>
  <c r="N88" i="29"/>
  <c r="N86" i="29"/>
  <c r="N84" i="29"/>
  <c r="N78" i="29"/>
  <c r="N73" i="29"/>
  <c r="N69" i="29"/>
  <c r="N63" i="29"/>
  <c r="N58" i="29"/>
  <c r="N53" i="29"/>
  <c r="N46" i="29"/>
  <c r="N41" i="29"/>
  <c r="N37" i="29"/>
  <c r="N30" i="29"/>
  <c r="N26" i="29"/>
  <c r="N22" i="84"/>
  <c r="N21" i="84"/>
  <c r="W137" i="84"/>
  <c r="U26" i="29" l="1"/>
  <c r="E83" i="29"/>
  <c r="O47" i="29"/>
  <c r="O48" i="29"/>
  <c r="O49" i="29"/>
  <c r="O54" i="29"/>
  <c r="O55" i="29"/>
  <c r="O56" i="29"/>
  <c r="O59" i="29"/>
  <c r="O60" i="29"/>
  <c r="O61" i="29"/>
  <c r="O64" i="29"/>
  <c r="O65" i="29"/>
  <c r="O66" i="29"/>
  <c r="O79" i="29"/>
  <c r="O80" i="29"/>
  <c r="O92" i="29"/>
  <c r="O93" i="29"/>
  <c r="O94" i="29"/>
  <c r="O111" i="29"/>
  <c r="O106" i="29"/>
  <c r="O107" i="29"/>
  <c r="O108" i="29"/>
  <c r="O101" i="29"/>
  <c r="O102" i="29"/>
  <c r="O103" i="29"/>
  <c r="O124" i="29"/>
  <c r="O125" i="29"/>
  <c r="O123" i="29"/>
  <c r="O118" i="29"/>
  <c r="O114" i="29"/>
  <c r="O110" i="29"/>
  <c r="O105" i="29"/>
  <c r="O100" i="29"/>
  <c r="O98" i="29"/>
  <c r="O91" i="29"/>
  <c r="O88" i="29"/>
  <c r="O86" i="29"/>
  <c r="O84" i="29"/>
  <c r="O78" i="29"/>
  <c r="O73" i="29"/>
  <c r="O69" i="29"/>
  <c r="O63" i="29"/>
  <c r="O58" i="29"/>
  <c r="O53" i="29"/>
  <c r="O46" i="29"/>
  <c r="O41" i="29"/>
  <c r="O37" i="29"/>
  <c r="O32" i="29"/>
  <c r="O33" i="29"/>
  <c r="O34" i="29"/>
  <c r="O26" i="29"/>
  <c r="G23" i="29"/>
  <c r="E29" i="29"/>
  <c r="E23" i="29"/>
  <c r="V137" i="84"/>
  <c r="U137" i="84"/>
  <c r="T137" i="84"/>
  <c r="S137" i="84"/>
  <c r="R137" i="84"/>
  <c r="Q137" i="84"/>
  <c r="P137" i="84"/>
  <c r="W66" i="84"/>
  <c r="W65" i="84"/>
  <c r="W64" i="84"/>
  <c r="W63" i="84"/>
  <c r="Q57" i="84"/>
  <c r="P57" i="84"/>
  <c r="O57" i="84"/>
  <c r="N57" i="84"/>
  <c r="M57" i="84"/>
  <c r="Q51" i="84"/>
  <c r="Q44" i="84"/>
  <c r="P44" i="84"/>
  <c r="P63" i="84" s="1"/>
  <c r="O44" i="84"/>
  <c r="O63" i="84" s="1"/>
  <c r="N44" i="84"/>
  <c r="N63" i="84" s="1"/>
  <c r="M44" i="84"/>
  <c r="M63" i="84" s="1"/>
  <c r="R38" i="84"/>
  <c r="R57" i="84" s="1"/>
  <c r="R32" i="84"/>
  <c r="R51" i="84" s="1"/>
  <c r="Q22" i="84"/>
  <c r="P22" i="84"/>
  <c r="O22" i="84"/>
  <c r="Q21" i="84"/>
  <c r="P21" i="84"/>
  <c r="O21" i="84"/>
  <c r="E19" i="40"/>
  <c r="D19" i="40" s="1"/>
  <c r="E16" i="40"/>
  <c r="E15" i="40"/>
  <c r="D15" i="40" s="1"/>
  <c r="E14" i="40"/>
  <c r="D14" i="40" s="1"/>
  <c r="E13" i="40"/>
  <c r="D13" i="40" s="1"/>
  <c r="E12" i="40"/>
  <c r="D12" i="40" s="1"/>
  <c r="J12" i="44" s="1"/>
  <c r="E11" i="40"/>
  <c r="D11" i="40" s="1"/>
  <c r="J11" i="44" s="1"/>
  <c r="E10" i="40"/>
  <c r="D10" i="40" s="1"/>
  <c r="E9" i="40"/>
  <c r="D9" i="40" s="1"/>
  <c r="J10" i="44" s="1"/>
  <c r="D16" i="40"/>
  <c r="E8" i="40"/>
  <c r="D8" i="40" s="1"/>
  <c r="C20" i="40"/>
  <c r="C18" i="40"/>
  <c r="E18" i="40" s="1"/>
  <c r="C17" i="40"/>
  <c r="E17" i="40" s="1"/>
  <c r="N260" i="40"/>
  <c r="N258" i="40"/>
  <c r="N257" i="40"/>
  <c r="N255" i="40"/>
  <c r="N254" i="40"/>
  <c r="N253" i="40"/>
  <c r="N252" i="40"/>
  <c r="N251" i="40"/>
  <c r="N250" i="40"/>
  <c r="N249" i="40"/>
  <c r="N248" i="40"/>
  <c r="N247" i="40"/>
  <c r="N246" i="40"/>
  <c r="N245" i="40"/>
  <c r="N244" i="40"/>
  <c r="N243" i="40"/>
  <c r="N242" i="40"/>
  <c r="N241" i="40"/>
  <c r="N240" i="40"/>
  <c r="N239" i="40"/>
  <c r="N238" i="40"/>
  <c r="N237" i="40"/>
  <c r="N236" i="40"/>
  <c r="N235" i="40"/>
  <c r="N234" i="40"/>
  <c r="N233" i="40"/>
  <c r="N232" i="40"/>
  <c r="N231" i="40"/>
  <c r="N230" i="40"/>
  <c r="N229" i="40"/>
  <c r="N228" i="40"/>
  <c r="N227" i="40"/>
  <c r="N226" i="40"/>
  <c r="N225" i="40"/>
  <c r="N224" i="40"/>
  <c r="N223" i="40"/>
  <c r="N222" i="40"/>
  <c r="N221" i="40"/>
  <c r="N220" i="40"/>
  <c r="N219" i="40"/>
  <c r="N218" i="40"/>
  <c r="N217" i="40"/>
  <c r="N216" i="40"/>
  <c r="N215" i="40"/>
  <c r="N214" i="40"/>
  <c r="N213" i="40"/>
  <c r="N212" i="40"/>
  <c r="N211" i="40"/>
  <c r="N210" i="40"/>
  <c r="N209" i="40"/>
  <c r="N208" i="40"/>
  <c r="N207" i="40"/>
  <c r="N206" i="40"/>
  <c r="N205" i="40"/>
  <c r="N204" i="40"/>
  <c r="X63" i="84" l="1"/>
  <c r="AR8" i="56"/>
  <c r="N39" i="84"/>
  <c r="N58" i="84" s="1"/>
  <c r="AS9" i="56" s="1"/>
  <c r="O25" i="84"/>
  <c r="O39" i="84" s="1"/>
  <c r="O58" i="84" s="1"/>
  <c r="AS10" i="56" s="1"/>
  <c r="P25" i="84"/>
  <c r="Q33" i="84" s="1"/>
  <c r="Q52" i="84" s="1"/>
  <c r="AR12" i="56" s="1"/>
  <c r="Q25" i="84"/>
  <c r="P39" i="84" s="1"/>
  <c r="P58" i="84" s="1"/>
  <c r="AS11" i="56" s="1"/>
  <c r="M45" i="84"/>
  <c r="M64" i="84" s="1"/>
  <c r="AT8" i="56" s="1"/>
  <c r="J8" i="44"/>
  <c r="N26" i="84"/>
  <c r="M34" i="84" s="1"/>
  <c r="M39" i="84"/>
  <c r="Q63" i="84"/>
  <c r="R44" i="84"/>
  <c r="R63" i="84" s="1"/>
  <c r="D17" i="40"/>
  <c r="E20" i="40"/>
  <c r="D20" i="40" s="1"/>
  <c r="D18" i="40"/>
  <c r="J7" i="44" s="1"/>
  <c r="N33" i="84" l="1"/>
  <c r="N52" i="84" s="1"/>
  <c r="AR9" i="56" s="1"/>
  <c r="N45" i="84"/>
  <c r="N64" i="84" s="1"/>
  <c r="AT9" i="56" s="1"/>
  <c r="Q39" i="84"/>
  <c r="Q58" i="84" s="1"/>
  <c r="AS12" i="56" s="1"/>
  <c r="W124" i="84"/>
  <c r="BH10" i="56" s="1"/>
  <c r="W110" i="84"/>
  <c r="BF10" i="56" s="1"/>
  <c r="P26" i="84"/>
  <c r="Q46" i="84" s="1"/>
  <c r="Q65" i="84" s="1"/>
  <c r="W103" i="84"/>
  <c r="BE10" i="56" s="1"/>
  <c r="X89" i="84"/>
  <c r="BC11" i="56" s="1"/>
  <c r="O33" i="84"/>
  <c r="O52" i="84" s="1"/>
  <c r="AR10" i="56" s="1"/>
  <c r="W117" i="84"/>
  <c r="BG10" i="56" s="1"/>
  <c r="O45" i="84"/>
  <c r="O64" i="84" s="1"/>
  <c r="AT10" i="56" s="1"/>
  <c r="Q45" i="84"/>
  <c r="Q64" i="84" s="1"/>
  <c r="AT12" i="56" s="1"/>
  <c r="W89" i="84"/>
  <c r="BC10" i="56" s="1"/>
  <c r="X66" i="84"/>
  <c r="W82" i="84"/>
  <c r="BB10" i="56" s="1"/>
  <c r="O26" i="84"/>
  <c r="O40" i="84" s="1"/>
  <c r="O59" i="84" s="1"/>
  <c r="W131" i="84"/>
  <c r="BI10" i="56" s="1"/>
  <c r="X64" i="84"/>
  <c r="W96" i="84"/>
  <c r="BD10" i="56" s="1"/>
  <c r="X96" i="84"/>
  <c r="BD11" i="56" s="1"/>
  <c r="M26" i="84"/>
  <c r="Y63" i="84" s="1"/>
  <c r="X124" i="84"/>
  <c r="BH11" i="56" s="1"/>
  <c r="P45" i="84"/>
  <c r="P64" i="84" s="1"/>
  <c r="AT11" i="56" s="1"/>
  <c r="X65" i="84"/>
  <c r="X82" i="84"/>
  <c r="BB11" i="56" s="1"/>
  <c r="Q26" i="84"/>
  <c r="P46" i="84" s="1"/>
  <c r="P65" i="84" s="1"/>
  <c r="X103" i="84"/>
  <c r="BE11" i="56" s="1"/>
  <c r="X110" i="84"/>
  <c r="BF11" i="56" s="1"/>
  <c r="P33" i="84"/>
  <c r="P52" i="84" s="1"/>
  <c r="AR11" i="56" s="1"/>
  <c r="X117" i="84"/>
  <c r="BG11" i="56" s="1"/>
  <c r="X131" i="84"/>
  <c r="BI11" i="56" s="1"/>
  <c r="M58" i="84"/>
  <c r="AS8" i="56" s="1"/>
  <c r="M40" i="84"/>
  <c r="AU8" i="56"/>
  <c r="V131" i="84"/>
  <c r="BI9" i="56" s="1"/>
  <c r="V117" i="84"/>
  <c r="BG9" i="56" s="1"/>
  <c r="V103" i="84"/>
  <c r="BE9" i="56" s="1"/>
  <c r="V82" i="84"/>
  <c r="BB9" i="56" s="1"/>
  <c r="V124" i="84"/>
  <c r="BH9" i="56" s="1"/>
  <c r="V110" i="84"/>
  <c r="BF9" i="56" s="1"/>
  <c r="V96" i="84"/>
  <c r="BD9" i="56" s="1"/>
  <c r="V89" i="84"/>
  <c r="BC9" i="56" s="1"/>
  <c r="M46" i="84"/>
  <c r="Y62" i="84"/>
  <c r="D27" i="28"/>
  <c r="D24" i="28"/>
  <c r="Y110" i="84" l="1"/>
  <c r="BF12" i="56" s="1"/>
  <c r="Y82" i="84"/>
  <c r="BB12" i="56" s="1"/>
  <c r="Y66" i="84"/>
  <c r="Q90" i="84" s="1"/>
  <c r="Q97" i="84" s="1"/>
  <c r="Q104" i="84" s="1"/>
  <c r="Q111" i="84" s="1"/>
  <c r="Y103" i="84"/>
  <c r="BE12" i="56" s="1"/>
  <c r="Y124" i="84"/>
  <c r="BH12" i="56" s="1"/>
  <c r="R39" i="84"/>
  <c r="R58" i="84" s="1"/>
  <c r="N34" i="84"/>
  <c r="N53" i="84" s="1"/>
  <c r="N69" i="84" s="1"/>
  <c r="Q40" i="84"/>
  <c r="Q59" i="84" s="1"/>
  <c r="Y125" i="84" s="1"/>
  <c r="Y117" i="84"/>
  <c r="BG12" i="56" s="1"/>
  <c r="N89" i="84"/>
  <c r="AU9" i="56" s="1"/>
  <c r="Q34" i="84"/>
  <c r="Q53" i="84" s="1"/>
  <c r="Q69" i="84" s="1"/>
  <c r="Y131" i="84"/>
  <c r="BI12" i="56" s="1"/>
  <c r="Y89" i="84"/>
  <c r="BC12" i="56" s="1"/>
  <c r="Y96" i="84"/>
  <c r="BD12" i="56" s="1"/>
  <c r="N40" i="84"/>
  <c r="N59" i="84" s="1"/>
  <c r="N75" i="84" s="1"/>
  <c r="R33" i="84"/>
  <c r="R52" i="84" s="1"/>
  <c r="S52" i="84" s="1"/>
  <c r="N46" i="84"/>
  <c r="N65" i="84" s="1"/>
  <c r="N90" i="84" s="1"/>
  <c r="N97" i="84" s="1"/>
  <c r="N104" i="84" s="1"/>
  <c r="N111" i="84" s="1"/>
  <c r="AR13" i="56"/>
  <c r="O89" i="84"/>
  <c r="AU10" i="56" s="1"/>
  <c r="O46" i="84"/>
  <c r="O65" i="84" s="1"/>
  <c r="O81" i="84" s="1"/>
  <c r="AT13" i="56"/>
  <c r="Q81" i="84"/>
  <c r="R45" i="84"/>
  <c r="R64" i="84" s="1"/>
  <c r="Q89" i="84"/>
  <c r="AU12" i="56" s="1"/>
  <c r="Y64" i="84"/>
  <c r="O34" i="84"/>
  <c r="O53" i="84" s="1"/>
  <c r="O69" i="84" s="1"/>
  <c r="P81" i="84"/>
  <c r="P89" i="84"/>
  <c r="AU11" i="56" s="1"/>
  <c r="P40" i="84"/>
  <c r="P59" i="84" s="1"/>
  <c r="X83" i="84" s="1"/>
  <c r="X81" i="84" s="1"/>
  <c r="Y65" i="84"/>
  <c r="P90" i="84" s="1"/>
  <c r="P97" i="84" s="1"/>
  <c r="P104" i="84" s="1"/>
  <c r="P111" i="84" s="1"/>
  <c r="P34" i="84"/>
  <c r="P53" i="84" s="1"/>
  <c r="P69" i="84" s="1"/>
  <c r="AV8" i="56"/>
  <c r="U131" i="84"/>
  <c r="BI8" i="56" s="1"/>
  <c r="U117" i="84"/>
  <c r="BG8" i="56" s="1"/>
  <c r="U103" i="84"/>
  <c r="BE8" i="56" s="1"/>
  <c r="U82" i="84"/>
  <c r="BB8" i="56" s="1"/>
  <c r="U124" i="84"/>
  <c r="BH8" i="56" s="1"/>
  <c r="U110" i="84"/>
  <c r="BF8" i="56" s="1"/>
  <c r="U96" i="84"/>
  <c r="BD8" i="56" s="1"/>
  <c r="U89" i="84"/>
  <c r="BC8" i="56" s="1"/>
  <c r="W132" i="84"/>
  <c r="W130" i="84" s="1"/>
  <c r="W118" i="84"/>
  <c r="W116" i="84" s="1"/>
  <c r="W104" i="84"/>
  <c r="W102" i="84" s="1"/>
  <c r="W90" i="84"/>
  <c r="W88" i="84" s="1"/>
  <c r="W83" i="84"/>
  <c r="W81" i="84" s="1"/>
  <c r="W125" i="84"/>
  <c r="W123" i="84" s="1"/>
  <c r="W111" i="84"/>
  <c r="W109" i="84" s="1"/>
  <c r="W97" i="84"/>
  <c r="W95" i="84" s="1"/>
  <c r="O75" i="84"/>
  <c r="M65" i="84"/>
  <c r="M59" i="84"/>
  <c r="Y123" i="84" l="1"/>
  <c r="BF13" i="56"/>
  <c r="BH13" i="56"/>
  <c r="BE13" i="56"/>
  <c r="N96" i="84"/>
  <c r="AV9" i="56" s="1"/>
  <c r="BB13" i="56"/>
  <c r="N88" i="84"/>
  <c r="Q118" i="84"/>
  <c r="Q125" i="84" s="1"/>
  <c r="Q132" i="84" s="1"/>
  <c r="V97" i="84"/>
  <c r="V95" i="84" s="1"/>
  <c r="N118" i="84"/>
  <c r="N125" i="84" s="1"/>
  <c r="N132" i="84" s="1"/>
  <c r="Y90" i="84"/>
  <c r="Y88" i="84" s="1"/>
  <c r="Y83" i="84"/>
  <c r="Y81" i="84" s="1"/>
  <c r="Y132" i="84"/>
  <c r="Y130" i="84" s="1"/>
  <c r="V83" i="84"/>
  <c r="V81" i="84" s="1"/>
  <c r="BD13" i="56"/>
  <c r="V132" i="84"/>
  <c r="V130" i="84" s="1"/>
  <c r="N81" i="84"/>
  <c r="Q75" i="84"/>
  <c r="Y104" i="84"/>
  <c r="Y102" i="84" s="1"/>
  <c r="V125" i="84"/>
  <c r="V123" i="84" s="1"/>
  <c r="Y118" i="84"/>
  <c r="Y116" i="84" s="1"/>
  <c r="BG13" i="56"/>
  <c r="Y97" i="84"/>
  <c r="Y95" i="84" s="1"/>
  <c r="BC13" i="56"/>
  <c r="BI13" i="56"/>
  <c r="Y111" i="84"/>
  <c r="Y109" i="84" s="1"/>
  <c r="O90" i="84"/>
  <c r="O97" i="84" s="1"/>
  <c r="O104" i="84" s="1"/>
  <c r="O111" i="84" s="1"/>
  <c r="O118" i="84" s="1"/>
  <c r="O125" i="84" s="1"/>
  <c r="O132" i="84" s="1"/>
  <c r="R46" i="84"/>
  <c r="R65" i="84" s="1"/>
  <c r="V90" i="84"/>
  <c r="V88" i="84" s="1"/>
  <c r="X97" i="84"/>
  <c r="X95" i="84" s="1"/>
  <c r="R40" i="84"/>
  <c r="R59" i="84" s="1"/>
  <c r="V104" i="84"/>
  <c r="V102" i="84" s="1"/>
  <c r="V118" i="84"/>
  <c r="V116" i="84" s="1"/>
  <c r="AU13" i="56"/>
  <c r="V111" i="84"/>
  <c r="V109" i="84" s="1"/>
  <c r="X90" i="84"/>
  <c r="X88" i="84" s="1"/>
  <c r="P96" i="84"/>
  <c r="AV11" i="56" s="1"/>
  <c r="Q96" i="84"/>
  <c r="AV12" i="56" s="1"/>
  <c r="R89" i="84"/>
  <c r="Q88" i="84"/>
  <c r="O96" i="84"/>
  <c r="AV10" i="56" s="1"/>
  <c r="X104" i="84"/>
  <c r="X102" i="84" s="1"/>
  <c r="P118" i="84"/>
  <c r="P125" i="84" s="1"/>
  <c r="P132" i="84" s="1"/>
  <c r="X118" i="84"/>
  <c r="X116" i="84" s="1"/>
  <c r="P75" i="84"/>
  <c r="X132" i="84"/>
  <c r="X130" i="84" s="1"/>
  <c r="X111" i="84"/>
  <c r="X109" i="84" s="1"/>
  <c r="X125" i="84"/>
  <c r="X123" i="84" s="1"/>
  <c r="R34" i="84"/>
  <c r="R53" i="84" s="1"/>
  <c r="S53" i="84" s="1"/>
  <c r="P88" i="84"/>
  <c r="Z117" i="84"/>
  <c r="Z89" i="84"/>
  <c r="Z131" i="84"/>
  <c r="R81" i="84"/>
  <c r="M90" i="84"/>
  <c r="M81" i="84"/>
  <c r="AW8" i="56"/>
  <c r="Z96" i="84"/>
  <c r="Z110" i="84"/>
  <c r="Z124" i="84"/>
  <c r="U90" i="84"/>
  <c r="U83" i="84"/>
  <c r="U81" i="84" s="1"/>
  <c r="U125" i="84"/>
  <c r="U111" i="84"/>
  <c r="U97" i="84"/>
  <c r="R75" i="84"/>
  <c r="U132" i="84"/>
  <c r="U118" i="84"/>
  <c r="U104" i="84"/>
  <c r="Z82" i="84"/>
  <c r="Z103" i="84"/>
  <c r="N95" i="84" l="1"/>
  <c r="N103" i="84"/>
  <c r="AW9" i="56" s="1"/>
  <c r="P103" i="84"/>
  <c r="AW11" i="56" s="1"/>
  <c r="O88" i="84"/>
  <c r="Z132" i="84"/>
  <c r="Z130" i="84" s="1"/>
  <c r="P95" i="84"/>
  <c r="Z83" i="84"/>
  <c r="Z81" i="84" s="1"/>
  <c r="Z90" i="84"/>
  <c r="Z88" i="84" s="1"/>
  <c r="Z97" i="84"/>
  <c r="Z95" i="84" s="1"/>
  <c r="Z104" i="84"/>
  <c r="Z102" i="84" s="1"/>
  <c r="Q103" i="84"/>
  <c r="AW12" i="56" s="1"/>
  <c r="AV13" i="56"/>
  <c r="Q95" i="84"/>
  <c r="Z111" i="84"/>
  <c r="Z109" i="84" s="1"/>
  <c r="R96" i="84"/>
  <c r="O103" i="84"/>
  <c r="AW10" i="56" s="1"/>
  <c r="Z118" i="84"/>
  <c r="Z116" i="84" s="1"/>
  <c r="O95" i="84"/>
  <c r="Z125" i="84"/>
  <c r="Z123" i="84" s="1"/>
  <c r="U102" i="84"/>
  <c r="U130" i="84"/>
  <c r="U88" i="84"/>
  <c r="AX8" i="56"/>
  <c r="R69" i="84"/>
  <c r="U109" i="84"/>
  <c r="U116" i="84"/>
  <c r="U95" i="84"/>
  <c r="R90" i="84"/>
  <c r="R88" i="84" s="1"/>
  <c r="M97" i="84"/>
  <c r="M88" i="84"/>
  <c r="U123" i="84"/>
  <c r="N102" i="84" l="1"/>
  <c r="N110" i="84"/>
  <c r="AX9" i="56" s="1"/>
  <c r="P110" i="84"/>
  <c r="AX11" i="56" s="1"/>
  <c r="P102" i="84"/>
  <c r="Q110" i="84"/>
  <c r="AX12" i="56" s="1"/>
  <c r="AW13" i="56"/>
  <c r="Q102" i="84"/>
  <c r="O102" i="84"/>
  <c r="R103" i="84"/>
  <c r="O110" i="84"/>
  <c r="AX10" i="56" s="1"/>
  <c r="AY8" i="56"/>
  <c r="R97" i="84"/>
  <c r="R95" i="84" s="1"/>
  <c r="M104" i="84"/>
  <c r="M111" i="84" s="1"/>
  <c r="M95" i="84"/>
  <c r="N109" i="84" l="1"/>
  <c r="N117" i="84"/>
  <c r="AY9" i="56" s="1"/>
  <c r="P109" i="84"/>
  <c r="P117" i="84"/>
  <c r="AY11" i="56" s="1"/>
  <c r="AX13" i="56"/>
  <c r="Q109" i="84"/>
  <c r="Q117" i="84"/>
  <c r="AY12" i="56" s="1"/>
  <c r="R110" i="84"/>
  <c r="O109" i="84"/>
  <c r="O117" i="84"/>
  <c r="AY10" i="56" s="1"/>
  <c r="R104" i="84"/>
  <c r="R102" i="84" s="1"/>
  <c r="M102" i="84"/>
  <c r="AZ8" i="56"/>
  <c r="Q124" i="84" l="1"/>
  <c r="AZ12" i="56" s="1"/>
  <c r="Q116" i="84"/>
  <c r="N116" i="84"/>
  <c r="N124" i="84"/>
  <c r="AZ9" i="56" s="1"/>
  <c r="P116" i="84"/>
  <c r="P124" i="84"/>
  <c r="AZ11" i="56" s="1"/>
  <c r="AY13" i="56"/>
  <c r="R117" i="84"/>
  <c r="O116" i="84"/>
  <c r="O124" i="84"/>
  <c r="AZ10" i="56" s="1"/>
  <c r="M131" i="84"/>
  <c r="BA8" i="56" s="1"/>
  <c r="R111" i="84"/>
  <c r="R109" i="84" s="1"/>
  <c r="M118" i="84"/>
  <c r="M109" i="84"/>
  <c r="Q123" i="84" l="1"/>
  <c r="Q131" i="84"/>
  <c r="Q130" i="84" s="1"/>
  <c r="N131" i="84"/>
  <c r="BA9" i="56" s="1"/>
  <c r="N123" i="84"/>
  <c r="AZ13" i="56"/>
  <c r="P123" i="84"/>
  <c r="P131" i="84"/>
  <c r="P130" i="84" s="1"/>
  <c r="O131" i="84"/>
  <c r="O130" i="84" s="1"/>
  <c r="R124" i="84"/>
  <c r="O123" i="84"/>
  <c r="R118" i="84"/>
  <c r="R116" i="84" s="1"/>
  <c r="M125" i="84"/>
  <c r="M123" i="84" s="1"/>
  <c r="M116" i="84"/>
  <c r="BA12" i="56" l="1"/>
  <c r="BA11" i="56"/>
  <c r="N130" i="84"/>
  <c r="BA10" i="56"/>
  <c r="R131" i="84"/>
  <c r="R125" i="84"/>
  <c r="R123" i="84" s="1"/>
  <c r="M132" i="84"/>
  <c r="BA13" i="56" l="1"/>
  <c r="R132" i="84"/>
  <c r="R130" i="84" s="1"/>
  <c r="M130" i="84"/>
  <c r="F23" i="28" l="1"/>
  <c r="G23" i="28" s="1"/>
  <c r="I59" i="15"/>
  <c r="N179" i="60"/>
  <c r="Q13" i="60"/>
  <c r="Q12" i="60"/>
  <c r="D141" i="28"/>
  <c r="B65" i="54"/>
  <c r="B64" i="54"/>
  <c r="B63" i="54"/>
  <c r="B62" i="54"/>
  <c r="B61" i="54"/>
  <c r="D60" i="54"/>
  <c r="B60" i="54"/>
  <c r="B59" i="54"/>
  <c r="B58" i="54"/>
  <c r="B57" i="54"/>
  <c r="F35" i="63"/>
  <c r="F41" i="63"/>
  <c r="F37" i="63"/>
  <c r="E35" i="63"/>
  <c r="F40" i="63"/>
  <c r="K11" i="60"/>
  <c r="G11" i="60"/>
  <c r="F11" i="60"/>
  <c r="E11" i="60"/>
  <c r="R12" i="60" l="1"/>
  <c r="R123" i="72" s="1"/>
  <c r="R13" i="60"/>
  <c r="R124" i="72" s="1"/>
  <c r="R11" i="60"/>
  <c r="C31" i="28"/>
  <c r="C10" i="28"/>
  <c r="E143" i="28"/>
  <c r="L113" i="28" s="1"/>
  <c r="D143" i="28"/>
  <c r="L121" i="28" s="1"/>
  <c r="E142" i="28"/>
  <c r="J113" i="28" s="1"/>
  <c r="D142" i="28"/>
  <c r="J121" i="28" s="1"/>
  <c r="E141" i="28"/>
  <c r="H113" i="28" s="1"/>
  <c r="H121" i="28"/>
  <c r="G121" i="28" s="1"/>
  <c r="G120" i="28" s="1"/>
  <c r="G122" i="28" s="1"/>
  <c r="G124" i="28" s="1"/>
  <c r="G123" i="28" s="1"/>
  <c r="G125" i="28" s="1"/>
  <c r="F120" i="28"/>
  <c r="F122" i="28" s="1"/>
  <c r="F124" i="28" s="1"/>
  <c r="F123" i="28" s="1"/>
  <c r="F125" i="28" s="1"/>
  <c r="E120" i="28"/>
  <c r="E122" i="28" s="1"/>
  <c r="E124" i="28" s="1"/>
  <c r="E123" i="28" s="1"/>
  <c r="E125" i="28" s="1"/>
  <c r="E66" i="28" s="1"/>
  <c r="D120" i="28"/>
  <c r="D122" i="28" s="1"/>
  <c r="D124" i="28" s="1"/>
  <c r="D123" i="28" s="1"/>
  <c r="D125" i="28" s="1"/>
  <c r="D66" i="28" s="1"/>
  <c r="C122" i="28"/>
  <c r="C124" i="28" s="1"/>
  <c r="C123" i="28" s="1"/>
  <c r="C125" i="28" s="1"/>
  <c r="C66" i="28" s="1"/>
  <c r="G112" i="28"/>
  <c r="G114" i="28" s="1"/>
  <c r="G116" i="28" s="1"/>
  <c r="G115" i="28" s="1"/>
  <c r="G117" i="28" s="1"/>
  <c r="F112" i="28"/>
  <c r="F114" i="28" s="1"/>
  <c r="F116" i="28" s="1"/>
  <c r="F115" i="28" s="1"/>
  <c r="F117" i="28" s="1"/>
  <c r="F67" i="28" s="1"/>
  <c r="E112" i="28"/>
  <c r="E114" i="28" s="1"/>
  <c r="E116" i="28" s="1"/>
  <c r="E115" i="28" s="1"/>
  <c r="E117" i="28" s="1"/>
  <c r="D112" i="28"/>
  <c r="D114" i="28" s="1"/>
  <c r="D116" i="28" s="1"/>
  <c r="D115" i="28" s="1"/>
  <c r="D117" i="28" s="1"/>
  <c r="C112" i="28"/>
  <c r="C114" i="28" s="1"/>
  <c r="C116" i="28" s="1"/>
  <c r="C115" i="28" s="1"/>
  <c r="C117" i="28" s="1"/>
  <c r="C67" i="28" s="1"/>
  <c r="E23" i="28"/>
  <c r="D23" i="28"/>
  <c r="E24" i="28"/>
  <c r="F24" i="28"/>
  <c r="G24" i="28" s="1"/>
  <c r="E25" i="28"/>
  <c r="F25" i="28"/>
  <c r="G25" i="28" s="1"/>
  <c r="G28" i="28" s="1"/>
  <c r="G49" i="28" s="1"/>
  <c r="E26" i="28"/>
  <c r="F26" i="28"/>
  <c r="G26" i="28" s="1"/>
  <c r="E27" i="28"/>
  <c r="F27" i="28"/>
  <c r="G27" i="28" s="1"/>
  <c r="D25" i="28"/>
  <c r="D26" i="28"/>
  <c r="C24" i="28"/>
  <c r="C25" i="28"/>
  <c r="C26" i="28"/>
  <c r="C27" i="28"/>
  <c r="D10" i="28"/>
  <c r="E10" i="28"/>
  <c r="F10" i="28"/>
  <c r="G10" i="28"/>
  <c r="H10" i="28"/>
  <c r="I10" i="28"/>
  <c r="J10" i="28"/>
  <c r="K10" i="28"/>
  <c r="L10" i="28"/>
  <c r="M10" i="28"/>
  <c r="I27" i="28"/>
  <c r="I26" i="28"/>
  <c r="I25" i="28"/>
  <c r="I24" i="28"/>
  <c r="I23" i="28"/>
  <c r="Q24" i="72" l="1"/>
  <c r="R34" i="72" s="1"/>
  <c r="J40" i="28"/>
  <c r="J49" i="28"/>
  <c r="H42" i="28"/>
  <c r="H49" i="28"/>
  <c r="D28" i="28"/>
  <c r="D49" i="28" s="1"/>
  <c r="F66" i="28"/>
  <c r="R122" i="72"/>
  <c r="C55" i="28"/>
  <c r="H57" i="28"/>
  <c r="H56" i="28"/>
  <c r="G67" i="28"/>
  <c r="D67" i="28"/>
  <c r="M113" i="28"/>
  <c r="M121" i="28"/>
  <c r="M120" i="28" s="1"/>
  <c r="M122" i="28" s="1"/>
  <c r="M124" i="28" s="1"/>
  <c r="M123" i="28" s="1"/>
  <c r="M125" i="28" s="1"/>
  <c r="M66" i="28" s="1"/>
  <c r="E67" i="28"/>
  <c r="K113" i="28"/>
  <c r="G66" i="28"/>
  <c r="I113" i="28"/>
  <c r="H112" i="28"/>
  <c r="J112" i="28"/>
  <c r="J114" i="28" s="1"/>
  <c r="G57" i="28"/>
  <c r="I56" i="28"/>
  <c r="G56" i="28"/>
  <c r="D56" i="28"/>
  <c r="D55" i="28"/>
  <c r="I121" i="28"/>
  <c r="I120" i="28" s="1"/>
  <c r="I122" i="28" s="1"/>
  <c r="I124" i="28" s="1"/>
  <c r="I123" i="28" s="1"/>
  <c r="I125" i="28" s="1"/>
  <c r="I66" i="28" s="1"/>
  <c r="L120" i="28"/>
  <c r="L122" i="28" s="1"/>
  <c r="L124" i="28" s="1"/>
  <c r="L123" i="28" s="1"/>
  <c r="L125" i="28" s="1"/>
  <c r="L66" i="28" s="1"/>
  <c r="H40" i="28"/>
  <c r="K121" i="28"/>
  <c r="K120" i="28" s="1"/>
  <c r="K122" i="28" s="1"/>
  <c r="K124" i="28" s="1"/>
  <c r="K123" i="28" s="1"/>
  <c r="K125" i="28" s="1"/>
  <c r="K66" i="28" s="1"/>
  <c r="H120" i="28"/>
  <c r="H122" i="28" s="1"/>
  <c r="H124" i="28" s="1"/>
  <c r="H123" i="28" s="1"/>
  <c r="H125" i="28" s="1"/>
  <c r="H66" i="28" s="1"/>
  <c r="L112" i="28"/>
  <c r="J120" i="28"/>
  <c r="J122" i="28" s="1"/>
  <c r="J124" i="28" s="1"/>
  <c r="J123" i="28" s="1"/>
  <c r="J125" i="28" s="1"/>
  <c r="J66" i="28" s="1"/>
  <c r="E55" i="28"/>
  <c r="I49" i="28"/>
  <c r="I57" i="28"/>
  <c r="F55" i="28"/>
  <c r="G54" i="28"/>
  <c r="F53" i="28"/>
  <c r="F57" i="28"/>
  <c r="J55" i="28"/>
  <c r="E57" i="28"/>
  <c r="H41" i="28"/>
  <c r="D57" i="28"/>
  <c r="C53" i="28"/>
  <c r="D53" i="28"/>
  <c r="C57" i="28"/>
  <c r="F56" i="28"/>
  <c r="I55" i="28"/>
  <c r="D54" i="28"/>
  <c r="H44" i="28"/>
  <c r="J43" i="28"/>
  <c r="E53" i="28"/>
  <c r="J57" i="28"/>
  <c r="E56" i="28"/>
  <c r="H55" i="28"/>
  <c r="C54" i="28"/>
  <c r="E54" i="28"/>
  <c r="K27" i="28"/>
  <c r="G55" i="28"/>
  <c r="J54" i="28"/>
  <c r="K26" i="28"/>
  <c r="H43" i="28"/>
  <c r="J42" i="28"/>
  <c r="J53" i="28"/>
  <c r="C56" i="28"/>
  <c r="I54" i="28"/>
  <c r="J44" i="28"/>
  <c r="K25" i="28"/>
  <c r="I53" i="28"/>
  <c r="J56" i="28"/>
  <c r="H54" i="28"/>
  <c r="K24" i="28"/>
  <c r="J41" i="28"/>
  <c r="H53" i="28"/>
  <c r="F54" i="28"/>
  <c r="C28" i="28"/>
  <c r="C42" i="28" s="1"/>
  <c r="E28" i="28"/>
  <c r="E49" i="28" s="1"/>
  <c r="C41" i="28" l="1"/>
  <c r="C44" i="28"/>
  <c r="C43" i="28"/>
  <c r="E40" i="28"/>
  <c r="E33" i="28"/>
  <c r="C33" i="28"/>
  <c r="C30" i="28"/>
  <c r="F41" i="28"/>
  <c r="D33" i="28"/>
  <c r="I43" i="28"/>
  <c r="M112" i="28"/>
  <c r="H114" i="28"/>
  <c r="I112" i="28"/>
  <c r="J116" i="28"/>
  <c r="J115" i="28" s="1"/>
  <c r="K112" i="28"/>
  <c r="D41" i="28"/>
  <c r="C58" i="28"/>
  <c r="L114" i="28"/>
  <c r="M114" i="28" s="1"/>
  <c r="I40" i="28"/>
  <c r="I44" i="28"/>
  <c r="I41" i="28"/>
  <c r="I42" i="28"/>
  <c r="H45" i="28"/>
  <c r="I58" i="28"/>
  <c r="E41" i="28"/>
  <c r="K54" i="28"/>
  <c r="D58" i="28"/>
  <c r="D43" i="28"/>
  <c r="D42" i="28"/>
  <c r="E42" i="28"/>
  <c r="F42" i="28"/>
  <c r="F58" i="28"/>
  <c r="J58" i="28"/>
  <c r="E58" i="28"/>
  <c r="H58" i="28"/>
  <c r="E43" i="28"/>
  <c r="F40" i="28"/>
  <c r="K56" i="28"/>
  <c r="J45" i="28"/>
  <c r="G53" i="28"/>
  <c r="F43" i="28"/>
  <c r="K55" i="28"/>
  <c r="F44" i="28"/>
  <c r="K23" i="28"/>
  <c r="D44" i="28"/>
  <c r="K57" i="28"/>
  <c r="L25" i="28"/>
  <c r="L24" i="28" l="1"/>
  <c r="L54" i="28" s="1"/>
  <c r="R12" i="72"/>
  <c r="C62" i="28"/>
  <c r="G40" i="28"/>
  <c r="G33" i="28"/>
  <c r="J62" i="28"/>
  <c r="I114" i="28"/>
  <c r="H116" i="28"/>
  <c r="I62" i="28"/>
  <c r="H62" i="28"/>
  <c r="F62" i="28"/>
  <c r="J117" i="28"/>
  <c r="J67" i="28" s="1"/>
  <c r="L116" i="28"/>
  <c r="M116" i="28" s="1"/>
  <c r="K114" i="28"/>
  <c r="I45" i="28"/>
  <c r="E45" i="28"/>
  <c r="C45" i="28"/>
  <c r="D45" i="28"/>
  <c r="L23" i="28"/>
  <c r="K53" i="28"/>
  <c r="G58" i="28"/>
  <c r="G44" i="28"/>
  <c r="G42" i="28"/>
  <c r="G41" i="28"/>
  <c r="G43" i="28"/>
  <c r="L55" i="28"/>
  <c r="F45" i="28"/>
  <c r="M25" i="28"/>
  <c r="M24" i="28" l="1"/>
  <c r="M54" i="28" s="1"/>
  <c r="H37" i="28"/>
  <c r="I37" i="28" s="1"/>
  <c r="J37" i="28" s="1"/>
  <c r="K37" i="28" s="1"/>
  <c r="L37" i="28" s="1"/>
  <c r="M37" i="28" s="1"/>
  <c r="G62" i="28"/>
  <c r="I116" i="28"/>
  <c r="H115" i="28"/>
  <c r="L115" i="28"/>
  <c r="M115" i="28" s="1"/>
  <c r="K116" i="28"/>
  <c r="G45" i="28"/>
  <c r="L53" i="28"/>
  <c r="M23" i="28"/>
  <c r="M55" i="28"/>
  <c r="L26" i="28"/>
  <c r="E75" i="28" l="1"/>
  <c r="F75" i="28" s="1"/>
  <c r="E74" i="28"/>
  <c r="E35" i="28"/>
  <c r="D37" i="28"/>
  <c r="D35" i="28" s="1"/>
  <c r="I115" i="28"/>
  <c r="H117" i="28"/>
  <c r="L117" i="28"/>
  <c r="K115" i="28"/>
  <c r="L56" i="28"/>
  <c r="M26" i="28"/>
  <c r="M53" i="28"/>
  <c r="K49" i="28"/>
  <c r="F90" i="63"/>
  <c r="C37" i="63"/>
  <c r="K37" i="63"/>
  <c r="D35" i="63"/>
  <c r="F70" i="28" l="1"/>
  <c r="F74" i="28"/>
  <c r="F71" i="28"/>
  <c r="K33" i="28"/>
  <c r="K36" i="28" s="1"/>
  <c r="L27" i="28"/>
  <c r="L67" i="28"/>
  <c r="M117" i="28"/>
  <c r="M67" i="28" s="1"/>
  <c r="H67" i="28"/>
  <c r="I117" i="28"/>
  <c r="I67" i="28" s="1"/>
  <c r="K117" i="28"/>
  <c r="K67" i="28" s="1"/>
  <c r="K58" i="28"/>
  <c r="K41" i="28"/>
  <c r="K43" i="28"/>
  <c r="K42" i="28"/>
  <c r="K44" i="28"/>
  <c r="K40" i="28"/>
  <c r="M56" i="28"/>
  <c r="K35" i="63"/>
  <c r="L57" i="28" l="1"/>
  <c r="L28" i="28"/>
  <c r="G54" i="63"/>
  <c r="C54" i="63"/>
  <c r="D54" i="63"/>
  <c r="E54" i="63"/>
  <c r="N35" i="63"/>
  <c r="F54" i="63"/>
  <c r="G75" i="28"/>
  <c r="G74" i="28"/>
  <c r="I35" i="28"/>
  <c r="M27" i="28"/>
  <c r="D31" i="28"/>
  <c r="D36" i="28"/>
  <c r="J35" i="28"/>
  <c r="H35" i="28"/>
  <c r="M35" i="28"/>
  <c r="L35" i="28"/>
  <c r="G35" i="28"/>
  <c r="G36" i="28" s="1"/>
  <c r="K35" i="28"/>
  <c r="K62" i="28"/>
  <c r="K45" i="28"/>
  <c r="M28" i="28" l="1"/>
  <c r="M49" i="28" s="1"/>
  <c r="D30" i="28"/>
  <c r="E30" i="28" s="1"/>
  <c r="F30" i="28" s="1"/>
  <c r="G30" i="28" s="1"/>
  <c r="L33" i="28"/>
  <c r="L36" i="28" s="1"/>
  <c r="L49" i="28"/>
  <c r="H74" i="28"/>
  <c r="H75" i="28"/>
  <c r="E31" i="28"/>
  <c r="K31" i="28" s="1"/>
  <c r="L31" i="28" s="1"/>
  <c r="M31" i="28" s="1"/>
  <c r="L43" i="28"/>
  <c r="M57" i="28"/>
  <c r="G71" i="28"/>
  <c r="H71" i="28" s="1"/>
  <c r="I71" i="28" s="1"/>
  <c r="J71" i="28" s="1"/>
  <c r="K71" i="28" s="1"/>
  <c r="L71" i="28" s="1"/>
  <c r="M71" i="28" s="1"/>
  <c r="G70" i="28"/>
  <c r="H70" i="28" s="1"/>
  <c r="I70" i="28" s="1"/>
  <c r="J70" i="28" s="1"/>
  <c r="K70" i="28" s="1"/>
  <c r="L70" i="28" s="1"/>
  <c r="M70" i="28" s="1"/>
  <c r="L41" i="28"/>
  <c r="L42" i="28"/>
  <c r="L58" i="28"/>
  <c r="M33" i="28"/>
  <c r="M36" i="28" s="1"/>
  <c r="L44" i="28"/>
  <c r="L40" i="28"/>
  <c r="M44" i="28"/>
  <c r="M58" i="28"/>
  <c r="M41" i="28"/>
  <c r="M42" i="28"/>
  <c r="M40" i="28"/>
  <c r="M43" i="28"/>
  <c r="H30" i="28" l="1"/>
  <c r="I30" i="28" s="1"/>
  <c r="L62" i="28"/>
  <c r="I75" i="28"/>
  <c r="I74" i="28"/>
  <c r="L45" i="28"/>
  <c r="M62" i="28"/>
  <c r="M45" i="28"/>
  <c r="C45" i="63"/>
  <c r="J48" i="63"/>
  <c r="F48" i="63"/>
  <c r="D48" i="63"/>
  <c r="E48" i="63"/>
  <c r="C48" i="63"/>
  <c r="H47" i="63"/>
  <c r="F47" i="63"/>
  <c r="E47" i="63"/>
  <c r="D47" i="63"/>
  <c r="C47" i="63"/>
  <c r="I46" i="63"/>
  <c r="F46" i="63"/>
  <c r="D46" i="63"/>
  <c r="E46" i="63"/>
  <c r="C46" i="63"/>
  <c r="G45" i="63"/>
  <c r="F45" i="63"/>
  <c r="D45" i="63"/>
  <c r="E45" i="63"/>
  <c r="J43" i="63"/>
  <c r="I41" i="63"/>
  <c r="H42" i="63"/>
  <c r="G40" i="63"/>
  <c r="F43" i="63"/>
  <c r="F42" i="63"/>
  <c r="E43" i="63"/>
  <c r="E42" i="63"/>
  <c r="E41" i="63"/>
  <c r="E40" i="63"/>
  <c r="D43" i="63"/>
  <c r="D42" i="63"/>
  <c r="D41" i="63"/>
  <c r="D40" i="63"/>
  <c r="C43" i="63"/>
  <c r="C42" i="63"/>
  <c r="C41" i="63"/>
  <c r="C40" i="63"/>
  <c r="I36" i="63"/>
  <c r="H37" i="63"/>
  <c r="F38" i="63"/>
  <c r="F36" i="63"/>
  <c r="E38" i="63"/>
  <c r="E37" i="63"/>
  <c r="D38" i="63"/>
  <c r="D37" i="63"/>
  <c r="D36" i="63"/>
  <c r="C38" i="63"/>
  <c r="J30" i="28" l="1"/>
  <c r="K30" i="28" s="1"/>
  <c r="L30" i="28" s="1"/>
  <c r="M30" i="28" s="1"/>
  <c r="J75" i="28"/>
  <c r="J74" i="28"/>
  <c r="K46" i="63"/>
  <c r="D65" i="63" s="1"/>
  <c r="K48" i="63"/>
  <c r="J67" i="63" s="1"/>
  <c r="K45" i="63"/>
  <c r="P35" i="63" s="1"/>
  <c r="K47" i="63"/>
  <c r="P37" i="63" s="1"/>
  <c r="K74" i="28" l="1"/>
  <c r="K75" i="28"/>
  <c r="D66" i="63"/>
  <c r="F64" i="63"/>
  <c r="D64" i="63"/>
  <c r="F65" i="63"/>
  <c r="C66" i="63"/>
  <c r="C65" i="63"/>
  <c r="P36" i="63"/>
  <c r="H66" i="63"/>
  <c r="C67" i="63"/>
  <c r="P38" i="63"/>
  <c r="F66" i="63"/>
  <c r="G66" i="63"/>
  <c r="J66" i="63"/>
  <c r="I66" i="63"/>
  <c r="E66" i="63"/>
  <c r="G64" i="63"/>
  <c r="J64" i="63"/>
  <c r="I64" i="63"/>
  <c r="H64" i="63"/>
  <c r="E64" i="63"/>
  <c r="G67" i="63"/>
  <c r="I67" i="63"/>
  <c r="H67" i="63"/>
  <c r="E67" i="63"/>
  <c r="D67" i="63"/>
  <c r="G65" i="63"/>
  <c r="J65" i="63"/>
  <c r="H65" i="63"/>
  <c r="E65" i="63"/>
  <c r="C64" i="63"/>
  <c r="J54" i="63"/>
  <c r="H54" i="63"/>
  <c r="I54" i="63"/>
  <c r="I65" i="63"/>
  <c r="F67" i="63"/>
  <c r="L75" i="28" l="1"/>
  <c r="L74" i="28"/>
  <c r="K54" i="63"/>
  <c r="K67" i="63"/>
  <c r="K65" i="63"/>
  <c r="K66" i="63"/>
  <c r="K64" i="63"/>
  <c r="M74" i="28" l="1"/>
  <c r="M75" i="28"/>
  <c r="K43" i="63"/>
  <c r="O38" i="63" s="1"/>
  <c r="J38" i="63"/>
  <c r="K36" i="63"/>
  <c r="I55" i="63" l="1"/>
  <c r="N36" i="63"/>
  <c r="G55" i="63"/>
  <c r="H55" i="63"/>
  <c r="J55" i="63"/>
  <c r="D55" i="63"/>
  <c r="F55" i="63"/>
  <c r="H62" i="63"/>
  <c r="I62" i="63"/>
  <c r="G62" i="63"/>
  <c r="F62" i="63"/>
  <c r="C62" i="63"/>
  <c r="E62" i="63"/>
  <c r="J62" i="63"/>
  <c r="D62" i="63"/>
  <c r="K42" i="63"/>
  <c r="O37" i="63" s="1"/>
  <c r="N37" i="63"/>
  <c r="K41" i="63"/>
  <c r="O36" i="63" s="1"/>
  <c r="K40" i="63"/>
  <c r="K38" i="63"/>
  <c r="F77" i="63"/>
  <c r="F86" i="63"/>
  <c r="F85" i="63"/>
  <c r="F84" i="63"/>
  <c r="F83" i="63"/>
  <c r="F82" i="63"/>
  <c r="F81" i="63"/>
  <c r="F80" i="63"/>
  <c r="F79" i="63"/>
  <c r="F78" i="63"/>
  <c r="F76" i="63"/>
  <c r="F75" i="63"/>
  <c r="F74" i="63"/>
  <c r="F73" i="63"/>
  <c r="F87" i="63"/>
  <c r="Q38" i="63" l="1"/>
  <c r="Q35" i="63"/>
  <c r="O35" i="63"/>
  <c r="P54" i="63"/>
  <c r="Q36" i="63"/>
  <c r="N55" i="63" s="1"/>
  <c r="Q37" i="63"/>
  <c r="P57" i="63"/>
  <c r="O57" i="63"/>
  <c r="G57" i="63"/>
  <c r="H57" i="63"/>
  <c r="I57" i="63"/>
  <c r="F57" i="63"/>
  <c r="K62" i="63"/>
  <c r="I56" i="63"/>
  <c r="G56" i="63"/>
  <c r="J56" i="63"/>
  <c r="D56" i="63"/>
  <c r="F56" i="63"/>
  <c r="H56" i="63"/>
  <c r="H59" i="63"/>
  <c r="J59" i="63"/>
  <c r="I59" i="63"/>
  <c r="D59" i="63"/>
  <c r="C59" i="63"/>
  <c r="E59" i="63"/>
  <c r="J60" i="63"/>
  <c r="H60" i="63"/>
  <c r="G60" i="63"/>
  <c r="C60" i="63"/>
  <c r="D60" i="63"/>
  <c r="E60" i="63"/>
  <c r="J61" i="63"/>
  <c r="I61" i="63"/>
  <c r="G61" i="63"/>
  <c r="F61" i="63"/>
  <c r="E61" i="63"/>
  <c r="C61" i="63"/>
  <c r="D61" i="63"/>
  <c r="J57" i="63"/>
  <c r="K55" i="63"/>
  <c r="E9" i="60"/>
  <c r="I62" i="60"/>
  <c r="J62" i="60"/>
  <c r="K62" i="60"/>
  <c r="L62" i="60"/>
  <c r="E53" i="60"/>
  <c r="F53" i="60"/>
  <c r="G53" i="60"/>
  <c r="H53" i="60"/>
  <c r="I53" i="60"/>
  <c r="J53" i="60"/>
  <c r="K53" i="60"/>
  <c r="L53" i="60"/>
  <c r="M53" i="60"/>
  <c r="D53" i="60"/>
  <c r="D52" i="60"/>
  <c r="F9" i="60"/>
  <c r="H9" i="60"/>
  <c r="I9" i="60"/>
  <c r="J9" i="60"/>
  <c r="K9" i="60"/>
  <c r="L9" i="60"/>
  <c r="M9" i="60"/>
  <c r="D9" i="60"/>
  <c r="H11" i="60"/>
  <c r="I11" i="60"/>
  <c r="J11" i="60"/>
  <c r="L11" i="60"/>
  <c r="M11" i="60"/>
  <c r="N176" i="60"/>
  <c r="N177" i="60" s="1"/>
  <c r="N178" i="60"/>
  <c r="N180" i="60"/>
  <c r="N181" i="60"/>
  <c r="N185" i="60"/>
  <c r="N186" i="60" s="1"/>
  <c r="N187" i="60"/>
  <c r="N188" i="60"/>
  <c r="N189" i="60" s="1"/>
  <c r="N190" i="60"/>
  <c r="N191" i="60" s="1"/>
  <c r="N192" i="60"/>
  <c r="N193" i="60" s="1"/>
  <c r="N198" i="60"/>
  <c r="N199" i="60"/>
  <c r="N200" i="60"/>
  <c r="N201" i="60"/>
  <c r="N205" i="60"/>
  <c r="N206" i="60"/>
  <c r="N210" i="60"/>
  <c r="N211" i="60"/>
  <c r="N212" i="60"/>
  <c r="N215" i="60"/>
  <c r="N216" i="60"/>
  <c r="N217" i="60"/>
  <c r="N133" i="60"/>
  <c r="N134" i="60"/>
  <c r="N135" i="60"/>
  <c r="N136" i="60"/>
  <c r="N137" i="60"/>
  <c r="N138" i="60"/>
  <c r="N139" i="60"/>
  <c r="N140" i="60"/>
  <c r="N144" i="60"/>
  <c r="N145" i="60"/>
  <c r="N146" i="60"/>
  <c r="N147" i="60"/>
  <c r="N148" i="60"/>
  <c r="N152" i="60"/>
  <c r="N153" i="60"/>
  <c r="N154" i="60"/>
  <c r="N155" i="60"/>
  <c r="N156" i="60"/>
  <c r="N160" i="60"/>
  <c r="N161" i="60"/>
  <c r="N162" i="60"/>
  <c r="N166" i="60"/>
  <c r="N167" i="60"/>
  <c r="N171" i="60"/>
  <c r="N172" i="60"/>
  <c r="N9" i="60" s="1"/>
  <c r="E115" i="60"/>
  <c r="F115" i="60"/>
  <c r="G115" i="60"/>
  <c r="H115" i="60"/>
  <c r="I115" i="60"/>
  <c r="J115" i="60"/>
  <c r="K115" i="60"/>
  <c r="L115" i="60"/>
  <c r="M115" i="60"/>
  <c r="E61" i="60"/>
  <c r="F61" i="60"/>
  <c r="G61" i="60"/>
  <c r="H61" i="60"/>
  <c r="I61" i="60"/>
  <c r="J61" i="60"/>
  <c r="K61" i="60"/>
  <c r="L61" i="60"/>
  <c r="M61" i="60"/>
  <c r="E52" i="60"/>
  <c r="F52" i="60"/>
  <c r="G52" i="60"/>
  <c r="H52" i="60"/>
  <c r="I52" i="60"/>
  <c r="J52" i="60"/>
  <c r="K52" i="60"/>
  <c r="L52" i="60"/>
  <c r="M52" i="60"/>
  <c r="E24" i="60"/>
  <c r="F24" i="60"/>
  <c r="G24" i="60"/>
  <c r="H24" i="60"/>
  <c r="I24" i="60"/>
  <c r="J24" i="60"/>
  <c r="K24" i="60"/>
  <c r="L24" i="60"/>
  <c r="M24" i="60"/>
  <c r="D24" i="60"/>
  <c r="N132" i="60"/>
  <c r="N30" i="60"/>
  <c r="N31" i="60"/>
  <c r="N33" i="60"/>
  <c r="N34" i="60"/>
  <c r="N38" i="60"/>
  <c r="N39" i="60"/>
  <c r="N40" i="60"/>
  <c r="N41" i="60"/>
  <c r="N42" i="60"/>
  <c r="N43" i="60"/>
  <c r="N44" i="60"/>
  <c r="N45" i="60"/>
  <c r="N46" i="60"/>
  <c r="N47" i="60"/>
  <c r="N48" i="60"/>
  <c r="N49" i="60"/>
  <c r="N50" i="60"/>
  <c r="N51" i="60"/>
  <c r="N55" i="60"/>
  <c r="N56" i="60"/>
  <c r="N57" i="60"/>
  <c r="N58" i="60"/>
  <c r="N59" i="60"/>
  <c r="N60" i="60"/>
  <c r="N64" i="60"/>
  <c r="N65" i="60"/>
  <c r="N66" i="60"/>
  <c r="N70" i="60"/>
  <c r="N71" i="60"/>
  <c r="N72" i="60"/>
  <c r="N73" i="60"/>
  <c r="N76" i="60"/>
  <c r="N80" i="60"/>
  <c r="N81" i="60"/>
  <c r="N82" i="60"/>
  <c r="N83" i="60"/>
  <c r="N84" i="60"/>
  <c r="N85" i="60"/>
  <c r="N86" i="60"/>
  <c r="N87" i="60"/>
  <c r="N88" i="60"/>
  <c r="N89" i="60"/>
  <c r="N90" i="60"/>
  <c r="N91" i="60"/>
  <c r="N92" i="60"/>
  <c r="N93" i="60"/>
  <c r="N94" i="60"/>
  <c r="N95" i="60"/>
  <c r="N98" i="60"/>
  <c r="N101" i="60"/>
  <c r="N102" i="60"/>
  <c r="N103" i="60"/>
  <c r="N104" i="60"/>
  <c r="N105" i="60"/>
  <c r="N106" i="60"/>
  <c r="N107" i="60"/>
  <c r="N108" i="60"/>
  <c r="N109" i="60"/>
  <c r="N110" i="60"/>
  <c r="N111" i="60"/>
  <c r="N112" i="60"/>
  <c r="N113" i="60"/>
  <c r="N114" i="60"/>
  <c r="N116" i="60"/>
  <c r="N120" i="60"/>
  <c r="N121" i="60"/>
  <c r="N122" i="60"/>
  <c r="N123" i="60"/>
  <c r="N26" i="60"/>
  <c r="N22" i="60"/>
  <c r="N23" i="60"/>
  <c r="N21" i="60"/>
  <c r="O54" i="63" l="1"/>
  <c r="N54" i="63"/>
  <c r="N62" i="60"/>
  <c r="N195" i="60"/>
  <c r="Q57" i="63"/>
  <c r="P56" i="63"/>
  <c r="N56" i="63"/>
  <c r="O56" i="63"/>
  <c r="P55" i="63"/>
  <c r="O55" i="63"/>
  <c r="Q54" i="63"/>
  <c r="K61" i="63"/>
  <c r="K59" i="63"/>
  <c r="K60" i="63"/>
  <c r="K57" i="63"/>
  <c r="K56" i="63"/>
  <c r="N74" i="60"/>
  <c r="N168" i="60"/>
  <c r="N61" i="60"/>
  <c r="N53" i="60"/>
  <c r="N124" i="60"/>
  <c r="N24" i="60"/>
  <c r="N141" i="60"/>
  <c r="N157" i="60"/>
  <c r="N202" i="60" s="1"/>
  <c r="N149" i="60"/>
  <c r="N67" i="60"/>
  <c r="N115" i="60"/>
  <c r="N117" i="60" s="1"/>
  <c r="N52" i="60"/>
  <c r="N163" i="60"/>
  <c r="N96" i="60"/>
  <c r="N11" i="60"/>
  <c r="E193" i="60"/>
  <c r="F193" i="60"/>
  <c r="G193" i="60"/>
  <c r="H193" i="60"/>
  <c r="I193" i="60"/>
  <c r="J193" i="60"/>
  <c r="K193" i="60"/>
  <c r="L193" i="60"/>
  <c r="M193" i="60"/>
  <c r="D193" i="60"/>
  <c r="M191" i="60"/>
  <c r="L191" i="60"/>
  <c r="K191" i="60"/>
  <c r="J191" i="60"/>
  <c r="I191" i="60"/>
  <c r="H191" i="60"/>
  <c r="G191" i="60"/>
  <c r="F191" i="60"/>
  <c r="E191" i="60"/>
  <c r="D191" i="60"/>
  <c r="M189" i="60"/>
  <c r="L189" i="60"/>
  <c r="K189" i="60"/>
  <c r="J189" i="60"/>
  <c r="I189" i="60"/>
  <c r="H189" i="60"/>
  <c r="G189" i="60"/>
  <c r="F189" i="60"/>
  <c r="E189" i="60"/>
  <c r="D189" i="60"/>
  <c r="E186" i="60"/>
  <c r="F186" i="60"/>
  <c r="G186" i="60"/>
  <c r="H186" i="60"/>
  <c r="I186" i="60"/>
  <c r="J186" i="60"/>
  <c r="K186" i="60"/>
  <c r="L186" i="60"/>
  <c r="M186" i="60"/>
  <c r="D186" i="60"/>
  <c r="E177" i="60"/>
  <c r="E168" i="60"/>
  <c r="F168" i="60"/>
  <c r="G168" i="60"/>
  <c r="H168" i="60"/>
  <c r="I168" i="60"/>
  <c r="J168" i="60"/>
  <c r="K168" i="60"/>
  <c r="L168" i="60"/>
  <c r="M168" i="60"/>
  <c r="E163" i="60"/>
  <c r="F163" i="60"/>
  <c r="G163" i="60"/>
  <c r="H163" i="60"/>
  <c r="I163" i="60"/>
  <c r="J163" i="60"/>
  <c r="K163" i="60"/>
  <c r="L163" i="60"/>
  <c r="M163" i="60"/>
  <c r="D163" i="60"/>
  <c r="E157" i="60"/>
  <c r="E202" i="60" s="1"/>
  <c r="F157" i="60"/>
  <c r="F202" i="60" s="1"/>
  <c r="G157" i="60"/>
  <c r="G202" i="60" s="1"/>
  <c r="H157" i="60"/>
  <c r="H202" i="60" s="1"/>
  <c r="I157" i="60"/>
  <c r="I202" i="60" s="1"/>
  <c r="J157" i="60"/>
  <c r="J202" i="60" s="1"/>
  <c r="K157" i="60"/>
  <c r="K202" i="60" s="1"/>
  <c r="L157" i="60"/>
  <c r="L202" i="60" s="1"/>
  <c r="M157" i="60"/>
  <c r="M202" i="60" s="1"/>
  <c r="D157" i="60"/>
  <c r="D202" i="60" s="1"/>
  <c r="E149" i="60"/>
  <c r="F149" i="60"/>
  <c r="G149" i="60"/>
  <c r="H149" i="60"/>
  <c r="I149" i="60"/>
  <c r="J149" i="60"/>
  <c r="K149" i="60"/>
  <c r="L149" i="60"/>
  <c r="M149" i="60"/>
  <c r="D149" i="60"/>
  <c r="E141" i="60"/>
  <c r="F141" i="60"/>
  <c r="G141" i="60"/>
  <c r="H141" i="60"/>
  <c r="I141" i="60"/>
  <c r="J141" i="60"/>
  <c r="K141" i="60"/>
  <c r="L141" i="60"/>
  <c r="M141" i="60"/>
  <c r="D141" i="60"/>
  <c r="E124" i="60"/>
  <c r="F124" i="60"/>
  <c r="G124" i="60"/>
  <c r="H124" i="60"/>
  <c r="I124" i="60"/>
  <c r="J124" i="60"/>
  <c r="K124" i="60"/>
  <c r="L124" i="60"/>
  <c r="M124" i="60"/>
  <c r="D124" i="60"/>
  <c r="E117" i="60"/>
  <c r="F117" i="60"/>
  <c r="G117" i="60"/>
  <c r="H117" i="60"/>
  <c r="I117" i="60"/>
  <c r="J117" i="60"/>
  <c r="K117" i="60"/>
  <c r="L117" i="60"/>
  <c r="M117" i="60"/>
  <c r="D115" i="60"/>
  <c r="D117" i="60" s="1"/>
  <c r="E194" i="60" l="1"/>
  <c r="D194" i="60"/>
  <c r="Q55" i="63"/>
  <c r="Q56" i="63"/>
  <c r="J142" i="60"/>
  <c r="H142" i="60"/>
  <c r="N142" i="60"/>
  <c r="M142" i="60"/>
  <c r="E142" i="60"/>
  <c r="I142" i="60"/>
  <c r="K142" i="60"/>
  <c r="G142" i="60"/>
  <c r="F142" i="60"/>
  <c r="L142" i="60"/>
  <c r="E96" i="60"/>
  <c r="F96" i="60"/>
  <c r="G96" i="60"/>
  <c r="H96" i="60"/>
  <c r="I96" i="60"/>
  <c r="J96" i="60"/>
  <c r="K96" i="60"/>
  <c r="L96" i="60"/>
  <c r="M96" i="60"/>
  <c r="E74" i="60"/>
  <c r="F74" i="60"/>
  <c r="G74" i="60"/>
  <c r="H74" i="60"/>
  <c r="I74" i="60"/>
  <c r="J74" i="60"/>
  <c r="K74" i="60"/>
  <c r="L74" i="60"/>
  <c r="M74" i="60"/>
  <c r="D74" i="60"/>
  <c r="E67" i="60"/>
  <c r="F67" i="60"/>
  <c r="G67" i="60"/>
  <c r="H67" i="60"/>
  <c r="I67" i="60"/>
  <c r="J67" i="60"/>
  <c r="K67" i="60"/>
  <c r="L67" i="60"/>
  <c r="M67" i="60"/>
  <c r="D67" i="60"/>
  <c r="E65" i="79"/>
  <c r="G91" i="79"/>
  <c r="E91" i="79"/>
  <c r="C91" i="79"/>
  <c r="G90" i="79"/>
  <c r="E90" i="79"/>
  <c r="C90" i="79"/>
  <c r="G89" i="79"/>
  <c r="E89" i="79"/>
  <c r="C89" i="79"/>
  <c r="G88" i="79"/>
  <c r="E88" i="79"/>
  <c r="G87" i="79"/>
  <c r="E87" i="79"/>
  <c r="C87" i="79"/>
  <c r="G86" i="79"/>
  <c r="E86" i="79"/>
  <c r="C86" i="79"/>
  <c r="G85" i="79"/>
  <c r="E85" i="79"/>
  <c r="C85" i="79"/>
  <c r="G81" i="79"/>
  <c r="G80" i="79"/>
  <c r="G79" i="79"/>
  <c r="G78" i="79"/>
  <c r="G77" i="79"/>
  <c r="G76" i="79"/>
  <c r="G75" i="79"/>
  <c r="E81" i="79"/>
  <c r="E80" i="79"/>
  <c r="E79" i="79"/>
  <c r="E78" i="79"/>
  <c r="E77" i="79"/>
  <c r="E76" i="79"/>
  <c r="E75" i="79"/>
  <c r="C81" i="79"/>
  <c r="C80" i="79"/>
  <c r="C79" i="79"/>
  <c r="C78" i="79"/>
  <c r="C77" i="79"/>
  <c r="C76" i="79"/>
  <c r="C75" i="79"/>
  <c r="G66" i="79"/>
  <c r="G67" i="79"/>
  <c r="G68" i="79"/>
  <c r="G69" i="79"/>
  <c r="G70" i="79"/>
  <c r="G71" i="79"/>
  <c r="E66" i="79"/>
  <c r="E67" i="79"/>
  <c r="E68" i="79"/>
  <c r="F68" i="79" s="1"/>
  <c r="E69" i="79"/>
  <c r="E70" i="79"/>
  <c r="E71" i="79"/>
  <c r="C26" i="31"/>
  <c r="C14" i="31"/>
  <c r="C71" i="79"/>
  <c r="C66" i="79"/>
  <c r="C67" i="79"/>
  <c r="D67" i="79" s="1"/>
  <c r="C68" i="79"/>
  <c r="C69" i="79"/>
  <c r="C70" i="79"/>
  <c r="D70" i="79" s="1"/>
  <c r="D5" i="80" s="1"/>
  <c r="C22" i="31"/>
  <c r="C21" i="31"/>
  <c r="C20" i="31"/>
  <c r="D4" i="80" l="1"/>
  <c r="C24" i="80"/>
  <c r="C18" i="80"/>
  <c r="C30" i="80"/>
  <c r="C36" i="80"/>
  <c r="C12" i="80"/>
  <c r="H67" i="79"/>
  <c r="N7" i="80"/>
  <c r="H75" i="79"/>
  <c r="F85" i="79"/>
  <c r="D88" i="79"/>
  <c r="H90" i="79"/>
  <c r="Z5" i="80" s="1"/>
  <c r="F67" i="79"/>
  <c r="H66" i="79"/>
  <c r="F75" i="79"/>
  <c r="H76" i="79"/>
  <c r="H85" i="79"/>
  <c r="F88" i="79"/>
  <c r="D7" i="80"/>
  <c r="F66" i="79"/>
  <c r="D75" i="79"/>
  <c r="F76" i="79"/>
  <c r="H77" i="79"/>
  <c r="D86" i="79"/>
  <c r="H88" i="79"/>
  <c r="F91" i="79"/>
  <c r="Y7" i="80" s="1"/>
  <c r="E79" i="63"/>
  <c r="E87" i="63"/>
  <c r="E75" i="63"/>
  <c r="E80" i="63"/>
  <c r="E88" i="63"/>
  <c r="E73" i="63"/>
  <c r="E81" i="63"/>
  <c r="E89" i="63"/>
  <c r="E78" i="63"/>
  <c r="E82" i="63"/>
  <c r="E90" i="63"/>
  <c r="E86" i="63"/>
  <c r="E83" i="63"/>
  <c r="E91" i="63"/>
  <c r="E76" i="63"/>
  <c r="E84" i="63"/>
  <c r="E92" i="63"/>
  <c r="E77" i="63"/>
  <c r="E85" i="63"/>
  <c r="E93" i="63"/>
  <c r="E74" i="63"/>
  <c r="G73" i="63"/>
  <c r="H73" i="63" s="1"/>
  <c r="H65" i="79"/>
  <c r="D76" i="79"/>
  <c r="F77" i="79"/>
  <c r="H78" i="79"/>
  <c r="F86" i="79"/>
  <c r="X4" i="80"/>
  <c r="H91" i="79"/>
  <c r="Z7" i="80" s="1"/>
  <c r="H71" i="79"/>
  <c r="F7" i="80" s="1"/>
  <c r="D77" i="79"/>
  <c r="F78" i="79"/>
  <c r="H79" i="79"/>
  <c r="P4" i="80" s="1"/>
  <c r="H86" i="79"/>
  <c r="F89" i="79"/>
  <c r="Y4" i="80" s="1"/>
  <c r="F65" i="79"/>
  <c r="E6" i="80" s="1"/>
  <c r="F71" i="79"/>
  <c r="E7" i="80" s="1"/>
  <c r="H70" i="79"/>
  <c r="F5" i="80" s="1"/>
  <c r="D78" i="79"/>
  <c r="F79" i="79"/>
  <c r="O4" i="80" s="1"/>
  <c r="H80" i="79"/>
  <c r="P5" i="80" s="1"/>
  <c r="D87" i="79"/>
  <c r="H89" i="79"/>
  <c r="Z4" i="80" s="1"/>
  <c r="G87" i="63"/>
  <c r="D66" i="79"/>
  <c r="F70" i="79"/>
  <c r="E5" i="80" s="1"/>
  <c r="H69" i="79"/>
  <c r="F4" i="80" s="1"/>
  <c r="N4" i="80"/>
  <c r="F80" i="79"/>
  <c r="O5" i="80" s="1"/>
  <c r="H81" i="79"/>
  <c r="P7" i="80" s="1"/>
  <c r="F87" i="79"/>
  <c r="D90" i="79"/>
  <c r="D68" i="79"/>
  <c r="D6" i="80" s="1"/>
  <c r="F69" i="79"/>
  <c r="E4" i="80" s="1"/>
  <c r="H68" i="79"/>
  <c r="D80" i="79"/>
  <c r="N5" i="80" s="1"/>
  <c r="F81" i="79"/>
  <c r="O7" i="80" s="1"/>
  <c r="D85" i="79"/>
  <c r="H87" i="79"/>
  <c r="F90" i="79"/>
  <c r="Y5" i="80" s="1"/>
  <c r="X7" i="80"/>
  <c r="L177" i="60"/>
  <c r="M177" i="60"/>
  <c r="L182" i="60"/>
  <c r="M182" i="60" s="1"/>
  <c r="N182" i="60" s="1"/>
  <c r="F88" i="63"/>
  <c r="G88" i="63" s="1"/>
  <c r="F89" i="63"/>
  <c r="G89" i="63" s="1"/>
  <c r="H89" i="63" s="1"/>
  <c r="G90" i="63"/>
  <c r="F91" i="63"/>
  <c r="G91" i="63" s="1"/>
  <c r="F92" i="63"/>
  <c r="G92" i="63" s="1"/>
  <c r="F93" i="63"/>
  <c r="G93" i="63" s="1"/>
  <c r="G74" i="63"/>
  <c r="G75" i="63"/>
  <c r="G76" i="63"/>
  <c r="H76" i="63" s="1"/>
  <c r="G77" i="63"/>
  <c r="G78" i="63"/>
  <c r="H78" i="63" s="1"/>
  <c r="G79" i="63"/>
  <c r="H79" i="63" s="1"/>
  <c r="G81" i="63"/>
  <c r="H81" i="63" s="1"/>
  <c r="G82" i="63"/>
  <c r="G83" i="63"/>
  <c r="G84" i="63"/>
  <c r="H84" i="63" s="1"/>
  <c r="G85" i="63"/>
  <c r="G86" i="63"/>
  <c r="G80" i="63"/>
  <c r="F30" i="63"/>
  <c r="H80" i="63" l="1"/>
  <c r="H91" i="63"/>
  <c r="I70" i="79"/>
  <c r="C5" i="80" s="1"/>
  <c r="I85" i="79"/>
  <c r="H86" i="63"/>
  <c r="H88" i="63"/>
  <c r="H74" i="63"/>
  <c r="H93" i="63"/>
  <c r="H83" i="63"/>
  <c r="I76" i="79"/>
  <c r="I87" i="79"/>
  <c r="P6" i="80"/>
  <c r="I88" i="79"/>
  <c r="I91" i="79"/>
  <c r="W7" i="80" s="1"/>
  <c r="Y6" i="80"/>
  <c r="I75" i="79"/>
  <c r="W20" i="80"/>
  <c r="W38" i="80"/>
  <c r="W26" i="80"/>
  <c r="W14" i="80"/>
  <c r="W32" i="80"/>
  <c r="I67" i="79"/>
  <c r="O6" i="80"/>
  <c r="C32" i="80"/>
  <c r="E32" i="80" s="1"/>
  <c r="C26" i="80"/>
  <c r="J26" i="80" s="1"/>
  <c r="C38" i="80"/>
  <c r="G38" i="80" s="1"/>
  <c r="C20" i="80"/>
  <c r="D20" i="80" s="1"/>
  <c r="C14" i="80"/>
  <c r="F14" i="80" s="1"/>
  <c r="W29" i="80"/>
  <c r="Y29" i="80" s="1"/>
  <c r="W11" i="80"/>
  <c r="AC11" i="80" s="1"/>
  <c r="W35" i="80"/>
  <c r="AC35" i="80" s="1"/>
  <c r="W23" i="80"/>
  <c r="Z23" i="80" s="1"/>
  <c r="W17" i="80"/>
  <c r="Z17" i="80" s="1"/>
  <c r="M30" i="80"/>
  <c r="O30" i="80" s="1"/>
  <c r="M18" i="80"/>
  <c r="S18" i="80" s="1"/>
  <c r="M36" i="80"/>
  <c r="R36" i="80" s="1"/>
  <c r="M12" i="80"/>
  <c r="M24" i="80"/>
  <c r="O24" i="80" s="1"/>
  <c r="M11" i="80"/>
  <c r="N11" i="80" s="1"/>
  <c r="M17" i="80"/>
  <c r="N17" i="80" s="1"/>
  <c r="M23" i="80"/>
  <c r="N23" i="80" s="1"/>
  <c r="M35" i="80"/>
  <c r="M29" i="80"/>
  <c r="I65" i="79"/>
  <c r="M32" i="80"/>
  <c r="M20" i="80"/>
  <c r="M14" i="80"/>
  <c r="M26" i="80"/>
  <c r="M38" i="80"/>
  <c r="C35" i="80"/>
  <c r="D35" i="80" s="1"/>
  <c r="C29" i="80"/>
  <c r="C17" i="80"/>
  <c r="C23" i="80"/>
  <c r="C11" i="80"/>
  <c r="C31" i="80"/>
  <c r="J31" i="80" s="1"/>
  <c r="C25" i="80"/>
  <c r="I25" i="80" s="1"/>
  <c r="C19" i="80"/>
  <c r="D19" i="80" s="1"/>
  <c r="C37" i="80"/>
  <c r="C13" i="80"/>
  <c r="F6" i="80"/>
  <c r="X6" i="80"/>
  <c r="Z6" i="80"/>
  <c r="I81" i="79"/>
  <c r="M7" i="80" s="1"/>
  <c r="I90" i="79"/>
  <c r="W5" i="80" s="1"/>
  <c r="N6" i="80"/>
  <c r="I86" i="79"/>
  <c r="N66" i="79" s="1"/>
  <c r="H90" i="63"/>
  <c r="X5" i="80"/>
  <c r="I89" i="79"/>
  <c r="W4" i="80" s="1"/>
  <c r="I78" i="79"/>
  <c r="H77" i="63"/>
  <c r="I68" i="79"/>
  <c r="H85" i="63"/>
  <c r="I77" i="79"/>
  <c r="I66" i="79"/>
  <c r="H75" i="63"/>
  <c r="H82" i="63"/>
  <c r="H87" i="63"/>
  <c r="I79" i="79"/>
  <c r="M4" i="80" s="1"/>
  <c r="H92" i="63"/>
  <c r="I80" i="79"/>
  <c r="M5" i="80" s="1"/>
  <c r="I69" i="79"/>
  <c r="C4" i="80" s="1"/>
  <c r="I71" i="79"/>
  <c r="C7" i="80" s="1"/>
  <c r="T12" i="80"/>
  <c r="AA29" i="80"/>
  <c r="Z29" i="80"/>
  <c r="E13" i="80"/>
  <c r="E37" i="80"/>
  <c r="D18" i="80"/>
  <c r="I12" i="80"/>
  <c r="I30" i="80"/>
  <c r="J36" i="80"/>
  <c r="H24" i="80"/>
  <c r="H14" i="80"/>
  <c r="M195" i="60"/>
  <c r="L195" i="60"/>
  <c r="AB29" i="80" l="1"/>
  <c r="AC29" i="80"/>
  <c r="X29" i="80"/>
  <c r="Z35" i="80"/>
  <c r="AB23" i="80"/>
  <c r="AD17" i="80"/>
  <c r="X23" i="80"/>
  <c r="AD29" i="80"/>
  <c r="D26" i="80"/>
  <c r="F26" i="80"/>
  <c r="M66" i="79"/>
  <c r="AA23" i="80"/>
  <c r="N65" i="79"/>
  <c r="AD23" i="80"/>
  <c r="AC23" i="80"/>
  <c r="C41" i="80"/>
  <c r="Y23" i="80"/>
  <c r="X35" i="80"/>
  <c r="I26" i="80"/>
  <c r="AC17" i="80"/>
  <c r="H26" i="80"/>
  <c r="Z11" i="80"/>
  <c r="Z41" i="80" s="1"/>
  <c r="AW60" i="72" s="1"/>
  <c r="Y17" i="80"/>
  <c r="E26" i="80"/>
  <c r="AA35" i="80"/>
  <c r="AA17" i="80"/>
  <c r="AD35" i="80"/>
  <c r="G26" i="80"/>
  <c r="AB17" i="80"/>
  <c r="Y35" i="80"/>
  <c r="AB35" i="80"/>
  <c r="W6" i="80"/>
  <c r="L66" i="79"/>
  <c r="W37" i="80"/>
  <c r="X37" i="80" s="1"/>
  <c r="W25" i="80"/>
  <c r="AC25" i="80" s="1"/>
  <c r="W13" i="80"/>
  <c r="AC13" i="80" s="1"/>
  <c r="W31" i="80"/>
  <c r="Y31" i="80" s="1"/>
  <c r="W19" i="80"/>
  <c r="AA19" i="80" s="1"/>
  <c r="W36" i="80"/>
  <c r="AD36" i="80" s="1"/>
  <c r="W24" i="80"/>
  <c r="AC24" i="80" s="1"/>
  <c r="W12" i="80"/>
  <c r="X12" i="80" s="1"/>
  <c r="W30" i="80"/>
  <c r="Z30" i="80" s="1"/>
  <c r="W18" i="80"/>
  <c r="AC18" i="80" s="1"/>
  <c r="AA11" i="80"/>
  <c r="N67" i="79"/>
  <c r="M31" i="80"/>
  <c r="O31" i="80" s="1"/>
  <c r="M19" i="80"/>
  <c r="P19" i="80" s="1"/>
  <c r="M13" i="80"/>
  <c r="N13" i="80" s="1"/>
  <c r="M25" i="80"/>
  <c r="T25" i="80" s="1"/>
  <c r="M37" i="80"/>
  <c r="Q37" i="80" s="1"/>
  <c r="M42" i="80"/>
  <c r="S24" i="80"/>
  <c r="X11" i="80"/>
  <c r="C6" i="80"/>
  <c r="M6" i="80"/>
  <c r="Q24" i="80"/>
  <c r="AB11" i="80"/>
  <c r="M65" i="79"/>
  <c r="W41" i="80"/>
  <c r="X17" i="80"/>
  <c r="Y11" i="80"/>
  <c r="AD11" i="80"/>
  <c r="P24" i="80"/>
  <c r="J14" i="80"/>
  <c r="G14" i="80"/>
  <c r="I14" i="80"/>
  <c r="E14" i="80"/>
  <c r="D14" i="80"/>
  <c r="E38" i="80"/>
  <c r="F32" i="80"/>
  <c r="G32" i="80"/>
  <c r="D38" i="80"/>
  <c r="I32" i="80"/>
  <c r="J38" i="80"/>
  <c r="D32" i="80"/>
  <c r="I38" i="80"/>
  <c r="J32" i="80"/>
  <c r="H38" i="80"/>
  <c r="J20" i="80"/>
  <c r="H32" i="80"/>
  <c r="F38" i="80"/>
  <c r="C44" i="80"/>
  <c r="E20" i="80"/>
  <c r="G20" i="80"/>
  <c r="I20" i="80"/>
  <c r="H20" i="80"/>
  <c r="F20" i="80"/>
  <c r="AD25" i="80"/>
  <c r="D30" i="80"/>
  <c r="N36" i="80"/>
  <c r="Q36" i="80"/>
  <c r="T36" i="80"/>
  <c r="S36" i="80"/>
  <c r="P36" i="80"/>
  <c r="G30" i="80"/>
  <c r="E30" i="80"/>
  <c r="J30" i="80"/>
  <c r="O36" i="80"/>
  <c r="H30" i="80"/>
  <c r="F30" i="80"/>
  <c r="AD18" i="80"/>
  <c r="I36" i="80"/>
  <c r="F36" i="80"/>
  <c r="I19" i="80"/>
  <c r="Q18" i="80"/>
  <c r="R18" i="80"/>
  <c r="J25" i="80"/>
  <c r="F19" i="80"/>
  <c r="H12" i="80"/>
  <c r="N30" i="80"/>
  <c r="P30" i="80"/>
  <c r="S30" i="80"/>
  <c r="F31" i="80"/>
  <c r="H31" i="80"/>
  <c r="Y18" i="80"/>
  <c r="E12" i="80"/>
  <c r="R30" i="80"/>
  <c r="Y30" i="80"/>
  <c r="G31" i="80"/>
  <c r="X18" i="80"/>
  <c r="G12" i="80"/>
  <c r="E25" i="80"/>
  <c r="I31" i="80"/>
  <c r="F25" i="80"/>
  <c r="D12" i="80"/>
  <c r="P37" i="80"/>
  <c r="D31" i="80"/>
  <c r="AB18" i="80"/>
  <c r="J12" i="80"/>
  <c r="T30" i="80"/>
  <c r="AB30" i="80"/>
  <c r="E31" i="80"/>
  <c r="F12" i="80"/>
  <c r="AA18" i="80"/>
  <c r="Q30" i="80"/>
  <c r="G25" i="80"/>
  <c r="D24" i="80"/>
  <c r="D13" i="80"/>
  <c r="R24" i="80"/>
  <c r="D36" i="80"/>
  <c r="E24" i="80"/>
  <c r="F13" i="80"/>
  <c r="T24" i="80"/>
  <c r="G24" i="80"/>
  <c r="G13" i="80"/>
  <c r="J24" i="80"/>
  <c r="I24" i="80"/>
  <c r="I13" i="80"/>
  <c r="H13" i="80"/>
  <c r="N24" i="80"/>
  <c r="F24" i="80"/>
  <c r="J13" i="80"/>
  <c r="J18" i="80"/>
  <c r="G36" i="80"/>
  <c r="J19" i="80"/>
  <c r="E36" i="80"/>
  <c r="Z13" i="80"/>
  <c r="D25" i="80"/>
  <c r="H25" i="80"/>
  <c r="H36" i="80"/>
  <c r="T19" i="80"/>
  <c r="X13" i="80"/>
  <c r="H37" i="80"/>
  <c r="D37" i="80"/>
  <c r="C43" i="80"/>
  <c r="R12" i="80"/>
  <c r="AA37" i="80"/>
  <c r="H18" i="80"/>
  <c r="Q12" i="80"/>
  <c r="N18" i="80"/>
  <c r="J37" i="80"/>
  <c r="G19" i="80"/>
  <c r="Z37" i="80"/>
  <c r="R25" i="80"/>
  <c r="AB32" i="80"/>
  <c r="AA32" i="80"/>
  <c r="AC32" i="80"/>
  <c r="Z32" i="80"/>
  <c r="AD32" i="80"/>
  <c r="Y32" i="80"/>
  <c r="X32" i="80"/>
  <c r="Q26" i="80"/>
  <c r="N26" i="80"/>
  <c r="R26" i="80"/>
  <c r="T26" i="80"/>
  <c r="S26" i="80"/>
  <c r="O26" i="80"/>
  <c r="P26" i="80"/>
  <c r="F23" i="80"/>
  <c r="D23" i="80"/>
  <c r="G23" i="80"/>
  <c r="H23" i="80"/>
  <c r="I23" i="80"/>
  <c r="J23" i="80"/>
  <c r="E23" i="80"/>
  <c r="Z26" i="80"/>
  <c r="AC26" i="80"/>
  <c r="AA26" i="80"/>
  <c r="X26" i="80"/>
  <c r="AB26" i="80"/>
  <c r="Y26" i="80"/>
  <c r="AD26" i="80"/>
  <c r="Z38" i="80"/>
  <c r="AD38" i="80"/>
  <c r="AA38" i="80"/>
  <c r="X38" i="80"/>
  <c r="AC38" i="80"/>
  <c r="AB38" i="80"/>
  <c r="Y38" i="80"/>
  <c r="P38" i="80"/>
  <c r="S38" i="80"/>
  <c r="R38" i="80"/>
  <c r="Q38" i="80"/>
  <c r="T38" i="80"/>
  <c r="O38" i="80"/>
  <c r="N38" i="80"/>
  <c r="C42" i="80"/>
  <c r="P12" i="80"/>
  <c r="O18" i="80"/>
  <c r="G37" i="80"/>
  <c r="H19" i="80"/>
  <c r="Y37" i="80"/>
  <c r="Z14" i="80"/>
  <c r="Y14" i="80"/>
  <c r="AC14" i="80"/>
  <c r="AA14" i="80"/>
  <c r="AB14" i="80"/>
  <c r="AD14" i="80"/>
  <c r="X14" i="80"/>
  <c r="T35" i="80"/>
  <c r="P35" i="80"/>
  <c r="R35" i="80"/>
  <c r="N35" i="80"/>
  <c r="O35" i="80"/>
  <c r="S35" i="80"/>
  <c r="Q35" i="80"/>
  <c r="N14" i="80"/>
  <c r="P14" i="80"/>
  <c r="O14" i="80"/>
  <c r="Q14" i="80"/>
  <c r="R14" i="80"/>
  <c r="T14" i="80"/>
  <c r="S14" i="80"/>
  <c r="D17" i="80"/>
  <c r="G17" i="80"/>
  <c r="F17" i="80"/>
  <c r="E17" i="80"/>
  <c r="J17" i="80"/>
  <c r="H17" i="80"/>
  <c r="I17" i="80"/>
  <c r="I35" i="80"/>
  <c r="H35" i="80"/>
  <c r="J35" i="80"/>
  <c r="E35" i="80"/>
  <c r="G35" i="80"/>
  <c r="F35" i="80"/>
  <c r="F29" i="80"/>
  <c r="D29" i="80"/>
  <c r="E29" i="80"/>
  <c r="G29" i="80"/>
  <c r="I29" i="80"/>
  <c r="H29" i="80"/>
  <c r="J29" i="80"/>
  <c r="G18" i="80"/>
  <c r="F37" i="80"/>
  <c r="E19" i="80"/>
  <c r="Z31" i="80"/>
  <c r="Q25" i="80"/>
  <c r="Y20" i="80"/>
  <c r="AC20" i="80"/>
  <c r="X20" i="80"/>
  <c r="AA20" i="80"/>
  <c r="AB20" i="80"/>
  <c r="AD20" i="80"/>
  <c r="Z20" i="80"/>
  <c r="W44" i="80"/>
  <c r="R23" i="80"/>
  <c r="S23" i="80"/>
  <c r="T23" i="80"/>
  <c r="O23" i="80"/>
  <c r="Q23" i="80"/>
  <c r="P23" i="80"/>
  <c r="N20" i="80"/>
  <c r="O20" i="80"/>
  <c r="R20" i="80"/>
  <c r="Q20" i="80"/>
  <c r="P20" i="80"/>
  <c r="T20" i="80"/>
  <c r="S20" i="80"/>
  <c r="M44" i="80"/>
  <c r="G11" i="80"/>
  <c r="F11" i="80"/>
  <c r="D11" i="80"/>
  <c r="J11" i="80"/>
  <c r="H11" i="80"/>
  <c r="I11" i="80"/>
  <c r="E11" i="80"/>
  <c r="S25" i="80"/>
  <c r="F18" i="80"/>
  <c r="O12" i="80"/>
  <c r="P18" i="80"/>
  <c r="I37" i="80"/>
  <c r="AC37" i="80"/>
  <c r="O25" i="80"/>
  <c r="O29" i="80"/>
  <c r="Q29" i="80"/>
  <c r="P29" i="80"/>
  <c r="S29" i="80"/>
  <c r="R29" i="80"/>
  <c r="N29" i="80"/>
  <c r="T29" i="80"/>
  <c r="E18" i="80"/>
  <c r="S12" i="80"/>
  <c r="T18" i="80"/>
  <c r="AB37" i="80"/>
  <c r="R11" i="80"/>
  <c r="O11" i="80"/>
  <c r="T11" i="80"/>
  <c r="P11" i="80"/>
  <c r="Q11" i="80"/>
  <c r="S11" i="80"/>
  <c r="P32" i="80"/>
  <c r="O32" i="80"/>
  <c r="R32" i="80"/>
  <c r="N32" i="80"/>
  <c r="S32" i="80"/>
  <c r="T32" i="80"/>
  <c r="Q32" i="80"/>
  <c r="I18" i="80"/>
  <c r="N12" i="80"/>
  <c r="R17" i="80"/>
  <c r="P17" i="80"/>
  <c r="Q17" i="80"/>
  <c r="T17" i="80"/>
  <c r="S17" i="80"/>
  <c r="M41" i="80"/>
  <c r="O17" i="80"/>
  <c r="AC41" i="80" l="1"/>
  <c r="O13" i="80"/>
  <c r="AD12" i="80"/>
  <c r="R41" i="80"/>
  <c r="T13" i="80"/>
  <c r="P13" i="80"/>
  <c r="P15" i="80" s="1"/>
  <c r="R31" i="80"/>
  <c r="R33" i="80" s="1"/>
  <c r="S31" i="80"/>
  <c r="R13" i="80"/>
  <c r="R43" i="80" s="1"/>
  <c r="T31" i="80"/>
  <c r="AB12" i="80"/>
  <c r="Q13" i="80"/>
  <c r="S13" i="80"/>
  <c r="S15" i="80" s="1"/>
  <c r="N37" i="80"/>
  <c r="N39" i="80" s="1"/>
  <c r="AX81" i="72"/>
  <c r="AX63" i="72"/>
  <c r="AW81" i="72"/>
  <c r="AX71" i="72"/>
  <c r="AW71" i="72"/>
  <c r="AW63" i="72"/>
  <c r="D21" i="80"/>
  <c r="D41" i="80"/>
  <c r="S6" i="72" s="1"/>
  <c r="S9" i="72" s="1"/>
  <c r="T9" i="72" s="1"/>
  <c r="F44" i="80"/>
  <c r="F47" i="80" s="1"/>
  <c r="E43" i="80"/>
  <c r="S116" i="72" s="1"/>
  <c r="AB36" i="80"/>
  <c r="AB39" i="80" s="1"/>
  <c r="N31" i="80"/>
  <c r="N33" i="80" s="1"/>
  <c r="Y41" i="80"/>
  <c r="AW107" i="72" s="1"/>
  <c r="X36" i="80"/>
  <c r="P31" i="80"/>
  <c r="P33" i="80" s="1"/>
  <c r="R19" i="80"/>
  <c r="Q19" i="80"/>
  <c r="Q21" i="80" s="1"/>
  <c r="AC36" i="80"/>
  <c r="AC39" i="80" s="1"/>
  <c r="AC27" i="80"/>
  <c r="AB24" i="80"/>
  <c r="Z36" i="80"/>
  <c r="AA36" i="80"/>
  <c r="Q31" i="80"/>
  <c r="Q33" i="80" s="1"/>
  <c r="AD41" i="80"/>
  <c r="AA24" i="80"/>
  <c r="Y36" i="80"/>
  <c r="Y39" i="80" s="1"/>
  <c r="AA41" i="80"/>
  <c r="AA30" i="80"/>
  <c r="Z12" i="80"/>
  <c r="Y12" i="80"/>
  <c r="AB41" i="80"/>
  <c r="AA12" i="80"/>
  <c r="AC12" i="80"/>
  <c r="AC31" i="80"/>
  <c r="AD24" i="80"/>
  <c r="O19" i="80"/>
  <c r="E44" i="80"/>
  <c r="N19" i="80"/>
  <c r="X41" i="80"/>
  <c r="AW6" i="72" s="1"/>
  <c r="M43" i="80"/>
  <c r="X24" i="80"/>
  <c r="Y24" i="80"/>
  <c r="Y27" i="80" s="1"/>
  <c r="AC30" i="80"/>
  <c r="AC33" i="80" s="1"/>
  <c r="AD31" i="80"/>
  <c r="N25" i="80"/>
  <c r="S19" i="80"/>
  <c r="S21" i="80" s="1"/>
  <c r="Z24" i="80"/>
  <c r="AD37" i="80"/>
  <c r="AD39" i="80" s="1"/>
  <c r="P25" i="80"/>
  <c r="P27" i="80" s="1"/>
  <c r="AD30" i="80"/>
  <c r="AD33" i="80" s="1"/>
  <c r="X30" i="80"/>
  <c r="Y25" i="80"/>
  <c r="AB13" i="80"/>
  <c r="X25" i="80"/>
  <c r="X31" i="80"/>
  <c r="AD13" i="80"/>
  <c r="AD15" i="80" s="1"/>
  <c r="AA25" i="80"/>
  <c r="AB25" i="80"/>
  <c r="AB27" i="80" s="1"/>
  <c r="Y13" i="80"/>
  <c r="AA31" i="80"/>
  <c r="AB31" i="80"/>
  <c r="Z25" i="80"/>
  <c r="W43" i="80"/>
  <c r="Y19" i="80"/>
  <c r="AB19" i="80"/>
  <c r="AB21" i="80" s="1"/>
  <c r="X19" i="80"/>
  <c r="X21" i="80" s="1"/>
  <c r="O37" i="80"/>
  <c r="O39" i="80" s="1"/>
  <c r="Z19" i="80"/>
  <c r="S37" i="80"/>
  <c r="W42" i="80"/>
  <c r="Z18" i="80"/>
  <c r="AD19" i="80"/>
  <c r="AD21" i="80" s="1"/>
  <c r="R37" i="80"/>
  <c r="R39" i="80" s="1"/>
  <c r="T37" i="80"/>
  <c r="T39" i="80" s="1"/>
  <c r="AC19" i="80"/>
  <c r="AA13" i="80"/>
  <c r="N27" i="80"/>
  <c r="D42" i="80"/>
  <c r="S24" i="72" s="1"/>
  <c r="D44" i="80"/>
  <c r="Q55" i="72" s="1"/>
  <c r="Q56" i="72" s="1"/>
  <c r="H44" i="80"/>
  <c r="I44" i="80"/>
  <c r="J44" i="80"/>
  <c r="G44" i="80"/>
  <c r="J33" i="80"/>
  <c r="S121" i="72"/>
  <c r="Q121" i="72"/>
  <c r="Q122" i="72" s="1"/>
  <c r="F27" i="80"/>
  <c r="G27" i="80"/>
  <c r="I15" i="80"/>
  <c r="Z15" i="80"/>
  <c r="Y33" i="80"/>
  <c r="E33" i="80"/>
  <c r="S42" i="80"/>
  <c r="F42" i="80"/>
  <c r="S93" i="72" s="1"/>
  <c r="X15" i="80"/>
  <c r="E21" i="80"/>
  <c r="F33" i="80"/>
  <c r="G43" i="80"/>
  <c r="E39" i="80"/>
  <c r="I42" i="80"/>
  <c r="P42" i="80"/>
  <c r="AH93" i="72" s="1"/>
  <c r="D33" i="80"/>
  <c r="T43" i="80"/>
  <c r="E15" i="80"/>
  <c r="H27" i="80"/>
  <c r="F39" i="80"/>
  <c r="T15" i="80"/>
  <c r="F15" i="80"/>
  <c r="J15" i="80"/>
  <c r="F43" i="80"/>
  <c r="Q27" i="80"/>
  <c r="Z33" i="80"/>
  <c r="AB33" i="80"/>
  <c r="Q42" i="80"/>
  <c r="G15" i="80"/>
  <c r="I33" i="80"/>
  <c r="T27" i="80"/>
  <c r="P39" i="80"/>
  <c r="H33" i="80"/>
  <c r="D15" i="80"/>
  <c r="I27" i="80"/>
  <c r="R42" i="80"/>
  <c r="J43" i="80"/>
  <c r="J21" i="80"/>
  <c r="AA39" i="80"/>
  <c r="H42" i="80"/>
  <c r="X39" i="80"/>
  <c r="AA33" i="80"/>
  <c r="G33" i="80"/>
  <c r="I43" i="80"/>
  <c r="O15" i="80"/>
  <c r="I21" i="80"/>
  <c r="G39" i="80"/>
  <c r="J42" i="80"/>
  <c r="G42" i="80"/>
  <c r="AB15" i="80"/>
  <c r="D39" i="80"/>
  <c r="Q15" i="80"/>
  <c r="Q39" i="80"/>
  <c r="I39" i="80"/>
  <c r="T33" i="80"/>
  <c r="O21" i="80"/>
  <c r="T42" i="80"/>
  <c r="E42" i="80"/>
  <c r="S99" i="72" s="1"/>
  <c r="J27" i="80"/>
  <c r="H15" i="80"/>
  <c r="AC43" i="80"/>
  <c r="R27" i="80"/>
  <c r="H43" i="80"/>
  <c r="D27" i="80"/>
  <c r="G21" i="80"/>
  <c r="N21" i="80"/>
  <c r="Q43" i="80"/>
  <c r="S33" i="80"/>
  <c r="J39" i="80"/>
  <c r="P21" i="80"/>
  <c r="S27" i="80"/>
  <c r="X44" i="80"/>
  <c r="S39" i="80"/>
  <c r="E27" i="80"/>
  <c r="D43" i="80"/>
  <c r="S42" i="72" s="1"/>
  <c r="O33" i="80"/>
  <c r="AA44" i="80"/>
  <c r="R44" i="80"/>
  <c r="H39" i="80"/>
  <c r="F41" i="80"/>
  <c r="O42" i="80"/>
  <c r="AH99" i="72" s="1"/>
  <c r="Z39" i="80"/>
  <c r="N15" i="80"/>
  <c r="AC44" i="80"/>
  <c r="N44" i="80"/>
  <c r="H21" i="80"/>
  <c r="I41" i="80"/>
  <c r="AC21" i="80"/>
  <c r="O27" i="80"/>
  <c r="AA21" i="80"/>
  <c r="S41" i="80"/>
  <c r="O44" i="80"/>
  <c r="Y44" i="80"/>
  <c r="Q41" i="80"/>
  <c r="T41" i="80"/>
  <c r="P41" i="80"/>
  <c r="AH60" i="72" s="1"/>
  <c r="S44" i="80"/>
  <c r="Z44" i="80"/>
  <c r="T44" i="80"/>
  <c r="AD44" i="80"/>
  <c r="H41" i="80"/>
  <c r="N42" i="80"/>
  <c r="AH24" i="72" s="1"/>
  <c r="T21" i="80"/>
  <c r="F21" i="80"/>
  <c r="N41" i="80"/>
  <c r="AH6" i="72" s="1"/>
  <c r="P44" i="80"/>
  <c r="AB44" i="80"/>
  <c r="J41" i="80"/>
  <c r="R21" i="80"/>
  <c r="O41" i="80"/>
  <c r="AH107" i="72" s="1"/>
  <c r="Q44" i="80"/>
  <c r="E41" i="80"/>
  <c r="S107" i="72" s="1"/>
  <c r="Q116" i="72"/>
  <c r="N43" i="80" l="1"/>
  <c r="AH42" i="72" s="1"/>
  <c r="Z42" i="80"/>
  <c r="AW93" i="72" s="1"/>
  <c r="AX96" i="72" s="1"/>
  <c r="Y15" i="80"/>
  <c r="AD42" i="80"/>
  <c r="X42" i="80"/>
  <c r="AW24" i="72" s="1"/>
  <c r="AC42" i="80"/>
  <c r="R15" i="80"/>
  <c r="AI96" i="72"/>
  <c r="AH96" i="72"/>
  <c r="Y43" i="80"/>
  <c r="AW116" i="72" s="1"/>
  <c r="AB42" i="80"/>
  <c r="AB45" i="80" s="1"/>
  <c r="G8" i="60" s="1"/>
  <c r="T96" i="72"/>
  <c r="S96" i="72"/>
  <c r="AI51" i="72"/>
  <c r="AH51" i="72"/>
  <c r="O43" i="80"/>
  <c r="AH116" i="72" s="1"/>
  <c r="S43" i="80"/>
  <c r="AW9" i="72"/>
  <c r="AX9" i="72" s="1"/>
  <c r="AW12" i="72"/>
  <c r="AX12" i="72" s="1"/>
  <c r="AW55" i="72"/>
  <c r="AU55" i="72"/>
  <c r="AW121" i="72"/>
  <c r="AU121" i="72"/>
  <c r="AU122" i="72" s="1"/>
  <c r="AU123" i="72" s="1"/>
  <c r="AU124" i="72" s="1"/>
  <c r="AF55" i="72"/>
  <c r="AH55" i="72"/>
  <c r="AH121" i="72"/>
  <c r="AF121" i="72"/>
  <c r="AF122" i="72" s="1"/>
  <c r="AF123" i="72" s="1"/>
  <c r="AF124" i="72" s="1"/>
  <c r="AH12" i="72"/>
  <c r="AH9" i="72"/>
  <c r="AI34" i="72"/>
  <c r="AI27" i="72"/>
  <c r="AH34" i="72"/>
  <c r="AH27" i="72"/>
  <c r="AI71" i="72"/>
  <c r="AI63" i="72"/>
  <c r="AI81" i="72"/>
  <c r="AH81" i="72"/>
  <c r="AH71" i="72"/>
  <c r="AH63" i="72"/>
  <c r="T34" i="72"/>
  <c r="AA42" i="80"/>
  <c r="AA45" i="80" s="1"/>
  <c r="P43" i="80"/>
  <c r="Z27" i="80"/>
  <c r="Y42" i="80"/>
  <c r="AW99" i="72" s="1"/>
  <c r="AD27" i="80"/>
  <c r="AC15" i="80"/>
  <c r="X33" i="80"/>
  <c r="AA15" i="80"/>
  <c r="Z21" i="80"/>
  <c r="X27" i="80"/>
  <c r="Y21" i="80"/>
  <c r="AD43" i="80"/>
  <c r="Z43" i="80"/>
  <c r="S55" i="72"/>
  <c r="AB43" i="80"/>
  <c r="AA43" i="80"/>
  <c r="AA27" i="80"/>
  <c r="X43" i="80"/>
  <c r="AW42" i="72" s="1"/>
  <c r="S12" i="72"/>
  <c r="T12" i="72" s="1"/>
  <c r="J45" i="80"/>
  <c r="E10" i="60" s="1"/>
  <c r="Q58" i="72"/>
  <c r="Q57" i="72"/>
  <c r="I45" i="80"/>
  <c r="P45" i="80"/>
  <c r="G45" i="80"/>
  <c r="AA21" i="29" s="1"/>
  <c r="AA22" i="29" s="1"/>
  <c r="H45" i="80"/>
  <c r="E8" i="60" s="1"/>
  <c r="AC45" i="80"/>
  <c r="O45" i="80"/>
  <c r="R45" i="80"/>
  <c r="F8" i="60" s="1"/>
  <c r="F41" i="54" s="1"/>
  <c r="AM133" i="72" s="1"/>
  <c r="AA63" i="15" s="1"/>
  <c r="F45" i="80"/>
  <c r="S45" i="80"/>
  <c r="T45" i="80"/>
  <c r="F10" i="60" s="1"/>
  <c r="F32" i="54" s="1"/>
  <c r="AL134" i="72" s="1"/>
  <c r="Z64" i="15" s="1"/>
  <c r="AD45" i="80"/>
  <c r="G10" i="60" s="1"/>
  <c r="G22" i="54" s="1"/>
  <c r="AZ134" i="72" s="1"/>
  <c r="AD64" i="15" s="1"/>
  <c r="Q45" i="80"/>
  <c r="D45" i="80"/>
  <c r="E45" i="80"/>
  <c r="N45" i="80" l="1"/>
  <c r="AW96" i="72"/>
  <c r="Z45" i="80"/>
  <c r="S126" i="72"/>
  <c r="S125" i="72"/>
  <c r="T21" i="29"/>
  <c r="E22" i="54"/>
  <c r="V134" i="72" s="1"/>
  <c r="H10" i="60"/>
  <c r="J10" i="60"/>
  <c r="K10" i="60"/>
  <c r="L10" i="60"/>
  <c r="I10" i="60"/>
  <c r="M10" i="60"/>
  <c r="N10" i="60"/>
  <c r="D8" i="60"/>
  <c r="H8" i="60"/>
  <c r="H31" i="54" s="1"/>
  <c r="I8" i="60"/>
  <c r="I31" i="54" s="1"/>
  <c r="J8" i="60"/>
  <c r="L8" i="60"/>
  <c r="K8" i="60"/>
  <c r="M8" i="60"/>
  <c r="N8" i="60"/>
  <c r="Y45" i="80"/>
  <c r="AW51" i="72"/>
  <c r="AX51" i="72"/>
  <c r="X45" i="80"/>
  <c r="AX27" i="72"/>
  <c r="AW27" i="72"/>
  <c r="AX34" i="72"/>
  <c r="AW34" i="72"/>
  <c r="AU58" i="72"/>
  <c r="AU57" i="72"/>
  <c r="AU56" i="72"/>
  <c r="AF58" i="72"/>
  <c r="AF57" i="72"/>
  <c r="AF56" i="72"/>
  <c r="AI9" i="72"/>
  <c r="AI12" i="72"/>
  <c r="E7" i="60"/>
  <c r="AC21" i="29"/>
  <c r="AB21" i="29"/>
  <c r="E12" i="54"/>
  <c r="U134" i="72" s="1"/>
  <c r="E32" i="54"/>
  <c r="W134" i="72" s="1"/>
  <c r="D10" i="60"/>
  <c r="E52" i="54"/>
  <c r="Y134" i="72" s="1"/>
  <c r="E42" i="54"/>
  <c r="X134" i="72" s="1"/>
  <c r="G32" i="54"/>
  <c r="BA134" i="72" s="1"/>
  <c r="AE64" i="15" s="1"/>
  <c r="G52" i="54"/>
  <c r="BC134" i="72" s="1"/>
  <c r="AG64" i="15" s="1"/>
  <c r="H22" i="54"/>
  <c r="G42" i="54"/>
  <c r="BB134" i="72" s="1"/>
  <c r="AF64" i="15" s="1"/>
  <c r="G12" i="54"/>
  <c r="AY134" i="72" s="1"/>
  <c r="AC64" i="15" s="1"/>
  <c r="G11" i="54"/>
  <c r="AY133" i="72" s="1"/>
  <c r="AC63" i="15" s="1"/>
  <c r="G31" i="54"/>
  <c r="BA133" i="72" s="1"/>
  <c r="AE63" i="15" s="1"/>
  <c r="F12" i="54"/>
  <c r="AJ134" i="72" s="1"/>
  <c r="X64" i="15" s="1"/>
  <c r="G21" i="54"/>
  <c r="AZ133" i="72" s="1"/>
  <c r="AD63" i="15" s="1"/>
  <c r="G51" i="54"/>
  <c r="BC133" i="72" s="1"/>
  <c r="AG63" i="15" s="1"/>
  <c r="G41" i="54"/>
  <c r="BB133" i="72" s="1"/>
  <c r="AF63" i="15" s="1"/>
  <c r="E21" i="54"/>
  <c r="V133" i="72" s="1"/>
  <c r="E51" i="54"/>
  <c r="Y133" i="72" s="1"/>
  <c r="E11" i="54"/>
  <c r="E41" i="54"/>
  <c r="X133" i="72" s="1"/>
  <c r="E31" i="54"/>
  <c r="W133" i="72" s="1"/>
  <c r="F22" i="54"/>
  <c r="AK134" i="72" s="1"/>
  <c r="Y64" i="15" s="1"/>
  <c r="F21" i="54"/>
  <c r="AK133" i="72" s="1"/>
  <c r="Y63" i="15" s="1"/>
  <c r="F52" i="54"/>
  <c r="AN134" i="72" s="1"/>
  <c r="AB64" i="15" s="1"/>
  <c r="F31" i="54"/>
  <c r="AL133" i="72" s="1"/>
  <c r="Z63" i="15" s="1"/>
  <c r="F51" i="54"/>
  <c r="AN133" i="72" s="1"/>
  <c r="AB63" i="15" s="1"/>
  <c r="F42" i="54"/>
  <c r="AM134" i="72" s="1"/>
  <c r="AA64" i="15" s="1"/>
  <c r="F11" i="54"/>
  <c r="H51" i="54"/>
  <c r="I21" i="54"/>
  <c r="H21" i="54" l="1"/>
  <c r="H11" i="54"/>
  <c r="I11" i="54"/>
  <c r="H41" i="54"/>
  <c r="I41" i="54"/>
  <c r="I51" i="54"/>
  <c r="D7" i="60"/>
  <c r="H7" i="60"/>
  <c r="N7" i="60"/>
  <c r="J7" i="60"/>
  <c r="M7" i="60"/>
  <c r="I7" i="60"/>
  <c r="K7" i="60"/>
  <c r="L7" i="60"/>
  <c r="S130" i="72"/>
  <c r="S127" i="72"/>
  <c r="S131" i="72"/>
  <c r="S129" i="72"/>
  <c r="S128" i="72"/>
  <c r="AJ133" i="72"/>
  <c r="X63" i="15" s="1"/>
  <c r="U133" i="72"/>
  <c r="S63" i="15" s="1"/>
  <c r="H42" i="54"/>
  <c r="E62" i="54"/>
  <c r="H52" i="54"/>
  <c r="H12" i="54"/>
  <c r="H32" i="54"/>
  <c r="G62" i="54"/>
  <c r="G61" i="54"/>
  <c r="F62" i="54"/>
  <c r="F61" i="54"/>
  <c r="E61" i="54"/>
  <c r="H61" i="54"/>
  <c r="J51" i="54"/>
  <c r="J21" i="54"/>
  <c r="J31" i="54"/>
  <c r="J41" i="54"/>
  <c r="J11" i="54"/>
  <c r="I61" i="54" l="1"/>
  <c r="H62" i="54"/>
  <c r="J61" i="54"/>
  <c r="K51" i="54"/>
  <c r="K11" i="54"/>
  <c r="K21" i="54"/>
  <c r="K31" i="54"/>
  <c r="K41" i="54"/>
  <c r="K61" i="54" l="1"/>
  <c r="L11" i="54"/>
  <c r="L41" i="54"/>
  <c r="L51" i="54"/>
  <c r="L21" i="54"/>
  <c r="L31" i="54"/>
  <c r="L61" i="54" l="1"/>
  <c r="AS3" i="63" l="1"/>
  <c r="L25" i="14" l="1"/>
  <c r="AK12" i="56"/>
  <c r="AK11" i="56"/>
  <c r="AK10" i="56"/>
  <c r="AK9" i="56"/>
  <c r="AK8" i="56"/>
  <c r="AK7" i="56"/>
  <c r="AF12" i="56"/>
  <c r="AF11" i="56"/>
  <c r="AF10" i="56"/>
  <c r="AF9" i="56"/>
  <c r="AF8" i="56"/>
  <c r="AF7" i="56"/>
  <c r="AA8" i="56"/>
  <c r="AA9" i="56"/>
  <c r="AA10" i="56"/>
  <c r="AA11" i="56"/>
  <c r="AA12" i="56"/>
  <c r="AA7" i="56"/>
  <c r="J122" i="72" l="1"/>
  <c r="J123" i="72"/>
  <c r="S123" i="72" s="1"/>
  <c r="T123" i="72" s="1"/>
  <c r="J124" i="72"/>
  <c r="S124" i="72" s="1"/>
  <c r="T124" i="72" s="1"/>
  <c r="G122" i="72"/>
  <c r="H122" i="72"/>
  <c r="I122" i="72"/>
  <c r="G123" i="72"/>
  <c r="H123" i="72"/>
  <c r="I123" i="72"/>
  <c r="G124" i="72"/>
  <c r="H124" i="72"/>
  <c r="I124" i="72"/>
  <c r="D122" i="72"/>
  <c r="E122" i="72"/>
  <c r="F122" i="72"/>
  <c r="D123" i="72"/>
  <c r="E123" i="72"/>
  <c r="F123" i="72"/>
  <c r="D124" i="72"/>
  <c r="E124" i="72"/>
  <c r="F124" i="72"/>
  <c r="B122" i="72"/>
  <c r="C122" i="72"/>
  <c r="B123" i="72"/>
  <c r="C123" i="72"/>
  <c r="B124" i="72"/>
  <c r="C124" i="72"/>
  <c r="A123" i="72"/>
  <c r="A124" i="72"/>
  <c r="A122" i="72"/>
  <c r="D53" i="11"/>
  <c r="E53" i="11"/>
  <c r="D54" i="11"/>
  <c r="E54" i="11"/>
  <c r="E52" i="11"/>
  <c r="D52" i="11"/>
  <c r="T49" i="15"/>
  <c r="V49" i="15"/>
  <c r="W49" i="15"/>
  <c r="T50" i="15"/>
  <c r="V50" i="15"/>
  <c r="W50" i="15"/>
  <c r="T51" i="15"/>
  <c r="V51" i="15"/>
  <c r="W51" i="15"/>
  <c r="S50" i="15"/>
  <c r="S51" i="15"/>
  <c r="S49" i="15"/>
  <c r="L48" i="15"/>
  <c r="M121" i="72"/>
  <c r="J56" i="72"/>
  <c r="J57" i="72"/>
  <c r="J58" i="72"/>
  <c r="I56" i="72"/>
  <c r="I57" i="72"/>
  <c r="I58" i="72"/>
  <c r="G56" i="72"/>
  <c r="H56" i="72"/>
  <c r="G57" i="72"/>
  <c r="H57" i="72"/>
  <c r="G58" i="72"/>
  <c r="H58" i="72"/>
  <c r="D56" i="72"/>
  <c r="E56" i="72"/>
  <c r="D57" i="72"/>
  <c r="E57" i="72"/>
  <c r="D58" i="72"/>
  <c r="E58" i="72"/>
  <c r="A57" i="72"/>
  <c r="A58" i="72"/>
  <c r="A56" i="72"/>
  <c r="C56" i="72"/>
  <c r="C57" i="72"/>
  <c r="C58" i="72"/>
  <c r="B57" i="72"/>
  <c r="B58" i="72"/>
  <c r="B56" i="72"/>
  <c r="T25" i="15"/>
  <c r="V25" i="15"/>
  <c r="W25" i="15"/>
  <c r="T26" i="15"/>
  <c r="V26" i="15"/>
  <c r="W26" i="15"/>
  <c r="T27" i="15"/>
  <c r="V27" i="15"/>
  <c r="W27" i="15"/>
  <c r="S26" i="15"/>
  <c r="S27" i="15"/>
  <c r="D29" i="11"/>
  <c r="E29" i="11"/>
  <c r="D30" i="11"/>
  <c r="E30" i="11"/>
  <c r="E28" i="11"/>
  <c r="D28" i="11"/>
  <c r="D26" i="11"/>
  <c r="E26" i="11"/>
  <c r="E25" i="11"/>
  <c r="D25" i="11"/>
  <c r="F7" i="75"/>
  <c r="F8" i="75"/>
  <c r="E8" i="75"/>
  <c r="E7" i="75"/>
  <c r="CA8" i="75"/>
  <c r="BK8" i="75"/>
  <c r="BI8" i="75"/>
  <c r="BE8" i="75"/>
  <c r="BD8" i="75"/>
  <c r="BC8" i="75"/>
  <c r="BB8" i="75"/>
  <c r="BA8" i="75"/>
  <c r="K8" i="75"/>
  <c r="K7" i="75"/>
  <c r="CA7" i="75"/>
  <c r="BK7" i="75"/>
  <c r="BI7" i="75"/>
  <c r="BE7" i="75"/>
  <c r="BD7" i="75"/>
  <c r="BC7" i="75"/>
  <c r="BB7" i="75"/>
  <c r="BA7" i="75"/>
  <c r="CA6" i="75"/>
  <c r="BK6" i="75"/>
  <c r="BI6" i="75"/>
  <c r="BE6" i="75"/>
  <c r="BD6" i="75"/>
  <c r="BC6" i="75"/>
  <c r="BB6" i="75"/>
  <c r="BA6" i="75"/>
  <c r="N6" i="75"/>
  <c r="F27" i="15"/>
  <c r="F58" i="72" s="1"/>
  <c r="F26" i="15"/>
  <c r="F57" i="72" s="1"/>
  <c r="F25" i="15"/>
  <c r="F56" i="72" s="1"/>
  <c r="L24" i="15"/>
  <c r="S122" i="72" l="1"/>
  <c r="T122" i="72" s="1"/>
  <c r="AH58" i="72"/>
  <c r="AW58" i="72"/>
  <c r="AX58" i="72" s="1"/>
  <c r="AH57" i="72"/>
  <c r="AL57" i="72" s="1"/>
  <c r="Z26" i="15" s="1"/>
  <c r="AW57" i="72"/>
  <c r="AX57" i="72" s="1"/>
  <c r="AH56" i="72"/>
  <c r="AW56" i="72"/>
  <c r="AX56" i="72" s="1"/>
  <c r="AW124" i="72"/>
  <c r="AX124" i="72" s="1"/>
  <c r="AH124" i="72"/>
  <c r="AI124" i="72" s="1"/>
  <c r="AW123" i="72"/>
  <c r="AX123" i="72" s="1"/>
  <c r="AH123" i="72"/>
  <c r="AW122" i="72"/>
  <c r="AX122" i="72" s="1"/>
  <c r="AH122" i="72"/>
  <c r="S56" i="72"/>
  <c r="T56" i="72" s="1"/>
  <c r="AI58" i="72"/>
  <c r="S58" i="72"/>
  <c r="T58" i="72" s="1"/>
  <c r="S57" i="72"/>
  <c r="T57" i="72" s="1"/>
  <c r="B81" i="11"/>
  <c r="B82" i="11"/>
  <c r="E81" i="11"/>
  <c r="E82" i="11"/>
  <c r="D81" i="11"/>
  <c r="D82" i="11"/>
  <c r="E79" i="11"/>
  <c r="D79" i="11"/>
  <c r="B77" i="11"/>
  <c r="E77" i="11"/>
  <c r="D77" i="11"/>
  <c r="B68" i="11"/>
  <c r="B69" i="11"/>
  <c r="D69" i="11"/>
  <c r="E69" i="11"/>
  <c r="B70" i="11"/>
  <c r="D70" i="11"/>
  <c r="E70" i="11"/>
  <c r="B71" i="11"/>
  <c r="D71" i="11"/>
  <c r="E71" i="11"/>
  <c r="B72" i="11"/>
  <c r="D72" i="11"/>
  <c r="E72" i="11"/>
  <c r="B73" i="11"/>
  <c r="D73" i="11"/>
  <c r="E73" i="11"/>
  <c r="B74" i="11"/>
  <c r="D74" i="11"/>
  <c r="E74" i="11"/>
  <c r="B75" i="11"/>
  <c r="B67" i="11"/>
  <c r="D67" i="11"/>
  <c r="E67" i="11"/>
  <c r="E66" i="11"/>
  <c r="D66" i="11"/>
  <c r="B66" i="11"/>
  <c r="E48" i="11"/>
  <c r="D48" i="11"/>
  <c r="B48" i="11"/>
  <c r="E46" i="11"/>
  <c r="D46" i="11"/>
  <c r="B46" i="11"/>
  <c r="E41" i="11"/>
  <c r="D41" i="11"/>
  <c r="B41" i="11"/>
  <c r="E38" i="11"/>
  <c r="D38" i="11"/>
  <c r="B38" i="11"/>
  <c r="E36" i="11"/>
  <c r="D36" i="11"/>
  <c r="B36" i="11"/>
  <c r="E23" i="11"/>
  <c r="D23" i="11"/>
  <c r="B23" i="11"/>
  <c r="E21" i="11"/>
  <c r="D21" i="11"/>
  <c r="B21" i="11"/>
  <c r="E17" i="11"/>
  <c r="D17" i="11"/>
  <c r="B17" i="11"/>
  <c r="E15" i="11"/>
  <c r="D15" i="11"/>
  <c r="B15" i="11"/>
  <c r="E13" i="11"/>
  <c r="D13" i="11"/>
  <c r="B13" i="11"/>
  <c r="E10" i="11"/>
  <c r="D10" i="11"/>
  <c r="B10" i="11"/>
  <c r="AL56" i="72" l="1"/>
  <c r="Z25" i="15" s="1"/>
  <c r="AI56" i="72"/>
  <c r="AQ56" i="72" s="1"/>
  <c r="BA122" i="72"/>
  <c r="AE49" i="15" s="1"/>
  <c r="AL122" i="72"/>
  <c r="AI122" i="72"/>
  <c r="AQ122" i="72" s="1"/>
  <c r="AL123" i="72"/>
  <c r="AI123" i="72"/>
  <c r="AI57" i="72"/>
  <c r="AQ57" i="72" s="1"/>
  <c r="BA56" i="72"/>
  <c r="AE25" i="15" s="1"/>
  <c r="BF56" i="72"/>
  <c r="BA123" i="72"/>
  <c r="AE50" i="15" s="1"/>
  <c r="BF122" i="72"/>
  <c r="BF57" i="72"/>
  <c r="BA57" i="72"/>
  <c r="AE26" i="15" s="1"/>
  <c r="BA124" i="72"/>
  <c r="AE51" i="15" s="1"/>
  <c r="W56" i="72"/>
  <c r="AQ58" i="72"/>
  <c r="AL58" i="72"/>
  <c r="Z27" i="15" s="1"/>
  <c r="B55" i="54"/>
  <c r="B54" i="54"/>
  <c r="B53" i="54"/>
  <c r="B52" i="54"/>
  <c r="B51" i="54"/>
  <c r="B50" i="54"/>
  <c r="B49" i="54"/>
  <c r="B48" i="54"/>
  <c r="B47" i="54"/>
  <c r="B45" i="54"/>
  <c r="B44" i="54"/>
  <c r="B43" i="54"/>
  <c r="B42" i="54"/>
  <c r="B41" i="54"/>
  <c r="B40" i="54"/>
  <c r="B39" i="54"/>
  <c r="B38" i="54"/>
  <c r="B37" i="54"/>
  <c r="B35" i="54"/>
  <c r="B34" i="54"/>
  <c r="B33" i="54"/>
  <c r="B32" i="54"/>
  <c r="B31" i="54"/>
  <c r="B30" i="54"/>
  <c r="B29" i="54"/>
  <c r="B28" i="54"/>
  <c r="B27" i="54"/>
  <c r="B25" i="54"/>
  <c r="B24" i="54"/>
  <c r="B23" i="54"/>
  <c r="B22" i="54"/>
  <c r="B21" i="54"/>
  <c r="B20" i="54"/>
  <c r="B19" i="54"/>
  <c r="B18" i="54"/>
  <c r="B17" i="54"/>
  <c r="B15" i="54"/>
  <c r="B14" i="54"/>
  <c r="B13" i="54"/>
  <c r="B12" i="54"/>
  <c r="B11" i="54"/>
  <c r="B10" i="54"/>
  <c r="B9" i="54"/>
  <c r="B8" i="54"/>
  <c r="B7" i="54"/>
  <c r="BF58" i="72" l="1"/>
  <c r="BA58" i="72"/>
  <c r="AE27" i="15" s="1"/>
  <c r="I49" i="14"/>
  <c r="I42" i="14"/>
  <c r="I35" i="14"/>
  <c r="I28" i="14"/>
  <c r="I21" i="14"/>
  <c r="L54" i="14"/>
  <c r="L53" i="14"/>
  <c r="L52" i="14"/>
  <c r="K51" i="14"/>
  <c r="K50" i="14"/>
  <c r="K49" i="14"/>
  <c r="L47" i="14"/>
  <c r="L46" i="14"/>
  <c r="L45" i="14"/>
  <c r="K44" i="14"/>
  <c r="K43" i="14"/>
  <c r="K42" i="14"/>
  <c r="L40" i="14"/>
  <c r="L39" i="14"/>
  <c r="L38" i="14"/>
  <c r="K37" i="14"/>
  <c r="K36" i="14"/>
  <c r="K35" i="14"/>
  <c r="L33" i="14"/>
  <c r="L32" i="14"/>
  <c r="L31" i="14"/>
  <c r="K30" i="14"/>
  <c r="K29" i="14"/>
  <c r="K28" i="14"/>
  <c r="L26" i="14"/>
  <c r="L24" i="14"/>
  <c r="K23" i="14"/>
  <c r="K22" i="14"/>
  <c r="K21" i="14"/>
  <c r="I48" i="14" l="1"/>
  <c r="I41" i="14"/>
  <c r="I34" i="14"/>
  <c r="I27" i="14"/>
  <c r="I20" i="14"/>
  <c r="I16" i="14"/>
  <c r="I7" i="14"/>
  <c r="J8" i="56"/>
  <c r="J9" i="56"/>
  <c r="J10" i="56"/>
  <c r="J11" i="56"/>
  <c r="J12" i="56"/>
  <c r="J7" i="56"/>
  <c r="Q126" i="72" l="1"/>
  <c r="O134" i="72" l="1"/>
  <c r="K134" i="72"/>
  <c r="J134" i="72"/>
  <c r="N134" i="72"/>
  <c r="G134" i="72"/>
  <c r="H134" i="72"/>
  <c r="F134" i="72"/>
  <c r="C134" i="72"/>
  <c r="D134" i="72"/>
  <c r="B134" i="72"/>
  <c r="J118" i="72" l="1"/>
  <c r="R118" i="72"/>
  <c r="J109" i="72"/>
  <c r="Q107" i="72"/>
  <c r="R109" i="72" s="1"/>
  <c r="M107" i="72"/>
  <c r="J101" i="72"/>
  <c r="Q99" i="72"/>
  <c r="R101" i="72" s="1"/>
  <c r="M99" i="72"/>
  <c r="M93" i="72"/>
  <c r="M60" i="72"/>
  <c r="M55" i="72" s="1"/>
  <c r="J45" i="72"/>
  <c r="M42" i="72"/>
  <c r="M24" i="72"/>
  <c r="M6" i="72"/>
  <c r="T101" i="72" l="1"/>
  <c r="T118" i="72"/>
  <c r="T109" i="72"/>
  <c r="S109" i="72"/>
  <c r="AX45" i="72"/>
  <c r="AW45" i="72"/>
  <c r="AI45" i="72"/>
  <c r="AH45" i="72"/>
  <c r="AI101" i="72"/>
  <c r="AH101" i="72"/>
  <c r="AX101" i="72"/>
  <c r="AW101" i="72"/>
  <c r="AX109" i="72"/>
  <c r="AW109" i="72"/>
  <c r="AI109" i="72"/>
  <c r="AH109" i="72"/>
  <c r="AX118" i="72"/>
  <c r="AW118" i="72"/>
  <c r="AI118" i="72"/>
  <c r="AH118" i="72"/>
  <c r="S101" i="72"/>
  <c r="S118" i="72"/>
  <c r="AX98" i="72" l="1"/>
  <c r="G5" i="60" s="1"/>
  <c r="AI98" i="72"/>
  <c r="F5" i="60" s="1"/>
  <c r="AP30" i="63"/>
  <c r="AQ30" i="63"/>
  <c r="AR30" i="63"/>
  <c r="AN30" i="63"/>
  <c r="AO30" i="63"/>
  <c r="AM30" i="63"/>
  <c r="AL30" i="63"/>
  <c r="AK30" i="63"/>
  <c r="AJ30" i="63"/>
  <c r="AH30" i="63"/>
  <c r="AI30" i="63"/>
  <c r="AB30" i="63"/>
  <c r="AC30" i="63"/>
  <c r="AD30" i="63"/>
  <c r="AE30" i="63"/>
  <c r="AF30" i="63"/>
  <c r="AG30" i="63"/>
  <c r="P30" i="63"/>
  <c r="Q30" i="63"/>
  <c r="R30" i="63"/>
  <c r="S30" i="63"/>
  <c r="T30" i="63"/>
  <c r="U30" i="63"/>
  <c r="V30" i="63"/>
  <c r="W30" i="63"/>
  <c r="X30" i="63"/>
  <c r="Y30" i="63"/>
  <c r="Z30" i="63"/>
  <c r="AA30" i="63"/>
  <c r="G30" i="63"/>
  <c r="H30" i="63"/>
  <c r="I30" i="63"/>
  <c r="J30" i="63"/>
  <c r="K30" i="63"/>
  <c r="L30" i="63"/>
  <c r="M30" i="63"/>
  <c r="O30" i="63"/>
  <c r="N30" i="63"/>
  <c r="R51" i="72" l="1"/>
  <c r="T45" i="72"/>
  <c r="T31" i="63"/>
  <c r="AJ31" i="63"/>
  <c r="AR31" i="63"/>
  <c r="AB31" i="63"/>
  <c r="B130" i="72"/>
  <c r="Q123" i="72" l="1"/>
  <c r="Q124" i="72" s="1"/>
  <c r="W57" i="72" l="1"/>
  <c r="U26" i="15" s="1"/>
  <c r="W58" i="72"/>
  <c r="U27" i="15" s="1"/>
  <c r="U25" i="15"/>
  <c r="AB57" i="72" l="1"/>
  <c r="T98" i="72"/>
  <c r="E5" i="60" s="1"/>
  <c r="H5" i="60" s="1"/>
  <c r="AB58" i="72"/>
  <c r="AB122" i="72"/>
  <c r="W122" i="72"/>
  <c r="U49" i="15" s="1"/>
  <c r="W124" i="72"/>
  <c r="U51" i="15" s="1"/>
  <c r="AB124" i="72"/>
  <c r="W123" i="72"/>
  <c r="U50" i="15" s="1"/>
  <c r="AB123" i="72"/>
  <c r="AB56" i="72"/>
  <c r="D5" i="60" l="1"/>
  <c r="N5" i="60"/>
  <c r="K5" i="60"/>
  <c r="M5" i="60"/>
  <c r="J5" i="60"/>
  <c r="L5" i="60"/>
  <c r="I5" i="60"/>
  <c r="AQ124" i="72"/>
  <c r="AL124" i="72"/>
  <c r="Z51" i="15" s="1"/>
  <c r="Z49" i="15"/>
  <c r="Z50" i="15"/>
  <c r="AQ123" i="72"/>
  <c r="E55" i="54"/>
  <c r="AD98" i="72" s="1"/>
  <c r="E25" i="54" l="1"/>
  <c r="AA98" i="72" s="1"/>
  <c r="BF123" i="72"/>
  <c r="E15" i="54"/>
  <c r="Z98" i="72" s="1"/>
  <c r="E45" i="54"/>
  <c r="AC98" i="72" s="1"/>
  <c r="E35" i="54"/>
  <c r="AB98" i="72" s="1"/>
  <c r="BF124" i="72"/>
  <c r="F45" i="54"/>
  <c r="AR98" i="72" s="1"/>
  <c r="F15" i="54"/>
  <c r="AO98" i="72" s="1"/>
  <c r="F35" i="54"/>
  <c r="AQ98" i="72" s="1"/>
  <c r="F55" i="54"/>
  <c r="AS98" i="72" s="1"/>
  <c r="F25" i="54"/>
  <c r="AP98" i="72" s="1"/>
  <c r="AK118" i="72" l="1"/>
  <c r="Y47" i="15" s="1"/>
  <c r="AP118" i="72"/>
  <c r="AK109" i="72"/>
  <c r="Y45" i="15" s="1"/>
  <c r="AP109" i="72"/>
  <c r="AK101" i="72"/>
  <c r="Y43" i="15" s="1"/>
  <c r="AP101" i="72"/>
  <c r="AN118" i="72"/>
  <c r="AB47" i="15" s="1"/>
  <c r="AS118" i="72"/>
  <c r="AN109" i="72"/>
  <c r="AB45" i="15" s="1"/>
  <c r="AS109" i="72"/>
  <c r="AN101" i="72"/>
  <c r="AB43" i="15" s="1"/>
  <c r="AS101" i="72"/>
  <c r="AL118" i="72"/>
  <c r="Z47" i="15" s="1"/>
  <c r="AQ118" i="72"/>
  <c r="AL109" i="72"/>
  <c r="Z45" i="15" s="1"/>
  <c r="AQ109" i="72"/>
  <c r="AL101" i="72"/>
  <c r="Z43" i="15" s="1"/>
  <c r="AQ101" i="72"/>
  <c r="AJ118" i="72"/>
  <c r="X47" i="15" s="1"/>
  <c r="AO118" i="72"/>
  <c r="AJ109" i="72"/>
  <c r="X45" i="15" s="1"/>
  <c r="AO109" i="72"/>
  <c r="AJ101" i="72"/>
  <c r="X43" i="15" s="1"/>
  <c r="AO101" i="72"/>
  <c r="AM118" i="72"/>
  <c r="AA47" i="15" s="1"/>
  <c r="AR118" i="72"/>
  <c r="AM109" i="72"/>
  <c r="AA45" i="15" s="1"/>
  <c r="AR109" i="72"/>
  <c r="AM101" i="72"/>
  <c r="AA43" i="15" s="1"/>
  <c r="AR101" i="72"/>
  <c r="E65" i="54"/>
  <c r="F65" i="54"/>
  <c r="G35" i="54"/>
  <c r="BF98" i="72" s="1"/>
  <c r="G45" i="54"/>
  <c r="BG98" i="72" s="1"/>
  <c r="G15" i="54"/>
  <c r="BD98" i="72" s="1"/>
  <c r="BD101" i="72" s="1"/>
  <c r="G55" i="54"/>
  <c r="BH98" i="72" s="1"/>
  <c r="G25" i="54"/>
  <c r="BE98" i="72" s="1"/>
  <c r="AS99" i="72" l="1"/>
  <c r="AR99" i="72"/>
  <c r="BE118" i="72"/>
  <c r="AZ118" i="72"/>
  <c r="AD47" i="15" s="1"/>
  <c r="BE109" i="72"/>
  <c r="AZ109" i="72"/>
  <c r="AD45" i="15" s="1"/>
  <c r="AZ101" i="72"/>
  <c r="AD43" i="15" s="1"/>
  <c r="BE101" i="72"/>
  <c r="BD118" i="72"/>
  <c r="AY118" i="72"/>
  <c r="AC47" i="15" s="1"/>
  <c r="AY109" i="72"/>
  <c r="AC45" i="15" s="1"/>
  <c r="AY101" i="72"/>
  <c r="AC43" i="15" s="1"/>
  <c r="BD109" i="72"/>
  <c r="BH118" i="72"/>
  <c r="BC118" i="72"/>
  <c r="AG47" i="15" s="1"/>
  <c r="BH101" i="72"/>
  <c r="BC101" i="72"/>
  <c r="AG43" i="15" s="1"/>
  <c r="BH109" i="72"/>
  <c r="BC109" i="72"/>
  <c r="AG45" i="15" s="1"/>
  <c r="BG118" i="72"/>
  <c r="BB118" i="72"/>
  <c r="AF47" i="15" s="1"/>
  <c r="BB101" i="72"/>
  <c r="AF43" i="15" s="1"/>
  <c r="BG109" i="72"/>
  <c r="BG101" i="72"/>
  <c r="BB109" i="72"/>
  <c r="AF45" i="15" s="1"/>
  <c r="BF118" i="72"/>
  <c r="BA118" i="72"/>
  <c r="AE47" i="15" s="1"/>
  <c r="BF109" i="72"/>
  <c r="BA101" i="72"/>
  <c r="AE43" i="15" s="1"/>
  <c r="BF101" i="72"/>
  <c r="BA109" i="72"/>
  <c r="AE45" i="15" s="1"/>
  <c r="AO99" i="72"/>
  <c r="AP99" i="72"/>
  <c r="AQ99" i="72"/>
  <c r="G65" i="54"/>
  <c r="H35" i="54"/>
  <c r="H45" i="54"/>
  <c r="H15" i="54"/>
  <c r="H25" i="54"/>
  <c r="H55" i="54"/>
  <c r="BH99" i="72" l="1"/>
  <c r="BG99" i="72"/>
  <c r="BE99" i="72"/>
  <c r="BF99" i="72"/>
  <c r="BD99" i="72"/>
  <c r="H65" i="54"/>
  <c r="I25" i="54"/>
  <c r="I35" i="54"/>
  <c r="I45" i="54"/>
  <c r="I15" i="54"/>
  <c r="I55" i="54"/>
  <c r="I52" i="54"/>
  <c r="I22" i="54"/>
  <c r="I32" i="54"/>
  <c r="I42" i="54"/>
  <c r="I12" i="54"/>
  <c r="I65" i="54" l="1"/>
  <c r="I62" i="54"/>
  <c r="J12" i="54"/>
  <c r="J52" i="54"/>
  <c r="J22" i="54"/>
  <c r="J42" i="54"/>
  <c r="J32" i="54"/>
  <c r="J55" i="54"/>
  <c r="J25" i="54"/>
  <c r="J35" i="54"/>
  <c r="J45" i="54"/>
  <c r="J15" i="54"/>
  <c r="J65" i="54" l="1"/>
  <c r="J62" i="54"/>
  <c r="K42" i="54"/>
  <c r="K12" i="54"/>
  <c r="K52" i="54"/>
  <c r="K22" i="54"/>
  <c r="K32" i="54"/>
  <c r="K55" i="54"/>
  <c r="K25" i="54"/>
  <c r="K15" i="54"/>
  <c r="K35" i="54"/>
  <c r="K45" i="54"/>
  <c r="K65" i="54" l="1"/>
  <c r="K62" i="54"/>
  <c r="L15" i="54"/>
  <c r="L55" i="54"/>
  <c r="L25" i="54"/>
  <c r="L35" i="54"/>
  <c r="L45" i="54"/>
  <c r="M41" i="54"/>
  <c r="M11" i="54"/>
  <c r="M51" i="54"/>
  <c r="M21" i="54"/>
  <c r="M31" i="54"/>
  <c r="L42" i="54"/>
  <c r="L12" i="54"/>
  <c r="L52" i="54"/>
  <c r="L22" i="54"/>
  <c r="L32" i="54"/>
  <c r="M61" i="54" l="1"/>
  <c r="L65" i="54"/>
  <c r="L62" i="54"/>
  <c r="M42" i="54"/>
  <c r="M12" i="54"/>
  <c r="M32" i="54"/>
  <c r="M52" i="54"/>
  <c r="M22" i="54"/>
  <c r="N41" i="54"/>
  <c r="N11" i="54"/>
  <c r="N31" i="54"/>
  <c r="N51" i="54"/>
  <c r="N21" i="54"/>
  <c r="M45" i="54"/>
  <c r="M15" i="54"/>
  <c r="M55" i="54"/>
  <c r="M25" i="54"/>
  <c r="M35" i="54"/>
  <c r="M62" i="54" l="1"/>
  <c r="N61" i="54"/>
  <c r="M65" i="54"/>
  <c r="N45" i="54"/>
  <c r="N35" i="54"/>
  <c r="N15" i="54"/>
  <c r="N55" i="54"/>
  <c r="N25" i="54"/>
  <c r="N32" i="54"/>
  <c r="N42" i="54"/>
  <c r="N12" i="54"/>
  <c r="N52" i="54"/>
  <c r="N22" i="54"/>
  <c r="N62" i="54" l="1"/>
  <c r="N65" i="54"/>
  <c r="F23" i="15" l="1"/>
  <c r="F21" i="15"/>
  <c r="F17" i="15"/>
  <c r="F15" i="15"/>
  <c r="F13" i="15"/>
  <c r="F10" i="15"/>
  <c r="B12" i="16" l="1"/>
  <c r="A12" i="16"/>
  <c r="B11" i="16"/>
  <c r="A11" i="16"/>
  <c r="B10" i="16"/>
  <c r="A10" i="16"/>
  <c r="B7" i="16"/>
  <c r="A7" i="16"/>
  <c r="C30" i="63" l="1"/>
  <c r="D27" i="63" s="1"/>
  <c r="AZ28" i="63"/>
  <c r="AY28" i="63"/>
  <c r="AX28" i="63"/>
  <c r="AW28" i="63"/>
  <c r="AV28" i="63"/>
  <c r="AU28" i="63"/>
  <c r="AT28" i="63"/>
  <c r="AS28" i="63"/>
  <c r="AZ27" i="63"/>
  <c r="AY27" i="63"/>
  <c r="AX27" i="63"/>
  <c r="AW27" i="63"/>
  <c r="AV27" i="63"/>
  <c r="AU27" i="63"/>
  <c r="AT27" i="63"/>
  <c r="AS27" i="63"/>
  <c r="AZ26" i="63"/>
  <c r="AY26" i="63"/>
  <c r="AX26" i="63"/>
  <c r="AW26" i="63"/>
  <c r="AV26" i="63"/>
  <c r="AU26" i="63"/>
  <c r="AT26" i="63"/>
  <c r="AS26" i="63"/>
  <c r="AZ25" i="63"/>
  <c r="AY25" i="63"/>
  <c r="AX25" i="63"/>
  <c r="AW25" i="63"/>
  <c r="AV25" i="63"/>
  <c r="AU25" i="63"/>
  <c r="AT25" i="63"/>
  <c r="AS25" i="63"/>
  <c r="AZ24" i="63"/>
  <c r="AY24" i="63"/>
  <c r="AX24" i="63"/>
  <c r="AW24" i="63"/>
  <c r="AV24" i="63"/>
  <c r="AU24" i="63"/>
  <c r="AT24" i="63"/>
  <c r="AS24" i="63"/>
  <c r="AZ23" i="63"/>
  <c r="AY23" i="63"/>
  <c r="AX23" i="63"/>
  <c r="AW23" i="63"/>
  <c r="AV23" i="63"/>
  <c r="AU23" i="63"/>
  <c r="AT23" i="63"/>
  <c r="AS23" i="63"/>
  <c r="AZ22" i="63"/>
  <c r="AY22" i="63"/>
  <c r="AX22" i="63"/>
  <c r="AW22" i="63"/>
  <c r="AV22" i="63"/>
  <c r="AU22" i="63"/>
  <c r="AT22" i="63"/>
  <c r="AS22" i="63"/>
  <c r="AZ21" i="63"/>
  <c r="AY21" i="63"/>
  <c r="AX21" i="63"/>
  <c r="AW21" i="63"/>
  <c r="AV21" i="63"/>
  <c r="AU21" i="63"/>
  <c r="AT21" i="63"/>
  <c r="AS21" i="63"/>
  <c r="AZ20" i="63"/>
  <c r="AY20" i="63"/>
  <c r="AX20" i="63"/>
  <c r="AW20" i="63"/>
  <c r="AV20" i="63"/>
  <c r="AU20" i="63"/>
  <c r="AT20" i="63"/>
  <c r="AS20" i="63"/>
  <c r="AZ19" i="63"/>
  <c r="AY19" i="63"/>
  <c r="AX19" i="63"/>
  <c r="AW19" i="63"/>
  <c r="AV19" i="63"/>
  <c r="AU19" i="63"/>
  <c r="AT19" i="63"/>
  <c r="AS19" i="63"/>
  <c r="AZ18" i="63"/>
  <c r="AY18" i="63"/>
  <c r="AX18" i="63"/>
  <c r="AW18" i="63"/>
  <c r="AV18" i="63"/>
  <c r="AU18" i="63"/>
  <c r="AT18" i="63"/>
  <c r="AS18" i="63"/>
  <c r="AZ17" i="63"/>
  <c r="AY17" i="63"/>
  <c r="AX17" i="63"/>
  <c r="AW17" i="63"/>
  <c r="AV17" i="63"/>
  <c r="AU17" i="63"/>
  <c r="AT17" i="63"/>
  <c r="AS17" i="63"/>
  <c r="AZ16" i="63"/>
  <c r="AY16" i="63"/>
  <c r="AX16" i="63"/>
  <c r="AW16" i="63"/>
  <c r="AV16" i="63"/>
  <c r="AU16" i="63"/>
  <c r="AT16" i="63"/>
  <c r="AS16" i="63"/>
  <c r="AZ15" i="63"/>
  <c r="AY15" i="63"/>
  <c r="AX15" i="63"/>
  <c r="AW15" i="63"/>
  <c r="AV15" i="63"/>
  <c r="AU15" i="63"/>
  <c r="AT15" i="63"/>
  <c r="AS15" i="63"/>
  <c r="AZ14" i="63"/>
  <c r="AY14" i="63"/>
  <c r="AX14" i="63"/>
  <c r="AW14" i="63"/>
  <c r="AV14" i="63"/>
  <c r="AU14" i="63"/>
  <c r="AT14" i="63"/>
  <c r="AS14" i="63"/>
  <c r="AZ13" i="63"/>
  <c r="AY13" i="63"/>
  <c r="AX13" i="63"/>
  <c r="AW13" i="63"/>
  <c r="AV13" i="63"/>
  <c r="AU13" i="63"/>
  <c r="AT13" i="63"/>
  <c r="AS13" i="63"/>
  <c r="AZ12" i="63"/>
  <c r="AY12" i="63"/>
  <c r="AX12" i="63"/>
  <c r="AW12" i="63"/>
  <c r="AV12" i="63"/>
  <c r="AU12" i="63"/>
  <c r="AT12" i="63"/>
  <c r="AS12" i="63"/>
  <c r="AZ11" i="63"/>
  <c r="AY11" i="63"/>
  <c r="AX11" i="63"/>
  <c r="AW11" i="63"/>
  <c r="AV11" i="63"/>
  <c r="AU11" i="63"/>
  <c r="AT11" i="63"/>
  <c r="AS11" i="63"/>
  <c r="AZ10" i="63"/>
  <c r="AY10" i="63"/>
  <c r="AX10" i="63"/>
  <c r="AW10" i="63"/>
  <c r="AV10" i="63"/>
  <c r="AU10" i="63"/>
  <c r="AT10" i="63"/>
  <c r="AS10" i="63"/>
  <c r="AZ9" i="63"/>
  <c r="AY9" i="63"/>
  <c r="AX9" i="63"/>
  <c r="AW9" i="63"/>
  <c r="AV9" i="63"/>
  <c r="AU9" i="63"/>
  <c r="AT9" i="63"/>
  <c r="AS9" i="63"/>
  <c r="AZ8" i="63"/>
  <c r="AY8" i="63"/>
  <c r="AX8" i="63"/>
  <c r="AW8" i="63"/>
  <c r="AV8" i="63"/>
  <c r="AU8" i="63"/>
  <c r="AT8" i="63"/>
  <c r="AS8" i="63"/>
  <c r="AZ7" i="63"/>
  <c r="AY7" i="63"/>
  <c r="AX7" i="63"/>
  <c r="AW7" i="63"/>
  <c r="AV7" i="63"/>
  <c r="AU7" i="63"/>
  <c r="AT7" i="63"/>
  <c r="AS7" i="63"/>
  <c r="AZ6" i="63"/>
  <c r="AY6" i="63"/>
  <c r="AX6" i="63"/>
  <c r="AW6" i="63"/>
  <c r="AV6" i="63"/>
  <c r="AU6" i="63"/>
  <c r="AT6" i="63"/>
  <c r="AS6" i="63"/>
  <c r="AZ5" i="63"/>
  <c r="AY5" i="63"/>
  <c r="AX5" i="63"/>
  <c r="AW5" i="63"/>
  <c r="AV5" i="63"/>
  <c r="AU5" i="63"/>
  <c r="AT5" i="63"/>
  <c r="AS5" i="63"/>
  <c r="AZ4" i="63"/>
  <c r="AY4" i="63"/>
  <c r="AX4" i="63"/>
  <c r="AW4" i="63"/>
  <c r="AV4" i="63"/>
  <c r="AU4" i="63"/>
  <c r="AT4" i="63"/>
  <c r="AS4" i="63"/>
  <c r="AZ3" i="63"/>
  <c r="AY3" i="63"/>
  <c r="AX3" i="63"/>
  <c r="AW3" i="63"/>
  <c r="AV3" i="63"/>
  <c r="AU3" i="63"/>
  <c r="AT3" i="63"/>
  <c r="K177" i="60"/>
  <c r="J177" i="60"/>
  <c r="I177" i="60"/>
  <c r="I195" i="60" s="1"/>
  <c r="H177" i="60"/>
  <c r="G177" i="60"/>
  <c r="G195" i="60" s="1"/>
  <c r="F177" i="60"/>
  <c r="E195" i="60"/>
  <c r="D177" i="60"/>
  <c r="D195" i="60" s="1"/>
  <c r="D168" i="60"/>
  <c r="K194" i="60"/>
  <c r="J194" i="60"/>
  <c r="I194" i="60"/>
  <c r="H194" i="60"/>
  <c r="G194" i="60"/>
  <c r="F194" i="60"/>
  <c r="J195" i="60" l="1"/>
  <c r="K195" i="60"/>
  <c r="F195" i="60"/>
  <c r="BA3" i="63"/>
  <c r="AV31" i="63"/>
  <c r="AZ31" i="63"/>
  <c r="AY29" i="63"/>
  <c r="AY31" i="63"/>
  <c r="AS31" i="63"/>
  <c r="AW31" i="63"/>
  <c r="AU31" i="63"/>
  <c r="AT31" i="63"/>
  <c r="AX29" i="63"/>
  <c r="AX31" i="63"/>
  <c r="AT29" i="63"/>
  <c r="H195" i="60"/>
  <c r="AV29" i="63"/>
  <c r="AZ29" i="63"/>
  <c r="AS29" i="63"/>
  <c r="AW29" i="63"/>
  <c r="BA4" i="63"/>
  <c r="BA5" i="63"/>
  <c r="BA6" i="63"/>
  <c r="BA7" i="63"/>
  <c r="BA8" i="63"/>
  <c r="BA9" i="63"/>
  <c r="BA10" i="63"/>
  <c r="BA11" i="63"/>
  <c r="BA12" i="63"/>
  <c r="BA13" i="63"/>
  <c r="BA14" i="63"/>
  <c r="BA15" i="63"/>
  <c r="BA16" i="63"/>
  <c r="BA17" i="63"/>
  <c r="BA18" i="63"/>
  <c r="BA19" i="63"/>
  <c r="BA20" i="63"/>
  <c r="BA21" i="63"/>
  <c r="BA22" i="63"/>
  <c r="BA23" i="63"/>
  <c r="BA24" i="63"/>
  <c r="BA25" i="63"/>
  <c r="BA26" i="63"/>
  <c r="BA27" i="63"/>
  <c r="BA28" i="63"/>
  <c r="M194" i="60"/>
  <c r="AU29" i="63"/>
  <c r="D4" i="63"/>
  <c r="D6" i="63"/>
  <c r="D8" i="63"/>
  <c r="D10" i="63"/>
  <c r="D12" i="63"/>
  <c r="D14" i="63"/>
  <c r="D16" i="63"/>
  <c r="D18" i="63"/>
  <c r="D20" i="63"/>
  <c r="D22" i="63"/>
  <c r="D24" i="63"/>
  <c r="D26" i="63"/>
  <c r="D28" i="63"/>
  <c r="D3" i="63"/>
  <c r="D5" i="63"/>
  <c r="D7" i="63"/>
  <c r="D9" i="63"/>
  <c r="D11" i="63"/>
  <c r="D13" i="63"/>
  <c r="D15" i="63"/>
  <c r="D17" i="63"/>
  <c r="D19" i="63"/>
  <c r="D21" i="63"/>
  <c r="D23" i="63"/>
  <c r="D25" i="63"/>
  <c r="N194" i="60" l="1"/>
  <c r="BA31" i="63"/>
  <c r="BA29" i="63"/>
  <c r="AS30" i="63" s="1"/>
  <c r="D30" i="63"/>
  <c r="AY30" i="63" l="1"/>
  <c r="AZ30" i="63"/>
  <c r="AV30" i="63"/>
  <c r="AT30" i="63"/>
  <c r="AX30" i="63"/>
  <c r="AW30" i="63"/>
  <c r="AU30" i="63"/>
  <c r="BA30" i="63" l="1"/>
  <c r="D50" i="54" l="1"/>
  <c r="D40" i="54"/>
  <c r="D30" i="54"/>
  <c r="D20" i="54"/>
  <c r="D10" i="54"/>
  <c r="D245" i="10" l="1"/>
  <c r="D244" i="10"/>
  <c r="D243" i="10"/>
  <c r="D242" i="10"/>
  <c r="D241" i="10"/>
  <c r="D240" i="10"/>
  <c r="D239" i="10"/>
  <c r="D238" i="10"/>
  <c r="I61" i="15" l="1"/>
  <c r="F61" i="15"/>
  <c r="E61" i="15"/>
  <c r="F59" i="15"/>
  <c r="E59" i="15"/>
  <c r="B131" i="72"/>
  <c r="E57" i="15" l="1"/>
  <c r="F57" i="15"/>
  <c r="E58" i="15"/>
  <c r="F58" i="15"/>
  <c r="E60" i="15"/>
  <c r="F60" i="15"/>
  <c r="P124" i="29" l="1"/>
  <c r="P125" i="29"/>
  <c r="P123" i="29"/>
  <c r="P118" i="29"/>
  <c r="P111" i="29"/>
  <c r="P110" i="29"/>
  <c r="P108" i="29"/>
  <c r="P106" i="29"/>
  <c r="P107" i="29"/>
  <c r="P105" i="29"/>
  <c r="P101" i="29"/>
  <c r="P102" i="29"/>
  <c r="P103" i="29"/>
  <c r="P100" i="29"/>
  <c r="P98" i="29"/>
  <c r="P114" i="29"/>
  <c r="P92" i="29"/>
  <c r="P93" i="29"/>
  <c r="P94" i="29"/>
  <c r="P91" i="29"/>
  <c r="P88" i="29"/>
  <c r="P86" i="29"/>
  <c r="P79" i="29"/>
  <c r="P80" i="29"/>
  <c r="P78" i="29"/>
  <c r="P73" i="29"/>
  <c r="P69" i="29"/>
  <c r="P66" i="29"/>
  <c r="P65" i="29"/>
  <c r="P64" i="29"/>
  <c r="P63" i="29"/>
  <c r="P61" i="29"/>
  <c r="P60" i="29"/>
  <c r="P59" i="29"/>
  <c r="P58" i="29"/>
  <c r="P53" i="29"/>
  <c r="P96" i="29" l="1"/>
  <c r="P84" i="29"/>
  <c r="H60" i="15" s="1"/>
  <c r="O83" i="29"/>
  <c r="P83" i="29" s="1"/>
  <c r="B129" i="72"/>
  <c r="P47" i="29"/>
  <c r="P48" i="29"/>
  <c r="P49" i="29"/>
  <c r="O29" i="29"/>
  <c r="B128" i="72"/>
  <c r="P23" i="29"/>
  <c r="B127" i="72"/>
  <c r="G60" i="15" l="1"/>
  <c r="D37" i="31" l="1"/>
  <c r="D38" i="31"/>
  <c r="D39" i="31"/>
  <c r="D40" i="31"/>
  <c r="D41" i="31"/>
  <c r="D42" i="31"/>
  <c r="D43" i="31"/>
  <c r="D44" i="31"/>
  <c r="D45" i="31"/>
  <c r="D46" i="31"/>
  <c r="D47" i="31"/>
  <c r="D48" i="31"/>
  <c r="D49" i="31"/>
  <c r="D50" i="31"/>
  <c r="D51" i="31"/>
  <c r="D52" i="31"/>
  <c r="D53" i="31"/>
  <c r="D54" i="31"/>
  <c r="D55" i="31"/>
  <c r="D56" i="31"/>
  <c r="D57" i="31"/>
  <c r="D58" i="31"/>
  <c r="D59" i="31"/>
  <c r="D60" i="31"/>
  <c r="D61" i="31"/>
  <c r="D62" i="31"/>
  <c r="D63" i="31"/>
  <c r="D64" i="31"/>
  <c r="D65" i="31"/>
  <c r="D36" i="31"/>
  <c r="X12" i="44" l="1"/>
  <c r="Y12" i="44" s="1"/>
  <c r="V12" i="44"/>
  <c r="W12" i="44" s="1"/>
  <c r="X11" i="44"/>
  <c r="Y11" i="44" s="1"/>
  <c r="X10" i="44"/>
  <c r="Y10" i="44" s="1"/>
  <c r="AF9" i="44"/>
  <c r="AD9" i="44"/>
  <c r="X9" i="44"/>
  <c r="Y9" i="44" s="1"/>
  <c r="X8" i="44"/>
  <c r="Y8" i="44" s="1"/>
  <c r="V8" i="44"/>
  <c r="W8" i="44" s="1"/>
  <c r="K7" i="44"/>
  <c r="K46" i="40"/>
  <c r="C46" i="40"/>
  <c r="V11" i="44"/>
  <c r="W11" i="44" s="1"/>
  <c r="T11" i="44"/>
  <c r="U11" i="44" s="1"/>
  <c r="R11" i="44"/>
  <c r="AB11" i="44" s="1"/>
  <c r="P11" i="44"/>
  <c r="Z11" i="44" s="1"/>
  <c r="N11" i="44"/>
  <c r="AD11" i="44"/>
  <c r="C45" i="40"/>
  <c r="T12" i="44"/>
  <c r="U12" i="44" s="1"/>
  <c r="R12" i="44"/>
  <c r="AB12" i="44" s="1"/>
  <c r="P12" i="44"/>
  <c r="Z12" i="44" s="1"/>
  <c r="N12" i="44"/>
  <c r="AD12" i="44"/>
  <c r="C44" i="40"/>
  <c r="C43" i="40"/>
  <c r="C42" i="40"/>
  <c r="K41" i="40"/>
  <c r="C41" i="40"/>
  <c r="C40" i="40"/>
  <c r="C39" i="40"/>
  <c r="C38" i="40"/>
  <c r="C37" i="40"/>
  <c r="C36" i="40"/>
  <c r="C35" i="40"/>
  <c r="K34" i="40"/>
  <c r="C34" i="40"/>
  <c r="C33" i="40"/>
  <c r="C32" i="40"/>
  <c r="L11" i="44"/>
  <c r="C31" i="40"/>
  <c r="L12" i="44"/>
  <c r="C30" i="40"/>
  <c r="V10" i="44"/>
  <c r="W10" i="44" s="1"/>
  <c r="T10" i="44"/>
  <c r="U10" i="44" s="1"/>
  <c r="R10" i="44"/>
  <c r="AB10" i="44" s="1"/>
  <c r="P10" i="44"/>
  <c r="Z10" i="44" s="1"/>
  <c r="N10" i="44"/>
  <c r="L10" i="44"/>
  <c r="AD10" i="44"/>
  <c r="C29" i="40"/>
  <c r="T8" i="44"/>
  <c r="U8" i="44" s="1"/>
  <c r="R8" i="44"/>
  <c r="AB8" i="44" s="1"/>
  <c r="P8" i="44"/>
  <c r="Z8" i="44" s="1"/>
  <c r="N8" i="44"/>
  <c r="L8" i="44"/>
  <c r="AD8" i="44"/>
  <c r="C28" i="40"/>
  <c r="V9" i="44"/>
  <c r="W9" i="44" s="1"/>
  <c r="T9" i="44"/>
  <c r="U9" i="44" s="1"/>
  <c r="R9" i="44"/>
  <c r="AB9" i="44" s="1"/>
  <c r="N9" i="44"/>
  <c r="L9" i="44"/>
  <c r="C27" i="40"/>
  <c r="P56" i="29"/>
  <c r="P55" i="29"/>
  <c r="P54" i="29"/>
  <c r="P46" i="29"/>
  <c r="P41" i="29"/>
  <c r="P37" i="29"/>
  <c r="P34" i="29"/>
  <c r="P33" i="29"/>
  <c r="P32" i="29"/>
  <c r="P31" i="29"/>
  <c r="P30" i="29"/>
  <c r="H57" i="15"/>
  <c r="E64" i="15"/>
  <c r="E63" i="15"/>
  <c r="G58" i="15"/>
  <c r="G57" i="15"/>
  <c r="C7" i="31"/>
  <c r="C8" i="31"/>
  <c r="C9" i="31"/>
  <c r="C10" i="31"/>
  <c r="C19" i="31"/>
  <c r="E134" i="72" l="1"/>
  <c r="M34" i="29"/>
  <c r="M54" i="29"/>
  <c r="M64" i="29"/>
  <c r="M84" i="29"/>
  <c r="V23" i="29" s="1"/>
  <c r="W23" i="29" s="1"/>
  <c r="M100" i="29"/>
  <c r="M110" i="29"/>
  <c r="M60" i="29"/>
  <c r="M37" i="29"/>
  <c r="M55" i="29"/>
  <c r="M65" i="29"/>
  <c r="M86" i="29"/>
  <c r="M101" i="29"/>
  <c r="M111" i="29"/>
  <c r="M31" i="29"/>
  <c r="V21" i="29"/>
  <c r="M41" i="29"/>
  <c r="M56" i="29"/>
  <c r="M66" i="29"/>
  <c r="M88" i="29"/>
  <c r="M102" i="29"/>
  <c r="M114" i="29"/>
  <c r="M123" i="29"/>
  <c r="M48" i="29"/>
  <c r="M93" i="29"/>
  <c r="M106" i="29"/>
  <c r="M26" i="29"/>
  <c r="M46" i="29"/>
  <c r="M58" i="29"/>
  <c r="M69" i="29"/>
  <c r="M91" i="29"/>
  <c r="M103" i="29"/>
  <c r="M118" i="29"/>
  <c r="M30" i="29"/>
  <c r="V22" i="29" s="1"/>
  <c r="W22" i="29" s="1"/>
  <c r="M47" i="29"/>
  <c r="M73" i="29"/>
  <c r="M92" i="29"/>
  <c r="M105" i="29"/>
  <c r="M78" i="29"/>
  <c r="M124" i="29"/>
  <c r="M59" i="29"/>
  <c r="M32" i="29"/>
  <c r="M49" i="29"/>
  <c r="M61" i="29"/>
  <c r="M79" i="29"/>
  <c r="M94" i="29"/>
  <c r="M107" i="29"/>
  <c r="M125" i="29"/>
  <c r="M33" i="29"/>
  <c r="M53" i="29"/>
  <c r="M63" i="29"/>
  <c r="M80" i="29"/>
  <c r="M98" i="29"/>
  <c r="M108" i="29"/>
  <c r="M83" i="29"/>
  <c r="I57" i="15"/>
  <c r="I58" i="15"/>
  <c r="P51" i="29"/>
  <c r="AC10" i="44"/>
  <c r="S10" i="44"/>
  <c r="AG9" i="44"/>
  <c r="AJ9" i="44" s="1"/>
  <c r="M9" i="44"/>
  <c r="AH12" i="44"/>
  <c r="O12" i="44"/>
  <c r="AH9" i="44"/>
  <c r="O9" i="44"/>
  <c r="AG12" i="44"/>
  <c r="AJ12" i="44" s="1"/>
  <c r="M12" i="44"/>
  <c r="AA12" i="44"/>
  <c r="Q12" i="44"/>
  <c r="AC9" i="44"/>
  <c r="S9" i="44"/>
  <c r="AC12" i="44"/>
  <c r="S12" i="44"/>
  <c r="AI12" i="44"/>
  <c r="AE12" i="44"/>
  <c r="AG11" i="44"/>
  <c r="AJ11" i="44" s="1"/>
  <c r="M11" i="44"/>
  <c r="AI11" i="44"/>
  <c r="AE11" i="44"/>
  <c r="AI8" i="44"/>
  <c r="AE8" i="44"/>
  <c r="AH11" i="44"/>
  <c r="O11" i="44"/>
  <c r="AG8" i="44"/>
  <c r="AJ8" i="44" s="1"/>
  <c r="M8" i="44"/>
  <c r="AA11" i="44"/>
  <c r="Q11" i="44"/>
  <c r="AI9" i="44"/>
  <c r="AE9" i="44"/>
  <c r="AH8" i="44"/>
  <c r="O8" i="44"/>
  <c r="AC11" i="44"/>
  <c r="S11" i="44"/>
  <c r="AA10" i="44"/>
  <c r="Q10" i="44"/>
  <c r="AF11" i="44"/>
  <c r="K11" i="44"/>
  <c r="AF12" i="44"/>
  <c r="K12" i="44"/>
  <c r="AA8" i="44"/>
  <c r="Q8" i="44"/>
  <c r="AC8" i="44"/>
  <c r="S8" i="44"/>
  <c r="AI10" i="44"/>
  <c r="AE10" i="44"/>
  <c r="AF8" i="44"/>
  <c r="K8" i="44"/>
  <c r="AG10" i="44"/>
  <c r="AJ10" i="44" s="1"/>
  <c r="M10" i="44"/>
  <c r="AF10" i="44"/>
  <c r="K10" i="44"/>
  <c r="AH10" i="44"/>
  <c r="O10" i="44"/>
  <c r="K27" i="40"/>
  <c r="P9" i="44" s="1"/>
  <c r="Z9" i="44" s="1"/>
  <c r="M51" i="29" l="1"/>
  <c r="V24" i="29" s="1"/>
  <c r="W24" i="29" s="1"/>
  <c r="M96" i="29"/>
  <c r="V25" i="29" s="1"/>
  <c r="W25" i="29" s="1"/>
  <c r="W21" i="29"/>
  <c r="AA9" i="44"/>
  <c r="Q9" i="44"/>
  <c r="I60" i="15"/>
  <c r="J57" i="15"/>
  <c r="J127" i="72" s="1"/>
  <c r="J58" i="15"/>
  <c r="J128" i="72" s="1"/>
  <c r="J60" i="15"/>
  <c r="J130" i="72" s="1"/>
  <c r="W26" i="29" l="1"/>
  <c r="AC22" i="29"/>
  <c r="AB22" i="29"/>
  <c r="R27" i="72"/>
  <c r="T27" i="72" s="1"/>
  <c r="V64" i="15"/>
  <c r="W64" i="15"/>
  <c r="H61" i="15"/>
  <c r="J61" i="15"/>
  <c r="J59" i="15"/>
  <c r="H59" i="15"/>
  <c r="T35" i="29" l="1"/>
  <c r="T34" i="29"/>
  <c r="T33" i="29"/>
  <c r="AH126" i="72"/>
  <c r="AH125" i="72"/>
  <c r="T37" i="29"/>
  <c r="T36" i="29"/>
  <c r="T45" i="29"/>
  <c r="T42" i="29"/>
  <c r="T46" i="29"/>
  <c r="AW126" i="72"/>
  <c r="AW125" i="72"/>
  <c r="T43" i="29"/>
  <c r="T44" i="29"/>
  <c r="S27" i="72"/>
  <c r="AB23" i="29"/>
  <c r="F7" i="60"/>
  <c r="AC23" i="29"/>
  <c r="G7" i="60"/>
  <c r="AA23" i="29"/>
  <c r="T24" i="29"/>
  <c r="T22" i="29"/>
  <c r="T23" i="29"/>
  <c r="T25" i="29"/>
  <c r="S34" i="72"/>
  <c r="S45" i="72"/>
  <c r="AI5" i="72"/>
  <c r="F4" i="60" s="1"/>
  <c r="E78" i="28" s="1"/>
  <c r="T64" i="15"/>
  <c r="U64" i="15"/>
  <c r="S64" i="15"/>
  <c r="J129" i="72"/>
  <c r="J131" i="72"/>
  <c r="W63" i="15"/>
  <c r="U63" i="15"/>
  <c r="T63" i="15"/>
  <c r="V63" i="15"/>
  <c r="AH129" i="72" l="1"/>
  <c r="AH131" i="72"/>
  <c r="AH130" i="72"/>
  <c r="AH127" i="72"/>
  <c r="AH128" i="72"/>
  <c r="AW128" i="72"/>
  <c r="AW129" i="72"/>
  <c r="AW130" i="72"/>
  <c r="AW131" i="72"/>
  <c r="AW127" i="72"/>
  <c r="E80" i="28"/>
  <c r="E82" i="28"/>
  <c r="E79" i="28"/>
  <c r="E81" i="28"/>
  <c r="AX5" i="72"/>
  <c r="G4" i="60" s="1"/>
  <c r="T51" i="72"/>
  <c r="T5" i="72" s="1"/>
  <c r="S51" i="72"/>
  <c r="AH132" i="72" l="1"/>
  <c r="AW132" i="72"/>
  <c r="F80" i="28"/>
  <c r="F81" i="28"/>
  <c r="F79" i="28"/>
  <c r="F95" i="28" s="1"/>
  <c r="F82" i="28"/>
  <c r="F78" i="28"/>
  <c r="E30" i="54"/>
  <c r="E10" i="54"/>
  <c r="Z126" i="72" s="1"/>
  <c r="E50" i="54"/>
  <c r="E20" i="54"/>
  <c r="E40" i="54"/>
  <c r="G40" i="54"/>
  <c r="G50" i="54"/>
  <c r="G30" i="54"/>
  <c r="G10" i="54"/>
  <c r="G20" i="54"/>
  <c r="F20" i="54"/>
  <c r="F40" i="54"/>
  <c r="F50" i="54"/>
  <c r="F30" i="54"/>
  <c r="F10" i="54"/>
  <c r="S132" i="72"/>
  <c r="AO126" i="72" l="1"/>
  <c r="BE126" i="72"/>
  <c r="BF126" i="72"/>
  <c r="BD126" i="72"/>
  <c r="BH126" i="72"/>
  <c r="BG126" i="72"/>
  <c r="AS126" i="72"/>
  <c r="AR126" i="72"/>
  <c r="AP126" i="72"/>
  <c r="AQ126" i="72"/>
  <c r="E4" i="60"/>
  <c r="AC126" i="72"/>
  <c r="AA126" i="72"/>
  <c r="G60" i="54"/>
  <c r="AZ126" i="72" s="1"/>
  <c r="AD126" i="72"/>
  <c r="E60" i="54"/>
  <c r="U126" i="72" s="1"/>
  <c r="F60" i="54"/>
  <c r="H10" i="54"/>
  <c r="H40" i="54"/>
  <c r="H30" i="54"/>
  <c r="H20" i="54"/>
  <c r="H50" i="54"/>
  <c r="AB126" i="72"/>
  <c r="U127" i="72" l="1"/>
  <c r="Z127" i="72" s="1"/>
  <c r="H4" i="60"/>
  <c r="I4" i="60"/>
  <c r="D4" i="60"/>
  <c r="M4" i="60"/>
  <c r="N4" i="60"/>
  <c r="J4" i="60"/>
  <c r="K4" i="60"/>
  <c r="L4" i="60"/>
  <c r="D78" i="28"/>
  <c r="D80" i="28"/>
  <c r="D96" i="28" s="1"/>
  <c r="D81" i="28"/>
  <c r="D97" i="28" s="1"/>
  <c r="D82" i="28"/>
  <c r="D98" i="28" s="1"/>
  <c r="D79" i="28"/>
  <c r="D95" i="28" s="1"/>
  <c r="E9" i="54" s="1"/>
  <c r="AN126" i="72"/>
  <c r="AN127" i="72" s="1"/>
  <c r="AJ126" i="72"/>
  <c r="BC126" i="72"/>
  <c r="BC127" i="72" s="1"/>
  <c r="AG57" i="15" s="1"/>
  <c r="AY126" i="72"/>
  <c r="AY128" i="72" s="1"/>
  <c r="AZ127" i="72"/>
  <c r="AD57" i="15" s="1"/>
  <c r="AZ130" i="72"/>
  <c r="AD60" i="15" s="1"/>
  <c r="AZ128" i="72"/>
  <c r="AD58" i="15" s="1"/>
  <c r="AZ131" i="72"/>
  <c r="AD61" i="15" s="1"/>
  <c r="AZ129" i="72"/>
  <c r="AD59" i="15" s="1"/>
  <c r="BA126" i="72"/>
  <c r="BB126" i="72"/>
  <c r="AK126" i="72"/>
  <c r="AM126" i="72"/>
  <c r="AL126" i="72"/>
  <c r="E94" i="28"/>
  <c r="Y126" i="72"/>
  <c r="V126" i="72"/>
  <c r="V127" i="72" s="1"/>
  <c r="H60" i="54"/>
  <c r="I30" i="54"/>
  <c r="I20" i="54"/>
  <c r="I10" i="54"/>
  <c r="I50" i="54"/>
  <c r="I40" i="54"/>
  <c r="X126" i="72"/>
  <c r="W126" i="72"/>
  <c r="W127" i="72" s="1"/>
  <c r="I80" i="28" l="1"/>
  <c r="I81" i="28"/>
  <c r="I78" i="28"/>
  <c r="I82" i="28"/>
  <c r="I79" i="28"/>
  <c r="BD128" i="72"/>
  <c r="AC58" i="15"/>
  <c r="AS127" i="72"/>
  <c r="AB57" i="15"/>
  <c r="G82" i="28"/>
  <c r="G79" i="28"/>
  <c r="G81" i="28"/>
  <c r="G80" i="28"/>
  <c r="G78" i="28"/>
  <c r="D83" i="28"/>
  <c r="D94" i="28"/>
  <c r="E49" i="54"/>
  <c r="AD5" i="72" s="1"/>
  <c r="Y45" i="72" s="1"/>
  <c r="H82" i="28"/>
  <c r="H78" i="28"/>
  <c r="H79" i="28"/>
  <c r="H80" i="28"/>
  <c r="H81" i="28"/>
  <c r="C78" i="28"/>
  <c r="C94" i="28" s="1"/>
  <c r="C81" i="28"/>
  <c r="C80" i="28"/>
  <c r="C82" i="28"/>
  <c r="C79" i="28"/>
  <c r="J78" i="28"/>
  <c r="J79" i="28"/>
  <c r="J82" i="28"/>
  <c r="J81" i="28"/>
  <c r="J80" i="28"/>
  <c r="AY127" i="72"/>
  <c r="AN131" i="72"/>
  <c r="AN130" i="72"/>
  <c r="AN129" i="72"/>
  <c r="AN128" i="72"/>
  <c r="BC128" i="72"/>
  <c r="AJ127" i="72"/>
  <c r="X57" i="15" s="1"/>
  <c r="AJ128" i="72"/>
  <c r="AJ129" i="72"/>
  <c r="AJ130" i="72"/>
  <c r="AJ131" i="72"/>
  <c r="AL127" i="72"/>
  <c r="AL128" i="72"/>
  <c r="AL129" i="72"/>
  <c r="AL130" i="72"/>
  <c r="AL131" i="72"/>
  <c r="AM127" i="72"/>
  <c r="AA57" i="15" s="1"/>
  <c r="AM128" i="72"/>
  <c r="AM129" i="72"/>
  <c r="AM130" i="72"/>
  <c r="AM131" i="72"/>
  <c r="AK127" i="72"/>
  <c r="AK128" i="72"/>
  <c r="AK129" i="72"/>
  <c r="AK130" i="72"/>
  <c r="AK131" i="72"/>
  <c r="AY130" i="72"/>
  <c r="BC129" i="72"/>
  <c r="BC130" i="72"/>
  <c r="BC131" i="72"/>
  <c r="AY129" i="72"/>
  <c r="AY131" i="72"/>
  <c r="BA127" i="72"/>
  <c r="BA129" i="72"/>
  <c r="BA130" i="72"/>
  <c r="BA131" i="72"/>
  <c r="BA128" i="72"/>
  <c r="BB127" i="72"/>
  <c r="AF57" i="15" s="1"/>
  <c r="BB131" i="72"/>
  <c r="BB130" i="72"/>
  <c r="BB128" i="72"/>
  <c r="BB129" i="72"/>
  <c r="BE130" i="72"/>
  <c r="BE128" i="72"/>
  <c r="BE131" i="72"/>
  <c r="BE129" i="72"/>
  <c r="E97" i="28"/>
  <c r="E98" i="28"/>
  <c r="E95" i="28"/>
  <c r="E96" i="28"/>
  <c r="J10" i="54"/>
  <c r="J50" i="54"/>
  <c r="J40" i="54"/>
  <c r="J30" i="54"/>
  <c r="J20" i="54"/>
  <c r="I60" i="54"/>
  <c r="AD9" i="72" l="1"/>
  <c r="Y9" i="72"/>
  <c r="BG128" i="72"/>
  <c r="AF58" i="15"/>
  <c r="BD131" i="72"/>
  <c r="AC61" i="15"/>
  <c r="BF130" i="72"/>
  <c r="AE60" i="15"/>
  <c r="BG131" i="72"/>
  <c r="AF61" i="15"/>
  <c r="BD129" i="72"/>
  <c r="AC59" i="15"/>
  <c r="BD130" i="72"/>
  <c r="AC60" i="15"/>
  <c r="BG129" i="72"/>
  <c r="AF59" i="15"/>
  <c r="BH131" i="72"/>
  <c r="AG61" i="15"/>
  <c r="BF129" i="72"/>
  <c r="AE59" i="15"/>
  <c r="BF128" i="72"/>
  <c r="AE58" i="15"/>
  <c r="BH130" i="72"/>
  <c r="AG60" i="15"/>
  <c r="BG130" i="72"/>
  <c r="AF60" i="15"/>
  <c r="BF131" i="72"/>
  <c r="AE61" i="15"/>
  <c r="BH129" i="72"/>
  <c r="AG59" i="15"/>
  <c r="BH128" i="72"/>
  <c r="AG58" i="15"/>
  <c r="BF127" i="72"/>
  <c r="AE57" i="15"/>
  <c r="BD127" i="72"/>
  <c r="AC57" i="15"/>
  <c r="AS128" i="72"/>
  <c r="AB58" i="15"/>
  <c r="AP128" i="72"/>
  <c r="Y58" i="15"/>
  <c r="AQ129" i="72"/>
  <c r="Z59" i="15"/>
  <c r="AS129" i="72"/>
  <c r="AB59" i="15"/>
  <c r="AS130" i="72"/>
  <c r="AB60" i="15"/>
  <c r="AR130" i="72"/>
  <c r="AA60" i="15"/>
  <c r="AP131" i="72"/>
  <c r="Y61" i="15"/>
  <c r="AS131" i="72"/>
  <c r="AB61" i="15"/>
  <c r="AQ128" i="72"/>
  <c r="Z58" i="15"/>
  <c r="AR129" i="72"/>
  <c r="AA59" i="15"/>
  <c r="AR128" i="72"/>
  <c r="AA58" i="15"/>
  <c r="AO130" i="72"/>
  <c r="X60" i="15"/>
  <c r="AP130" i="72"/>
  <c r="Y60" i="15"/>
  <c r="AO129" i="72"/>
  <c r="X59" i="15"/>
  <c r="AQ130" i="72"/>
  <c r="Z60" i="15"/>
  <c r="AR131" i="72"/>
  <c r="AA61" i="15"/>
  <c r="AO131" i="72"/>
  <c r="X61" i="15"/>
  <c r="AP129" i="72"/>
  <c r="Y59" i="15"/>
  <c r="AQ131" i="72"/>
  <c r="Z61" i="15"/>
  <c r="AO128" i="72"/>
  <c r="X58" i="15"/>
  <c r="AP127" i="72"/>
  <c r="Y57" i="15"/>
  <c r="AQ127" i="72"/>
  <c r="Z57" i="15"/>
  <c r="K78" i="28"/>
  <c r="K81" i="28"/>
  <c r="K80" i="28"/>
  <c r="K82" i="28"/>
  <c r="K79" i="28"/>
  <c r="AO127" i="72"/>
  <c r="AJ125" i="72"/>
  <c r="AL125" i="72"/>
  <c r="AY125" i="72"/>
  <c r="AZ125" i="72"/>
  <c r="BE127" i="72"/>
  <c r="BE125" i="72" s="1"/>
  <c r="AM125" i="72"/>
  <c r="AR127" i="72"/>
  <c r="BA125" i="72"/>
  <c r="BB125" i="72"/>
  <c r="BG127" i="72"/>
  <c r="AK125" i="72"/>
  <c r="BH127" i="72"/>
  <c r="BC125" i="72"/>
  <c r="AN125" i="72"/>
  <c r="E83" i="28"/>
  <c r="F94" i="28"/>
  <c r="F97" i="28"/>
  <c r="F96" i="28"/>
  <c r="F98" i="28"/>
  <c r="K20" i="54"/>
  <c r="K30" i="54"/>
  <c r="K50" i="54"/>
  <c r="K40" i="54"/>
  <c r="K10" i="54"/>
  <c r="J60" i="54"/>
  <c r="AP125" i="72" l="1"/>
  <c r="BF125" i="72"/>
  <c r="BG125" i="72"/>
  <c r="BH125" i="72"/>
  <c r="BD125" i="72"/>
  <c r="AS125" i="72"/>
  <c r="AQ125" i="72"/>
  <c r="AR125" i="72"/>
  <c r="AO125" i="72"/>
  <c r="L82" i="28"/>
  <c r="L79" i="28"/>
  <c r="L80" i="28"/>
  <c r="L81" i="28"/>
  <c r="L78" i="28"/>
  <c r="G94" i="28"/>
  <c r="G95" i="28"/>
  <c r="G97" i="28"/>
  <c r="G98" i="28"/>
  <c r="G96" i="28"/>
  <c r="F83" i="28"/>
  <c r="L20" i="54"/>
  <c r="L50" i="54"/>
  <c r="L40" i="54"/>
  <c r="L10" i="54"/>
  <c r="L30" i="54"/>
  <c r="K60" i="54"/>
  <c r="AX125" i="72" l="1"/>
  <c r="AI125" i="72"/>
  <c r="M82" i="28"/>
  <c r="M79" i="28"/>
  <c r="M78" i="28"/>
  <c r="M81" i="28"/>
  <c r="M80" i="28"/>
  <c r="G83" i="28"/>
  <c r="H97" i="28"/>
  <c r="H95" i="28"/>
  <c r="H96" i="28"/>
  <c r="H94" i="28"/>
  <c r="H98" i="28"/>
  <c r="L60" i="54"/>
  <c r="M30" i="54"/>
  <c r="M50" i="54"/>
  <c r="M10" i="54"/>
  <c r="M20" i="54"/>
  <c r="M40" i="54"/>
  <c r="I94" i="28" l="1"/>
  <c r="I98" i="28"/>
  <c r="I95" i="28"/>
  <c r="I96" i="28"/>
  <c r="I97" i="28"/>
  <c r="M60" i="54"/>
  <c r="N50" i="54"/>
  <c r="N20" i="54"/>
  <c r="N30" i="54"/>
  <c r="N10" i="54"/>
  <c r="N40" i="54"/>
  <c r="J96" i="28" l="1"/>
  <c r="J94" i="28"/>
  <c r="J95" i="28"/>
  <c r="J98" i="28"/>
  <c r="J97" i="28"/>
  <c r="N60" i="54"/>
  <c r="K97" i="28" l="1"/>
  <c r="K94" i="28"/>
  <c r="K95" i="28"/>
  <c r="K98" i="28"/>
  <c r="K96" i="28"/>
  <c r="U128" i="72"/>
  <c r="U129" i="72"/>
  <c r="S59" i="15" s="1"/>
  <c r="U130" i="72"/>
  <c r="S60" i="15" s="1"/>
  <c r="U131" i="72"/>
  <c r="S61" i="15" s="1"/>
  <c r="X131" i="72"/>
  <c r="X130" i="72"/>
  <c r="X128" i="72"/>
  <c r="X127" i="72"/>
  <c r="X129" i="72"/>
  <c r="Y128" i="72"/>
  <c r="Y131" i="72"/>
  <c r="Y127" i="72"/>
  <c r="Y129" i="72"/>
  <c r="Y130" i="72"/>
  <c r="W130" i="72"/>
  <c r="W131" i="72"/>
  <c r="W128" i="72"/>
  <c r="W129" i="72"/>
  <c r="V131" i="72"/>
  <c r="V130" i="72"/>
  <c r="V129" i="72"/>
  <c r="V128" i="72"/>
  <c r="L97" i="28" l="1"/>
  <c r="L94" i="28"/>
  <c r="L96" i="28"/>
  <c r="L98" i="28"/>
  <c r="L95" i="28"/>
  <c r="S58" i="15"/>
  <c r="Z128" i="72"/>
  <c r="Z130" i="72"/>
  <c r="S57" i="15"/>
  <c r="AC130" i="72"/>
  <c r="V60" i="15"/>
  <c r="AA127" i="72"/>
  <c r="T57" i="15"/>
  <c r="AB128" i="72"/>
  <c r="U58" i="15"/>
  <c r="AD130" i="72"/>
  <c r="W60" i="15"/>
  <c r="AD128" i="72"/>
  <c r="W58" i="15"/>
  <c r="Z129" i="72"/>
  <c r="AA130" i="72"/>
  <c r="T60" i="15"/>
  <c r="AB131" i="72"/>
  <c r="U61" i="15"/>
  <c r="AD129" i="72"/>
  <c r="W59" i="15"/>
  <c r="AC129" i="72"/>
  <c r="V59" i="15"/>
  <c r="AC131" i="72"/>
  <c r="V61" i="15"/>
  <c r="AA128" i="72"/>
  <c r="T58" i="15"/>
  <c r="AA131" i="72"/>
  <c r="T61" i="15"/>
  <c r="AB127" i="72"/>
  <c r="U57" i="15"/>
  <c r="AD127" i="72"/>
  <c r="W57" i="15"/>
  <c r="AC127" i="72"/>
  <c r="V57" i="15"/>
  <c r="Z131" i="72"/>
  <c r="AA129" i="72"/>
  <c r="T59" i="15"/>
  <c r="AB129" i="72"/>
  <c r="U59" i="15"/>
  <c r="AB130" i="72"/>
  <c r="U60" i="15"/>
  <c r="AD131" i="72"/>
  <c r="W61" i="15"/>
  <c r="AC128" i="72"/>
  <c r="V58" i="15"/>
  <c r="V125" i="72"/>
  <c r="U125" i="72"/>
  <c r="W125" i="72"/>
  <c r="Y125" i="72"/>
  <c r="X125" i="72"/>
  <c r="Z125" i="72" l="1"/>
  <c r="M97" i="28"/>
  <c r="M94" i="28"/>
  <c r="M98" i="28"/>
  <c r="M95" i="28"/>
  <c r="M96" i="28"/>
  <c r="AB125" i="72"/>
  <c r="AD125" i="72"/>
  <c r="AC125" i="72"/>
  <c r="AA125" i="72"/>
  <c r="T125" i="72" l="1"/>
  <c r="AB118" i="72"/>
  <c r="U118" i="72"/>
  <c r="S47" i="15" s="1"/>
  <c r="X101" i="72"/>
  <c r="V43" i="15" s="1"/>
  <c r="X109" i="72"/>
  <c r="V45" i="15" s="1"/>
  <c r="X118" i="72"/>
  <c r="V47" i="15" s="1"/>
  <c r="V101" i="72"/>
  <c r="T43" i="15" s="1"/>
  <c r="V109" i="72"/>
  <c r="T45" i="15" s="1"/>
  <c r="V118" i="72"/>
  <c r="T47" i="15" s="1"/>
  <c r="Y101" i="72"/>
  <c r="W43" i="15" s="1"/>
  <c r="Y109" i="72"/>
  <c r="W45" i="15" s="1"/>
  <c r="Y118" i="72"/>
  <c r="W47" i="15" s="1"/>
  <c r="AC101" i="72"/>
  <c r="AC118" i="72"/>
  <c r="AC109" i="72"/>
  <c r="AA118" i="72"/>
  <c r="AA109" i="72"/>
  <c r="AA101" i="72"/>
  <c r="AD109" i="72"/>
  <c r="AD101" i="72"/>
  <c r="AD118" i="72"/>
  <c r="W118" i="72" l="1"/>
  <c r="U47" i="15" s="1"/>
  <c r="W109" i="72"/>
  <c r="U45" i="15" s="1"/>
  <c r="W101" i="72"/>
  <c r="U43" i="15" s="1"/>
  <c r="AB109" i="72"/>
  <c r="Z109" i="72"/>
  <c r="AB101" i="72"/>
  <c r="U109" i="72"/>
  <c r="S45" i="15" s="1"/>
  <c r="Z118" i="72"/>
  <c r="U101" i="72"/>
  <c r="S43" i="15" s="1"/>
  <c r="Z101" i="72"/>
  <c r="AD99" i="72"/>
  <c r="AA99" i="72"/>
  <c r="AC99" i="72"/>
  <c r="AB99" i="72" l="1"/>
  <c r="Z99" i="72"/>
  <c r="D61" i="60" l="1"/>
  <c r="C95" i="28" l="1"/>
  <c r="C96" i="28"/>
  <c r="C98" i="28"/>
  <c r="C97" i="28"/>
  <c r="D96" i="60"/>
  <c r="C83" i="28" l="1"/>
  <c r="C99" i="28" s="1"/>
  <c r="D99" i="28"/>
  <c r="E99" i="28"/>
  <c r="F99" i="28"/>
  <c r="G99" i="28"/>
  <c r="I9" i="54" l="1"/>
  <c r="H83" i="28"/>
  <c r="H99" i="28" s="1"/>
  <c r="K83" i="28"/>
  <c r="K99" i="28" s="1"/>
  <c r="M19" i="54"/>
  <c r="L83" i="28"/>
  <c r="L99" i="28" s="1"/>
  <c r="J19" i="54"/>
  <c r="I83" i="28"/>
  <c r="I99" i="28" s="1"/>
  <c r="N19" i="54"/>
  <c r="M83" i="28"/>
  <c r="M99" i="28" s="1"/>
  <c r="J83" i="28"/>
  <c r="J99" i="28" s="1"/>
  <c r="H49" i="54"/>
  <c r="I49" i="54"/>
  <c r="G49" i="54"/>
  <c r="BH5" i="72" s="1"/>
  <c r="N49" i="54"/>
  <c r="F49" i="54"/>
  <c r="AS5" i="72" s="1"/>
  <c r="M49" i="54"/>
  <c r="J49" i="54"/>
  <c r="L49" i="54"/>
  <c r="K49" i="54"/>
  <c r="F9" i="54"/>
  <c r="AO5" i="72" s="1"/>
  <c r="I29" i="54"/>
  <c r="H19" i="54"/>
  <c r="L9" i="54"/>
  <c r="G29" i="54"/>
  <c r="BF5" i="72" s="1"/>
  <c r="BF9" i="72" s="1"/>
  <c r="J39" i="54"/>
  <c r="K39" i="54"/>
  <c r="I19" i="54"/>
  <c r="K9" i="54"/>
  <c r="N29" i="54"/>
  <c r="F29" i="54"/>
  <c r="AQ5" i="72" s="1"/>
  <c r="I39" i="54"/>
  <c r="G19" i="54"/>
  <c r="BE5" i="72" s="1"/>
  <c r="J9" i="54"/>
  <c r="M29" i="54"/>
  <c r="E29" i="54"/>
  <c r="AB5" i="72" s="1"/>
  <c r="W9" i="72" s="1"/>
  <c r="H39" i="54"/>
  <c r="M9" i="54"/>
  <c r="F19" i="54"/>
  <c r="AP5" i="72" s="1"/>
  <c r="L29" i="54"/>
  <c r="G39" i="54"/>
  <c r="BG5" i="72" s="1"/>
  <c r="Z5" i="72"/>
  <c r="U27" i="72" s="1"/>
  <c r="E19" i="54"/>
  <c r="AA5" i="72" s="1"/>
  <c r="V9" i="72" s="1"/>
  <c r="H9" i="54"/>
  <c r="K29" i="54"/>
  <c r="N39" i="54"/>
  <c r="F39" i="54"/>
  <c r="AR5" i="72" s="1"/>
  <c r="L19" i="54"/>
  <c r="J29" i="54"/>
  <c r="M39" i="54"/>
  <c r="E39" i="54"/>
  <c r="AC5" i="72" s="1"/>
  <c r="K19" i="54"/>
  <c r="N9" i="54"/>
  <c r="G9" i="54"/>
  <c r="BD5" i="72" s="1"/>
  <c r="H29" i="54"/>
  <c r="L39" i="54"/>
  <c r="Z9" i="72" l="1"/>
  <c r="Z45" i="72"/>
  <c r="U45" i="72"/>
  <c r="S21" i="15" s="1"/>
  <c r="AY27" i="72"/>
  <c r="AC15" i="15" s="1"/>
  <c r="AY34" i="72"/>
  <c r="AC17" i="15" s="1"/>
  <c r="BD27" i="72"/>
  <c r="BD34" i="72"/>
  <c r="AY9" i="72"/>
  <c r="AC10" i="15" s="1"/>
  <c r="AY12" i="72"/>
  <c r="AC13" i="15" s="1"/>
  <c r="BD12" i="72"/>
  <c r="BD9" i="72"/>
  <c r="AY51" i="72"/>
  <c r="AC23" i="15" s="1"/>
  <c r="BD51" i="72"/>
  <c r="AY45" i="72"/>
  <c r="AC21" i="15" s="1"/>
  <c r="BD45" i="72"/>
  <c r="AM51" i="72"/>
  <c r="AA23" i="15" s="1"/>
  <c r="AR51" i="72"/>
  <c r="AR27" i="72"/>
  <c r="AR34" i="72"/>
  <c r="AM9" i="72"/>
  <c r="AR12" i="72"/>
  <c r="AR9" i="72"/>
  <c r="AR45" i="72"/>
  <c r="AK51" i="72"/>
  <c r="Y23" i="15" s="1"/>
  <c r="AP51" i="72"/>
  <c r="AP27" i="72"/>
  <c r="AP34" i="72"/>
  <c r="AK9" i="72"/>
  <c r="Y10" i="15" s="1"/>
  <c r="AP12" i="72"/>
  <c r="AP9" i="72"/>
  <c r="AK45" i="72"/>
  <c r="Y21" i="15" s="1"/>
  <c r="AP45" i="72"/>
  <c r="BE27" i="72"/>
  <c r="BE34" i="72"/>
  <c r="BE12" i="72"/>
  <c r="BE9" i="72"/>
  <c r="AZ45" i="72"/>
  <c r="AD21" i="15" s="1"/>
  <c r="AL51" i="72"/>
  <c r="Z23" i="15" s="1"/>
  <c r="AQ51" i="72"/>
  <c r="AQ27" i="72"/>
  <c r="AQ34" i="72"/>
  <c r="AL9" i="72"/>
  <c r="Z10" i="15" s="1"/>
  <c r="AQ12" i="72"/>
  <c r="AQ9" i="72"/>
  <c r="AL45" i="72"/>
  <c r="Z21" i="15" s="1"/>
  <c r="AQ45" i="72"/>
  <c r="AJ51" i="72"/>
  <c r="X23" i="15" s="1"/>
  <c r="AO51" i="72"/>
  <c r="AJ27" i="72"/>
  <c r="X15" i="15" s="1"/>
  <c r="AO27" i="72"/>
  <c r="AO34" i="72"/>
  <c r="AJ9" i="72"/>
  <c r="X10" i="15" s="1"/>
  <c r="AJ12" i="72"/>
  <c r="X13" i="15" s="1"/>
  <c r="AO12" i="72"/>
  <c r="AO9" i="72"/>
  <c r="AJ45" i="72"/>
  <c r="X21" i="15" s="1"/>
  <c r="AO45" i="72"/>
  <c r="AN51" i="72"/>
  <c r="AB23" i="15" s="1"/>
  <c r="AS51" i="72"/>
  <c r="AS27" i="72"/>
  <c r="AS34" i="72"/>
  <c r="AN9" i="72"/>
  <c r="AB10" i="15" s="1"/>
  <c r="AS12" i="72"/>
  <c r="AS9" i="72"/>
  <c r="AS45" i="72"/>
  <c r="BC27" i="72"/>
  <c r="AG15" i="15" s="1"/>
  <c r="BC34" i="72"/>
  <c r="AG17" i="15" s="1"/>
  <c r="BH27" i="72"/>
  <c r="BC9" i="72"/>
  <c r="AG10" i="15" s="1"/>
  <c r="BC12" i="72"/>
  <c r="AG13" i="15" s="1"/>
  <c r="BC51" i="72"/>
  <c r="AG23" i="15" s="1"/>
  <c r="BC45" i="72"/>
  <c r="AG21" i="15" s="1"/>
  <c r="Z27" i="72"/>
  <c r="U9" i="72"/>
  <c r="BH34" i="72"/>
  <c r="BH51" i="72"/>
  <c r="BH12" i="72"/>
  <c r="BH45" i="72"/>
  <c r="BH9" i="72"/>
  <c r="BF34" i="72"/>
  <c r="BA51" i="72"/>
  <c r="AE23" i="15" s="1"/>
  <c r="BF27" i="72"/>
  <c r="BF12" i="72"/>
  <c r="BA27" i="72"/>
  <c r="AE15" i="15" s="1"/>
  <c r="BF45" i="72"/>
  <c r="BA9" i="72"/>
  <c r="AE10" i="15" s="1"/>
  <c r="BA12" i="72"/>
  <c r="AE13" i="15" s="1"/>
  <c r="BA45" i="72"/>
  <c r="AE21" i="15" s="1"/>
  <c r="BA34" i="72"/>
  <c r="AE17" i="15" s="1"/>
  <c r="BF51" i="72"/>
  <c r="BG9" i="72"/>
  <c r="BB27" i="72"/>
  <c r="AF15" i="15" s="1"/>
  <c r="BB34" i="72"/>
  <c r="AF17" i="15" s="1"/>
  <c r="BB45" i="72"/>
  <c r="AF21" i="15" s="1"/>
  <c r="BB12" i="72"/>
  <c r="AF13" i="15" s="1"/>
  <c r="BG34" i="72"/>
  <c r="BG27" i="72"/>
  <c r="BG45" i="72"/>
  <c r="BB51" i="72"/>
  <c r="AF23" i="15" s="1"/>
  <c r="BB9" i="72"/>
  <c r="AF10" i="15" s="1"/>
  <c r="BG51" i="72"/>
  <c r="BG12" i="72"/>
  <c r="AZ27" i="72"/>
  <c r="AD15" i="15" s="1"/>
  <c r="AZ51" i="72"/>
  <c r="AD23" i="15" s="1"/>
  <c r="AZ9" i="72"/>
  <c r="AD10" i="15" s="1"/>
  <c r="AZ34" i="72"/>
  <c r="AD17" i="15" s="1"/>
  <c r="BE45" i="72"/>
  <c r="AZ12" i="72"/>
  <c r="AD13" i="15" s="1"/>
  <c r="BE51" i="72"/>
  <c r="U12" i="72"/>
  <c r="U51" i="72"/>
  <c r="S23" i="15" s="1"/>
  <c r="AA10" i="15"/>
  <c r="AM34" i="72"/>
  <c r="AA17" i="15" s="1"/>
  <c r="AM27" i="72"/>
  <c r="AA15" i="15" s="1"/>
  <c r="AM12" i="72"/>
  <c r="AA13" i="15" s="1"/>
  <c r="AM45" i="72"/>
  <c r="AA21" i="15" s="1"/>
  <c r="AJ34" i="72"/>
  <c r="X17" i="15" s="1"/>
  <c r="AK34" i="72"/>
  <c r="Y17" i="15" s="1"/>
  <c r="AK27" i="72"/>
  <c r="Y15" i="15" s="1"/>
  <c r="AK12" i="72"/>
  <c r="Y13" i="15" s="1"/>
  <c r="AL34" i="72"/>
  <c r="Z17" i="15" s="1"/>
  <c r="AL27" i="72"/>
  <c r="Z15" i="15" s="1"/>
  <c r="AL12" i="72"/>
  <c r="Z13" i="15" s="1"/>
  <c r="AN34" i="72"/>
  <c r="AB17" i="15" s="1"/>
  <c r="AN12" i="72"/>
  <c r="AB13" i="15" s="1"/>
  <c r="AN27" i="72"/>
  <c r="AB15" i="15" s="1"/>
  <c r="AN45" i="72"/>
  <c r="AB21" i="15" s="1"/>
  <c r="I59" i="54"/>
  <c r="G59" i="54"/>
  <c r="E59" i="54"/>
  <c r="J59" i="54"/>
  <c r="F59" i="54"/>
  <c r="N59" i="54"/>
  <c r="K59" i="54"/>
  <c r="H59" i="54"/>
  <c r="L59" i="54"/>
  <c r="M59" i="54"/>
  <c r="BG6" i="72" l="1"/>
  <c r="BF6" i="72"/>
  <c r="BH6" i="72"/>
  <c r="BE6" i="72"/>
  <c r="BD6" i="72"/>
  <c r="AO6" i="72"/>
  <c r="AQ6" i="72"/>
  <c r="AR6" i="72"/>
  <c r="AP6" i="72"/>
  <c r="AS6" i="72"/>
  <c r="AB12" i="72"/>
  <c r="W34" i="72"/>
  <c r="U17" i="15" s="1"/>
  <c r="AB27" i="72"/>
  <c r="W51" i="72"/>
  <c r="U23" i="15" s="1"/>
  <c r="W27" i="72"/>
  <c r="U15" i="15" s="1"/>
  <c r="AB9" i="72"/>
  <c r="W45" i="72"/>
  <c r="U21" i="15" s="1"/>
  <c r="W12" i="72"/>
  <c r="U13" i="15" s="1"/>
  <c r="U10" i="15"/>
  <c r="AB45" i="72"/>
  <c r="AB34" i="72"/>
  <c r="AB51" i="72"/>
  <c r="AD45" i="72"/>
  <c r="W21" i="15"/>
  <c r="AD12" i="72"/>
  <c r="Y51" i="72"/>
  <c r="W23" i="15" s="1"/>
  <c r="Y12" i="72"/>
  <c r="W13" i="15" s="1"/>
  <c r="Y34" i="72"/>
  <c r="W17" i="15" s="1"/>
  <c r="AD34" i="72"/>
  <c r="W10" i="15"/>
  <c r="Y27" i="72"/>
  <c r="W15" i="15" s="1"/>
  <c r="AD51" i="72"/>
  <c r="AD27" i="72"/>
  <c r="X45" i="72"/>
  <c r="V21" i="15" s="1"/>
  <c r="AC9" i="72"/>
  <c r="AC34" i="72"/>
  <c r="AC51" i="72"/>
  <c r="X51" i="72"/>
  <c r="V23" i="15" s="1"/>
  <c r="AC45" i="72"/>
  <c r="X9" i="72"/>
  <c r="V10" i="15" s="1"/>
  <c r="AC27" i="72"/>
  <c r="X34" i="72"/>
  <c r="V17" i="15" s="1"/>
  <c r="X27" i="72"/>
  <c r="V15" i="15" s="1"/>
  <c r="AC12" i="72"/>
  <c r="X12" i="72"/>
  <c r="V13" i="15" s="1"/>
  <c r="AA12" i="72"/>
  <c r="AA51" i="72"/>
  <c r="AA34" i="72"/>
  <c r="AA45" i="72"/>
  <c r="V34" i="72"/>
  <c r="T17" i="15" s="1"/>
  <c r="V27" i="72"/>
  <c r="T15" i="15" s="1"/>
  <c r="T10" i="15"/>
  <c r="V51" i="72"/>
  <c r="T23" i="15" s="1"/>
  <c r="V45" i="72"/>
  <c r="T21" i="15" s="1"/>
  <c r="AA9" i="72"/>
  <c r="V12" i="72"/>
  <c r="T13" i="15" s="1"/>
  <c r="AA27" i="72"/>
  <c r="AD6" i="72" l="1"/>
  <c r="AA6" i="72"/>
  <c r="AB6" i="72"/>
  <c r="U34" i="72"/>
  <c r="S17" i="15" s="1"/>
  <c r="Z34" i="72"/>
  <c r="S13" i="15"/>
  <c r="Z51" i="72"/>
  <c r="S15" i="15"/>
  <c r="S10" i="15"/>
  <c r="Z12" i="72"/>
  <c r="AC6" i="72"/>
  <c r="Z6" i="72" l="1"/>
  <c r="S63" i="72" l="1"/>
  <c r="R81" i="72"/>
  <c r="S81" i="72" s="1"/>
  <c r="R71" i="72"/>
  <c r="S71" i="72" l="1"/>
  <c r="T71" i="72"/>
  <c r="T81" i="72"/>
  <c r="T59" i="72" l="1"/>
  <c r="E12" i="60" s="1"/>
  <c r="AI59" i="72"/>
  <c r="F12" i="60" s="1"/>
  <c r="AX59" i="72"/>
  <c r="G12" i="60" s="1"/>
  <c r="H12" i="60" l="1"/>
  <c r="I12" i="60"/>
  <c r="F13" i="60"/>
  <c r="E88" i="28"/>
  <c r="E90" i="28"/>
  <c r="E86" i="28"/>
  <c r="E87" i="28"/>
  <c r="E89" i="28"/>
  <c r="F87" i="28"/>
  <c r="F86" i="28"/>
  <c r="F88" i="28"/>
  <c r="F90" i="28"/>
  <c r="F89" i="28"/>
  <c r="N12" i="60"/>
  <c r="J12" i="60"/>
  <c r="K12" i="60"/>
  <c r="M12" i="60"/>
  <c r="L12" i="60"/>
  <c r="D89" i="28"/>
  <c r="D86" i="28"/>
  <c r="D102" i="28" s="1"/>
  <c r="D87" i="28"/>
  <c r="D90" i="28"/>
  <c r="D88" i="28"/>
  <c r="D12" i="60"/>
  <c r="E13" i="60"/>
  <c r="D91" i="28"/>
  <c r="D107" i="28" s="1"/>
  <c r="E17" i="54" l="1"/>
  <c r="AA59" i="72" s="1"/>
  <c r="V63" i="72" s="1"/>
  <c r="T33" i="15" s="1"/>
  <c r="D13" i="60"/>
  <c r="C86" i="28"/>
  <c r="G86" i="28" s="1"/>
  <c r="C87" i="28"/>
  <c r="G87" i="28" s="1"/>
  <c r="C89" i="28"/>
  <c r="C105" i="28" s="1"/>
  <c r="C88" i="28"/>
  <c r="C104" i="28" s="1"/>
  <c r="C90" i="28"/>
  <c r="C106" i="28" s="1"/>
  <c r="D106" i="28"/>
  <c r="D105" i="28"/>
  <c r="D104" i="28"/>
  <c r="D103" i="28"/>
  <c r="E7" i="54" s="1"/>
  <c r="C91" i="28"/>
  <c r="E91" i="28"/>
  <c r="E107" i="28" s="1"/>
  <c r="AA81" i="72" l="1"/>
  <c r="V71" i="72"/>
  <c r="T35" i="15" s="1"/>
  <c r="AA71" i="72"/>
  <c r="AA96" i="72"/>
  <c r="C103" i="28"/>
  <c r="V81" i="72"/>
  <c r="T38" i="15" s="1"/>
  <c r="AA63" i="72"/>
  <c r="V96" i="72"/>
  <c r="E37" i="54"/>
  <c r="AC59" i="72" s="1"/>
  <c r="AC96" i="72" s="1"/>
  <c r="E27" i="54"/>
  <c r="AB59" i="72" s="1"/>
  <c r="AB96" i="72" s="1"/>
  <c r="E47" i="54"/>
  <c r="AD59" i="72" s="1"/>
  <c r="AD71" i="72" s="1"/>
  <c r="C102" i="28"/>
  <c r="Z59" i="72"/>
  <c r="U81" i="72" s="1"/>
  <c r="S38" i="15" s="1"/>
  <c r="E103" i="28"/>
  <c r="E102" i="28"/>
  <c r="E105" i="28"/>
  <c r="E106" i="28"/>
  <c r="E104" i="28"/>
  <c r="L86" i="28"/>
  <c r="I86" i="28"/>
  <c r="H86" i="28"/>
  <c r="J86" i="28"/>
  <c r="M86" i="28"/>
  <c r="K86" i="28"/>
  <c r="G91" i="28"/>
  <c r="G107" i="28" s="1"/>
  <c r="H91" i="28"/>
  <c r="H107" i="28" s="1"/>
  <c r="M91" i="28"/>
  <c r="M107" i="28" s="1"/>
  <c r="J91" i="28"/>
  <c r="J107" i="28" s="1"/>
  <c r="I91" i="28"/>
  <c r="I107" i="28" s="1"/>
  <c r="L91" i="28"/>
  <c r="L107" i="28" s="1"/>
  <c r="C107" i="28"/>
  <c r="K91" i="28"/>
  <c r="K107" i="28" s="1"/>
  <c r="F91" i="28"/>
  <c r="F107" i="28" s="1"/>
  <c r="G13" i="60"/>
  <c r="L89" i="28"/>
  <c r="G89" i="28"/>
  <c r="H89" i="28"/>
  <c r="J89" i="28"/>
  <c r="K89" i="28"/>
  <c r="I89" i="28"/>
  <c r="M89" i="28"/>
  <c r="K88" i="28"/>
  <c r="G88" i="28"/>
  <c r="M88" i="28"/>
  <c r="I88" i="28"/>
  <c r="L88" i="28"/>
  <c r="H88" i="28"/>
  <c r="J88" i="28"/>
  <c r="K87" i="28"/>
  <c r="L87" i="28"/>
  <c r="M87" i="28"/>
  <c r="H87" i="28"/>
  <c r="J87" i="28"/>
  <c r="I87" i="28"/>
  <c r="M90" i="28"/>
  <c r="K90" i="28"/>
  <c r="I90" i="28"/>
  <c r="H90" i="28"/>
  <c r="J90" i="28"/>
  <c r="G90" i="28"/>
  <c r="L90" i="28"/>
  <c r="AA60" i="72" l="1"/>
  <c r="W81" i="72"/>
  <c r="U38" i="15" s="1"/>
  <c r="W71" i="72"/>
  <c r="U35" i="15" s="1"/>
  <c r="W63" i="72"/>
  <c r="U33" i="15" s="1"/>
  <c r="X63" i="72"/>
  <c r="V33" i="15" s="1"/>
  <c r="AC71" i="72"/>
  <c r="AC81" i="72"/>
  <c r="AC63" i="72"/>
  <c r="X96" i="72"/>
  <c r="X81" i="72"/>
  <c r="V38" i="15" s="1"/>
  <c r="X71" i="72"/>
  <c r="V35" i="15" s="1"/>
  <c r="E57" i="54"/>
  <c r="Y81" i="72"/>
  <c r="W38" i="15" s="1"/>
  <c r="Y63" i="72"/>
  <c r="W33" i="15" s="1"/>
  <c r="AB81" i="72"/>
  <c r="W96" i="72"/>
  <c r="AB63" i="72"/>
  <c r="AB71" i="72"/>
  <c r="AD81" i="72"/>
  <c r="AD96" i="72"/>
  <c r="AD63" i="72"/>
  <c r="Y96" i="72"/>
  <c r="Y71" i="72"/>
  <c r="W35" i="15" s="1"/>
  <c r="F27" i="54"/>
  <c r="AQ59" i="72" s="1"/>
  <c r="AQ71" i="72" s="1"/>
  <c r="F37" i="54"/>
  <c r="AR59" i="72" s="1"/>
  <c r="AR63" i="72" s="1"/>
  <c r="F47" i="54"/>
  <c r="AS59" i="72" s="1"/>
  <c r="AS63" i="72" s="1"/>
  <c r="F17" i="54"/>
  <c r="AP59" i="72" s="1"/>
  <c r="AP63" i="72" s="1"/>
  <c r="F7" i="54"/>
  <c r="AO59" i="72" s="1"/>
  <c r="Z71" i="72"/>
  <c r="Z96" i="72"/>
  <c r="U96" i="72"/>
  <c r="Z63" i="72"/>
  <c r="Z81" i="72"/>
  <c r="K106" i="28"/>
  <c r="L106" i="28"/>
  <c r="I106" i="28"/>
  <c r="M106" i="28"/>
  <c r="G106" i="28"/>
  <c r="F102" i="28"/>
  <c r="F105" i="28"/>
  <c r="F104" i="28"/>
  <c r="J106" i="28"/>
  <c r="F103" i="28"/>
  <c r="H106" i="28"/>
  <c r="F106" i="28"/>
  <c r="U63" i="72"/>
  <c r="S33" i="15" s="1"/>
  <c r="U71" i="72"/>
  <c r="S35" i="15" s="1"/>
  <c r="M105" i="28"/>
  <c r="I105" i="28"/>
  <c r="J105" i="28"/>
  <c r="K105" i="28"/>
  <c r="H105" i="28"/>
  <c r="L105" i="28"/>
  <c r="G105" i="28"/>
  <c r="J104" i="28"/>
  <c r="H104" i="28"/>
  <c r="L104" i="28"/>
  <c r="I104" i="28"/>
  <c r="M104" i="28"/>
  <c r="G104" i="28"/>
  <c r="K104" i="28"/>
  <c r="I103" i="28"/>
  <c r="J103" i="28"/>
  <c r="H103" i="28"/>
  <c r="M103" i="28"/>
  <c r="G103" i="28"/>
  <c r="L103" i="28"/>
  <c r="K103" i="28"/>
  <c r="M102" i="28"/>
  <c r="J102" i="28"/>
  <c r="H102" i="28"/>
  <c r="G102" i="28"/>
  <c r="I102" i="28"/>
  <c r="K102" i="28"/>
  <c r="L102" i="28"/>
  <c r="H13" i="60"/>
  <c r="AN71" i="72" l="1"/>
  <c r="AB35" i="15" s="1"/>
  <c r="AN81" i="72"/>
  <c r="AB38" i="15" s="1"/>
  <c r="AN63" i="72"/>
  <c r="AB33" i="15" s="1"/>
  <c r="AS96" i="72"/>
  <c r="AB60" i="72"/>
  <c r="AC60" i="72"/>
  <c r="AP71" i="72"/>
  <c r="AQ63" i="72"/>
  <c r="AP81" i="72"/>
  <c r="F57" i="54"/>
  <c r="AK81" i="72"/>
  <c r="Y38" i="15" s="1"/>
  <c r="AK71" i="72"/>
  <c r="Y35" i="15" s="1"/>
  <c r="AS81" i="72"/>
  <c r="AD60" i="72"/>
  <c r="Z60" i="72"/>
  <c r="AQ81" i="72"/>
  <c r="AK63" i="72"/>
  <c r="Y33" i="15" s="1"/>
  <c r="AL81" i="72"/>
  <c r="Z38" i="15" s="1"/>
  <c r="AL71" i="72"/>
  <c r="Z35" i="15" s="1"/>
  <c r="AL63" i="72"/>
  <c r="Z33" i="15" s="1"/>
  <c r="AP96" i="72"/>
  <c r="AN96" i="72"/>
  <c r="AQ96" i="72"/>
  <c r="AK96" i="72"/>
  <c r="AR81" i="72"/>
  <c r="AL96" i="72"/>
  <c r="AS71" i="72"/>
  <c r="AR96" i="72"/>
  <c r="AM96" i="72"/>
  <c r="AR71" i="72"/>
  <c r="AM81" i="72"/>
  <c r="AA38" i="15" s="1"/>
  <c r="AM71" i="72"/>
  <c r="AA35" i="15" s="1"/>
  <c r="AM63" i="72"/>
  <c r="AA33" i="15" s="1"/>
  <c r="H37" i="54"/>
  <c r="L7" i="54"/>
  <c r="H27" i="54"/>
  <c r="I47" i="54"/>
  <c r="I37" i="54"/>
  <c r="J37" i="54"/>
  <c r="M17" i="54"/>
  <c r="M37" i="54"/>
  <c r="L27" i="54"/>
  <c r="N37" i="54"/>
  <c r="M7" i="54"/>
  <c r="N27" i="54"/>
  <c r="G7" i="54"/>
  <c r="BD59" i="72" s="1"/>
  <c r="L17" i="54"/>
  <c r="K37" i="54"/>
  <c r="K17" i="54"/>
  <c r="H47" i="54"/>
  <c r="G37" i="54"/>
  <c r="BG59" i="72" s="1"/>
  <c r="BB71" i="72" s="1"/>
  <c r="AF35" i="15" s="1"/>
  <c r="L47" i="54"/>
  <c r="H7" i="54"/>
  <c r="J27" i="54"/>
  <c r="K47" i="54"/>
  <c r="L37" i="54"/>
  <c r="J17" i="54"/>
  <c r="N7" i="54"/>
  <c r="M27" i="54"/>
  <c r="J47" i="54"/>
  <c r="G27" i="54"/>
  <c r="BF59" i="72" s="1"/>
  <c r="BA81" i="72" s="1"/>
  <c r="AE38" i="15" s="1"/>
  <c r="M47" i="54"/>
  <c r="H17" i="54"/>
  <c r="I7" i="54"/>
  <c r="I27" i="54"/>
  <c r="N47" i="54"/>
  <c r="G47" i="54"/>
  <c r="BH59" i="72" s="1"/>
  <c r="BH81" i="72" s="1"/>
  <c r="J7" i="54"/>
  <c r="N17" i="54"/>
  <c r="I17" i="54"/>
  <c r="K7" i="54"/>
  <c r="K27" i="54"/>
  <c r="G17" i="54"/>
  <c r="BE59" i="72" s="1"/>
  <c r="BE81" i="72" s="1"/>
  <c r="AJ96" i="72"/>
  <c r="AO96" i="72"/>
  <c r="AJ63" i="72"/>
  <c r="X33" i="15" s="1"/>
  <c r="AJ71" i="72"/>
  <c r="X35" i="15" s="1"/>
  <c r="AJ81" i="72"/>
  <c r="X38" i="15" s="1"/>
  <c r="AO81" i="72"/>
  <c r="AO63" i="72"/>
  <c r="AO71" i="72"/>
  <c r="I13" i="60"/>
  <c r="BG96" i="72" l="1"/>
  <c r="BA96" i="72"/>
  <c r="AR60" i="72"/>
  <c r="BC63" i="72"/>
  <c r="AG33" i="15" s="1"/>
  <c r="BG63" i="72"/>
  <c r="BB81" i="72"/>
  <c r="AF38" i="15" s="1"/>
  <c r="AP60" i="72"/>
  <c r="BH63" i="72"/>
  <c r="AQ60" i="72"/>
  <c r="AZ96" i="72"/>
  <c r="AS60" i="72"/>
  <c r="BC81" i="72"/>
  <c r="AG38" i="15" s="1"/>
  <c r="BG81" i="72"/>
  <c r="BH71" i="72"/>
  <c r="BB96" i="72"/>
  <c r="BC96" i="72"/>
  <c r="BG71" i="72"/>
  <c r="BC71" i="72"/>
  <c r="AG35" i="15" s="1"/>
  <c r="BB63" i="72"/>
  <c r="AF33" i="15" s="1"/>
  <c r="BH96" i="72"/>
  <c r="M57" i="54"/>
  <c r="H57" i="54"/>
  <c r="L57" i="54"/>
  <c r="N57" i="54"/>
  <c r="AZ81" i="72"/>
  <c r="AD38" i="15" s="1"/>
  <c r="J57" i="54"/>
  <c r="K57" i="54"/>
  <c r="I57" i="54"/>
  <c r="BF63" i="72"/>
  <c r="BE63" i="72"/>
  <c r="BA71" i="72"/>
  <c r="AE35" i="15" s="1"/>
  <c r="AZ63" i="72"/>
  <c r="AD33" i="15" s="1"/>
  <c r="G57" i="54"/>
  <c r="BF71" i="72"/>
  <c r="BA63" i="72"/>
  <c r="AE33" i="15" s="1"/>
  <c r="BE71" i="72"/>
  <c r="BF96" i="72"/>
  <c r="BF81" i="72"/>
  <c r="AZ71" i="72"/>
  <c r="AD35" i="15" s="1"/>
  <c r="BE96" i="72"/>
  <c r="BD71" i="72"/>
  <c r="BD81" i="72"/>
  <c r="BD63" i="72"/>
  <c r="BD96" i="72"/>
  <c r="AY81" i="72"/>
  <c r="AC38" i="15" s="1"/>
  <c r="AY63" i="72"/>
  <c r="AC33" i="15" s="1"/>
  <c r="AY96" i="72"/>
  <c r="AY71" i="72"/>
  <c r="AC35" i="15" s="1"/>
  <c r="J13" i="60"/>
  <c r="BG60" i="72" l="1"/>
  <c r="BF60" i="72"/>
  <c r="BH60" i="72"/>
  <c r="BE60" i="72"/>
  <c r="BD60" i="72"/>
  <c r="K13" i="60"/>
  <c r="L13" i="60" l="1"/>
  <c r="M13" i="60" l="1"/>
  <c r="N13" i="60"/>
  <c r="AO60" i="7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tc={8AEDAEB2-C910-424B-BA0C-356F73C12B6D}</author>
  </authors>
  <commentList>
    <comment ref="E21" authorId="0" shapeId="0" xr:uid="{8AEDAEB2-C910-424B-BA0C-356F73C12B6D}">
      <text>
        <t>[Threaded comment]
Your version of Excel allows you to read this threaded comment; however, any edits to it will get removed if the file is opened in a newer version of Excel. Learn more: https://go.microsoft.com/fwlink/?linkid=870924
Comment:
    @Farhat, Samir typo, this should be coal (not natural gas)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Farhat, Samir</author>
    <author>EPA</author>
    <author>ctsuser</author>
    <author>CLS</author>
  </authors>
  <commentList>
    <comment ref="Q3" authorId="0" shapeId="0" xr:uid="{FD60194B-72AB-4B65-B0AC-E3D10FEE6008}">
      <text>
        <r>
          <rPr>
            <b/>
            <sz val="9"/>
            <color indexed="81"/>
            <rFont val="Tahoma"/>
            <family val="2"/>
          </rPr>
          <t>Farhat, Samir:</t>
        </r>
        <r>
          <rPr>
            <sz val="9"/>
            <color indexed="81"/>
            <rFont val="Tahoma"/>
            <family val="2"/>
          </rPr>
          <t xml:space="preserve">
Table HC11.7  Air-Conditioning Usage Indicators by Northeast Census Region, 2005</t>
        </r>
      </text>
    </comment>
    <comment ref="R3" authorId="0" shapeId="0" xr:uid="{1D52815B-0E74-4743-B223-785F81B74C46}">
      <text>
        <r>
          <rPr>
            <b/>
            <sz val="9"/>
            <color indexed="81"/>
            <rFont val="Tahoma"/>
            <family val="2"/>
          </rPr>
          <t>Farhat, Samir:</t>
        </r>
        <r>
          <rPr>
            <sz val="9"/>
            <color indexed="81"/>
            <rFont val="Tahoma"/>
            <family val="2"/>
          </rPr>
          <t xml:space="preserve">
Table HC7.8  Air Conditioning in Homes in Northeast Region, Divisions, and States, 2009</t>
        </r>
      </text>
    </comment>
    <comment ref="S3" authorId="0" shapeId="0" xr:uid="{26AEAB8B-1FDE-419A-9FBC-78D5D6FA5659}">
      <text>
        <r>
          <rPr>
            <b/>
            <sz val="9"/>
            <color indexed="81"/>
            <rFont val="Tahoma"/>
            <family val="2"/>
          </rPr>
          <t>Farhat, Samir:</t>
        </r>
        <r>
          <rPr>
            <sz val="9"/>
            <color indexed="81"/>
            <rFont val="Tahoma"/>
            <family val="2"/>
          </rPr>
          <t xml:space="preserve">
Table HC7.7  Air conditioning in homes in the Northeast and Midwest regions, 2015</t>
        </r>
      </text>
    </comment>
    <comment ref="T3" authorId="0" shapeId="0" xr:uid="{1B941566-9A89-4151-8A5D-32958D5FD305}">
      <text>
        <r>
          <rPr>
            <b/>
            <sz val="9"/>
            <color indexed="81"/>
            <rFont val="Tahoma"/>
            <family val="2"/>
          </rPr>
          <t>Farhat, Samir:</t>
        </r>
        <r>
          <rPr>
            <sz val="9"/>
            <color indexed="81"/>
            <rFont val="Tahoma"/>
            <family val="2"/>
          </rPr>
          <t xml:space="preserve">
Table HC7.7 Air conditioning in homes in the Northeast and Midwest regions, 2020</t>
        </r>
      </text>
    </comment>
    <comment ref="D18" authorId="1" shapeId="0" xr:uid="{00000000-0006-0000-0700-000009000000}">
      <text>
        <r>
          <rPr>
            <b/>
            <sz val="10"/>
            <color indexed="81"/>
            <rFont val="Tahoma"/>
            <family val="2"/>
          </rPr>
          <t>EPA:</t>
        </r>
        <r>
          <rPr>
            <sz val="10"/>
            <color indexed="81"/>
            <rFont val="Tahoma"/>
            <family val="2"/>
          </rPr>
          <t xml:space="preserve">
AEO 2008 data starts here.</t>
        </r>
      </text>
    </comment>
    <comment ref="E18" authorId="2" shapeId="0" xr:uid="{00000000-0006-0000-0700-00000A000000}">
      <text>
        <r>
          <rPr>
            <b/>
            <sz val="8"/>
            <color indexed="81"/>
            <rFont val="Tahoma"/>
            <family val="2"/>
          </rPr>
          <t>ctsuser:</t>
        </r>
        <r>
          <rPr>
            <sz val="8"/>
            <color indexed="81"/>
            <rFont val="Tahoma"/>
            <family val="2"/>
          </rPr>
          <t xml:space="preserve">
Start of AEO2010 data</t>
        </r>
      </text>
    </comment>
    <comment ref="G18" authorId="0" shapeId="0" xr:uid="{9CD1A279-19C0-49A0-BC90-1AFE6A70CEEE}">
      <text>
        <r>
          <rPr>
            <b/>
            <sz val="9"/>
            <color indexed="81"/>
            <rFont val="Tahoma"/>
            <family val="2"/>
          </rPr>
          <t>Farhat, Samir:</t>
        </r>
        <r>
          <rPr>
            <sz val="9"/>
            <color indexed="81"/>
            <rFont val="Tahoma"/>
            <family val="2"/>
          </rPr>
          <t xml:space="preserve">
https://www.eia.gov/outlooks/aeo/data/browser/#/?id=4-AEO2020&amp;sourcekey=0</t>
        </r>
      </text>
    </comment>
    <comment ref="D64" authorId="3" shapeId="0" xr:uid="{00000000-0006-0000-0700-00000B000000}">
      <text>
        <r>
          <rPr>
            <b/>
            <sz val="8"/>
            <color indexed="81"/>
            <rFont val="Tahoma"/>
            <family val="2"/>
          </rPr>
          <t>AEO adjusted the DSL use in Space Heating as the years went out.</t>
        </r>
        <r>
          <rPr>
            <sz val="8"/>
            <color indexed="81"/>
            <rFont val="Tahoma"/>
            <family val="2"/>
          </rPr>
          <t xml:space="preserve">
</t>
        </r>
      </text>
    </comment>
    <comment ref="D70" authorId="3" shapeId="0" xr:uid="{00000000-0006-0000-0700-00000C000000}">
      <text>
        <r>
          <rPr>
            <sz val="9"/>
            <color indexed="81"/>
            <rFont val="Tahoma"/>
            <family val="2"/>
          </rPr>
          <t>AEO14 changed the way space heating and other uses were calculated … 2005 data adjusted to reflect.</t>
        </r>
      </text>
    </comment>
    <comment ref="F220" authorId="0" shapeId="0" xr:uid="{817BC97A-55D5-4F24-B6A9-2A9632326F21}">
      <text>
        <r>
          <rPr>
            <b/>
            <sz val="9"/>
            <color indexed="81"/>
            <rFont val="Tahoma"/>
            <family val="2"/>
          </rPr>
          <t>Farhat, Samir:</t>
        </r>
        <r>
          <rPr>
            <sz val="9"/>
            <color indexed="81"/>
            <rFont val="Tahoma"/>
            <family val="2"/>
          </rPr>
          <t xml:space="preserve">
Table HC6.7  Space heating in homes in the Northeast and Midwest regions, 2015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Farhat, Samir</author>
  </authors>
  <commentList>
    <comment ref="E55" authorId="0" shapeId="0" xr:uid="{D52471F4-E5CA-4A91-8B70-E84FC66EF03D}">
      <text>
        <r>
          <rPr>
            <b/>
            <sz val="9"/>
            <color indexed="81"/>
            <rFont val="Tahoma"/>
            <family val="2"/>
          </rPr>
          <t>Farhat, Samir:</t>
        </r>
        <r>
          <rPr>
            <sz val="9"/>
            <color indexed="81"/>
            <rFont val="Tahoma"/>
            <family val="2"/>
          </rPr>
          <t xml:space="preserve">
NGA for Space Cooling moved to Space Heating</t>
        </r>
      </text>
    </comment>
    <comment ref="E56" authorId="0" shapeId="0" xr:uid="{AC0A1B80-9695-4B1C-8A31-401C7C08BCBB}">
      <text>
        <r>
          <rPr>
            <b/>
            <sz val="9"/>
            <color indexed="81"/>
            <rFont val="Tahoma"/>
            <family val="2"/>
          </rPr>
          <t>Farhat, Samir:</t>
        </r>
        <r>
          <rPr>
            <sz val="9"/>
            <color indexed="81"/>
            <rFont val="Tahoma"/>
            <family val="2"/>
          </rPr>
          <t xml:space="preserve">
DSL for Space Cooling moved to Space Heating</t>
        </r>
      </text>
    </comment>
    <comment ref="E57" authorId="0" shapeId="0" xr:uid="{A1CACFDE-F876-4DA0-91CA-1157A4F4AAF0}">
      <text>
        <r>
          <rPr>
            <b/>
            <sz val="9"/>
            <color indexed="81"/>
            <rFont val="Tahoma"/>
            <family val="2"/>
          </rPr>
          <t>Farhat, Samir:</t>
        </r>
        <r>
          <rPr>
            <sz val="9"/>
            <color indexed="81"/>
            <rFont val="Tahoma"/>
            <family val="2"/>
          </rPr>
          <t xml:space="preserve">
Steam for Space Cooling moved to Space Heating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Isik, Mine</author>
    <author>tc={5B4AD980-06FE-4D49-A957-62921F80A052}</author>
    <author>Kaplan, Ozge  (she/her/hers)</author>
  </authors>
  <commentList>
    <comment ref="C15" authorId="0" shapeId="0" xr:uid="{4836DDBB-7906-4C79-801B-61A528F28F28}">
      <text>
        <r>
          <rPr>
            <b/>
            <sz val="9"/>
            <color indexed="81"/>
            <rFont val="Tahoma"/>
            <family val="2"/>
          </rPr>
          <t>https://www.census.gov/quickfacts/fact/table/newyorkcitynewyork/HSG010222</t>
        </r>
      </text>
    </comment>
    <comment ref="H30" authorId="1" shapeId="0" xr:uid="{5B4AD980-06FE-4D49-A957-62921F80A052}">
      <text>
        <t xml:space="preserve">[Threaded comment]
Your version of Excel allows you to read this threaded comment; however, any edits to it will get removed if the file is opened in a newer version of Excel. Learn more: https://go.microsoft.com/fwlink/?linkid=870924
Comment:
    @Vilgalys, Max : consider fixing old buildings at 2025 level, modeling energy use from new buildings in New Construction Workbook 
Reply:
    Use projected value from 2027 (when law fully takes effect for most buildings) </t>
      </text>
    </comment>
    <comment ref="C113" authorId="0" shapeId="0" xr:uid="{9006C2D2-1FC2-4909-B9DF-9F14888EDC4C}">
      <text>
        <r>
          <rPr>
            <b/>
            <sz val="9"/>
            <color indexed="81"/>
            <rFont val="Tahoma"/>
            <family val="2"/>
          </rPr>
          <t>Isik, Mine:</t>
        </r>
        <r>
          <rPr>
            <sz val="9"/>
            <color indexed="81"/>
            <rFont val="Tahoma"/>
            <family val="2"/>
          </rPr>
          <t xml:space="preserve">
This is the official value provided by NYC.gov</t>
        </r>
      </text>
    </comment>
    <comment ref="C121" authorId="0" shapeId="0" xr:uid="{17144CD9-3273-4DC8-A9BE-B81C7992F08C}">
      <text>
        <r>
          <rPr>
            <b/>
            <sz val="9"/>
            <color indexed="81"/>
            <rFont val="Tahoma"/>
            <family val="2"/>
          </rPr>
          <t>Isik, Mine:</t>
        </r>
        <r>
          <rPr>
            <sz val="9"/>
            <color indexed="81"/>
            <rFont val="Tahoma"/>
            <family val="2"/>
          </rPr>
          <t xml:space="preserve">
This is the official value provided by NYC.gov</t>
        </r>
      </text>
    </comment>
    <comment ref="B128" authorId="2" shapeId="0" xr:uid="{EA946976-D1D7-4D1A-9EA7-B2755504AC73}">
      <text>
        <r>
          <rPr>
            <b/>
            <sz val="9"/>
            <color indexed="81"/>
            <rFont val="Tahoma"/>
            <family val="2"/>
          </rPr>
          <t>Kaplan, Ozge  (she/her/hers):HDD/CDD projection provided by NYC/OMB. See COMET-NYC folder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L99" authorId="0" shapeId="0" xr:uid="{50945C63-BF98-438E-8D50-F2F8AEDEFB84}">
      <text>
        <r>
          <rPr>
            <b/>
            <sz val="9"/>
            <color indexed="81"/>
            <rFont val="Tahoma"/>
            <family val="2"/>
          </rPr>
          <t>Isik, Mine:</t>
        </r>
        <r>
          <rPr>
            <sz val="9"/>
            <color indexed="81"/>
            <rFont val="Tahoma"/>
            <family val="2"/>
          </rPr>
          <t xml:space="preserve">
</t>
        </r>
      </text>
    </comment>
    <comment ref="T99" authorId="0" shapeId="0" xr:uid="{DF589D09-CD5A-4D04-AD64-335DA6A22C50}">
      <text>
        <r>
          <rPr>
            <b/>
            <sz val="9"/>
            <color indexed="81"/>
            <rFont val="Tahoma"/>
            <family val="2"/>
          </rPr>
          <t>Isik, Mine:</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Kaplan, Ozge  (she/her/hers)</author>
  </authors>
  <commentList>
    <comment ref="A15" authorId="0" shapeId="0" xr:uid="{A23F38B2-C45A-4AB0-BC51-8AFE42E97668}">
      <text>
        <r>
          <rPr>
            <sz val="11"/>
            <color theme="1"/>
            <rFont val="Calibri"/>
            <family val="2"/>
            <scheme val="minor"/>
          </rPr>
          <t xml:space="preserve">Kaplan, Ozge  (she/her/hers):
Jet fuel = 37,627 kJ/liter.
</t>
        </r>
      </text>
    </comment>
  </commentList>
</comments>
</file>

<file path=xl/sharedStrings.xml><?xml version="1.0" encoding="utf-8"?>
<sst xmlns="http://schemas.openxmlformats.org/spreadsheetml/2006/main" count="10872" uniqueCount="2630">
  <si>
    <t>ANSWER-Commodities</t>
  </si>
  <si>
    <t>CommName</t>
  </si>
  <si>
    <t>CommDesc</t>
  </si>
  <si>
    <t>CommUnit</t>
  </si>
  <si>
    <t>Set Memberships</t>
  </si>
  <si>
    <t>Comment</t>
  </si>
  <si>
    <t>ANSWER-Technologies</t>
  </si>
  <si>
    <t>TechName</t>
  </si>
  <si>
    <t>TechDesc</t>
  </si>
  <si>
    <t>TACTUnit</t>
  </si>
  <si>
    <t>TCAPUnit</t>
  </si>
  <si>
    <t>Commodities</t>
  </si>
  <si>
    <t>_GLOBAL,R0,R1,R2,R3,R4,R5,R6</t>
  </si>
  <si>
    <t>~FI_Comm</t>
  </si>
  <si>
    <t>Region</t>
  </si>
  <si>
    <t>Csets</t>
  </si>
  <si>
    <t>Unit</t>
  </si>
  <si>
    <t>LimType</t>
  </si>
  <si>
    <t>CTSLvl</t>
  </si>
  <si>
    <t>PeakTS</t>
  </si>
  <si>
    <t>Ctype</t>
  </si>
  <si>
    <t>*Demands</t>
  </si>
  <si>
    <t>R2,R3,R4,R5,R6</t>
  </si>
  <si>
    <t>DEM</t>
  </si>
  <si>
    <t>RSC</t>
  </si>
  <si>
    <t>Residential Cooling</t>
  </si>
  <si>
    <t>PJ</t>
  </si>
  <si>
    <t>*</t>
  </si>
  <si>
    <t>RFZ</t>
  </si>
  <si>
    <t>Residential Freezing</t>
  </si>
  <si>
    <t>RSH</t>
  </si>
  <si>
    <t>Residential Heating</t>
  </si>
  <si>
    <t>RLT</t>
  </si>
  <si>
    <t>Residential Lighting</t>
  </si>
  <si>
    <t>bn-lum-yr</t>
  </si>
  <si>
    <t>ROE</t>
  </si>
  <si>
    <t>Residential Other Appliances - ELC</t>
  </si>
  <si>
    <t>ROG</t>
  </si>
  <si>
    <t>Residential Other Appliances - NGA</t>
  </si>
  <si>
    <t>ROL</t>
  </si>
  <si>
    <t>Residential Other Appliances - LPG</t>
  </si>
  <si>
    <t>RRF</t>
  </si>
  <si>
    <t>Residential Refrigeration</t>
  </si>
  <si>
    <t>RWH</t>
  </si>
  <si>
    <t>Residential Water Heating</t>
  </si>
  <si>
    <t>*Energy Carriers</t>
  </si>
  <si>
    <t>NRG</t>
  </si>
  <si>
    <t>RESELC</t>
  </si>
  <si>
    <t>Electricity to Residential Sector</t>
  </si>
  <si>
    <t>DAYNITE</t>
  </si>
  <si>
    <t>ANNUAL</t>
  </si>
  <si>
    <t>ELC</t>
  </si>
  <si>
    <t>RESNGAEA</t>
  </si>
  <si>
    <t>Natural Gas to Residential Sector</t>
  </si>
  <si>
    <t>RESCOAEA</t>
  </si>
  <si>
    <t>Coal to Residential Sector</t>
  </si>
  <si>
    <t>RESDSLEA</t>
  </si>
  <si>
    <t>Diesel to Residential Sector</t>
  </si>
  <si>
    <t>*R2,R3,R4,R5,R6</t>
  </si>
  <si>
    <t>RESKEREA</t>
  </si>
  <si>
    <t>Kerosene to Residential Sector</t>
  </si>
  <si>
    <t>RESLPGEA</t>
  </si>
  <si>
    <t>LPG to Residential Sector</t>
  </si>
  <si>
    <t>RESBIOEA</t>
  </si>
  <si>
    <t>Biomass-wood to Residential Sector after emissions</t>
  </si>
  <si>
    <t>*CHP Energy Carriers</t>
  </si>
  <si>
    <t>R1,R2,R3,R4,R5,R6</t>
  </si>
  <si>
    <t>RESSTNUC</t>
  </si>
  <si>
    <t>STM from Residential NGA Utility-scale CHP</t>
  </si>
  <si>
    <t>RESSTBUC</t>
  </si>
  <si>
    <t>STM from Residential DST Utility-scale CHP</t>
  </si>
  <si>
    <t>RESSTNB</t>
  </si>
  <si>
    <t>STM from Commercial NGA Boilers</t>
  </si>
  <si>
    <t>RESSTDB</t>
  </si>
  <si>
    <t>STM from Commercial DST Boilers</t>
  </si>
  <si>
    <t>*Residential End Use Water Commodities for Demand Pass Through Technologies</t>
  </si>
  <si>
    <t>MAT</t>
  </si>
  <si>
    <t>RBLDLEDMY</t>
  </si>
  <si>
    <t>Dummy water commodity for low eff buildings</t>
  </si>
  <si>
    <t>Mt</t>
  </si>
  <si>
    <t>RBLDMEDMY</t>
  </si>
  <si>
    <t>Dummy water commodity for medium eff buildings</t>
  </si>
  <si>
    <t>RBLDHEDMY</t>
  </si>
  <si>
    <t>Dummy water commodity for high eff buildings</t>
  </si>
  <si>
    <t>RBROOFDMY</t>
  </si>
  <si>
    <t>Dummy water commodity for black roofs</t>
  </si>
  <si>
    <t>RWTROOFDMY</t>
  </si>
  <si>
    <t>Dummy water commodity for white roofs</t>
  </si>
  <si>
    <t>RGRF6DMY</t>
  </si>
  <si>
    <t>Dummy water commodity for green roofs</t>
  </si>
  <si>
    <t>RGRF12DMY</t>
  </si>
  <si>
    <t>*Roof/GI Heating &amp; Cooling Commodities</t>
  </si>
  <si>
    <t>RHCRFBLK</t>
  </si>
  <si>
    <t>Heating/cooling from black roofs</t>
  </si>
  <si>
    <t>RHCRFWT</t>
  </si>
  <si>
    <t>Heating/cooling from white roofs</t>
  </si>
  <si>
    <t>RHCRFG6</t>
  </si>
  <si>
    <t>Heating/cooling from 6 inch green roof</t>
  </si>
  <si>
    <t>RHCRFG12</t>
  </si>
  <si>
    <t>Heating/cooling from 12 inch green roof</t>
  </si>
  <si>
    <t>*Demand Commodities for NYC Population</t>
  </si>
  <si>
    <t>POPDMRES</t>
  </si>
  <si>
    <t>Water Energy Demand per Capita</t>
  </si>
  <si>
    <t>POPBKRES</t>
  </si>
  <si>
    <t>Population Brooklyn</t>
  </si>
  <si>
    <t>POPBXRES</t>
  </si>
  <si>
    <t>Population Bronx</t>
  </si>
  <si>
    <t>POPMHRES</t>
  </si>
  <si>
    <t>Population Manhattan</t>
  </si>
  <si>
    <t>POPSIRES</t>
  </si>
  <si>
    <t>Population Staten Island</t>
  </si>
  <si>
    <t>POPQNRES</t>
  </si>
  <si>
    <t>Population Queens</t>
  </si>
  <si>
    <t>*Emissions</t>
  </si>
  <si>
    <t>ENV</t>
  </si>
  <si>
    <t>CO2R</t>
  </si>
  <si>
    <t>CO2 from the residential sector</t>
  </si>
  <si>
    <t>kt</t>
  </si>
  <si>
    <t>NOXR</t>
  </si>
  <si>
    <t>NOx from the residential sector</t>
  </si>
  <si>
    <t>PM10R</t>
  </si>
  <si>
    <t>PM10 from the residential sector</t>
  </si>
  <si>
    <t>SO2R</t>
  </si>
  <si>
    <t>SO2 from the residential sector</t>
  </si>
  <si>
    <t>NOX2CR</t>
  </si>
  <si>
    <t>Nox species for emission tracking</t>
  </si>
  <si>
    <t>RESNGA</t>
  </si>
  <si>
    <t>RESDSL</t>
  </si>
  <si>
    <t>Distillate-Heating Oil No. 2 to the Residential Sector</t>
  </si>
  <si>
    <t>RESCOA</t>
  </si>
  <si>
    <t>RESBIO</t>
  </si>
  <si>
    <t>Biomass to Residential</t>
  </si>
  <si>
    <t>RESKER</t>
  </si>
  <si>
    <t>Kerosene and Other Refined Products to the Residential Sector</t>
  </si>
  <si>
    <t>RESLPG</t>
  </si>
  <si>
    <t>LPG to the Residential Sector</t>
  </si>
  <si>
    <t>SOLRES</t>
  </si>
  <si>
    <t>Solar Energy for Residential Sector</t>
  </si>
  <si>
    <t>Electricity</t>
  </si>
  <si>
    <t>SOL</t>
  </si>
  <si>
    <t>Solar Energy</t>
  </si>
  <si>
    <t>*INFES Backstop</t>
  </si>
  <si>
    <t>ZZDMY</t>
  </si>
  <si>
    <t>Dummy commodity for the ZZ-backstop no-INFES processes</t>
  </si>
  <si>
    <t>CO2</t>
  </si>
  <si>
    <t>Carbon dioxide</t>
  </si>
  <si>
    <t>NOX</t>
  </si>
  <si>
    <t>Nitrogen oxide</t>
  </si>
  <si>
    <t>PM10</t>
  </si>
  <si>
    <t>Particulate matter</t>
  </si>
  <si>
    <t>PM25</t>
  </si>
  <si>
    <t>Fine particulate matter</t>
  </si>
  <si>
    <t>VOC</t>
  </si>
  <si>
    <t>Volatile organic compounds</t>
  </si>
  <si>
    <t>CO</t>
  </si>
  <si>
    <t>Carbon monoxide</t>
  </si>
  <si>
    <t>CH4</t>
  </si>
  <si>
    <t>Methane</t>
  </si>
  <si>
    <t>N2O</t>
  </si>
  <si>
    <t>BC</t>
  </si>
  <si>
    <t>Black carbon</t>
  </si>
  <si>
    <t>OC</t>
  </si>
  <si>
    <t>Organic carbon</t>
  </si>
  <si>
    <t>SO2</t>
  </si>
  <si>
    <t>Sulfur dioxide</t>
  </si>
  <si>
    <t>WCRT</t>
  </si>
  <si>
    <t>Water supply from the Croton System</t>
  </si>
  <si>
    <t>WCTDE</t>
  </si>
  <si>
    <t>Water supply from the Catskill-Delaware System</t>
  </si>
  <si>
    <t>WFLT</t>
  </si>
  <si>
    <t>Water filtered for end use purposes</t>
  </si>
  <si>
    <t>WSLT</t>
  </si>
  <si>
    <t>Saline or greywater supply from NYC Harbor and Rivers</t>
  </si>
  <si>
    <t>WRAIN</t>
  </si>
  <si>
    <t>Annual rainfall as an initial supply material</t>
  </si>
  <si>
    <t>WROOF</t>
  </si>
  <si>
    <t>Rain falling on NYC rooftops</t>
  </si>
  <si>
    <t>WDRK</t>
  </si>
  <si>
    <t>Treated water used by end use customers</t>
  </si>
  <si>
    <t>WSWR</t>
  </si>
  <si>
    <t>Stormwater flowing to pump stations</t>
  </si>
  <si>
    <t>WWWTPX</t>
  </si>
  <si>
    <t>Building wasterwater pumped to WWTPs</t>
  </si>
  <si>
    <t>WWWTPY</t>
  </si>
  <si>
    <t>Stormwater pumped to WWTPs</t>
  </si>
  <si>
    <t>WDSGSLT</t>
  </si>
  <si>
    <t>Discharged saline water from end use customers and ELC sector</t>
  </si>
  <si>
    <t>WDSGTRT</t>
  </si>
  <si>
    <t>Discharged water that has been treated by WWTP</t>
  </si>
  <si>
    <t>WDSGCSO</t>
  </si>
  <si>
    <t>Discharged sewage known as combined sewer overflow</t>
  </si>
  <si>
    <t>ZZDMYH2O</t>
  </si>
  <si>
    <t>Dummy water commodity to meet INFES demand</t>
  </si>
  <si>
    <t>*Industrial End Use Water Demand</t>
  </si>
  <si>
    <t>IWROOFDM</t>
  </si>
  <si>
    <t>Demand for rainfall on roofs</t>
  </si>
  <si>
    <t>IWROOF</t>
  </si>
  <si>
    <t>Rain on industrial roofs</t>
  </si>
  <si>
    <t>IWDRK</t>
  </si>
  <si>
    <t>Drinking water</t>
  </si>
  <si>
    <t>IWDSGTRT</t>
  </si>
  <si>
    <t>Discharged wastewater</t>
  </si>
  <si>
    <t>IWCW</t>
  </si>
  <si>
    <t>Industrial clothes washing demand</t>
  </si>
  <si>
    <t>IWSHR</t>
  </si>
  <si>
    <t>Industrial shower demand</t>
  </si>
  <si>
    <t>IWFCT</t>
  </si>
  <si>
    <t>Industrial faucet demand</t>
  </si>
  <si>
    <t>IWDW</t>
  </si>
  <si>
    <t>Industrial dishwashing demand</t>
  </si>
  <si>
    <t>IWTF</t>
  </si>
  <si>
    <t>Industrial toilets demand</t>
  </si>
  <si>
    <t>IWLK</t>
  </si>
  <si>
    <t>Industrial leaks/other demand</t>
  </si>
  <si>
    <t>IWHVAC</t>
  </si>
  <si>
    <t>Industrial HVAC water demand</t>
  </si>
  <si>
    <t>IWSWR</t>
  </si>
  <si>
    <t>Treated water flowing from buildings to sewers</t>
  </si>
  <si>
    <t>*Industrial End Use Water Commodities for Demand Pass Through Technologies</t>
  </si>
  <si>
    <t>ICWLEDMY</t>
  </si>
  <si>
    <t>Dummy water commodity for clothes washing</t>
  </si>
  <si>
    <t>ICWHEDMY</t>
  </si>
  <si>
    <t>IDWLEDMY</t>
  </si>
  <si>
    <t>Dummy water commodity for dish washing</t>
  </si>
  <si>
    <t>IDWHEDMY</t>
  </si>
  <si>
    <t>ITFLEDMY</t>
  </si>
  <si>
    <t>Dummy water commodity for toilets</t>
  </si>
  <si>
    <t>ITFHEDMY</t>
  </si>
  <si>
    <t>ISHRLEDMY</t>
  </si>
  <si>
    <t>Dummy water commodity for showers</t>
  </si>
  <si>
    <t>ISHRHEDMY</t>
  </si>
  <si>
    <t>IFCTLEDMY</t>
  </si>
  <si>
    <t>Dummy water commodity for faucets</t>
  </si>
  <si>
    <t>IFCTHEDMY</t>
  </si>
  <si>
    <t>ILKLEDMY</t>
  </si>
  <si>
    <t>Dummy water commodity for leaks</t>
  </si>
  <si>
    <t>ILKHEDMY</t>
  </si>
  <si>
    <t>IHVACLEDMY</t>
  </si>
  <si>
    <t>Dummy water commodity for HVAC</t>
  </si>
  <si>
    <t>IHVACHEDMY</t>
  </si>
  <si>
    <t>IBROOFDMY</t>
  </si>
  <si>
    <t>IWTROOFDMY</t>
  </si>
  <si>
    <t>IGRF6DMY</t>
  </si>
  <si>
    <t>IGRF12DMY</t>
  </si>
  <si>
    <t>IBLDLEDMY</t>
  </si>
  <si>
    <t>IBLDMEDMY</t>
  </si>
  <si>
    <t>IBLDHEDMY</t>
  </si>
  <si>
    <t>*Commercial End Use Water Demand</t>
  </si>
  <si>
    <t>CWROOFDM</t>
  </si>
  <si>
    <t>CWROOF</t>
  </si>
  <si>
    <t>Rain falling on roofs of Commercial buildings</t>
  </si>
  <si>
    <t>CWDRK</t>
  </si>
  <si>
    <t>CWDSGTRT</t>
  </si>
  <si>
    <t>WCCW</t>
  </si>
  <si>
    <t>Commercial clothes washing demand</t>
  </si>
  <si>
    <t>WCSHR</t>
  </si>
  <si>
    <t>Commercial shower demand</t>
  </si>
  <si>
    <t>WCFCT</t>
  </si>
  <si>
    <t>Commercial faucet demand</t>
  </si>
  <si>
    <t>WCDW</t>
  </si>
  <si>
    <t>Commercial dishwashing demand</t>
  </si>
  <si>
    <t>WCTF</t>
  </si>
  <si>
    <t>Commercial toilets demand</t>
  </si>
  <si>
    <t>WCLK</t>
  </si>
  <si>
    <t>Commercial leaks/other demand</t>
  </si>
  <si>
    <t>WCHVAC</t>
  </si>
  <si>
    <t>Commercial HVAC water demand</t>
  </si>
  <si>
    <t>CWSWR</t>
  </si>
  <si>
    <t>*Commercial End Use Water Commodities for Demand Pass Through Technologies</t>
  </si>
  <si>
    <t>CCWLEDMY</t>
  </si>
  <si>
    <t>CCWHEDMY</t>
  </si>
  <si>
    <t>CDWLEDMY</t>
  </si>
  <si>
    <t>CDWHEDMY</t>
  </si>
  <si>
    <t>CTFLEDMY</t>
  </si>
  <si>
    <t>CTFHEDMY</t>
  </si>
  <si>
    <t>CSHRLEDMY</t>
  </si>
  <si>
    <t>CSHRHEDMY</t>
  </si>
  <si>
    <t>CFCTLEDMY</t>
  </si>
  <si>
    <t>CFCTHEDMY</t>
  </si>
  <si>
    <t>CLKLEDMY</t>
  </si>
  <si>
    <t>CLKHEDMY</t>
  </si>
  <si>
    <t>CHVACLEDMY</t>
  </si>
  <si>
    <t>CHVACHEDMY</t>
  </si>
  <si>
    <t>CBROOFDMY</t>
  </si>
  <si>
    <t>CWTROOFDMY</t>
  </si>
  <si>
    <t>CGRF6DMY</t>
  </si>
  <si>
    <t>CGRF12DMY</t>
  </si>
  <si>
    <t>CBLDLEDMY</t>
  </si>
  <si>
    <t>CBLDMEDMY</t>
  </si>
  <si>
    <t>CBLDHEDMY</t>
  </si>
  <si>
    <t>*Residential End Use Water Demand</t>
  </si>
  <si>
    <t>RWROOFDM</t>
  </si>
  <si>
    <t>RWROOF</t>
  </si>
  <si>
    <t>Rain falling on roofs of Residential buildings</t>
  </si>
  <si>
    <t>RWDRK</t>
  </si>
  <si>
    <t>RWDSGTRT</t>
  </si>
  <si>
    <t>WRCW</t>
  </si>
  <si>
    <t>Residential clothes washing demand</t>
  </si>
  <si>
    <t>WRSHR</t>
  </si>
  <si>
    <t>Residential shower demand</t>
  </si>
  <si>
    <t>WRFCT</t>
  </si>
  <si>
    <t>Residential faucet demand</t>
  </si>
  <si>
    <t>WRDW</t>
  </si>
  <si>
    <t>Residential dishwashing demand</t>
  </si>
  <si>
    <t>WRTF</t>
  </si>
  <si>
    <t>Residential toilets demand</t>
  </si>
  <si>
    <t>WRLK</t>
  </si>
  <si>
    <t>Residential leaks/other demand</t>
  </si>
  <si>
    <t>WRHVAC</t>
  </si>
  <si>
    <t>Residential HVAC water demand</t>
  </si>
  <si>
    <t>RWSWR</t>
  </si>
  <si>
    <t>Stormwater from residential roofs</t>
  </si>
  <si>
    <t>RCWLEDMY</t>
  </si>
  <si>
    <t>RCWHEDMY</t>
  </si>
  <si>
    <t>RDWLEDMY</t>
  </si>
  <si>
    <t>RDWHEDMY</t>
  </si>
  <si>
    <t>RTFLEDMY</t>
  </si>
  <si>
    <t>RTFMEDMY</t>
  </si>
  <si>
    <t>RTFHEDMY</t>
  </si>
  <si>
    <t>RSHRLEDMY</t>
  </si>
  <si>
    <t>RSHRMEDMY</t>
  </si>
  <si>
    <t>RSHRHEDMY</t>
  </si>
  <si>
    <t>RFCTLEDMY</t>
  </si>
  <si>
    <t>RFCTMEDMY</t>
  </si>
  <si>
    <t>RFCTHEDMY</t>
  </si>
  <si>
    <t>RLKLEDMY</t>
  </si>
  <si>
    <t>RLKMEDMY</t>
  </si>
  <si>
    <t>RLKHEDMY</t>
  </si>
  <si>
    <t>RHVACLEDMY</t>
  </si>
  <si>
    <t>RHVACHEDMY</t>
  </si>
  <si>
    <t>*Demand Commodities for NYC Building Pass Through Technologies</t>
  </si>
  <si>
    <t>Dummy commodity for high efficiency apartment</t>
  </si>
  <si>
    <t>Dummy commodity for medium efficiency apartment</t>
  </si>
  <si>
    <t>Dummy commodity for low efficiency apartment</t>
  </si>
  <si>
    <t>Dummy commodity for high efficiency single family dwelling</t>
  </si>
  <si>
    <t>Dummy commodity for medium efficiency single family dwelling</t>
  </si>
  <si>
    <t>Dummy commodity for low efficiency single family dwelling</t>
  </si>
  <si>
    <t>Dummy commodity for high efficiency education</t>
  </si>
  <si>
    <t>Dummy commodity for medium efficiency education</t>
  </si>
  <si>
    <t>Dummy commodity for low efficiency education</t>
  </si>
  <si>
    <t>Dummy commodity for high efficiency office/retail</t>
  </si>
  <si>
    <t>Dummy commodity for medium efficiency office/retail</t>
  </si>
  <si>
    <t>Dummy commodity for low efficiency office/retail</t>
  </si>
  <si>
    <t>Dummy commodity for high efficiency residential buildings</t>
  </si>
  <si>
    <t>Dummy commodity for medium efficiency residential buildings</t>
  </si>
  <si>
    <t>Dummy commodity for low efficiency residential buildings</t>
  </si>
  <si>
    <t>*Building Specific Energy Carriers</t>
  </si>
  <si>
    <t>RESELCBLD</t>
  </si>
  <si>
    <t>ELC delivered to buildings</t>
  </si>
  <si>
    <t>RESNGABLD</t>
  </si>
  <si>
    <t>NGA delivered to buildings</t>
  </si>
  <si>
    <t>RESRFLBLD</t>
  </si>
  <si>
    <t>RFL delivered to buildings</t>
  </si>
  <si>
    <t>RESDSLBLD</t>
  </si>
  <si>
    <t>DSL delivered to buildings</t>
  </si>
  <si>
    <t>ELC delivered to buildings after basic retrofits</t>
  </si>
  <si>
    <t>NGA delivered to buildings after basic retrofits</t>
  </si>
  <si>
    <t>RFL delivered to buildings after basic retrofits</t>
  </si>
  <si>
    <t>DSL delivered to buildings after basic retrofits</t>
  </si>
  <si>
    <t>ELC delivered to buildings after major retrofits</t>
  </si>
  <si>
    <t>NGA delivered to buildings after major retrofits</t>
  </si>
  <si>
    <t>RFL delivered to buildings after major retrofits</t>
  </si>
  <si>
    <t>DSL delivered to buildings after major retrofits</t>
  </si>
  <si>
    <t>Technologies</t>
  </si>
  <si>
    <t>~FI_Process</t>
  </si>
  <si>
    <t>Sets</t>
  </si>
  <si>
    <t>Tact</t>
  </si>
  <si>
    <t>Tcap</t>
  </si>
  <si>
    <t>PrimaryCG</t>
  </si>
  <si>
    <t>Vintage</t>
  </si>
  <si>
    <t>Tslvl</t>
  </si>
  <si>
    <t>*Space Heating</t>
  </si>
  <si>
    <t>*Electric Radiant</t>
  </si>
  <si>
    <t>DMD</t>
  </si>
  <si>
    <t>PJ/a</t>
  </si>
  <si>
    <t>*Electric Resistance Furnaces</t>
  </si>
  <si>
    <t>*Electric Heat Pump</t>
  </si>
  <si>
    <t>*Natural Gas Furnace</t>
  </si>
  <si>
    <t>*Natural Gas Radiant</t>
  </si>
  <si>
    <t>*Kerosene Furnace</t>
  </si>
  <si>
    <t>*Liquid Gas Furnace</t>
  </si>
  <si>
    <t>*Distillate Furnace</t>
  </si>
  <si>
    <t>*Distillate Radiant</t>
  </si>
  <si>
    <t>*Boiler district energy</t>
  </si>
  <si>
    <t>R4</t>
  </si>
  <si>
    <t>*UTILITY SCALE CHP - SH</t>
  </si>
  <si>
    <t>PJa</t>
  </si>
  <si>
    <t xml:space="preserve">*Wood </t>
  </si>
  <si>
    <t>*Geothermal Heat Pump</t>
  </si>
  <si>
    <t>*Natural Gas Heat Pump</t>
  </si>
  <si>
    <t>*Space Cooling</t>
  </si>
  <si>
    <t>*Room AC</t>
  </si>
  <si>
    <t>*Central AC</t>
  </si>
  <si>
    <t>*Portable AC</t>
  </si>
  <si>
    <t>*Water Heating</t>
  </si>
  <si>
    <t>*Natural Gas</t>
  </si>
  <si>
    <t xml:space="preserve">*Electric </t>
  </si>
  <si>
    <t>*Distillate</t>
  </si>
  <si>
    <t>*Gas</t>
  </si>
  <si>
    <t>*Solar</t>
  </si>
  <si>
    <t>*Refrigeration</t>
  </si>
  <si>
    <t>*Freezer</t>
  </si>
  <si>
    <t>bn-lum</t>
  </si>
  <si>
    <t>* Other</t>
  </si>
  <si>
    <t>* Collectors</t>
  </si>
  <si>
    <t>PRE</t>
  </si>
  <si>
    <t>* Solar and Wind energy conversion technologies</t>
  </si>
  <si>
    <t>ELE</t>
  </si>
  <si>
    <t>GW</t>
  </si>
  <si>
    <t>* Emissions Accounting</t>
  </si>
  <si>
    <t>* DMY Backstop Technologies</t>
  </si>
  <si>
    <t>ZZRLT</t>
  </si>
  <si>
    <t>Residential Lighting - ZZINFES backstop</t>
  </si>
  <si>
    <t>ZZRFZ</t>
  </si>
  <si>
    <t>Residential Freezing - ZZINFES backstop</t>
  </si>
  <si>
    <t>ZZRRF</t>
  </si>
  <si>
    <t>Residential Refrigeration - ZZINFES backstop</t>
  </si>
  <si>
    <t>ZZRSC</t>
  </si>
  <si>
    <t>Residential Cooling - ZZINFES backstop</t>
  </si>
  <si>
    <t>ZZRSH</t>
  </si>
  <si>
    <t>Residential Heating - ZZINFES backstop</t>
  </si>
  <si>
    <t>ZZRWH</t>
  </si>
  <si>
    <t>Residential Water Heating - ZZINFES backstop</t>
  </si>
  <si>
    <t>CommData</t>
  </si>
  <si>
    <t>~FI_T</t>
  </si>
  <si>
    <t>*CommDesc</t>
  </si>
  <si>
    <t>*Units</t>
  </si>
  <si>
    <t>COM_PROJ~2010</t>
  </si>
  <si>
    <t>COM_PROJ~2015</t>
  </si>
  <si>
    <t>COM_PROJ~2020</t>
  </si>
  <si>
    <t>COM_PROJ~2025</t>
  </si>
  <si>
    <t>COM_PROJ~2030</t>
  </si>
  <si>
    <t>COM_PROJ~2035</t>
  </si>
  <si>
    <t>COM_PROJ~2040</t>
  </si>
  <si>
    <t>COM_PROJ~2045</t>
  </si>
  <si>
    <t>COM_PROJ~2050</t>
  </si>
  <si>
    <t>COM_PROJ~2055</t>
  </si>
  <si>
    <t>COM_FR~IDAM</t>
  </si>
  <si>
    <t>COM_FR~IDPM</t>
  </si>
  <si>
    <t>COM_FR~IN</t>
  </si>
  <si>
    <t>COM_FR~IP</t>
  </si>
  <si>
    <t>COM_FR~SDAM</t>
  </si>
  <si>
    <t>COM_FR~SDPM</t>
  </si>
  <si>
    <t>COM_FR~SN</t>
  </si>
  <si>
    <t>COM_FR~SP</t>
  </si>
  <si>
    <t>COM_FR~WDAM</t>
  </si>
  <si>
    <t>COM_FR~WDPM</t>
  </si>
  <si>
    <t>COM_FR~WN</t>
  </si>
  <si>
    <t>COM_FR~WP</t>
  </si>
  <si>
    <t>*Brooklyn</t>
  </si>
  <si>
    <t>R2</t>
  </si>
  <si>
    <t>*R2</t>
  </si>
  <si>
    <t>*Bronx</t>
  </si>
  <si>
    <t>R3</t>
  </si>
  <si>
    <t>*R3</t>
  </si>
  <si>
    <t>*Manhattan</t>
  </si>
  <si>
    <t>*R4</t>
  </si>
  <si>
    <t>*Staten Island</t>
  </si>
  <si>
    <t>R5</t>
  </si>
  <si>
    <t>*R5</t>
  </si>
  <si>
    <t>*Queens</t>
  </si>
  <si>
    <t>R6</t>
  </si>
  <si>
    <t>*R6</t>
  </si>
  <si>
    <t>*NYC</t>
  </si>
  <si>
    <t>*R1</t>
  </si>
  <si>
    <t>TechData</t>
  </si>
  <si>
    <t>*TechDesc</t>
  </si>
  <si>
    <t>CommIN</t>
  </si>
  <si>
    <t>CommOUT</t>
  </si>
  <si>
    <t>NCAP_START</t>
  </si>
  <si>
    <t>NCAP_TLIFE</t>
  </si>
  <si>
    <t>NCAP_COST</t>
  </si>
  <si>
    <t>EFF</t>
  </si>
  <si>
    <t>Share~UP</t>
  </si>
  <si>
    <t>NCAP_AF~R2</t>
  </si>
  <si>
    <t>NCAP_AF~R3</t>
  </si>
  <si>
    <t>NCAP_AF~R4</t>
  </si>
  <si>
    <t>NCAP_AF~R5</t>
  </si>
  <si>
    <t>NCAP_AF~R6</t>
  </si>
  <si>
    <t>NCAP_FOM</t>
  </si>
  <si>
    <t>NCAP_DRATE</t>
  </si>
  <si>
    <t>PRC_RESID~R2~2010</t>
  </si>
  <si>
    <t>PRC_RESID~R3~2010</t>
  </si>
  <si>
    <t>PRC_RESID~R4~2010</t>
  </si>
  <si>
    <t>PRC_RESID~R5~2010</t>
  </si>
  <si>
    <t>PRC_RESID~R6~2010</t>
  </si>
  <si>
    <t>PRC_RESID~R2~2015</t>
  </si>
  <si>
    <t>PRC_RESID~R3~2015</t>
  </si>
  <si>
    <t>PRC_RESID~R4~2015</t>
  </si>
  <si>
    <t>PRC_RESID~R5~2015</t>
  </si>
  <si>
    <t>PRC_RESID~R6~2015</t>
  </si>
  <si>
    <t>PRC_RESID~R2~2020</t>
  </si>
  <si>
    <t>PRC_RESID~R3~2020</t>
  </si>
  <si>
    <t>PRC_RESID~R4~2020</t>
  </si>
  <si>
    <t>PRC_RESID~R5~2020</t>
  </si>
  <si>
    <t>PRC_RESID~R6~2020</t>
  </si>
  <si>
    <t>PRC_RESID~R4~2055</t>
  </si>
  <si>
    <t>NCAP_BND~2010</t>
  </si>
  <si>
    <t>NCAP_BND~2015</t>
  </si>
  <si>
    <t>NCAP_BND~2020</t>
  </si>
  <si>
    <t>NCAP_BND~2025</t>
  </si>
  <si>
    <t>NCAP_BND~2030</t>
  </si>
  <si>
    <t>NCAP_BND~2035</t>
  </si>
  <si>
    <t>NCAP_BND~2040</t>
  </si>
  <si>
    <t>NCAP_BND~2045</t>
  </si>
  <si>
    <t>NCAP_BND~2050</t>
  </si>
  <si>
    <t>NCAP_BND~2055</t>
  </si>
  <si>
    <t>*Electric Radiant Heating</t>
  </si>
  <si>
    <t>RSHERDV110</t>
  </si>
  <si>
    <t>Electric Radiant Ver1.RSH.ELC.10</t>
  </si>
  <si>
    <t>*Electric Heat Pumps</t>
  </si>
  <si>
    <t>RSHEHPV110</t>
  </si>
  <si>
    <t>Electric Heat Pump Ver1.RSH.ELC.10</t>
  </si>
  <si>
    <t>*Natural Gas Furnaces</t>
  </si>
  <si>
    <t/>
  </si>
  <si>
    <t>RSHNFRV110</t>
  </si>
  <si>
    <t>Natural Gas Furnace Ver1.RSH.NGA.10</t>
  </si>
  <si>
    <t>*Natural Gas Radiant Heating</t>
  </si>
  <si>
    <t>RSHNRDV110</t>
  </si>
  <si>
    <t>Natural Gas Radiant Ver1.RSH.NGA.10</t>
  </si>
  <si>
    <t>*Kerosene Furnaces</t>
  </si>
  <si>
    <t>*LPG Furnaces</t>
  </si>
  <si>
    <t>*Fuel Oil (DSL) Furnaces</t>
  </si>
  <si>
    <t>RSHDFRV110</t>
  </si>
  <si>
    <t>Distillate Furnace Ver1.RSH.DST.10</t>
  </si>
  <si>
    <t>*Dfuel Oil (DSL) Radiant Space Heating</t>
  </si>
  <si>
    <t>RSHDRDV110</t>
  </si>
  <si>
    <t>Distillate Radiant Ver1.RSH.DST.10</t>
  </si>
  <si>
    <t>RSHNUTIBOI</t>
  </si>
  <si>
    <t>RSH.NG.UTILITY.BOILER</t>
  </si>
  <si>
    <t>RSHNUTICHP</t>
  </si>
  <si>
    <t>RSH.NG.UTILITY.CHP</t>
  </si>
  <si>
    <t>RSHBUTICHP</t>
  </si>
  <si>
    <t>RSH.DSL.UTILITY.CHP</t>
  </si>
  <si>
    <t>*Wood Fired Furnaces</t>
  </si>
  <si>
    <t>*Geothermal Heat Pumps</t>
  </si>
  <si>
    <t>*Natural Gas Heat Pumps</t>
  </si>
  <si>
    <t>*Room/Window AC</t>
  </si>
  <si>
    <t>RSCRACV110</t>
  </si>
  <si>
    <t>Room AC Ver1.RSC.ELC.10</t>
  </si>
  <si>
    <t>*Central AC Units</t>
  </si>
  <si>
    <t>RSCCACV110</t>
  </si>
  <si>
    <t>Central AC Ver1.RSC.ELC.10</t>
  </si>
  <si>
    <t>*Portable AC Units</t>
  </si>
  <si>
    <t>RSCEHPV110</t>
  </si>
  <si>
    <t>Electric Heat Pump Ver1.RSC.ELC.10</t>
  </si>
  <si>
    <t>RWHNWHV110</t>
  </si>
  <si>
    <t>Natural Gas Ver1.RWH.NGA.10</t>
  </si>
  <si>
    <t>*Electric Water Heaters</t>
  </si>
  <si>
    <t>RWHEWHV110</t>
  </si>
  <si>
    <t>Electric Ver1.RWH.ELC.10</t>
  </si>
  <si>
    <t>*Fuel Oil (DSL) Water Heaters</t>
  </si>
  <si>
    <t>RWHDWHV110</t>
  </si>
  <si>
    <t>Distillate Ver1.RWH.DSL.10</t>
  </si>
  <si>
    <t>*UTILITY SCALE CHP - WH</t>
  </si>
  <si>
    <t>RWHNUTIBOI</t>
  </si>
  <si>
    <t>RWH.NG.UTILITY.BOILER</t>
  </si>
  <si>
    <t>RWHNUTICHP</t>
  </si>
  <si>
    <t>RWH.NG.UTILITY.CHP</t>
  </si>
  <si>
    <t>RWHBUTICHP</t>
  </si>
  <si>
    <t>RWH.DSL.UTILITY.CHP</t>
  </si>
  <si>
    <t>*Gas Water Heaters</t>
  </si>
  <si>
    <t>*Lighting</t>
  </si>
  <si>
    <t>RLTGINC10</t>
  </si>
  <si>
    <t>RLT.GSL.INC.10</t>
  </si>
  <si>
    <t>RLTGCFL10</t>
  </si>
  <si>
    <t>RLT.GSL.CFL.10</t>
  </si>
  <si>
    <t>RLTRINC10</t>
  </si>
  <si>
    <t>RLT.REF.INC.10</t>
  </si>
  <si>
    <t>RLTLFL10</t>
  </si>
  <si>
    <t>RLT.LFL.10</t>
  </si>
  <si>
    <t>RLTEXTBS</t>
  </si>
  <si>
    <t>RLT.EXT.BS</t>
  </si>
  <si>
    <t>* Residential Other</t>
  </si>
  <si>
    <t>ROTHCELC</t>
  </si>
  <si>
    <t>Residential Other - Electric</t>
  </si>
  <si>
    <t>ROTHNGA</t>
  </si>
  <si>
    <t>Residential Other - NGA</t>
  </si>
  <si>
    <t>* Dummy/Pass Through Technologies for NYC LITE Model to Meet Populaiton Demand</t>
  </si>
  <si>
    <t>RBLDHEDM</t>
  </si>
  <si>
    <t>Residential Building High Eff</t>
  </si>
  <si>
    <t>Mt, Mt/a</t>
  </si>
  <si>
    <t>RBLDLEDM</t>
  </si>
  <si>
    <t>Residential Building Low Eff</t>
  </si>
  <si>
    <t>RBROOFDM</t>
  </si>
  <si>
    <t>Residential Sector Black Roof</t>
  </si>
  <si>
    <t>RWTROOFDM</t>
  </si>
  <si>
    <t>Residential Sector White Roof</t>
  </si>
  <si>
    <t>RGROOF6DM</t>
  </si>
  <si>
    <t>Residential Sector Green Roof 6 Inch Depth</t>
  </si>
  <si>
    <t>RGROOF12DM</t>
  </si>
  <si>
    <t>Residential Sector Green Roof 12 Inch Depth</t>
  </si>
  <si>
    <t>* Green Infrastructure Heating &amp; Cooling Technologies</t>
  </si>
  <si>
    <t>RSHERDBS05</t>
  </si>
  <si>
    <t>Electric Radiant Base.RSH.ELC.05</t>
  </si>
  <si>
    <t>RSHEFRV120</t>
  </si>
  <si>
    <t>Electric Resistance Furnace Ver1.RSH.ELC.20</t>
  </si>
  <si>
    <t>RSHEFRV130</t>
  </si>
  <si>
    <t>Electric Resistance Furnace Ver1.RSH.ELC.30</t>
  </si>
  <si>
    <t>RSHEFRV230</t>
  </si>
  <si>
    <t>Electric Resistance Furnace Ver2.RSH.ELC.30</t>
  </si>
  <si>
    <t>RSHEFRV140</t>
  </si>
  <si>
    <t>Electric Resistance Furnace Ver1.RSH.ELC.40</t>
  </si>
  <si>
    <t>RSHEFRV240</t>
  </si>
  <si>
    <t>Electric Resistance Furnace Ver2.RSH.ELC.40</t>
  </si>
  <si>
    <t>RSHEFRV250</t>
  </si>
  <si>
    <t>Electric Resistance Furnace Ver2.RSH.ELC.50</t>
  </si>
  <si>
    <t>RSHEFRV220</t>
  </si>
  <si>
    <t>Electric Resistance Furnace Ver2.RSH.ELC.20</t>
  </si>
  <si>
    <t>RSHEFRV150</t>
  </si>
  <si>
    <t>Electric Resistance Furnace Ver1.RSH.ELC.50</t>
  </si>
  <si>
    <t>RSHEHPBS05</t>
  </si>
  <si>
    <t>Electric Heat Pump Base.RSH.ELC.05</t>
  </si>
  <si>
    <t>RSHEHPV115</t>
  </si>
  <si>
    <t>Electric Heat Pump Ver1.RSH.ELC.15</t>
  </si>
  <si>
    <t>2015</t>
  </si>
  <si>
    <t>RSHEHPV215</t>
  </si>
  <si>
    <t>Electric Heat Pump Ver2.RSH.ELC.15</t>
  </si>
  <si>
    <t>RSHEHPV320</t>
  </si>
  <si>
    <t>Electric Heat Pump Ver3.RSH.ELC.20</t>
  </si>
  <si>
    <t>2020</t>
  </si>
  <si>
    <t>RSHEHPV520</t>
  </si>
  <si>
    <t>Electric Heat Pump Ver5.RSH.ELC.20</t>
  </si>
  <si>
    <t>RSHEHPV430</t>
  </si>
  <si>
    <t>Electric Heat Pump Ver4.RSH.ELC.30</t>
  </si>
  <si>
    <t>RSHEHPV630</t>
  </si>
  <si>
    <t>Electric Heat Pump Ver6.RSH.ELC.30</t>
  </si>
  <si>
    <t>RSHEHPV440</t>
  </si>
  <si>
    <t>Electric Heat Pump Ver4.RSH.ELC.40</t>
  </si>
  <si>
    <t>RSHEHPV640</t>
  </si>
  <si>
    <t>Electric Heat Pump Ver6.RSH.ELC.40</t>
  </si>
  <si>
    <t>RSHEHPV210</t>
  </si>
  <si>
    <t>Electric Heat Pump Ver2.RSH.ELC.10</t>
  </si>
  <si>
    <t>2010</t>
  </si>
  <si>
    <t>RSHEHPV310</t>
  </si>
  <si>
    <t>Electric Heat Pump Ver3.RSH.ELC.10</t>
  </si>
  <si>
    <t>RSHEHPV315</t>
  </si>
  <si>
    <t>Electric Heat Pump Ver3.RSH.ELC.15</t>
  </si>
  <si>
    <t>RSHEHPV330</t>
  </si>
  <si>
    <t>Electric Heat Pump Ver3.RSH.ELC.30</t>
  </si>
  <si>
    <t>2030</t>
  </si>
  <si>
    <t>RSHEHPV410</t>
  </si>
  <si>
    <t>Electric Heat Pump Ver4.RSH.ELC.10</t>
  </si>
  <si>
    <t>RSHEHPV420</t>
  </si>
  <si>
    <t>Electric Heat Pump Ver4.RSH.ELC.20</t>
  </si>
  <si>
    <t>RSHEHPV435</t>
  </si>
  <si>
    <t>Electric Heat Pump Ver4.RSH.ELC.35</t>
  </si>
  <si>
    <t>2035</t>
  </si>
  <si>
    <t>RSHNFRBS05</t>
  </si>
  <si>
    <t>Natural Gas Furnace Base.RSH.NGA.05</t>
  </si>
  <si>
    <t>RSHNFRV115</t>
  </si>
  <si>
    <t>Natural Gas Furnace Ver1.RSH.NGA.15</t>
  </si>
  <si>
    <t>RSHNFRV215</t>
  </si>
  <si>
    <t>Natural Gas Furnace Ver2.RSH.NGA.15</t>
  </si>
  <si>
    <t>RSHNFRV320</t>
  </si>
  <si>
    <t>Natural Gas Furnace Ver3.RSH.NGA.20</t>
  </si>
  <si>
    <t>RSHNFRV520</t>
  </si>
  <si>
    <t>Natural Gas Furnace Ver5.RSH.NGA.20</t>
  </si>
  <si>
    <t>RSHNFRV430</t>
  </si>
  <si>
    <t>Natural Gas Furnace Ver4.RSH.NGA.30</t>
  </si>
  <si>
    <t>RSHNFRV630</t>
  </si>
  <si>
    <t>Natural Gas Furnace Ver6.RSH.NGA.30</t>
  </si>
  <si>
    <t>RSHNFRV440</t>
  </si>
  <si>
    <t>Natural Gas Furnace Ver4.RSH.NGA.40</t>
  </si>
  <si>
    <t>RSHNFRV640</t>
  </si>
  <si>
    <t>Natural Gas Furnace Ver6.RSH.NGA.40</t>
  </si>
  <si>
    <t>RSHNFRV210</t>
  </si>
  <si>
    <t>Natural Gas Furnace Ver2.RSH.NGA.10</t>
  </si>
  <si>
    <t>RSHNFRV310</t>
  </si>
  <si>
    <t>Natural Gas Furnace Ver3.RSH.NGA.10</t>
  </si>
  <si>
    <t>RSHNFRV410</t>
  </si>
  <si>
    <t>Natural Gas Furnace Ver4.RSH.NGA.10</t>
  </si>
  <si>
    <t>RSHNFRV510</t>
  </si>
  <si>
    <t>Natural Gas Furnace Ver5.RSH.NGA.10</t>
  </si>
  <si>
    <t>RSHNFRV120</t>
  </si>
  <si>
    <t>Natural Gas Furnace Ver1.RSH.NGA.20</t>
  </si>
  <si>
    <t>RSHNFRV220</t>
  </si>
  <si>
    <t>Natural Gas Furnace Ver2.RSH.NGA.20</t>
  </si>
  <si>
    <t>RSHNFRV130</t>
  </si>
  <si>
    <t>Natural Gas Furnace Ver1.RSH.NGA.30</t>
  </si>
  <si>
    <t>RSHNFRV230</t>
  </si>
  <si>
    <t>RSHNFRV140</t>
  </si>
  <si>
    <t>Natural Gas Furnace Ver1.RSH.NGA.40</t>
  </si>
  <si>
    <t>RSHNFRV240</t>
  </si>
  <si>
    <t>RSHNFRV150</t>
  </si>
  <si>
    <t>Natural Gas Furnace Ver1.RSH.NGA.50</t>
  </si>
  <si>
    <t>RSHNFRV250</t>
  </si>
  <si>
    <t>RSHNRDBS05</t>
  </si>
  <si>
    <t>Natural Gas Radiant Base.RSH.NGA.05</t>
  </si>
  <si>
    <t>RSHNRDV115</t>
  </si>
  <si>
    <t>Natural Gas Radiant Ver1.RSH.NGA.15</t>
  </si>
  <si>
    <t>RSHNRDV120</t>
  </si>
  <si>
    <t>Natural Gas Radiant Ver1.RSH.NGA.20</t>
  </si>
  <si>
    <t>RSHNRDV215</t>
  </si>
  <si>
    <t>Natural Gas Radiant Ver2.RSH.NGA.15</t>
  </si>
  <si>
    <t>RSHNRDV220</t>
  </si>
  <si>
    <t>Natural Gas Radiant Ver2.RSH.NGA.20</t>
  </si>
  <si>
    <t>RSHNRDV315</t>
  </si>
  <si>
    <t>Natural Gas Radiant Ver3.RSH.NGA.15</t>
  </si>
  <si>
    <t>RSHNRDV210</t>
  </si>
  <si>
    <t>Natural Gas Radiant Ver2.RSH.NGA.10</t>
  </si>
  <si>
    <t>RSHNRDV310</t>
  </si>
  <si>
    <t>Natural Gas Radiant Ver3.RSH.NGA.10</t>
  </si>
  <si>
    <t>RSHKFRBS05</t>
  </si>
  <si>
    <t>Kerosene Furnace Base.RSH.KER.05</t>
  </si>
  <si>
    <t>RSHKFRV110</t>
  </si>
  <si>
    <t>Kerosene Furnace Ver1.RSH.KER.10</t>
  </si>
  <si>
    <t>RSHKFRV115</t>
  </si>
  <si>
    <t>Kerosene Furnace Ver1.RSH.KER.15</t>
  </si>
  <si>
    <t>RSHKFRV210</t>
  </si>
  <si>
    <t>Kerosene Furnace Ver2.RSH.KER.10</t>
  </si>
  <si>
    <t>RSHKFRV310</t>
  </si>
  <si>
    <t>Kerosene Furnace Ver3.RSH.KER.10</t>
  </si>
  <si>
    <t>RSHLFRBS05</t>
  </si>
  <si>
    <t>Liquid Gas Furnace Base.RSH.LPG.05</t>
  </si>
  <si>
    <t>RSHLFRV110</t>
  </si>
  <si>
    <t>Liquid Gas Furnace Ver1.RSH.LPG.10</t>
  </si>
  <si>
    <t>RSHLFRV210</t>
  </si>
  <si>
    <t>Liquid Gas Furnace Ver2.RSH.LPG.10</t>
  </si>
  <si>
    <t>RSHLFRV310</t>
  </si>
  <si>
    <t>Liquid Gas Furnace Ver3.RSH.LPG.10</t>
  </si>
  <si>
    <t>RSHLFRV410</t>
  </si>
  <si>
    <t>Liquid Gas Furnace Ver4.RSH.LPG.10</t>
  </si>
  <si>
    <t>RSHLFRV510</t>
  </si>
  <si>
    <t>Liquid Gas Furnace Ver5.RSH.LPG.10</t>
  </si>
  <si>
    <t>RSHDFRBS05</t>
  </si>
  <si>
    <t>Distillate Furnace Base.RSH.DST.05</t>
  </si>
  <si>
    <t>RSHDFRV115</t>
  </si>
  <si>
    <t>Distillate Furnace Ver1.RSH.DST.15</t>
  </si>
  <si>
    <t>RSHDFRV210</t>
  </si>
  <si>
    <t>Distillate Furnace Ver2.RSH.DST.10</t>
  </si>
  <si>
    <t>RSHDFRV310</t>
  </si>
  <si>
    <t>Distillate Furnace Ver3.RSH.DST.10</t>
  </si>
  <si>
    <t>RSHDRDBS05</t>
  </si>
  <si>
    <t>Distillate Radiant Base.RSH.DST.05</t>
  </si>
  <si>
    <t>RSHDRDV115</t>
  </si>
  <si>
    <t>Distillate Radiant Ver1.RSH.DST.15</t>
  </si>
  <si>
    <t>RSHDRDV210</t>
  </si>
  <si>
    <t>Distillate Radiant Ver2.RSH.DST.10</t>
  </si>
  <si>
    <t>RSHDRDV310</t>
  </si>
  <si>
    <t>Distillate Radiant Ver3.RSH.DST.10</t>
  </si>
  <si>
    <t>RSHWDHBS05</t>
  </si>
  <si>
    <t>Wood Heat Base.RSH.BWD.05</t>
  </si>
  <si>
    <t>RSHWDHV110</t>
  </si>
  <si>
    <t>Wood Heat Ver1.RSH.BWD.10</t>
  </si>
  <si>
    <t>RSHGHPBS05</t>
  </si>
  <si>
    <t>Geothermal Heat Pump Base.RSH.ELC.05</t>
  </si>
  <si>
    <t>RSHGHPV110</t>
  </si>
  <si>
    <t>Geothermal Heat Pump Ver1.RSH.ELC.10</t>
  </si>
  <si>
    <t>RSHGHPV210</t>
  </si>
  <si>
    <t>Geothermal Heat Pump Ver2.RSH.ELC.10</t>
  </si>
  <si>
    <t>RSHGHPV220</t>
  </si>
  <si>
    <t>Geothermal Heat Pump Ver2.RSH.ELC.20</t>
  </si>
  <si>
    <t>RSHNHPBS05</t>
  </si>
  <si>
    <t>Natural Gas Heat Pump Base.RSH.NGA.05</t>
  </si>
  <si>
    <t>RSHNHPV110</t>
  </si>
  <si>
    <t>Natural Gas Heat Pump Ver1.RSH.NGA.10</t>
  </si>
  <si>
    <t>RSHNHPV120</t>
  </si>
  <si>
    <t>Natural Gas Heat Pump Ver1.RSH.NGA.20</t>
  </si>
  <si>
    <t>RSHNHPV220</t>
  </si>
  <si>
    <t>Natural Gas Heat Pump Ver2.RSH.NGA.20</t>
  </si>
  <si>
    <t>RSHNHPV130</t>
  </si>
  <si>
    <t>Natural Gas Heat Pump Ver1.RSH.NGA.30</t>
  </si>
  <si>
    <t>RSHNHPV230</t>
  </si>
  <si>
    <t>Natural Gas Heat Pump Ver2.RSH.NGA.30</t>
  </si>
  <si>
    <t>RSHNHPV140</t>
  </si>
  <si>
    <t>Natural Gas Heat Pump Ver1.RSH.NGA.40</t>
  </si>
  <si>
    <t>RSHNHPV240</t>
  </si>
  <si>
    <t>Natural Gas Heat Pump Ver2.RSH.NGA.40</t>
  </si>
  <si>
    <t>RSHNHPV150</t>
  </si>
  <si>
    <t>Natural Gas Heat Pump Ver1.RSH.NGA.50</t>
  </si>
  <si>
    <t>RSHNHPV250</t>
  </si>
  <si>
    <t>Natural Gas Heat Pump Ver2.RSH.NGA.50</t>
  </si>
  <si>
    <t>RSCRACBS05</t>
  </si>
  <si>
    <t>Room AC Base.RSC.ELC.05</t>
  </si>
  <si>
    <t>RSCRACV115</t>
  </si>
  <si>
    <t>Room AC Ver1.RSC.ELC.15</t>
  </si>
  <si>
    <t>RSCRACV215</t>
  </si>
  <si>
    <t>Room AC Ver2.RSC.ELC.15</t>
  </si>
  <si>
    <t>RSCRACV320</t>
  </si>
  <si>
    <t>Room AC  Ver3.RSC.ELC.20</t>
  </si>
  <si>
    <t>RSCRACV520</t>
  </si>
  <si>
    <t>Room AC  Ver5.RSC.ELC.20</t>
  </si>
  <si>
    <t>RSCRACV430</t>
  </si>
  <si>
    <t>Room AC  Ver4.RSC.ELC.30</t>
  </si>
  <si>
    <t>RSCRACV630</t>
  </si>
  <si>
    <t>Room AC  Ver6.RSC.ELC.30</t>
  </si>
  <si>
    <t>RSCRACV440</t>
  </si>
  <si>
    <t>Room AC  Ver4.RSC.ELC.40</t>
  </si>
  <si>
    <t>RSCRACV640</t>
  </si>
  <si>
    <t>Room AC Ver6.RSC.ELC.40</t>
  </si>
  <si>
    <t>RSCRACV210</t>
  </si>
  <si>
    <t>Room AC Ver2.RSC.ELC.10</t>
  </si>
  <si>
    <t>RSCRACV130</t>
  </si>
  <si>
    <t>Room AC Ver1.RSC.ELC.30</t>
  </si>
  <si>
    <t>RSCRACV310</t>
  </si>
  <si>
    <t>Room AC Ver3.RSC.ELC.10</t>
  </si>
  <si>
    <t>RSCRACV120</t>
  </si>
  <si>
    <t>Room AC Ver1.RSC.ELC.20</t>
  </si>
  <si>
    <t>RSCRACV220</t>
  </si>
  <si>
    <t>Room AC Ver2.RSC.ELC.20</t>
  </si>
  <si>
    <t>RSCRACV230</t>
  </si>
  <si>
    <t>Room AC Ver2.RSC.ELC.30</t>
  </si>
  <si>
    <t>RSCRACV140</t>
  </si>
  <si>
    <t>Room AC Ver1.RSC.ELC.40</t>
  </si>
  <si>
    <t>RSCRACV240</t>
  </si>
  <si>
    <t>Room AC Ver2.RSC.ELC.40</t>
  </si>
  <si>
    <t>RSCRACV150</t>
  </si>
  <si>
    <t>Room AC Ver1.RSC.ELC.50</t>
  </si>
  <si>
    <t>RSCRACV250</t>
  </si>
  <si>
    <t>Room AC Ver2.RSC.ELC.50</t>
  </si>
  <si>
    <t>RSCCACBS05</t>
  </si>
  <si>
    <t>Central AC Base.RSC.ELC.05</t>
  </si>
  <si>
    <t>RSCCACV115</t>
  </si>
  <si>
    <t>Central AC Ver1.RSC.ELC.15</t>
  </si>
  <si>
    <t>RSCCACV215</t>
  </si>
  <si>
    <t>Central AC Ver2.RSC.ELC.15</t>
  </si>
  <si>
    <t>RSCCACV320</t>
  </si>
  <si>
    <t>Central AC Ver3.RSC.ELC.20</t>
  </si>
  <si>
    <t>RSCCACV520</t>
  </si>
  <si>
    <t>Central AC Ver5.RSC.ELC.20</t>
  </si>
  <si>
    <t>RSCCACV430</t>
  </si>
  <si>
    <t>Central AC Ver4.RSC.ELC.30</t>
  </si>
  <si>
    <t>RSCCACV630</t>
  </si>
  <si>
    <t>Central AC Ver6.RSC.ELC.30</t>
  </si>
  <si>
    <t>RSCCACV440</t>
  </si>
  <si>
    <t>Central AC Ver4.RSC.ELC.40</t>
  </si>
  <si>
    <t>RSCCACV640</t>
  </si>
  <si>
    <t>Central AC Ver6.RSC.ELC.40</t>
  </si>
  <si>
    <t>RSCCACV120</t>
  </si>
  <si>
    <t>Central AC Ver1.RSC.ELC.20</t>
  </si>
  <si>
    <t>RSCCACV310</t>
  </si>
  <si>
    <t xml:space="preserve">Central AC Ver3.RSC.ELC.10 </t>
  </si>
  <si>
    <t>RSCCACV220</t>
  </si>
  <si>
    <t>Central AC Ver2.RSC.ELC.20</t>
  </si>
  <si>
    <t>RSCCACV410</t>
  </si>
  <si>
    <t>Central AC Ver4.RSC.ELC.10</t>
  </si>
  <si>
    <t>RSCCACV415</t>
  </si>
  <si>
    <t>Central AC Ver4.RSC.ELC.15</t>
  </si>
  <si>
    <t>RSCCACV130</t>
  </si>
  <si>
    <t>Central AC Ver1.RSC.ELC.30</t>
  </si>
  <si>
    <t>RSCCACV230</t>
  </si>
  <si>
    <t>Central AC Ver2.RSC.ELC.30</t>
  </si>
  <si>
    <t>RSCCACV140</t>
  </si>
  <si>
    <t>Central AC Ver1.RSC.ELC.40</t>
  </si>
  <si>
    <t>RSCCACV240</t>
  </si>
  <si>
    <t>Central AC Ver2.RSC.ELC.40</t>
  </si>
  <si>
    <t>RSCCACV150</t>
  </si>
  <si>
    <t>Central AC Ver1.RSC.ELC.50</t>
  </si>
  <si>
    <t>RSCCACV250</t>
  </si>
  <si>
    <t>Central AC Ver2.RSC.ELC.50</t>
  </si>
  <si>
    <t>RSCCACP120</t>
  </si>
  <si>
    <t>Portable AC Ver1.RSC.ELC.20</t>
  </si>
  <si>
    <t>RSCCACP220</t>
  </si>
  <si>
    <t>Portable AC Ver2.RSC.ELC.20</t>
  </si>
  <si>
    <t>RSCCACP130</t>
  </si>
  <si>
    <t>Portable AC Ver4.RSC.ELC.30</t>
  </si>
  <si>
    <t>RSCCACP230</t>
  </si>
  <si>
    <t>Portable AC Ver6.RSC.ELC.30</t>
  </si>
  <si>
    <t>RSCCACP140</t>
  </si>
  <si>
    <t>Portable AC Ver4.RSC.ELC.40</t>
  </si>
  <si>
    <t>RSCCACP240</t>
  </si>
  <si>
    <t>Portable AC Ver6.RSC.ELC.40</t>
  </si>
  <si>
    <t>Portable AC Ver1.RSC.ELC.30</t>
  </si>
  <si>
    <t>Portable AC Ver2.RSC.ELC.30</t>
  </si>
  <si>
    <t>Portable AC Ver1.RSC.ELC.40</t>
  </si>
  <si>
    <t>Portable AC Ver2.RSC.ELC.40</t>
  </si>
  <si>
    <t>RSCCACP150</t>
  </si>
  <si>
    <t>Portable AC Ver1.RSC.ELC.50</t>
  </si>
  <si>
    <t>RSCCACP250</t>
  </si>
  <si>
    <t>Portable AC Ver2.RSC.ELC.50</t>
  </si>
  <si>
    <t>RSCEHPBS05</t>
  </si>
  <si>
    <t>Electric Heat Pump Base.RSC.ELC.05</t>
  </si>
  <si>
    <t>RSCEHPV115</t>
  </si>
  <si>
    <t>Electric Heat Pump Ver1.RSC.ELC.15</t>
  </si>
  <si>
    <t>RSCEHPV215</t>
  </si>
  <si>
    <t>Electric Heat Pump Ver2.RSC.ELC.15</t>
  </si>
  <si>
    <t>RSCEHPV320</t>
  </si>
  <si>
    <t>Electric Heat Pump Ver3.RSC.ELC.20</t>
  </si>
  <si>
    <t>RSCEHPV520</t>
  </si>
  <si>
    <t>Electric Heat Pump Ver5.RSC.ELC.20</t>
  </si>
  <si>
    <t>RSCEHPV430</t>
  </si>
  <si>
    <t>Electric Heat Pump Ver4.RSC.ELC.30</t>
  </si>
  <si>
    <t>RSCEHPV630</t>
  </si>
  <si>
    <t>Electric Heat Pump Ver6.RSC.ELC.30</t>
  </si>
  <si>
    <t>RSCEHPV440</t>
  </si>
  <si>
    <t>Electric Heat Pump Ver4.RSC.ELC.40</t>
  </si>
  <si>
    <t>RSCEHPV640</t>
  </si>
  <si>
    <t>Electric Heat Pump Ver6.RSC.ELC.40</t>
  </si>
  <si>
    <t>RSCEHPV210</t>
  </si>
  <si>
    <t>Electric Heat Pump Ver2.RSC.ELC.10</t>
  </si>
  <si>
    <t>RSCEHPV310</t>
  </si>
  <si>
    <t>Electric Heat Pump Ver3.RSC.ELC.10</t>
  </si>
  <si>
    <t>RSCEHPV315</t>
  </si>
  <si>
    <t>Electric Heat Pump Ver3.RSC.ELC.15</t>
  </si>
  <si>
    <t>RSCEHPV330</t>
  </si>
  <si>
    <t>Electric Heat Pump Ver3.RSC.ELC.30</t>
  </si>
  <si>
    <t>RSCEHPV410</t>
  </si>
  <si>
    <t>Electric Heat Pump Ver4.RSC.ELC.10</t>
  </si>
  <si>
    <t>RSCEHPV420</t>
  </si>
  <si>
    <t>Electric Heat Pump Ver4.RSC.ELC.20</t>
  </si>
  <si>
    <t>RSCEHPV435</t>
  </si>
  <si>
    <t>Electric Heat Pump Ver4.RSC.ELC.35</t>
  </si>
  <si>
    <t>RSCGHPBS05</t>
  </si>
  <si>
    <t>Geothermal Heat Pump Base.RSC.ELC.05</t>
  </si>
  <si>
    <t>RSCGHPV110</t>
  </si>
  <si>
    <t>Geothermal Heat Pump Ver1.RSC.ELC.10</t>
  </si>
  <si>
    <t>RSCGHPV210</t>
  </si>
  <si>
    <t>Geothermal Heat Pump Ver2.RSC.ELC.10</t>
  </si>
  <si>
    <t>RSCGHPV220</t>
  </si>
  <si>
    <t>Geothermal Heat Pump Ver2.RSC.ELC.20</t>
  </si>
  <si>
    <t>RSCNHPBS05</t>
  </si>
  <si>
    <t>Natural Gas Heat Pump Base.RSC.NGA.05</t>
  </si>
  <si>
    <t>RSCNHPV120</t>
  </si>
  <si>
    <t>Natural Gas Heat Pump Ver1.RSC.NGA.20</t>
  </si>
  <si>
    <t>RSCNHPV220</t>
  </si>
  <si>
    <t>Natural Gas Heat Pump Ver2.RSC.NGA.20</t>
  </si>
  <si>
    <t>RSCNHPV130</t>
  </si>
  <si>
    <t>Natural Gas Heat Pump Ver1.RSC.NGA.30</t>
  </si>
  <si>
    <t>RSCNHPV230</t>
  </si>
  <si>
    <t>Natural Gas Heat Pump Ver2.RSC.NGA.30</t>
  </si>
  <si>
    <t>RSCNHPV140</t>
  </si>
  <si>
    <t>Natural Gas Heat Pump Ver1.RSC.NGA.40</t>
  </si>
  <si>
    <t>RSCNHPV240</t>
  </si>
  <si>
    <t>Natural Gas Heat Pump Ver2.RSC.NGA.40</t>
  </si>
  <si>
    <t>RSCNHPV150</t>
  </si>
  <si>
    <t>Natural Gas Heat Pump Ver1.RSC.NGA.50</t>
  </si>
  <si>
    <t>RSCNHPV250</t>
  </si>
  <si>
    <t>Natural Gas Heat Pump Ver2.RSC.NGA.50</t>
  </si>
  <si>
    <t>RWHNWHBS05</t>
  </si>
  <si>
    <t>Natural Gas Base.RWH.NGA.05</t>
  </si>
  <si>
    <t>RWHNWHV115</t>
  </si>
  <si>
    <t>Natural Gas Ver1.RWH.NGA.15</t>
  </si>
  <si>
    <t>RWHNWHV215</t>
  </si>
  <si>
    <t>Natural Gas Ver2.RWH.NGA.15</t>
  </si>
  <si>
    <t>RWHNWHV320</t>
  </si>
  <si>
    <t>Natural Gas Ver3.RWH.NGA.20</t>
  </si>
  <si>
    <t>RWHNWHV520</t>
  </si>
  <si>
    <t>Natural Gas Ver5.RWH.NGA.20</t>
  </si>
  <si>
    <t>RWHNWHV430</t>
  </si>
  <si>
    <t>Natural Gas Ver4.RWH.NGA.30</t>
  </si>
  <si>
    <t>RWHNWHV630</t>
  </si>
  <si>
    <t>Natural Gas Ver6.RWH.NGA.30</t>
  </si>
  <si>
    <t>RWHNWHV440</t>
  </si>
  <si>
    <t>Natural Gas Ver4.RWH.NGA.40</t>
  </si>
  <si>
    <t>RWHNWHV640</t>
  </si>
  <si>
    <t>Natural Gas Ver6.RWH.NGA.40</t>
  </si>
  <si>
    <t>RWHNWHV210</t>
  </si>
  <si>
    <t>Natural Gas Ver2.RWH.NGA.10</t>
  </si>
  <si>
    <t>RWHNWHV310</t>
  </si>
  <si>
    <t>Natural Gas Ver3.RWH.NGA.10</t>
  </si>
  <si>
    <t>RWHNWHV120</t>
  </si>
  <si>
    <t>Natural Gas Ver1.RWH.NGA.20</t>
  </si>
  <si>
    <t>RWHNWHV220</t>
  </si>
  <si>
    <t>Natural Gas Ver2.RWH.NGA.20</t>
  </si>
  <si>
    <t>RWHNWHV130</t>
  </si>
  <si>
    <t>Natural Gas Ver1.RWH.NGA.30</t>
  </si>
  <si>
    <t>RWHNWHV230</t>
  </si>
  <si>
    <t>Natural Gas Ver2.RWH.NGA.30</t>
  </si>
  <si>
    <t>RWHNWHV140</t>
  </si>
  <si>
    <t>Natural Gas Ver1.RWH.NGA.40</t>
  </si>
  <si>
    <t>RWHNWHV240</t>
  </si>
  <si>
    <t>Natural Gas Ver2.RWH.NGA.40</t>
  </si>
  <si>
    <t>RWHNWHV150</t>
  </si>
  <si>
    <t>Natural Gas Ver1.RWH.NGA.50</t>
  </si>
  <si>
    <t>RWHNWHV250</t>
  </si>
  <si>
    <t>Natural Gas Ver2.RWH.NGA.50</t>
  </si>
  <si>
    <t>RWHEWHBS05</t>
  </si>
  <si>
    <t>Electric Base.RWH.ELC.05</t>
  </si>
  <si>
    <t>RWHEWHV115</t>
  </si>
  <si>
    <t>Electric Ver1.RWH.ELC.15</t>
  </si>
  <si>
    <t>RWHEWHV215</t>
  </si>
  <si>
    <t>Electric Ver2.RWH.ELC.15</t>
  </si>
  <si>
    <t>RWHEWHV320</t>
  </si>
  <si>
    <t>Electric Ver3.RWH.ELC.20</t>
  </si>
  <si>
    <t>RWHEWHV520</t>
  </si>
  <si>
    <t>Electric Ver5.RWH.ELC.20</t>
  </si>
  <si>
    <t>RWHEWHV430</t>
  </si>
  <si>
    <t>Electric Ver4.RWH.ELC.30</t>
  </si>
  <si>
    <t>RWHEWHV630</t>
  </si>
  <si>
    <t>Electric Ver6.RWH.ELC.30</t>
  </si>
  <si>
    <t>RWHEWHV440</t>
  </si>
  <si>
    <t>Electric Ver4.RWH.ELC.40</t>
  </si>
  <si>
    <t>RWHEWHV640</t>
  </si>
  <si>
    <t>Electric Ver6.RWH.ELC.40</t>
  </si>
  <si>
    <t>RWHEWHV210</t>
  </si>
  <si>
    <t>Electric Ver2.RWH.ELC.10</t>
  </si>
  <si>
    <t>RWHEWHV310</t>
  </si>
  <si>
    <t>Electric Ver3.RWH.ELC.10</t>
  </si>
  <si>
    <t>RWHEWHV410</t>
  </si>
  <si>
    <t>Electric Ver4.RWH.ELC.10</t>
  </si>
  <si>
    <t>RWHEWHV510</t>
  </si>
  <si>
    <t>Electric Ver5.RWH.ELC.10</t>
  </si>
  <si>
    <t>RWHEWHV120</t>
  </si>
  <si>
    <t>Electric Ver1.RWH.ELC.20</t>
  </si>
  <si>
    <t>RWHEWHV220</t>
  </si>
  <si>
    <t>Electric Ver2.RWH.ELC.20</t>
  </si>
  <si>
    <t>RWHEWHV130</t>
  </si>
  <si>
    <t>Electric Ver1.RWH.ELC.30</t>
  </si>
  <si>
    <t>RWHEWHV230</t>
  </si>
  <si>
    <t>Electric Ver2.RWH.ELC.30</t>
  </si>
  <si>
    <t>RWHEWHV140</t>
  </si>
  <si>
    <t>Electric Ver1.RWH.ELC.40</t>
  </si>
  <si>
    <t>RWHEWHV240</t>
  </si>
  <si>
    <t>Electric Ver2.RWH.ELC.40</t>
  </si>
  <si>
    <t>RWHEWHV150</t>
  </si>
  <si>
    <t>Electric Ver1.RWH.ELC.50</t>
  </si>
  <si>
    <t>RWHEWHV250</t>
  </si>
  <si>
    <t>Electric Ver2.RWH.ELC.50</t>
  </si>
  <si>
    <t>RWHDWHBS05</t>
  </si>
  <si>
    <t>Distillate Base.RWH.DSL.05</t>
  </si>
  <si>
    <t>RWHDWHV210</t>
  </si>
  <si>
    <t>Distillate Ver2.RWH.DSL.10</t>
  </si>
  <si>
    <t>RWHDWHV310</t>
  </si>
  <si>
    <t>Distillate Ver3.RWH.DSL.10</t>
  </si>
  <si>
    <t>RWHLWHBS05</t>
  </si>
  <si>
    <t>Liquid Gas Base.RWH.LPG.05</t>
  </si>
  <si>
    <t>RWHLWHV110</t>
  </si>
  <si>
    <t>Liquid Gas Ver1.RWH.LPG.10</t>
  </si>
  <si>
    <t>RWHLWHV115</t>
  </si>
  <si>
    <t>Liquid Gas Ver1.RWH.LPG.15</t>
  </si>
  <si>
    <t>RWHLWHV210</t>
  </si>
  <si>
    <t>Liquid Gas Ver2.RWH.LPG.10</t>
  </si>
  <si>
    <t>RWHLWHV310</t>
  </si>
  <si>
    <t>Liquid Gas Ver3.RWH.LPG.10</t>
  </si>
  <si>
    <t>RWHLWHV320</t>
  </si>
  <si>
    <t>Liquid Gas Ver3.RWH.LPG.20</t>
  </si>
  <si>
    <t>RWHLWHV410</t>
  </si>
  <si>
    <t xml:space="preserve">Liquid Gas Ver4.RWH.LPG.10 </t>
  </si>
  <si>
    <t>RWHLWHV420</t>
  </si>
  <si>
    <t>Liquid Gas Ver4.RWH.LPG.20</t>
  </si>
  <si>
    <t>RWHSWHV110</t>
  </si>
  <si>
    <t>Solar Ver1.RWH.ELC.10</t>
  </si>
  <si>
    <t>RWHSWHV115</t>
  </si>
  <si>
    <t>Solar Ver1.RWH.ELC.15</t>
  </si>
  <si>
    <t>RWHSWHV220</t>
  </si>
  <si>
    <t>Solar Ver2.RWH.ELC.20</t>
  </si>
  <si>
    <t>RWHSWHV330</t>
  </si>
  <si>
    <t>Solar Ver3.RWH.ELC.30</t>
  </si>
  <si>
    <t>RWHSWHV430</t>
  </si>
  <si>
    <t>Solar Ver4.RWH.ELC.30</t>
  </si>
  <si>
    <t>RWHSWHV340</t>
  </si>
  <si>
    <t>Solar Ver3.RWH.ELC.40</t>
  </si>
  <si>
    <t>RWHSWHV440</t>
  </si>
  <si>
    <t>Solar Ver4.RWH.ELC.40</t>
  </si>
  <si>
    <t>RWHSWHV120</t>
  </si>
  <si>
    <t>Solar Ver1.RWH.ELC.20</t>
  </si>
  <si>
    <t>RWHSWHV130</t>
  </si>
  <si>
    <t>Solar Ver1.RWH.ELC.30</t>
  </si>
  <si>
    <t>RWHSWHV230</t>
  </si>
  <si>
    <t>Solar Ver2.RWH.ELC.30</t>
  </si>
  <si>
    <t>RWHSWHV140</t>
  </si>
  <si>
    <t>Solar Ver1.RWH.ELC.40</t>
  </si>
  <si>
    <t>RWHSWHV240</t>
  </si>
  <si>
    <t>Solar Ver2.RWH.ELC.40</t>
  </si>
  <si>
    <t>RWHSWHV150</t>
  </si>
  <si>
    <t>Solar Ver1.RWH.ELC.50</t>
  </si>
  <si>
    <t>RWHSWHV250</t>
  </si>
  <si>
    <t>RRFBS05</t>
  </si>
  <si>
    <t>Base.RRF.BS.ELC.05</t>
  </si>
  <si>
    <t>RRFTFV110</t>
  </si>
  <si>
    <t>TF Ver1.RRF.ELC.10</t>
  </si>
  <si>
    <t>RRFTFV115</t>
  </si>
  <si>
    <t>TF Ver1.RRF.ELC.15</t>
  </si>
  <si>
    <t>RRFTFV210</t>
  </si>
  <si>
    <t>TF VerC.RRF.ELC.10</t>
  </si>
  <si>
    <t>RRFTFV215</t>
  </si>
  <si>
    <t>TF Ver2.RRF.ELC.15</t>
  </si>
  <si>
    <t>RRFTFV310</t>
  </si>
  <si>
    <t>TF Ver3.RRF.ELC.10</t>
  </si>
  <si>
    <t>RRFTFV315</t>
  </si>
  <si>
    <t>TF Ver3.RRF.ELC.15</t>
  </si>
  <si>
    <t>RRFSFV110</t>
  </si>
  <si>
    <t>SF Ver1.RRF.ELC.10</t>
  </si>
  <si>
    <t>RRFSFV210</t>
  </si>
  <si>
    <t>SF Ver2.RRF.ELC.10</t>
  </si>
  <si>
    <t>RRFSFV215</t>
  </si>
  <si>
    <t>SF Ver2.RRF.ELC.15</t>
  </si>
  <si>
    <t>RRFBFV110</t>
  </si>
  <si>
    <t>BF Ver1.RRF.ELC.10</t>
  </si>
  <si>
    <t>RRFBFV210</t>
  </si>
  <si>
    <t>BF Ver2.RRF.ELC.10</t>
  </si>
  <si>
    <t>RRFBFV215</t>
  </si>
  <si>
    <t>BF Ver2.RRF.ELC.15</t>
  </si>
  <si>
    <t>RFZBS05</t>
  </si>
  <si>
    <t>Base.RFZ.BS.ELC.05</t>
  </si>
  <si>
    <t>RFZCV110</t>
  </si>
  <si>
    <t>C Ver1.RFZ.ELC.10</t>
  </si>
  <si>
    <t>RFZCV210</t>
  </si>
  <si>
    <t>C Ver2.RFZ.ELC.10</t>
  </si>
  <si>
    <t>RFZCV215</t>
  </si>
  <si>
    <t>C Ver2.RFZ.ELC.15</t>
  </si>
  <si>
    <t>RFZUV110</t>
  </si>
  <si>
    <t>U Ver1.RFZ.ELC.10</t>
  </si>
  <si>
    <t>RFZUV210</t>
  </si>
  <si>
    <t>U Ver2.RFZ.ELC.10</t>
  </si>
  <si>
    <t>RFZUV215</t>
  </si>
  <si>
    <t>U Ver2.RFZ.ELC.15</t>
  </si>
  <si>
    <t>RLTGINCBS</t>
  </si>
  <si>
    <t>RLT.GSL.INC.BS</t>
  </si>
  <si>
    <t>RLTGINC15</t>
  </si>
  <si>
    <t>RLT.GSL.INC.15</t>
  </si>
  <si>
    <t>RLTGCFL15</t>
  </si>
  <si>
    <t>RLT.GSL.CFL.15</t>
  </si>
  <si>
    <t>RLTGCFL20</t>
  </si>
  <si>
    <t>RLT.GSL.CFL.20</t>
  </si>
  <si>
    <t>RLTGCFL30</t>
  </si>
  <si>
    <t>RLT.GSL.CFL.30</t>
  </si>
  <si>
    <t>RLTGCFL40</t>
  </si>
  <si>
    <t>RLT.GSL.CFL.40</t>
  </si>
  <si>
    <t>RLTGLED15</t>
  </si>
  <si>
    <t>RLT.GSL.LED.15</t>
  </si>
  <si>
    <t>RLTGLED20</t>
  </si>
  <si>
    <t>RLT.GSL.LED.20</t>
  </si>
  <si>
    <t>RLTGLED25</t>
  </si>
  <si>
    <t>RLT.GSL.LED.25</t>
  </si>
  <si>
    <t>RLTGLED30</t>
  </si>
  <si>
    <t>RLT.GSL.LED.30</t>
  </si>
  <si>
    <t>RLTGLED40</t>
  </si>
  <si>
    <t>RLT.GSL.LED.40</t>
  </si>
  <si>
    <t>RLTGCFLBS</t>
  </si>
  <si>
    <t>RLT.GSL.CFL.BS</t>
  </si>
  <si>
    <t>RLTGLED10</t>
  </si>
  <si>
    <t>RLT.GSL.LED.10</t>
  </si>
  <si>
    <t>RLTRINC20</t>
  </si>
  <si>
    <t>RLT.REF.INC.20</t>
  </si>
  <si>
    <t>RLTRINC30</t>
  </si>
  <si>
    <t>RLT.REF.INC.30</t>
  </si>
  <si>
    <t>RLTRINC40</t>
  </si>
  <si>
    <t>RLT.REF.INC.40</t>
  </si>
  <si>
    <t>RLTRCFL20</t>
  </si>
  <si>
    <t>RLT.REF.CFL.20</t>
  </si>
  <si>
    <t>RLTRCFL30</t>
  </si>
  <si>
    <t>RLT.REF.CFL.30</t>
  </si>
  <si>
    <t>RLTRCFL40</t>
  </si>
  <si>
    <t>RLT.REF.CFL.40</t>
  </si>
  <si>
    <t>RLTRHAL20</t>
  </si>
  <si>
    <t>RLT.REF.HAL.20</t>
  </si>
  <si>
    <t>RLTRHAL30</t>
  </si>
  <si>
    <t>RLT.REF.HAL.30</t>
  </si>
  <si>
    <t>RLTRHAL40</t>
  </si>
  <si>
    <t>RLT.REF.HAL.40</t>
  </si>
  <si>
    <t>RLTRLED15</t>
  </si>
  <si>
    <t>RLT.REF.LED.15</t>
  </si>
  <si>
    <t>RLTRLED20</t>
  </si>
  <si>
    <t>RLT.REF.LED.20</t>
  </si>
  <si>
    <t>RLTRLED25</t>
  </si>
  <si>
    <t>RLT.REF.LED.25</t>
  </si>
  <si>
    <t>RLTRLED30</t>
  </si>
  <si>
    <t>RLT.REF.LED.30</t>
  </si>
  <si>
    <t>RLTRCFL10</t>
  </si>
  <si>
    <t>RLT.REF.CFL.10</t>
  </si>
  <si>
    <t>RLTRHAL10</t>
  </si>
  <si>
    <t>RLT.REF.HAL.10</t>
  </si>
  <si>
    <t>RLTRLED10</t>
  </si>
  <si>
    <t>RLT.REF.LED.10</t>
  </si>
  <si>
    <t>RLTLT830</t>
  </si>
  <si>
    <t>RLT.LFL.T8.30</t>
  </si>
  <si>
    <t>RLTLLED15</t>
  </si>
  <si>
    <t>RLT.LFL.LED.15</t>
  </si>
  <si>
    <t>RLTLLED20</t>
  </si>
  <si>
    <t>RLT.LFL.LED.20</t>
  </si>
  <si>
    <t>RLTLLED30</t>
  </si>
  <si>
    <t>RLT.LFL.LED.30</t>
  </si>
  <si>
    <t>RLTLT1210</t>
  </si>
  <si>
    <t>RLT.LFL.T12.10</t>
  </si>
  <si>
    <t>RLTLT810</t>
  </si>
  <si>
    <t>RLT.LFL.T8.10</t>
  </si>
  <si>
    <t>RLTLLED10</t>
  </si>
  <si>
    <t>RLT.LFL.LED.10</t>
  </si>
  <si>
    <t>RLTEINC15</t>
  </si>
  <si>
    <t>RLT.EXT.INC.15</t>
  </si>
  <si>
    <t>RLTEINC20</t>
  </si>
  <si>
    <t>RLT.EXT.INC.20</t>
  </si>
  <si>
    <t>RLTEINC30</t>
  </si>
  <si>
    <t>RLT.EXT.INC.30</t>
  </si>
  <si>
    <t>RLTEINC40</t>
  </si>
  <si>
    <t>RLT.EXT.INC.40</t>
  </si>
  <si>
    <t>RLTECFL20</t>
  </si>
  <si>
    <t>RLT.EXT.CFL.20</t>
  </si>
  <si>
    <t>RLTECFL30</t>
  </si>
  <si>
    <t>RLT.EXT.CFL.30</t>
  </si>
  <si>
    <t>RLTECFL40</t>
  </si>
  <si>
    <t>RLT.EXT.CFL.40</t>
  </si>
  <si>
    <t>RLTEHPS20</t>
  </si>
  <si>
    <t>RLT.EXT.HPS.20</t>
  </si>
  <si>
    <t>RLTELED15</t>
  </si>
  <si>
    <t>RLT.EXT.LED.15</t>
  </si>
  <si>
    <t>RLTELED20</t>
  </si>
  <si>
    <t>RLT.EXT.LED.20</t>
  </si>
  <si>
    <t>RLTELED25</t>
  </si>
  <si>
    <t>RLT.EXT.LED.25</t>
  </si>
  <si>
    <t>RLTELED30</t>
  </si>
  <si>
    <t>RLT.EXT.LED.30</t>
  </si>
  <si>
    <t>RLTEINC10</t>
  </si>
  <si>
    <t>RLT.EXT.INC.10</t>
  </si>
  <si>
    <t>RLTECFL10</t>
  </si>
  <si>
    <t>RLT.EXT.CFL.10</t>
  </si>
  <si>
    <t>RLTEHPS10</t>
  </si>
  <si>
    <t>RLT.EXT.HPS.10</t>
  </si>
  <si>
    <t>RLTELED10</t>
  </si>
  <si>
    <t>RLT.EXT.LED.10</t>
  </si>
  <si>
    <t>ROTHLPG</t>
  </si>
  <si>
    <t>Residential Other - LPG</t>
  </si>
  <si>
    <t>RBLDMEDM</t>
  </si>
  <si>
    <t>Residential Building Medium Eff</t>
  </si>
  <si>
    <t>RSHRFBLK</t>
  </si>
  <si>
    <t>Heating provided by black roofs</t>
  </si>
  <si>
    <t>RSHRFWT</t>
  </si>
  <si>
    <t>Heating provided by white roofs</t>
  </si>
  <si>
    <t>RSHRFG6</t>
  </si>
  <si>
    <t>Heating provided by 6 inch green roofs</t>
  </si>
  <si>
    <t>RSHRFG12</t>
  </si>
  <si>
    <t>Heating provided by 12 inch green roofs</t>
  </si>
  <si>
    <t>RSCRFBLK</t>
  </si>
  <si>
    <t>Cooling provided by black roofs</t>
  </si>
  <si>
    <t>RSCRFWT</t>
  </si>
  <si>
    <t>Cooling provided by white roofs</t>
  </si>
  <si>
    <t>RSCRFG6</t>
  </si>
  <si>
    <t>Cooling provided by 6 inch green roofs</t>
  </si>
  <si>
    <t>RSCRFG12</t>
  </si>
  <si>
    <t>Cooling provided by 12 inch green roofs</t>
  </si>
  <si>
    <t>PRC_CAPACT</t>
  </si>
  <si>
    <t>Peak</t>
  </si>
  <si>
    <t>PRC_RESID~2010</t>
  </si>
  <si>
    <t>NCAP_COST~2010</t>
  </si>
  <si>
    <t>NCAP_COST~2015</t>
  </si>
  <si>
    <t>NCAP_COST~2020</t>
  </si>
  <si>
    <t>NCAP_COST~2025</t>
  </si>
  <si>
    <t>NCAP_COST~2030</t>
  </si>
  <si>
    <t>NCAP_COST~2035</t>
  </si>
  <si>
    <t>NCAP_COST~2040</t>
  </si>
  <si>
    <t>NCAP_COST~2045</t>
  </si>
  <si>
    <t>NCAP_COST~2050</t>
  </si>
  <si>
    <t>NCAP_COST~2055</t>
  </si>
  <si>
    <t>NCAP_AF~IDAM</t>
  </si>
  <si>
    <t>NCAP_AF~IDPM</t>
  </si>
  <si>
    <t>*NCAP_AF~IP</t>
  </si>
  <si>
    <t>NCAP_AF~IP</t>
  </si>
  <si>
    <t>NCAP_AF~IN</t>
  </si>
  <si>
    <t>NCAP_AF~SDAM</t>
  </si>
  <si>
    <t>NCAP_AF~SDPM</t>
  </si>
  <si>
    <t>*NCAP_AF~SP</t>
  </si>
  <si>
    <t>NCAP_AF~SP</t>
  </si>
  <si>
    <t>NCAP_AF~SN</t>
  </si>
  <si>
    <t>NCAP_AF~WDAM</t>
  </si>
  <si>
    <t>NCAP_AF~WDPM</t>
  </si>
  <si>
    <t>*NCAP_AF~WP</t>
  </si>
  <si>
    <t>NCAP_AF~WP</t>
  </si>
  <si>
    <t>NCAP_AF~WN</t>
  </si>
  <si>
    <t>Input</t>
  </si>
  <si>
    <t>Output</t>
  </si>
  <si>
    <t>ACT_BND~FX~2010</t>
  </si>
  <si>
    <t>ACT_BND~FX~2015</t>
  </si>
  <si>
    <t>ACT_BND~LO~2020</t>
  </si>
  <si>
    <t>ACT_BND~LO~2025</t>
  </si>
  <si>
    <t>ACT_BND~LO~2030</t>
  </si>
  <si>
    <t>ACT_BND~LO~2035</t>
  </si>
  <si>
    <t>ACT_BND~LO~2040</t>
  </si>
  <si>
    <t>ACT_BND~LO~2045</t>
  </si>
  <si>
    <t>ACT_BND~LO~2050</t>
  </si>
  <si>
    <t>ACT_BND~LO~2055</t>
  </si>
  <si>
    <t>ACT_BND~UP~2020</t>
  </si>
  <si>
    <t>ACT_BND~UP~2025</t>
  </si>
  <si>
    <t>ACT_BND~UP~2030</t>
  </si>
  <si>
    <t>ACT_BND~UP~2035</t>
  </si>
  <si>
    <t>ACT_BND~UP~2040</t>
  </si>
  <si>
    <t>ACT_BND~UP~2045</t>
  </si>
  <si>
    <t>ACT_BND~UP~2050</t>
  </si>
  <si>
    <t>ACT_BND~UP~2055</t>
  </si>
  <si>
    <t>* Solar PV Technologies</t>
  </si>
  <si>
    <t>ESOLPVRES</t>
  </si>
  <si>
    <t>Solar PV Distributed Residential Generation</t>
  </si>
  <si>
    <t>S</t>
  </si>
  <si>
    <t>ACT_COST</t>
  </si>
  <si>
    <t>NCAP_AF</t>
  </si>
  <si>
    <t>SCRESELC</t>
  </si>
  <si>
    <t>Collector: ELC to RES</t>
  </si>
  <si>
    <t>* Building Retrofit Collectors</t>
  </si>
  <si>
    <t>XELCRBLD</t>
  </si>
  <si>
    <t>Collects ELC for use in buildings</t>
  </si>
  <si>
    <t>XNGARBLD</t>
  </si>
  <si>
    <t>Collects NGA for use in buildings</t>
  </si>
  <si>
    <t>XRFLRBLD</t>
  </si>
  <si>
    <t>Collects RFL for use in buildings</t>
  </si>
  <si>
    <t>RESRFLEA</t>
  </si>
  <si>
    <t>XDSLRBLD</t>
  </si>
  <si>
    <t>Collects DSL for use in buildings</t>
  </si>
  <si>
    <t>RELCHE</t>
  </si>
  <si>
    <t>High efficiency building ELC without retrofits</t>
  </si>
  <si>
    <t>RESELCRB</t>
  </si>
  <si>
    <t>RBLDBAUHE</t>
  </si>
  <si>
    <t>High efficiency building energy without retrofits</t>
  </si>
  <si>
    <t>RESNGARB</t>
  </si>
  <si>
    <t>RESDSLRB</t>
  </si>
  <si>
    <t>RESRFLRB</t>
  </si>
  <si>
    <t>RELCBAU</t>
  </si>
  <si>
    <t>Building ELC without retrofits</t>
  </si>
  <si>
    <t>RESELCRM</t>
  </si>
  <si>
    <t>RBLDBAU</t>
  </si>
  <si>
    <t>Building energy without retrofits</t>
  </si>
  <si>
    <t>RESNGARM</t>
  </si>
  <si>
    <t>RESDSLRM</t>
  </si>
  <si>
    <t>RESRFLRM</t>
  </si>
  <si>
    <t>RELCR10</t>
  </si>
  <si>
    <t>Building ELC retrofit for 10% energy reduction</t>
  </si>
  <si>
    <t>RBLDR10</t>
  </si>
  <si>
    <t>Building retrofit for 10% energy reduction</t>
  </si>
  <si>
    <t>RELCR25</t>
  </si>
  <si>
    <t>Building ELC retrofit for 25% energy reduction</t>
  </si>
  <si>
    <t>RBLDR25</t>
  </si>
  <si>
    <t>Building retrofit for 25% energy reduction</t>
  </si>
  <si>
    <t>RELCR50</t>
  </si>
  <si>
    <t>Building ELC retrofit for 50% energy reduction</t>
  </si>
  <si>
    <t>RBLDR50</t>
  </si>
  <si>
    <t>Building retrofit for 50% energy reduction</t>
  </si>
  <si>
    <t>ENV_ACT~CO2~2010</t>
  </si>
  <si>
    <t>ENV_ACT~CO2~2055</t>
  </si>
  <si>
    <t>ENV_ACT~NOX~2010</t>
  </si>
  <si>
    <t>ENV_ACT~NOX~2055</t>
  </si>
  <si>
    <t>ENV_ACT~PM10~2010</t>
  </si>
  <si>
    <t>ENV_ACT~PM10~2055</t>
  </si>
  <si>
    <t>ENV_ACT~PM25~2010</t>
  </si>
  <si>
    <t>ENV_ACT~PM25~2055</t>
  </si>
  <si>
    <t>ENV_ACT~VOC~2010</t>
  </si>
  <si>
    <t>ENV_ACT~VOC~2055</t>
  </si>
  <si>
    <t>ENV_ACT~CO~2010</t>
  </si>
  <si>
    <t>ENV_ACT~CO~2055</t>
  </si>
  <si>
    <t>ENV_ACT~CH4~2010</t>
  </si>
  <si>
    <t>ENV_ACT~CH4~2055</t>
  </si>
  <si>
    <t>ENV_ACT~N2O~2010</t>
  </si>
  <si>
    <t>ENV_ACT~N2O~2055</t>
  </si>
  <si>
    <t>ENV_ACT~BC~2010</t>
  </si>
  <si>
    <t>ENV_ACT~BC~2055</t>
  </si>
  <si>
    <t>ENV_ACT~OC~2010</t>
  </si>
  <si>
    <t>ENV_ACT~OC~2055</t>
  </si>
  <si>
    <t>ENV_ACT~SO2~2010</t>
  </si>
  <si>
    <t>ENV_ACT~SO2~2055</t>
  </si>
  <si>
    <t>ENV_ACT~CO2R</t>
  </si>
  <si>
    <t>ENV_ACT~NOXR</t>
  </si>
  <si>
    <t>ENV_ACT~PM10R</t>
  </si>
  <si>
    <t>ENV_ACT~SO2R</t>
  </si>
  <si>
    <t>ENV_ACT~NOX2CR</t>
  </si>
  <si>
    <t>* Residential</t>
  </si>
  <si>
    <t>SERESCOA</t>
  </si>
  <si>
    <t>Emissions: COA to RES</t>
  </si>
  <si>
    <t>SERESNGA</t>
  </si>
  <si>
    <t>Emissions: NGA to RES</t>
  </si>
  <si>
    <t>SERESBIO</t>
  </si>
  <si>
    <t>Emissions: BIO to RES</t>
  </si>
  <si>
    <t>SERESDSL</t>
  </si>
  <si>
    <t>Emissions: DSL to RES</t>
  </si>
  <si>
    <t>SERESKER</t>
  </si>
  <si>
    <t>Emissions: KER to RES</t>
  </si>
  <si>
    <t>SERESLPG</t>
  </si>
  <si>
    <t>Emissions: LPG to RES</t>
  </si>
  <si>
    <t>PRC_RESID~R2~2025</t>
  </si>
  <si>
    <t>PRC_RESID~R3~2025</t>
  </si>
  <si>
    <t>PRC_RESID~R4~2025</t>
  </si>
  <si>
    <t>PRC_RESID~R5~2025</t>
  </si>
  <si>
    <t>PRC_RESID~R6~2025</t>
  </si>
  <si>
    <t>PRC_RESID~R2~2030</t>
  </si>
  <si>
    <t>PRC_RESID~R3~2030</t>
  </si>
  <si>
    <t>PRC_RESID~R4~2030</t>
  </si>
  <si>
    <t>PRC_RESID~R5~2030</t>
  </si>
  <si>
    <t>PRC_RESID~R6~2030</t>
  </si>
  <si>
    <t>PRC_RESID~R2~2035</t>
  </si>
  <si>
    <t>PRC_RESID~R3~2035</t>
  </si>
  <si>
    <t>PRC_RESID~R4~2035</t>
  </si>
  <si>
    <t>PRC_RESID~R5~2035</t>
  </si>
  <si>
    <t>PRC_RESID~R6~2035</t>
  </si>
  <si>
    <t>PRC_RESID~R2~2040</t>
  </si>
  <si>
    <t>PRC_RESID~R3~2040</t>
  </si>
  <si>
    <t>PRC_RESID~R4~2040</t>
  </si>
  <si>
    <t>PRC_RESID~R5~2040</t>
  </si>
  <si>
    <t>PRC_RESID~R6~2040</t>
  </si>
  <si>
    <t>PRC_RESID~R2~2055</t>
  </si>
  <si>
    <t>PRC_RESID~R3~2055</t>
  </si>
  <si>
    <t>PRC_RESID~R5~2055</t>
  </si>
  <si>
    <t>PRC_RESID~R6~2055</t>
  </si>
  <si>
    <t>NCAP_BND~FX~2010</t>
  </si>
  <si>
    <t>NCAP_BND~FX~2020</t>
  </si>
  <si>
    <t>NCAP_BND~FX~2025</t>
  </si>
  <si>
    <t>NCAP_BND~FX~2030</t>
  </si>
  <si>
    <t>NCAP_BND~FX~2055</t>
  </si>
  <si>
    <t>NCAP_BND~UP~R2~2015</t>
  </si>
  <si>
    <t>NCAP_BND~UP~R3~2015</t>
  </si>
  <si>
    <t>NCAP_BND~UP~R4~2015</t>
  </si>
  <si>
    <t>NCAP_BND~UP~R5~2015</t>
  </si>
  <si>
    <t>NCAP_BND~UP~R6~2015</t>
  </si>
  <si>
    <t>NCAP_BND~UP~2020</t>
  </si>
  <si>
    <t>NCAP_BND~UP~2025</t>
  </si>
  <si>
    <t>NCAP_BND~UP~2030</t>
  </si>
  <si>
    <t>NCAP_BND~UP~2035</t>
  </si>
  <si>
    <t>NCAP_BND~UP~2040</t>
  </si>
  <si>
    <t>NCAP_BND~UP~2045</t>
  </si>
  <si>
    <t>NCAP_BND~UP~2050</t>
  </si>
  <si>
    <t>NCAP_BND~UP~2055</t>
  </si>
  <si>
    <t>*GROWTH~2010</t>
  </si>
  <si>
    <t>*GROWTH~2055</t>
  </si>
  <si>
    <t>* Existing Boilers</t>
  </si>
  <si>
    <t>RESBLDBS05</t>
  </si>
  <si>
    <t>RES.DSL.BOILER.DISTRICTHEAT.BS</t>
  </si>
  <si>
    <t>PJ, PJ/a</t>
  </si>
  <si>
    <t>RESBLNG10</t>
  </si>
  <si>
    <t>RES.NG.BOILER.DISTRICTHEAT.10</t>
  </si>
  <si>
    <t>* ZZ&lt;dm&gt;INFES Backstop Technologies</t>
  </si>
  <si>
    <t xml:space="preserve"> </t>
  </si>
  <si>
    <t>* Dummy and Backstop Water Technologies</t>
  </si>
  <si>
    <t>ZZDMYRBLD</t>
  </si>
  <si>
    <t>Dummy RES Building to meet POPDM</t>
  </si>
  <si>
    <t>ZZDMYRRFDM</t>
  </si>
  <si>
    <t>Dummy technology to meet RWROOFDM</t>
  </si>
  <si>
    <t>Residential Sector - AEO National Demands</t>
  </si>
  <si>
    <t xml:space="preserve">* (1) 2010 data is changed to the value provided by NYC gov. and increased by AEO projection </t>
  </si>
  <si>
    <t>Air-Conditioning Usage Indicators by Northeast Census Region, Middle Atlantic</t>
  </si>
  <si>
    <t>Demand, PJ/a or mu/a</t>
  </si>
  <si>
    <t>Residential space heating</t>
  </si>
  <si>
    <t>RH</t>
  </si>
  <si>
    <t>Total</t>
  </si>
  <si>
    <t>Residential water heating</t>
  </si>
  <si>
    <t>RW</t>
  </si>
  <si>
    <t>Do Not Have Cooling Equipment</t>
  </si>
  <si>
    <t>Residential refrigeration</t>
  </si>
  <si>
    <t>RR</t>
  </si>
  <si>
    <t>Proj % of Households with no AC</t>
  </si>
  <si>
    <t>Residential lighting</t>
  </si>
  <si>
    <t>RL</t>
  </si>
  <si>
    <t>Residential miscellaneous electric</t>
  </si>
  <si>
    <t>RME</t>
  </si>
  <si>
    <t xml:space="preserve">Source: </t>
  </si>
  <si>
    <t>Residential freezers</t>
  </si>
  <si>
    <t>RF</t>
  </si>
  <si>
    <t>https://usepa.sharepoint.com/sites/COMETSupport-EPAUNCAbt/Shared%20Documents/COMET-NYC/EGU/2021%20ConEd%20Steam%20Electric%20Production_a.xlsx</t>
  </si>
  <si>
    <t>Residential miscellaneous gas</t>
  </si>
  <si>
    <t>RMG</t>
  </si>
  <si>
    <t>Edison steam system</t>
  </si>
  <si>
    <t>Mlb</t>
  </si>
  <si>
    <t>Share %</t>
  </si>
  <si>
    <t>Residential miscellaneous LPG</t>
  </si>
  <si>
    <t>RML</t>
  </si>
  <si>
    <t>Steam from Boiler</t>
  </si>
  <si>
    <t>Residential space cooling</t>
  </si>
  <si>
    <t>RC</t>
  </si>
  <si>
    <t>Steam from NG CHP</t>
  </si>
  <si>
    <t>Steam from OIL CHP</t>
  </si>
  <si>
    <t>Table 4. Residential Sector Key Indicators and Consumption, Reference case</t>
  </si>
  <si>
    <t>(quadrillion Btu, unless otherwise noted)</t>
  </si>
  <si>
    <t>units</t>
  </si>
  <si>
    <t>2005</t>
  </si>
  <si>
    <t>2025</t>
  </si>
  <si>
    <t>Key Indicators</t>
  </si>
  <si>
    <t>Households (millions)</t>
  </si>
  <si>
    <t>Single-Family</t>
  </si>
  <si>
    <t>millions</t>
  </si>
  <si>
    <t>Multifamily</t>
  </si>
  <si>
    <t>Mobile Homes</t>
  </si>
  <si>
    <t>Average House Square Footage</t>
  </si>
  <si>
    <t>sq ft</t>
  </si>
  <si>
    <t>Energy Intensity</t>
  </si>
  <si>
    <t>(million Btu per household)</t>
  </si>
  <si>
    <t>Gross End-use Consumption</t>
  </si>
  <si>
    <t>MMBtu/household</t>
  </si>
  <si>
    <t>Delivered Energy Consumption</t>
  </si>
  <si>
    <t>(thousand Btu per square foot)</t>
  </si>
  <si>
    <t>thousand Btu/sq ft</t>
  </si>
  <si>
    <t>Delivered Energy Consumption by Fuel</t>
  </si>
  <si>
    <t>Space Heating</t>
  </si>
  <si>
    <t>Space Cooling</t>
  </si>
  <si>
    <t>Water Heating</t>
  </si>
  <si>
    <t>Refrigeration</t>
  </si>
  <si>
    <t>Cooking</t>
  </si>
  <si>
    <t>Clothes Dryers</t>
  </si>
  <si>
    <t>Freezers</t>
  </si>
  <si>
    <t>Lighting</t>
  </si>
  <si>
    <r>
      <t>Clothes Washers</t>
    </r>
    <r>
      <rPr>
        <sz val="10"/>
        <rFont val="Calibri"/>
        <family val="2"/>
      </rPr>
      <t>¹</t>
    </r>
  </si>
  <si>
    <t>Dishwashers¹</t>
  </si>
  <si>
    <t>Televisions and Related Equipment</t>
  </si>
  <si>
    <t>Computers and Related Equipment</t>
  </si>
  <si>
    <t>Furnace Fans and Boiler Circulation Pumps</t>
  </si>
  <si>
    <t>Other Uses</t>
  </si>
  <si>
    <t xml:space="preserve">     Delivered Energy</t>
  </si>
  <si>
    <t>Miscellaneous Electric</t>
  </si>
  <si>
    <t>Natural Gas</t>
  </si>
  <si>
    <t>Delivered Energy</t>
  </si>
  <si>
    <t>Miscellaneous Gas</t>
  </si>
  <si>
    <t>Distillate Fuel Oil</t>
  </si>
  <si>
    <t>Propane</t>
  </si>
  <si>
    <t>Marketed Renewables (wood)</t>
  </si>
  <si>
    <t xml:space="preserve"> Other Fuels</t>
  </si>
  <si>
    <t>Energy Consumption by End Use</t>
  </si>
  <si>
    <t>Clothes Washers</t>
  </si>
  <si>
    <t>Dishwashers</t>
  </si>
  <si>
    <t>Onsite Generation for Own Use</t>
  </si>
  <si>
    <t>Electricity Related Losses</t>
  </si>
  <si>
    <t>Total Energy Consumption by End Use</t>
  </si>
  <si>
    <t>Total Gross End-use Consumption</t>
  </si>
  <si>
    <t>Generation for Own Use</t>
  </si>
  <si>
    <t>Total Net Own-use Generation</t>
  </si>
  <si>
    <t>Non-Marketed Renewables</t>
  </si>
  <si>
    <t>Geothermal Heat Pumps</t>
  </si>
  <si>
    <t>Solar Hot Water Heating</t>
  </si>
  <si>
    <t>Solar Photovoltaic</t>
  </si>
  <si>
    <t>Wind</t>
  </si>
  <si>
    <t>Table 21.  Residential Sector Equipment Stock and Efficiency, and Distributed Generation, Reference case</t>
  </si>
  <si>
    <t>Equipment Stock (million units)</t>
  </si>
  <si>
    <t xml:space="preserve"> Main Space Heaters</t>
  </si>
  <si>
    <t>Electric Heat Pumps</t>
  </si>
  <si>
    <t>Electric Other</t>
  </si>
  <si>
    <t>Natural Gas Heat Pumps</t>
  </si>
  <si>
    <t>Natural Gas Other</t>
  </si>
  <si>
    <t>Kerosene</t>
  </si>
  <si>
    <t>Wood Stoves</t>
  </si>
  <si>
    <t>(%change for US demand)</t>
  </si>
  <si>
    <t xml:space="preserve"> Space Cooling (million units)</t>
  </si>
  <si>
    <t>Central Air Conditioners</t>
  </si>
  <si>
    <t>Room Air Conditioners</t>
  </si>
  <si>
    <t xml:space="preserve"> Water Heaters (million units)</t>
  </si>
  <si>
    <t>Electric</t>
  </si>
  <si>
    <t>Solar Thermal</t>
  </si>
  <si>
    <t xml:space="preserve"> Cooking Equipment (million units)</t>
  </si>
  <si>
    <t xml:space="preserve"> Clothes Dryers (million units)</t>
  </si>
  <si>
    <t xml:space="preserve"> Other Appliances (million units)</t>
  </si>
  <si>
    <t>Refrigerators</t>
  </si>
  <si>
    <t>Stock Average Equipment Efficiency</t>
  </si>
  <si>
    <t>Electric Heat Pumps (HSPF)</t>
  </si>
  <si>
    <t xml:space="preserve">   Electric Heat Pumps (COP)</t>
  </si>
  <si>
    <t>Natural Gas Heat Pumps (GCOP)</t>
  </si>
  <si>
    <t>Geothermal Heat Pumps (COP)</t>
  </si>
  <si>
    <t>Natural Gas Furnace (AFUE)</t>
  </si>
  <si>
    <t>Distillate Furnace (AFUE)</t>
  </si>
  <si>
    <t>Wtd. Average end-use efficiency</t>
  </si>
  <si>
    <t xml:space="preserve"> Space Cooling</t>
  </si>
  <si>
    <t>Electric Heat Pumps (SEER)</t>
  </si>
  <si>
    <t>Geothermal Heat Pumps (EER)</t>
  </si>
  <si>
    <t xml:space="preserve">   Geothermal Heat Pumps (COP)</t>
  </si>
  <si>
    <t>Central Air Conditioners (SEER)</t>
  </si>
  <si>
    <t xml:space="preserve">   Cent. Air Conditioners (COP)</t>
  </si>
  <si>
    <t>Room Air Conditioners (EER)</t>
  </si>
  <si>
    <t xml:space="preserve">   Room Air Conditioners (COP)</t>
  </si>
  <si>
    <t>Heat Pump Cooling/Heating</t>
  </si>
  <si>
    <t>Equipment Efficiency growth is determined by taking the weighted efficiency in 2005 calculated by using the RESIDs and their efficiencies and multiplying out be the Stock Avg Efficiency Change from AEO</t>
  </si>
  <si>
    <t xml:space="preserve"> Water Heaters</t>
  </si>
  <si>
    <t>Electric (EF)</t>
  </si>
  <si>
    <t>Natural Gas (EF)</t>
  </si>
  <si>
    <t>Distillate Fuel Oil (EF)</t>
  </si>
  <si>
    <t>Propane (EF)</t>
  </si>
  <si>
    <t xml:space="preserve"> Other Appliances (kilowatthours per year)</t>
  </si>
  <si>
    <t>Building Shell Efficiency Index</t>
  </si>
  <si>
    <t xml:space="preserve"> Space Heating</t>
  </si>
  <si>
    <t>Pre-2015 Homes</t>
  </si>
  <si>
    <t>New Construction</t>
  </si>
  <si>
    <t>All Homes</t>
  </si>
  <si>
    <t>Table HC6.7  Space heating in homes in the Northeast and Midwest regions</t>
  </si>
  <si>
    <t>Middle Atlantic, Number of housing units (million)</t>
  </si>
  <si>
    <t>All homes</t>
  </si>
  <si>
    <t>Space heating equipment</t>
  </si>
  <si>
    <t>Use space heating equipment</t>
  </si>
  <si>
    <t>Have space heating equipment but do not use it</t>
  </si>
  <si>
    <t>N</t>
  </si>
  <si>
    <t>Do not have space heating equipment</t>
  </si>
  <si>
    <t>Main heating fuel and equipment</t>
  </si>
  <si>
    <t>Natural gas</t>
  </si>
  <si>
    <t>Central warm-air furnace</t>
  </si>
  <si>
    <t>Steam or hot water system</t>
  </si>
  <si>
    <t>Built-in room heater</t>
  </si>
  <si>
    <t>Some other equipment</t>
  </si>
  <si>
    <t>Q</t>
  </si>
  <si>
    <t>Heat pump</t>
  </si>
  <si>
    <t>Built-in electric units</t>
  </si>
  <si>
    <t>Portable electric heaters</t>
  </si>
  <si>
    <t>Fuel oil/kerosene</t>
  </si>
  <si>
    <t>Wood</t>
  </si>
  <si>
    <t>Heating stove</t>
  </si>
  <si>
    <r>
      <t>Some other fuel</t>
    </r>
    <r>
      <rPr>
        <vertAlign val="superscript"/>
        <sz val="10"/>
        <color theme="1"/>
        <rFont val="Arial"/>
        <family val="2"/>
      </rPr>
      <t>3</t>
    </r>
  </si>
  <si>
    <t>Do not use heating equipment</t>
  </si>
  <si>
    <t>Main heating equipment (including all fuels)</t>
  </si>
  <si>
    <t>Built-in oil or gas room heater</t>
  </si>
  <si>
    <t>Heating stove burning wood</t>
  </si>
  <si>
    <t>Built-in pipeless furnace</t>
  </si>
  <si>
    <t>Fireplace</t>
  </si>
  <si>
    <t>Main heating equipment age</t>
  </si>
  <si>
    <t>Less than 2 years old</t>
  </si>
  <si>
    <t>2 to 4 years old</t>
  </si>
  <si>
    <t>5 to 9 years old</t>
  </si>
  <si>
    <t>10 to 14 years old</t>
  </si>
  <si>
    <t>15 to 19 years old</t>
  </si>
  <si>
    <t>20 or more years old</t>
  </si>
  <si>
    <t>Have thermostat for main heating equipment</t>
  </si>
  <si>
    <t>Yes</t>
  </si>
  <si>
    <t>Programmable thermostat</t>
  </si>
  <si>
    <t>Non-programmable thermostat</t>
  </si>
  <si>
    <t>No</t>
  </si>
  <si>
    <t>Smart or Internet-connected thermostat</t>
  </si>
  <si>
    <t>Don't know</t>
  </si>
  <si>
    <t>Not asked (no thermostat or do not use heating and cooling equipment)</t>
  </si>
  <si>
    <t>Main heating equipment control</t>
  </si>
  <si>
    <t>Set one temperature and leave it there most of the time</t>
  </si>
  <si>
    <t>Manually adjust the temperature at night or when no one is at home</t>
  </si>
  <si>
    <t>Program the thermostat to automatically adjust the temperature during the day and night at certain times</t>
  </si>
  <si>
    <t>Turn equipment on or off as needed</t>
  </si>
  <si>
    <t>Household does not have control over the equipment</t>
  </si>
  <si>
    <t>Secondary heating fuel and equipment</t>
  </si>
  <si>
    <t>Secondary heating equipment used</t>
  </si>
  <si>
    <t>Some other fuel</t>
  </si>
  <si>
    <t>Do not use secondary heating equipment</t>
  </si>
  <si>
    <t>Do not use any heating equipment</t>
  </si>
  <si>
    <t>Winter indoor daytime temperature when someone is home</t>
  </si>
  <si>
    <t>63 degrees or less</t>
  </si>
  <si>
    <t>64 to 66 degrees</t>
  </si>
  <si>
    <t>67 to 69 degrees</t>
  </si>
  <si>
    <t>70 degrees</t>
  </si>
  <si>
    <t>71 to 73 degrees</t>
  </si>
  <si>
    <t>74 degrees or more</t>
  </si>
  <si>
    <t>Winter indoor daytime temperature when no one is home</t>
  </si>
  <si>
    <t>Winter indoor temperature at night</t>
  </si>
  <si>
    <t>Heated basement</t>
  </si>
  <si>
    <t>Not asked (heated homes with no basement)</t>
  </si>
  <si>
    <t>Not asked (unheated homes, apartments, and mobile homes)</t>
  </si>
  <si>
    <t>Heated attic</t>
  </si>
  <si>
    <t>Not asked (heated homes with no attic)</t>
  </si>
  <si>
    <t>Heated, attached garage</t>
  </si>
  <si>
    <t>Not asked (heated homes with no attached garage)</t>
  </si>
  <si>
    <t>Humidifiers and usage</t>
  </si>
  <si>
    <t>Have a humidifier</t>
  </si>
  <si>
    <t>Do not use</t>
  </si>
  <si>
    <t>Used less than 4 months</t>
  </si>
  <si>
    <t>Used 4 to 6 months</t>
  </si>
  <si>
    <t>Used 7 to 9 months</t>
  </si>
  <si>
    <t>Used 10 to 11 months</t>
  </si>
  <si>
    <t>Turned on all 12 months</t>
  </si>
  <si>
    <t>Do not have a humidifier</t>
  </si>
  <si>
    <t>2010 Fuel Consumption by Type (PJ)</t>
  </si>
  <si>
    <t>2015 Fuel Consumption by Type (PJ)</t>
  </si>
  <si>
    <t>2020 Fuel Consumption by Type (PJ)</t>
  </si>
  <si>
    <t>Residential</t>
  </si>
  <si>
    <t>Commercial</t>
  </si>
  <si>
    <t>Industrial</t>
  </si>
  <si>
    <t>NGA</t>
  </si>
  <si>
    <t>DSL</t>
  </si>
  <si>
    <t>STM</t>
  </si>
  <si>
    <t>2010 Fuel Consumption by Borough (PJ)</t>
  </si>
  <si>
    <t>2015 Fuel Consumption by Borough (PJ)</t>
  </si>
  <si>
    <t>2020 Fuel Consumption by Borough (PJ)</t>
  </si>
  <si>
    <t>Bronx</t>
  </si>
  <si>
    <t>DHW</t>
  </si>
  <si>
    <t>Other ELC</t>
  </si>
  <si>
    <t>Other DSL</t>
  </si>
  <si>
    <t>Other NGA</t>
  </si>
  <si>
    <t>Brooklyn</t>
  </si>
  <si>
    <t>Manhattan</t>
  </si>
  <si>
    <t>Queens</t>
  </si>
  <si>
    <t>Staten island</t>
  </si>
  <si>
    <t>NYC</t>
  </si>
  <si>
    <t>Residential Technology Equipment Type Description File</t>
  </si>
  <si>
    <t>*Technology descriptions are from R1 off the RTEKTY14 worksheet, except for those technologies not available in R1.  Those technology descriptions come from R5</t>
  </si>
  <si>
    <t>Resid Total</t>
  </si>
  <si>
    <t>Demand Total</t>
  </si>
  <si>
    <t>RESID</t>
  </si>
  <si>
    <t>DEMAND</t>
  </si>
  <si>
    <t>*Where R5 is listed, those technologies apply to regions 5,6,7,9</t>
  </si>
  <si>
    <t>Units</t>
  </si>
  <si>
    <t>START</t>
  </si>
  <si>
    <t>LIFE</t>
  </si>
  <si>
    <t>INVCOST</t>
  </si>
  <si>
    <t>MA(ENT)</t>
  </si>
  <si>
    <t>OUT(DM)</t>
  </si>
  <si>
    <t>CF</t>
  </si>
  <si>
    <t>FIXOM</t>
  </si>
  <si>
    <t>DISCRATE</t>
  </si>
  <si>
    <t>RESID EPAUS9r 2010</t>
  </si>
  <si>
    <t>RESID EPAUS9r (%)</t>
  </si>
  <si>
    <t>BR</t>
  </si>
  <si>
    <t>BX</t>
  </si>
  <si>
    <t>MN</t>
  </si>
  <si>
    <t>SI</t>
  </si>
  <si>
    <t>QN</t>
  </si>
  <si>
    <t>RESID EPAUS9r 2015</t>
  </si>
  <si>
    <t>RESID EPAUS9r 2020</t>
  </si>
  <si>
    <t>Room AC Ver3.RSC.ELC.20</t>
  </si>
  <si>
    <t>R5,R6,R7,R9</t>
  </si>
  <si>
    <t>RSCCACV420</t>
  </si>
  <si>
    <t>Central AC Ver4.RSC.ELC.20</t>
  </si>
  <si>
    <t>RSCNHPV110</t>
  </si>
  <si>
    <t>Natural Gas Heat Pump Ver1.RSC.NGA.10</t>
  </si>
  <si>
    <t>RWHNWHV410</t>
  </si>
  <si>
    <t>Natural Gas Ver4.RWH.NGA.10</t>
  </si>
  <si>
    <t>RWHEWHV420</t>
  </si>
  <si>
    <t>Electric Ver4.RWH.ELC.20</t>
  </si>
  <si>
    <t xml:space="preserve">  </t>
  </si>
  <si>
    <t>Sector</t>
  </si>
  <si>
    <t>Category</t>
  </si>
  <si>
    <t>Source</t>
  </si>
  <si>
    <t>Source Units</t>
  </si>
  <si>
    <t>CY 2005 Consumed</t>
  </si>
  <si>
    <t>CY 2005 Source MMBtu</t>
  </si>
  <si>
    <t>CY 2010 Consumed</t>
  </si>
  <si>
    <t>CY 2010 Source MMBtu</t>
  </si>
  <si>
    <t>CY 2015 Consumed</t>
  </si>
  <si>
    <t>CY 2015 Source MMBtu</t>
  </si>
  <si>
    <t>CY 2020 Consumed</t>
  </si>
  <si>
    <t>CY 2020 Source MMBtu</t>
  </si>
  <si>
    <t>Stationary Energy</t>
  </si>
  <si>
    <t>#2 fuel oil</t>
  </si>
  <si>
    <t>gallon</t>
  </si>
  <si>
    <t>#4 fuel oil</t>
  </si>
  <si>
    <t>#6 fuel oil</t>
  </si>
  <si>
    <t>Biofuel</t>
  </si>
  <si>
    <t>kWh</t>
  </si>
  <si>
    <t>SCF</t>
  </si>
  <si>
    <t>Steam</t>
  </si>
  <si>
    <t>kg</t>
  </si>
  <si>
    <t>Commercial and Institutional</t>
  </si>
  <si>
    <t>Manufacturing and Construction</t>
  </si>
  <si>
    <t>Fugitive</t>
  </si>
  <si>
    <t>CH4 - natural gas distribution</t>
  </si>
  <si>
    <t>GJ</t>
  </si>
  <si>
    <t>Transportation</t>
  </si>
  <si>
    <t>Passenger cars</t>
  </si>
  <si>
    <t>CNG</t>
  </si>
  <si>
    <t>VMT</t>
  </si>
  <si>
    <t>Diesel</t>
  </si>
  <si>
    <t>Gasoline</t>
  </si>
  <si>
    <t>Other</t>
  </si>
  <si>
    <t>Medium duty trucks</t>
  </si>
  <si>
    <t>Heavy duty trucks</t>
  </si>
  <si>
    <t>Refuse trucks</t>
  </si>
  <si>
    <t>For hire vehicles</t>
  </si>
  <si>
    <t>School buses</t>
  </si>
  <si>
    <t>Buses</t>
  </si>
  <si>
    <t>Railways</t>
  </si>
  <si>
    <t>Diesel - commuter rail</t>
  </si>
  <si>
    <t>Electricity - subway and commuter rail</t>
  </si>
  <si>
    <t>Marine Navigation</t>
  </si>
  <si>
    <t>Diesel - marine navigation</t>
  </si>
  <si>
    <t>Aviation</t>
  </si>
  <si>
    <t>Jet fuel - aviation</t>
  </si>
  <si>
    <t>Waste</t>
  </si>
  <si>
    <t>Landfills</t>
  </si>
  <si>
    <t>Exported solid waste - landfills</t>
  </si>
  <si>
    <t>MT</t>
  </si>
  <si>
    <t>Biological treatment</t>
  </si>
  <si>
    <t>CH4 and N2O - composting</t>
  </si>
  <si>
    <t>Wastewater treatment</t>
  </si>
  <si>
    <t>CH4 - wastewater treatment plants</t>
  </si>
  <si>
    <t>N2O - wastewater treatment plants</t>
  </si>
  <si>
    <t>CY2010</t>
  </si>
  <si>
    <t>Fuel Type</t>
  </si>
  <si>
    <t>Res_Consumed (PJ)</t>
  </si>
  <si>
    <t>Com_Consumed (PJ)</t>
  </si>
  <si>
    <t>Ind_Consumed (PJ)</t>
  </si>
  <si>
    <t>Total Consumed (PJ)</t>
  </si>
  <si>
    <t>Ratio by Fuel Type</t>
  </si>
  <si>
    <t>CY2015</t>
  </si>
  <si>
    <t>CY2020</t>
  </si>
  <si>
    <t>2015 NYC GHG Inventory (CY 2014)</t>
  </si>
  <si>
    <t>Citywide Site MMBtu, by Fuel Type, per 2015 NYC GHG Inventory (CY2014)</t>
  </si>
  <si>
    <t>Fuel Oil</t>
  </si>
  <si>
    <t>MMBtu by End Use</t>
  </si>
  <si>
    <t>Description of Typical Building</t>
  </si>
  <si>
    <t>CY2014 Site MMBtu</t>
  </si>
  <si>
    <t>CY2014 Site MMBtu % of Total</t>
  </si>
  <si>
    <t>CY2014 Site kBtu/SF</t>
  </si>
  <si>
    <t>% Fuel Oil, Space Heating</t>
  </si>
  <si>
    <t>% Fuel Oil, DHW</t>
  </si>
  <si>
    <t>% Fuel Oil, Space Cooling</t>
  </si>
  <si>
    <t>% Fuel Oil, Ventilation</t>
  </si>
  <si>
    <t>% Fuel Oil, Lighting</t>
  </si>
  <si>
    <t>% Fuel Oil, Conveyance</t>
  </si>
  <si>
    <t>% Fuel Oil, Process Loads</t>
  </si>
  <si>
    <t>% Fuel Oil, Plug Loads/Misc</t>
  </si>
  <si>
    <t>% Electricity, Space Heating</t>
  </si>
  <si>
    <t>% Electricity, DHW</t>
  </si>
  <si>
    <t>% Electricity, Space Cooling</t>
  </si>
  <si>
    <t>% Electricity, Ventilation</t>
  </si>
  <si>
    <t>% Electricity, Lighting</t>
  </si>
  <si>
    <t>% Electricity, Conveyance</t>
  </si>
  <si>
    <t>% Electricity, Process Loads</t>
  </si>
  <si>
    <t>% Electricity, Plug Loads/Misc</t>
  </si>
  <si>
    <t>% Natural Gas, Space Heating</t>
  </si>
  <si>
    <t>% Natural Gas, DHW</t>
  </si>
  <si>
    <t>% Natural Gas, Space Cooling</t>
  </si>
  <si>
    <t>% Natural Gas, Ventilation</t>
  </si>
  <si>
    <t>% Natural Gas, Lighting</t>
  </si>
  <si>
    <t>% Natural Gas, Conveyance</t>
  </si>
  <si>
    <t>% Natural Gas, Process Loads</t>
  </si>
  <si>
    <t>% Natural Gas, Plug Loads/Misc</t>
  </si>
  <si>
    <t>% Steam, Space Heating</t>
  </si>
  <si>
    <t>% Steam, DHW</t>
  </si>
  <si>
    <t>% Steam, Space Cooling</t>
  </si>
  <si>
    <t>% Steam, Ventilation</t>
  </si>
  <si>
    <t>% Steam, Lighting</t>
  </si>
  <si>
    <t>% Steam, Conveyance</t>
  </si>
  <si>
    <t>% Steam, Process Loads</t>
  </si>
  <si>
    <t>% Steam, Plug Loads/Misc</t>
  </si>
  <si>
    <t>Ventilation</t>
  </si>
  <si>
    <t xml:space="preserve"> Lighting</t>
  </si>
  <si>
    <t>Conveyance</t>
  </si>
  <si>
    <t xml:space="preserve"> Process Loads</t>
  </si>
  <si>
    <t>Plug Loads/Misc</t>
  </si>
  <si>
    <t>1 to 4</t>
  </si>
  <si>
    <t>1 to 4 Family, Freestanding, Wood Frame</t>
  </si>
  <si>
    <t>1 to 4 Family, Row House, Masonry</t>
  </si>
  <si>
    <t>Multifamily, NYCHA</t>
  </si>
  <si>
    <t>Multifamily, Post-1980 &gt;7 stories</t>
  </si>
  <si>
    <t>Multifamily, Post-1980 up to 7 stories</t>
  </si>
  <si>
    <t>Multifamily, Post-war &gt;7 stories</t>
  </si>
  <si>
    <t>Multifamily, Post-war up to 7 stories</t>
  </si>
  <si>
    <t>Multifamily, Pre-war &gt;7 stories</t>
  </si>
  <si>
    <t>Multifamily, Pre-war up to 7 stories</t>
  </si>
  <si>
    <t>Multifamily, VeryLarge</t>
  </si>
  <si>
    <t>Commercial, Post-1980 &gt;7 stories</t>
  </si>
  <si>
    <t>Commercial, Post-1980 up to 7 stories</t>
  </si>
  <si>
    <t>Commercial, Post-war &gt;7 stories</t>
  </si>
  <si>
    <t>Commercial, Post-war up to 7 stories</t>
  </si>
  <si>
    <t>Commercial, Pre-war &gt;7 stories</t>
  </si>
  <si>
    <t>Commercial, Pre-war up to 7 stories</t>
  </si>
  <si>
    <t>Commercial, VeryLarge</t>
  </si>
  <si>
    <t>Commercial, Mixed use</t>
  </si>
  <si>
    <t xml:space="preserve">Industrial, 3 stories of more warehouse/factory building </t>
  </si>
  <si>
    <t xml:space="preserve">Industrial, 3 stories or less warehouse/factory building </t>
  </si>
  <si>
    <t xml:space="preserve">Industrial, Transportation, Garages, and Utilities </t>
  </si>
  <si>
    <t>Institutional</t>
  </si>
  <si>
    <t xml:space="preserve">Institutional, Hospital and Health Facilities </t>
  </si>
  <si>
    <t xml:space="preserve">Institutional, Institutional General </t>
  </si>
  <si>
    <t xml:space="preserve">Institutional, K-12 Schools </t>
  </si>
  <si>
    <t xml:space="preserve">Institutional, Religious </t>
  </si>
  <si>
    <t xml:space="preserve">Institutional, University </t>
  </si>
  <si>
    <t>NoData</t>
  </si>
  <si>
    <t>Fuel Consumption Totals</t>
  </si>
  <si>
    <t>Other STM</t>
  </si>
  <si>
    <t>Commersial</t>
  </si>
  <si>
    <t>TOTAL</t>
  </si>
  <si>
    <t>.</t>
  </si>
  <si>
    <t>Fuel Share</t>
  </si>
  <si>
    <t>*Based on table above</t>
  </si>
  <si>
    <t>*Based on 2015 MOCEJ GHG Inventory</t>
  </si>
  <si>
    <t>Category Label</t>
  </si>
  <si>
    <t>Source Full</t>
  </si>
  <si>
    <t>Source (MMBtu)</t>
  </si>
  <si>
    <t>Source (PJ)</t>
  </si>
  <si>
    <t>Difference</t>
  </si>
  <si>
    <t>NYMTC</t>
  </si>
  <si>
    <t>Population Projections for calculations</t>
  </si>
  <si>
    <t>Staten Island</t>
  </si>
  <si>
    <t>B25010: AVERAGE HOUSEHOLD SIZE OF ... - Census Bureau Table</t>
  </si>
  <si>
    <t>AVERAGE HOUSEHOLD SIZE OF OCCUPIED HOUSING UNITS</t>
  </si>
  <si>
    <t>Assumed</t>
  </si>
  <si>
    <t>New build energy gain % Btu/Sqft</t>
  </si>
  <si>
    <t>Retrofit energy gain % Btu/Sqft</t>
  </si>
  <si>
    <t>DCP</t>
  </si>
  <si>
    <t>New York City Housing Units by Borough</t>
  </si>
  <si>
    <t>NYC old</t>
  </si>
  <si>
    <t>NYC new build</t>
  </si>
  <si>
    <t>Household difference</t>
  </si>
  <si>
    <t>New build</t>
  </si>
  <si>
    <t>Existing phase up</t>
  </si>
  <si>
    <t>Existing retrofit</t>
  </si>
  <si>
    <t>Ratio of Housing Units by Borough (Population effect)</t>
  </si>
  <si>
    <t>https://www.eia.gov/consumption/residential/data/2020/#squarefootage</t>
  </si>
  <si>
    <t>Household adjustment</t>
  </si>
  <si>
    <t>Adjustments based on population shifts through time</t>
  </si>
  <si>
    <t>Building size and population adjustment</t>
  </si>
  <si>
    <t>Adjustments based on building sqft</t>
  </si>
  <si>
    <t>Heating &amp; cooling</t>
  </si>
  <si>
    <t>Heating and Cooling Coefficients adjustment</t>
  </si>
  <si>
    <t>Adjustments based on HDD and CDD shuft</t>
  </si>
  <si>
    <t>Heating</t>
  </si>
  <si>
    <t>Cooling</t>
  </si>
  <si>
    <t>New build envelope gain (%)</t>
  </si>
  <si>
    <t>Retrofit envelope gain (%)</t>
  </si>
  <si>
    <t>Adjusted heating service demand (PJ/y)</t>
  </si>
  <si>
    <t>Adjusted cooling service demand (PJ/y)</t>
  </si>
  <si>
    <t>Housing heating coefficient (BTU per sqft per HDD)</t>
  </si>
  <si>
    <t>Housing cooling coefficient (BTU per sqft per CDD)</t>
  </si>
  <si>
    <t>https://www.nyserda.ny.gov/About/Publications/Energy-Analysis-Reports-and-Studies/Weather-Data/Monthly-Cooling-and-Heating-Degree-Day-Data#NewYorkCity</t>
  </si>
  <si>
    <t>Heating and Cooling Degree Days</t>
  </si>
  <si>
    <t>CDD</t>
  </si>
  <si>
    <t>HDD</t>
  </si>
  <si>
    <t>https://nysclimateimpacts.org/wp-content/uploads/2023/09/Appendix-Projections_Tables.pdf</t>
  </si>
  <si>
    <t>Decade</t>
  </si>
  <si>
    <t>Season</t>
  </si>
  <si>
    <t>2030s</t>
  </si>
  <si>
    <t>Winter</t>
  </si>
  <si>
    <t>2040s</t>
  </si>
  <si>
    <t>2050s</t>
  </si>
  <si>
    <t>Spring</t>
  </si>
  <si>
    <t>Summer</t>
  </si>
  <si>
    <t>Fall</t>
  </si>
  <si>
    <t>ANSWER-Constraints</t>
  </si>
  <si>
    <t>ConstrName</t>
  </si>
  <si>
    <t>ConstrDesc</t>
  </si>
  <si>
    <t>ANSWER-CommData</t>
  </si>
  <si>
    <t>ANSWER-TechData</t>
  </si>
  <si>
    <t>ANSWER-ConstrData</t>
  </si>
  <si>
    <t>PLUTO2010</t>
  </si>
  <si>
    <t>PLUTO2015</t>
  </si>
  <si>
    <t>PLUTO2020</t>
  </si>
  <si>
    <t>BldgArea</t>
  </si>
  <si>
    <t>BK</t>
  </si>
  <si>
    <t>1 to 4 Family, No Data</t>
  </si>
  <si>
    <t>1 to 4 Family, with one or more stores</t>
  </si>
  <si>
    <t>Industrial, 3 stories or less warehouse/factory building</t>
  </si>
  <si>
    <t>Industrial, &gt; 3 stories of warehouse/factory building</t>
  </si>
  <si>
    <t>Industrial, Transportation, Garages, and Utilities</t>
  </si>
  <si>
    <t>Institutional, Hospital and Health Facilities</t>
  </si>
  <si>
    <t>Institutional, Institutional General</t>
  </si>
  <si>
    <t>Institutional, K-12 Schools</t>
  </si>
  <si>
    <t>Institutional, Religious</t>
  </si>
  <si>
    <t>Institutional, University</t>
  </si>
  <si>
    <t>No Data</t>
  </si>
  <si>
    <t>Outdoor Space and Recreation</t>
  </si>
  <si>
    <t>Vacant Land</t>
  </si>
  <si>
    <t>TOTAL BLDGAREA Nodata and N/A exclueded)</t>
  </si>
  <si>
    <t>BLDGAREA (Nodata and N/A excluded)</t>
  </si>
  <si>
    <t>BLDGAREA Ratio (Building Type effect)</t>
  </si>
  <si>
    <t>https://data.cityofnewyork.us/Housing-Development/DOB-NOW-Build-Job-Application-Filings/w9ak-ipjd</t>
  </si>
  <si>
    <t>Job Type</t>
  </si>
  <si>
    <t>year</t>
  </si>
  <si>
    <t>Borough</t>
  </si>
  <si>
    <t>Total Construction Floor Area</t>
  </si>
  <si>
    <t>ALT-CO - New Building with Existing Elements to Remain</t>
  </si>
  <si>
    <t>BRONX</t>
  </si>
  <si>
    <t>BROOKLYN</t>
  </si>
  <si>
    <t>MANHATTAN</t>
  </si>
  <si>
    <t>QUEENS</t>
  </si>
  <si>
    <t>STATEN ISLAND</t>
  </si>
  <si>
    <t>Residential Stock</t>
  </si>
  <si>
    <t>Unit Energy Consumption</t>
  </si>
  <si>
    <t>% of Stock</t>
  </si>
  <si>
    <t>Equipment Class</t>
  </si>
  <si>
    <t>Year</t>
  </si>
  <si>
    <t>Single Family</t>
  </si>
  <si>
    <t>Mobile Home</t>
  </si>
  <si>
    <t>Total Fuel Use</t>
  </si>
  <si>
    <t>SPACE HEATING</t>
  </si>
  <si>
    <t>Eff</t>
  </si>
  <si>
    <t xml:space="preserve"> (MMBtu/yr)</t>
  </si>
  <si>
    <t>(PJ/yr)</t>
  </si>
  <si>
    <t>Electric Heating Other Than Heat Pumps</t>
  </si>
  <si>
    <t>* Electric Radiant</t>
  </si>
  <si>
    <t>Air-Source Heat Pumps (heating)</t>
  </si>
  <si>
    <t>* Electric Heat Pump</t>
  </si>
  <si>
    <t>Natural Gas Furnaces</t>
  </si>
  <si>
    <t>* Natural Gas Furnace</t>
  </si>
  <si>
    <t>Natural Gas Boilers &amp; Other</t>
  </si>
  <si>
    <t>* Natural Gas Radiant</t>
  </si>
  <si>
    <t>Distillate Fuel Oil &amp; Kerosene Furnaces</t>
  </si>
  <si>
    <t>* Distillate Furnace</t>
  </si>
  <si>
    <t>Distillate Fuel Oil &amp; Kerosene Boilers &amp; Other</t>
  </si>
  <si>
    <t>* Distillate Radiant</t>
  </si>
  <si>
    <t>Electric Furnaces</t>
  </si>
  <si>
    <t>SPACE COOLING</t>
  </si>
  <si>
    <t>Air Source Heat Pumps (heat)</t>
  </si>
  <si>
    <t>* Room AC</t>
  </si>
  <si>
    <t>* Central AC</t>
  </si>
  <si>
    <t>Distillate Furnaces</t>
  </si>
  <si>
    <t>* Geothermal Heat Pump</t>
  </si>
  <si>
    <t>Distillate Other</t>
  </si>
  <si>
    <t>* Natural Gas Heat Pump</t>
  </si>
  <si>
    <t>WATER HEATING</t>
  </si>
  <si>
    <t>Room/Window/Wall Air Conditioners (excludes portable ACs)</t>
  </si>
  <si>
    <t>* Natural Gas</t>
  </si>
  <si>
    <t>* Electric</t>
  </si>
  <si>
    <t>Air-Source Heat Pumps (cooling)</t>
  </si>
  <si>
    <t>Distllate</t>
  </si>
  <si>
    <t>Ground-Source Heat Pumps (cooling)</t>
  </si>
  <si>
    <t>* Liquid Gas</t>
  </si>
  <si>
    <t>Natural Gas Heat Pumps (cooling)</t>
  </si>
  <si>
    <t>* Solar</t>
  </si>
  <si>
    <t>Air Source Heat Pumps (cool)</t>
  </si>
  <si>
    <t>Ground Source Heat Pumps (cool)</t>
  </si>
  <si>
    <t>Natural Gas Heat Pumps (cool)</t>
  </si>
  <si>
    <t>Natural Gas water heaters (storage &amp; tankless)</t>
  </si>
  <si>
    <t>Electric water heaters (storage &amp; tankless)</t>
  </si>
  <si>
    <t>Distillate Fuel Oil &amp; Kerosene water heaters (storage &amp; tankless)</t>
  </si>
  <si>
    <t>Propane water heaters (storage &amp; tankless)</t>
  </si>
  <si>
    <t>Solar water heaters (storage &amp; tankless)</t>
  </si>
  <si>
    <t>Natural Gas Water Heaters</t>
  </si>
  <si>
    <t>Electric Water Heaters</t>
  </si>
  <si>
    <t>Distillate Water Heaters</t>
  </si>
  <si>
    <t>LPG Water Heaters</t>
  </si>
  <si>
    <t>Solar Water Heaters</t>
  </si>
  <si>
    <t>Table HC6.8  Space Heating in U.S. Homes in Northeast Region, Divisions, and States, 2009</t>
  </si>
  <si>
    <t>Space Heating Million Housing Units, Final, Middle Atlantic</t>
  </si>
  <si>
    <t>Total Homes</t>
  </si>
  <si>
    <t>Space Heating Equipment</t>
  </si>
  <si>
    <t>Use Space Heating Equipment</t>
  </si>
  <si>
    <t>Have Space Heating Equipment But Do Not Use It</t>
  </si>
  <si>
    <t>Do Not Have Space Heating Equipment</t>
  </si>
  <si>
    <r>
      <t>Main Heating Fuel and Equipment</t>
    </r>
    <r>
      <rPr>
        <vertAlign val="superscript"/>
        <sz val="10"/>
        <rFont val="Calibri"/>
        <family val="2"/>
        <scheme val="minor"/>
      </rPr>
      <t>2</t>
    </r>
  </si>
  <si>
    <t>Central Warm-Air Furnace</t>
  </si>
  <si>
    <t>Steam or Hot Water System</t>
  </si>
  <si>
    <t>Built-In Room Heater</t>
  </si>
  <si>
    <t>Other Equipment</t>
  </si>
  <si>
    <t>Heat Pump</t>
  </si>
  <si>
    <t>Ductless heat pump (mini-split)</t>
  </si>
  <si>
    <t>Built-In Electric Units</t>
  </si>
  <si>
    <t>Portable Electric Heater</t>
  </si>
  <si>
    <t>Propane/LPG</t>
  </si>
  <si>
    <t>Heating Stove</t>
  </si>
  <si>
    <t>Other Fuel</t>
  </si>
  <si>
    <t>Do Not Have or Use Heating Equipment</t>
  </si>
  <si>
    <t>Table HC7.8  Air Conditioning in Homes in Northeast Region, Divisions, and States, 2009</t>
  </si>
  <si>
    <t>Air Conditioning Million Housing Units, Final, Middle Atlantic</t>
  </si>
  <si>
    <t>Air Conditioning Equipment</t>
  </si>
  <si>
    <t>Use Air Conditioning Equipment</t>
  </si>
  <si>
    <t>Do Not Have Air Conditioning Equipment</t>
  </si>
  <si>
    <t>Type of Air Conditioning Equipment Used (more than one may apply)</t>
  </si>
  <si>
    <t>Use Central Air Conditioning Equipment</t>
  </si>
  <si>
    <t>Without a Heat Pump</t>
  </si>
  <si>
    <t>With a Heat Pump</t>
  </si>
  <si>
    <t>Use Window/Wall Air Conditioning Units</t>
  </si>
  <si>
    <t>With 1 Unit</t>
  </si>
  <si>
    <t>With 2 Units</t>
  </si>
  <si>
    <t>With 3 or More Units</t>
  </si>
  <si>
    <t>Table HC8.8  Water Heating in U.S. Homes in Northeast Region, Divisions, and States,  2009</t>
  </si>
  <si>
    <t>Water Heating, Million Housing Units, Middle Atlantic</t>
  </si>
  <si>
    <t>Fuel Used by Main Water Heater</t>
  </si>
  <si>
    <t>Do Not Use Hot Water</t>
  </si>
  <si>
    <t>Residential Lighting Menu Inputs: AEO 2014 Update to Base Year for RECS 2009</t>
  </si>
  <si>
    <t>Last Modified:</t>
  </si>
  <si>
    <t>Definition:</t>
  </si>
  <si>
    <t>Self-contained lighting technology and usage database for the RDM.</t>
  </si>
  <si>
    <t>Units:</t>
  </si>
  <si>
    <t>See specific sections and headings below.</t>
  </si>
  <si>
    <t>Sources:</t>
  </si>
  <si>
    <t xml:space="preserve">EIA - Technology Forecast Updates – Residential and Commercial Building Technologies </t>
  </si>
  <si>
    <t>–</t>
  </si>
  <si>
    <t>RECS 2009; 2010 US Lighting Market Characteriztion, EERE Jan 2012;</t>
  </si>
  <si>
    <t xml:space="preserve">Residential Lighting End-Use Consumption Study: Estimation Framework and Initial Estimates, </t>
  </si>
  <si>
    <t>EERE, Dec 2012;</t>
  </si>
  <si>
    <t>Solid-State Lighting Research and Development Multi-Year Program Plan, EERE, April 2013.</t>
  </si>
  <si>
    <t>Comments:</t>
  </si>
  <si>
    <t>Current paramaters allow 4 lighting applications with up to four bulb technologies in each.</t>
  </si>
  <si>
    <t>Notes:</t>
  </si>
  <si>
    <t>Added exterior lighting for AEO 2014.</t>
  </si>
  <si>
    <t>Added LFL LED option based on web cost in Aug 2013.</t>
  </si>
  <si>
    <t>Updated cost of halogen technologies meeting EISA defficacy requirements based on market availability as of September 2013.</t>
  </si>
  <si>
    <t>Technology Cost and Performance (years assumed not to overlap within an application bulb type)</t>
  </si>
  <si>
    <t>Capital Cost</t>
  </si>
  <si>
    <t>Efficiency</t>
  </si>
  <si>
    <t>Life</t>
  </si>
  <si>
    <t>bn-lm yr/PJ demand</t>
  </si>
  <si>
    <t>FirstYear</t>
  </si>
  <si>
    <t>LastYear</t>
  </si>
  <si>
    <t>10$/klm</t>
  </si>
  <si>
    <t>Lumens/Watt</t>
  </si>
  <si>
    <t>Watts</t>
  </si>
  <si>
    <t>Life(hrs)</t>
  </si>
  <si>
    <t>CRI</t>
  </si>
  <si>
    <t>Application</t>
  </si>
  <si>
    <t>BulbType</t>
  </si>
  <si>
    <t>bn-lm yr/PJ</t>
  </si>
  <si>
    <t>$m/bn-lm</t>
  </si>
  <si>
    <t>1000 hours</t>
  </si>
  <si>
    <t>years</t>
  </si>
  <si>
    <t>Fraction</t>
  </si>
  <si>
    <t>* General Services Lamps</t>
  </si>
  <si>
    <t>Incandescent</t>
  </si>
  <si>
    <t>* Incandescent</t>
  </si>
  <si>
    <t>CFL</t>
  </si>
  <si>
    <t>bn-lm yr demand</t>
  </si>
  <si>
    <t>GSL</t>
  </si>
  <si>
    <t>Inc</t>
  </si>
  <si>
    <t>LFL</t>
  </si>
  <si>
    <t>lm-yr/HH/sqft</t>
  </si>
  <si>
    <t>Reflector</t>
  </si>
  <si>
    <t>Exterior</t>
  </si>
  <si>
    <t>From EIA 1993 Residential Energy Consumption lighting study</t>
  </si>
  <si>
    <t>Hhi</t>
  </si>
  <si>
    <t>* Compact Fluorescent Lamps</t>
  </si>
  <si>
    <t>Survey indicates that 40% of the lighting hours are for kitchen and bathroom. Assume about 2/3rds is during the day for these rooms.</t>
  </si>
  <si>
    <t xml:space="preserve">								</t>
  </si>
  <si>
    <t>Nearly half of U.S. households use LED bulbs for all or most of their indoor lighting - U.S. Energy Information Administration (EIA)</t>
  </si>
  <si>
    <t>* LED</t>
  </si>
  <si>
    <t>LED</t>
  </si>
  <si>
    <t>* Reflector</t>
  </si>
  <si>
    <t>RLTREFBS</t>
  </si>
  <si>
    <t>RLT.REF.BS</t>
  </si>
  <si>
    <t>REF</t>
  </si>
  <si>
    <t>* Halogen</t>
  </si>
  <si>
    <t>HAL</t>
  </si>
  <si>
    <t>* Linear Fluorescent Lamps</t>
  </si>
  <si>
    <t>RLTLFLBS</t>
  </si>
  <si>
    <t>RLT.LFL.BS</t>
  </si>
  <si>
    <t>T12</t>
  </si>
  <si>
    <t>T-8</t>
  </si>
  <si>
    <t>* Exterior</t>
  </si>
  <si>
    <t>EXT</t>
  </si>
  <si>
    <t>HPS</t>
  </si>
  <si>
    <t>RLTELED40</t>
  </si>
  <si>
    <t>RLT.EXT.LED.40</t>
  </si>
  <si>
    <t>Levels of PV/Green Roof Installation</t>
  </si>
  <si>
    <t>Sum of PV KW (50%)</t>
  </si>
  <si>
    <t>Column Labels</t>
  </si>
  <si>
    <t>Customer Class</t>
  </si>
  <si>
    <t>General Classification</t>
  </si>
  <si>
    <t>No Green Roof</t>
  </si>
  <si>
    <t>PV KW (75%)</t>
  </si>
  <si>
    <t>PV KW (50%)</t>
  </si>
  <si>
    <t>PV KW (25%)</t>
  </si>
  <si>
    <t>PV KW (10%)</t>
  </si>
  <si>
    <t>Row Labels</t>
  </si>
  <si>
    <t>Grand Total</t>
  </si>
  <si>
    <t>1-2 Family Dwelling</t>
  </si>
  <si>
    <t>Airport</t>
  </si>
  <si>
    <t>Government</t>
  </si>
  <si>
    <t>Auto Services</t>
  </si>
  <si>
    <t>Church/Mission/Asylum</t>
  </si>
  <si>
    <t>N/A</t>
  </si>
  <si>
    <t>Education College/University</t>
  </si>
  <si>
    <t>Education K12</t>
  </si>
  <si>
    <t>Hospital/Clinic</t>
  </si>
  <si>
    <t>Large Apartment/Hotel</t>
  </si>
  <si>
    <t>Large Retail/Office</t>
  </si>
  <si>
    <t>Parking Area Outdoor</t>
  </si>
  <si>
    <t>Parking Structure</t>
  </si>
  <si>
    <t>Port or Shipping</t>
  </si>
  <si>
    <t>Small Apartment or Condo</t>
  </si>
  <si>
    <t>Small Retail/Office</t>
  </si>
  <si>
    <t>Theater/Public Assembly</t>
  </si>
  <si>
    <t>RES</t>
  </si>
  <si>
    <t>Utility Electric/Gas</t>
  </si>
  <si>
    <t>COM</t>
  </si>
  <si>
    <t>https://www.nrel.gov/docs/fy12osti/50198.pdf</t>
  </si>
  <si>
    <t>Utility Other</t>
  </si>
  <si>
    <t>http://www.nyc.gov/html/dem/downloads/pdf/Solar%20100%20Local%20Law%2024%202016.pdf</t>
  </si>
  <si>
    <t>Warehouse</t>
  </si>
  <si>
    <t>At the end of 2015, New York City ranked 8th amongst US cities for total installed solar capacity (84 MW, both municipal and private sector combined)3</t>
  </si>
  <si>
    <t>https://nysolarmap.com/</t>
  </si>
  <si>
    <t>https://environmentamerica.org/sites/environment/files/reports/EA_shiningcities2016_scrn.pdf</t>
  </si>
  <si>
    <t>The following table is on page 5</t>
  </si>
  <si>
    <t>NYSolar Map Installed Solar Power Generation Capacity (MW) in 2010 -Completed</t>
  </si>
  <si>
    <t>NYSolar Map Installed Solar Power Generation Capacity (MW) in 2015 -Completed</t>
  </si>
  <si>
    <t>NYSolar Map Installed Solar Power Generation Capacity (MW) in 2020 -Completed</t>
  </si>
  <si>
    <t>NYSolar Map Installed Solar Power Generation Capacity (GW) in 2010 -Completed</t>
  </si>
  <si>
    <t>NYSolar Map Installed Solar Power Generation Capacity (GW) in 2015 -Completed</t>
  </si>
  <si>
    <t>on page 21</t>
  </si>
  <si>
    <t>Looking ahead, the city has committed to installing 100 MW of solar power on public buildings and spurring the installation of 250 MW on private buildings by 2025</t>
  </si>
  <si>
    <t>efficiency</t>
  </si>
  <si>
    <t>NYSolar Map Installed Solar Power Generation Capacity (GW) in 2020 -Completed</t>
  </si>
  <si>
    <t>MW/5 year</t>
  </si>
  <si>
    <t xml:space="preserve"> 2010 -Completed (Generation PJ)</t>
  </si>
  <si>
    <t>(PJ)</t>
  </si>
  <si>
    <t xml:space="preserve"> 2015 -Completed (Generation PJ)</t>
  </si>
  <si>
    <t xml:space="preserve"> 2020 -Completed (Generation PJ)</t>
  </si>
  <si>
    <t xml:space="preserve"> 2020 -Upper Bounds (Generation PJ)</t>
  </si>
  <si>
    <t xml:space="preserve"> 2025 -Estimated LB (Generation PJ)</t>
  </si>
  <si>
    <t xml:space="preserve"> 2025 -Upper Bounds  (Generation PJ)</t>
  </si>
  <si>
    <t xml:space="preserve"> 2030 -Estimated LB (Generation PJ)</t>
  </si>
  <si>
    <t xml:space="preserve"> 2030 -Upper Bounds (Generation PJ)</t>
  </si>
  <si>
    <t xml:space="preserve"> 2035 -Estimated LB (Generation PJ)</t>
  </si>
  <si>
    <t xml:space="preserve"> 2035 -Upper Bounds  (Generation PJ)</t>
  </si>
  <si>
    <t xml:space="preserve"> 2040 -Estimated LB (Generation PJ)</t>
  </si>
  <si>
    <t xml:space="preserve"> 2040 -Upper Bounds  (Generation PJ)</t>
  </si>
  <si>
    <t>EPAUS9r base scenario results for R2 region</t>
  </si>
  <si>
    <t>BS14_V14</t>
  </si>
  <si>
    <t>OUTPUT.ELC</t>
  </si>
  <si>
    <t>-</t>
  </si>
  <si>
    <t>ESOLPVCOM</t>
  </si>
  <si>
    <t>(% increase)</t>
  </si>
  <si>
    <t xml:space="preserve"> 2045 -Estimated LB (Generation PJ)</t>
  </si>
  <si>
    <t xml:space="preserve"> 2045 -Upper Bounds (Generation PJ)</t>
  </si>
  <si>
    <t xml:space="preserve"> 2050 -Estimated LB (Generation PJ)</t>
  </si>
  <si>
    <t xml:space="preserve"> 2050 -Upper Bounds  (Generation PJ)</t>
  </si>
  <si>
    <t xml:space="preserve"> 2055 -Estimated LB (Generation PJ)</t>
  </si>
  <si>
    <t xml:space="preserve"> 2055 -Upper Bounds (Generation PJ)</t>
  </si>
  <si>
    <t>From</t>
  </si>
  <si>
    <t>http://www.eia.doe.gov/oiaf/1605/ggrpt/documentation/pdf/0638(2006).pdf</t>
  </si>
  <si>
    <t>Page 200, Table 6, Carbon Coefficients</t>
  </si>
  <si>
    <t>From Table 6-1: Carbon dioxide coefficients used in Emissions of Greenhouse Gases in the United States (projected values for 2006 are shown)</t>
  </si>
  <si>
    <t>tonnes/</t>
  </si>
  <si>
    <t>Mtonnes/</t>
  </si>
  <si>
    <t>ktonnes/</t>
  </si>
  <si>
    <t>Fuel</t>
  </si>
  <si>
    <t>Quad</t>
  </si>
  <si>
    <t>Distillate</t>
  </si>
  <si>
    <t>Jet Fuel</t>
  </si>
  <si>
    <t>LPG</t>
  </si>
  <si>
    <t>Residual Fuel</t>
  </si>
  <si>
    <t>Petrochemical feedstocks</t>
  </si>
  <si>
    <t>Petroleum Coke</t>
  </si>
  <si>
    <t>Coal (ELC)</t>
  </si>
  <si>
    <t>Coal (Res)</t>
  </si>
  <si>
    <t>Coal (Com)</t>
  </si>
  <si>
    <t>Coal (Ind)</t>
  </si>
  <si>
    <t>Source: TranSystems|Pechan, collected for EPA, 2010-2011</t>
  </si>
  <si>
    <t>Data Source:</t>
  </si>
  <si>
    <t>The Climate Registry</t>
  </si>
  <si>
    <t>For more information, please contact Dan Loughlin (louglin.dan@epa.gov)</t>
  </si>
  <si>
    <t>EPA WebFIRE</t>
  </si>
  <si>
    <t>Assume the same emissions factor as another technology</t>
  </si>
  <si>
    <t>MARKAL Code</t>
  </si>
  <si>
    <t>Data Key (Concatenation)</t>
  </si>
  <si>
    <t>Demand</t>
  </si>
  <si>
    <t>Technology</t>
  </si>
  <si>
    <t>Revised CO2</t>
  </si>
  <si>
    <t>Revised SO2</t>
  </si>
  <si>
    <t>Revised NOx</t>
  </si>
  <si>
    <t>Revised PM10</t>
  </si>
  <si>
    <t>Revised PM2.5</t>
  </si>
  <si>
    <t>Revised VOC</t>
  </si>
  <si>
    <t>Revised CO</t>
  </si>
  <si>
    <t>Revised CH4</t>
  </si>
  <si>
    <t>Revised N2O</t>
  </si>
  <si>
    <t>Space heating</t>
  </si>
  <si>
    <t>Boiler</t>
  </si>
  <si>
    <t>Furnace</t>
  </si>
  <si>
    <t>Distillate oil</t>
  </si>
  <si>
    <t>Radiant</t>
  </si>
  <si>
    <t>Space cooling</t>
  </si>
  <si>
    <t>Water heating</t>
  </si>
  <si>
    <t>Tank</t>
  </si>
  <si>
    <t>Instantaneous</t>
  </si>
  <si>
    <t>Task 6:  Speciation of PM Emissions</t>
  </si>
  <si>
    <t>Final/Processed FBC, FOC, F1.0, and FCONT Data</t>
  </si>
  <si>
    <t>Scenario</t>
  </si>
  <si>
    <t>Parameter</t>
  </si>
  <si>
    <t>MARKAL Source Category</t>
  </si>
  <si>
    <t>Literature Source Category</t>
  </si>
  <si>
    <t>Literature Sector</t>
  </si>
  <si>
    <t>Literature Fuel</t>
  </si>
  <si>
    <t>Literature Technology</t>
  </si>
  <si>
    <t>Literature Control</t>
  </si>
  <si>
    <t>Value</t>
  </si>
  <si>
    <t>Lower Bound</t>
  </si>
  <si>
    <t>Upper Bound</t>
  </si>
  <si>
    <t>Mean Value</t>
  </si>
  <si>
    <t>Data source</t>
  </si>
  <si>
    <t>Data Source Details</t>
  </si>
  <si>
    <t>Conditions</t>
  </si>
  <si>
    <t>Value Comment</t>
  </si>
  <si>
    <t>General Comment</t>
  </si>
  <si>
    <t>EMISSION</t>
  </si>
  <si>
    <t>FOC</t>
  </si>
  <si>
    <t xml:space="preserve"> -</t>
  </si>
  <si>
    <t>Electricity Production/Biomass/Combustion</t>
  </si>
  <si>
    <t>Stationary Combustion/Biofuel/Stoker</t>
  </si>
  <si>
    <t>Stationary Combustion</t>
  </si>
  <si>
    <t>Stoker</t>
  </si>
  <si>
    <t>Unitless</t>
  </si>
  <si>
    <t>Bond et al. (2004)</t>
  </si>
  <si>
    <t>Table 5</t>
  </si>
  <si>
    <t>Average of several wood-fired boilers in SPECIATE (U.S. EPA, SPECIATE 3.1, 1999)</t>
  </si>
  <si>
    <t>Uncertainties are not given here but are used in calculating uncertainty. Values of EFPM and F1.0 are from AP-42 [U.S. EPA, 1996] unless noted and refer to PM10 unless only total PM is given. FBC and FOC are both for submicron particles.</t>
  </si>
  <si>
    <t>Electricity Production/Coal/Combustion</t>
  </si>
  <si>
    <t>Stationary Combustion/Brown Coal/Cyclone</t>
  </si>
  <si>
    <t>Brown Coal</t>
  </si>
  <si>
    <t>Cyclone</t>
  </si>
  <si>
    <t>No data; assumed same as hard coal in pulverized combustor.</t>
  </si>
  <si>
    <t>Stationary Combustion/Brown Coal/Pulverized</t>
  </si>
  <si>
    <t>Pulverized</t>
  </si>
  <si>
    <t>Stationary Combustion/Hard Coal/Cyclone</t>
  </si>
  <si>
    <t>Hard Coal</t>
  </si>
  <si>
    <t>Stationary Combustion/Hard Coal/Pulverized</t>
  </si>
  <si>
    <t>Olmez et al. (1988)</t>
  </si>
  <si>
    <t>Electricity Production/Diesel/-</t>
  </si>
  <si>
    <t>Power/Middle Distillate Oil/ -</t>
  </si>
  <si>
    <t>Power</t>
  </si>
  <si>
    <t>Middle Distillate Oil</t>
  </si>
  <si>
    <t>Hildemann et al. (1991), B. Wehner (manuscript in preparation, 2003), and Goldstein and Siegmund (1976).</t>
  </si>
  <si>
    <t>Stationary Combustion/Mid-light Distillate Oil/External Combustion</t>
  </si>
  <si>
    <t>Mid-light Distillate Oil</t>
  </si>
  <si>
    <t>External Combustion</t>
  </si>
  <si>
    <t>Hildemann et al. (1991)</t>
  </si>
  <si>
    <t>Electricity Production/High Sulfur Fuel Oil/-</t>
  </si>
  <si>
    <t>Stationary Combustion/Heavy Fuel Oil/All</t>
  </si>
  <si>
    <t>Heavy Fuel Oil</t>
  </si>
  <si>
    <t>All</t>
  </si>
  <si>
    <t>SPECIATE (U.S.EPA, SPECIATE 3.1., 1999)</t>
  </si>
  <si>
    <t>Electricity Production/Low Sulfur Fuel Oil/-</t>
  </si>
  <si>
    <t>Electricity Production/Natural Gas Steam/Combined Cycle</t>
  </si>
  <si>
    <t>Stationary Combustion/Natural Gas/All</t>
  </si>
  <si>
    <t>Muhlbaier (1981) and Hildemann et al. (1991) (average of very different results for OC)</t>
  </si>
  <si>
    <t>Electricity Production/Natural Gas/Combined Cycle</t>
  </si>
  <si>
    <t>Electricity Production/Natural Gas/Turbine</t>
  </si>
  <si>
    <t>Industry/Biomass/Boilers</t>
  </si>
  <si>
    <t>Industry/Biomass/Combined Heat and Power (CHP)</t>
  </si>
  <si>
    <t>Industry/Biomass/Other Heat</t>
  </si>
  <si>
    <t>Industry/Biomass/Process Heat</t>
  </si>
  <si>
    <t>Industry/Coal/Boilers</t>
  </si>
  <si>
    <t>Stationary Combustion/Brown Coal/Stoker</t>
  </si>
  <si>
    <t>Based on Pinto et al. (1998) for residential combustion, but with high uncertainty.</t>
  </si>
  <si>
    <t>Industry/Coal/Combined Heat and Power (CHP)</t>
  </si>
  <si>
    <t>Stationary Combustion/Hard Coal/Chain Grate Stoker</t>
  </si>
  <si>
    <t>Chain Grate Stoker</t>
  </si>
  <si>
    <t>Bond et al. (2007)</t>
  </si>
  <si>
    <t>Table 3</t>
  </si>
  <si>
    <t>Values refer to PM10 unless total PM is given. Bond et al. (2004) values were replaced with Bond et al. (2007)'s.</t>
  </si>
  <si>
    <t>Industry/Coal/Other Heat</t>
  </si>
  <si>
    <t>Industry/Coal/Process Heat</t>
  </si>
  <si>
    <t>Industry/Distillate Oil/Boilers</t>
  </si>
  <si>
    <t>Industry/Middle Distillate Oil/ -</t>
  </si>
  <si>
    <t>Industry</t>
  </si>
  <si>
    <t>Industry/Distillate Oil/Machine Drive</t>
  </si>
  <si>
    <t>Industry/Distillate Oil/Other Heat</t>
  </si>
  <si>
    <t>Industry/Distillate Oil/Process Heat</t>
  </si>
  <si>
    <t>Industry/Fuel Oil/Boilers</t>
  </si>
  <si>
    <t>Industry/Fuel Oil/Machine Drive</t>
  </si>
  <si>
    <t>Industry/Fuel Oil/Other Heat</t>
  </si>
  <si>
    <t>Industry/Fuel Oil/Process Heat</t>
  </si>
  <si>
    <t>Industry/LPG/Boilers</t>
  </si>
  <si>
    <t>Industry/LPG/Machine Drive</t>
  </si>
  <si>
    <t>Industry/LPG/Other Heat</t>
  </si>
  <si>
    <t>Industry/LPG/Process Heat</t>
  </si>
  <si>
    <t>Industry/Natural Gas/Boilers</t>
  </si>
  <si>
    <t>Industry/Natural Gas/Combined Heat and Power (CHP)</t>
  </si>
  <si>
    <t>Industry/Natural Gas/Machine Drive</t>
  </si>
  <si>
    <t>Industry/Natural Gas/Other Heat</t>
  </si>
  <si>
    <t>Industry/Natural Gas/Process Heat</t>
  </si>
  <si>
    <t>Industry/Oil/Combined Heat and Power (CHP)</t>
  </si>
  <si>
    <t>Industry/PTC/Other Heat</t>
  </si>
  <si>
    <t>Residential/Coal/-</t>
  </si>
  <si>
    <t>Stationary Combustion/Hard Coal/Hand Fired Stoker</t>
  </si>
  <si>
    <t>Hand Fired Stoker</t>
  </si>
  <si>
    <t>Residential/Kerosene/-</t>
  </si>
  <si>
    <t>Residential/Kerosene/ -</t>
  </si>
  <si>
    <t>Cheng et al. (2001)</t>
  </si>
  <si>
    <t>Residential/Liquid Propane Gas (LPG)/-</t>
  </si>
  <si>
    <t>Residential/LPG/ -</t>
  </si>
  <si>
    <t>Assumed same as kerosene.</t>
  </si>
  <si>
    <t>Residential/Natural Gas/-</t>
  </si>
  <si>
    <t>Residential/Residual Oil/-</t>
  </si>
  <si>
    <t>Transportation/Diesel Car/Heavy Duty</t>
  </si>
  <si>
    <t>Mobile Sources/Diesel/On-road general</t>
  </si>
  <si>
    <t>Mobile Sources</t>
  </si>
  <si>
    <t>On-road general</t>
  </si>
  <si>
    <t>Standards beginning</t>
  </si>
  <si>
    <t>Table 7</t>
  </si>
  <si>
    <t>Based on review by Gillies and Gertler (2000).</t>
  </si>
  <si>
    <t>Values refer to PM10 unless total PM is given.</t>
  </si>
  <si>
    <t>Standards in place</t>
  </si>
  <si>
    <t>Transportation/Diesel Car/Light Duty</t>
  </si>
  <si>
    <t>Transportation/Diesel Truck/Heavy Duty</t>
  </si>
  <si>
    <t>Transportation/Diesel Truck/Light Duty</t>
  </si>
  <si>
    <t>Transportation/Diesel/Off-highway</t>
  </si>
  <si>
    <t>Mobile Sources/Diesel/Farm Vehicles</t>
  </si>
  <si>
    <t>Farm Vehicles</t>
  </si>
  <si>
    <t>Mobile Sources/Diesel/Non-farm Off-road Vehicles</t>
  </si>
  <si>
    <t>Non-farm Off-road Vehicles</t>
  </si>
  <si>
    <t>Transportation/Diesel/Shipping</t>
  </si>
  <si>
    <t>Mobile Sources/Diesel/Ships</t>
  </si>
  <si>
    <t>Ships</t>
  </si>
  <si>
    <t>Transportation/Diesel/Train</t>
  </si>
  <si>
    <t>Mobile Sources/Diesel/Train</t>
  </si>
  <si>
    <t>Train</t>
  </si>
  <si>
    <t>Transportation/Gasoline Car/Heavy Duty</t>
  </si>
  <si>
    <t>Mobile Sources/Gasoline/All Vehicles</t>
  </si>
  <si>
    <t>All Vehicles</t>
  </si>
  <si>
    <t>Transportation/Gasoline Car/Light Duty</t>
  </si>
  <si>
    <t>Transportation/Gasoline Truck/Heavy Duty</t>
  </si>
  <si>
    <t>Transportation/Gasoline Truck/Light Duty</t>
  </si>
  <si>
    <t>Transportation/Gasoline/Airplane</t>
  </si>
  <si>
    <t>Mobile Sources/Aviation Fuel/Aircraft</t>
  </si>
  <si>
    <t>Aviation Fuel</t>
  </si>
  <si>
    <t>Aircraft</t>
  </si>
  <si>
    <t>EFPM Calculated from BC emission rates given by Penner et al. (1999); Petzold and Dopelheuer (1998); Petzold et al. (1999), increased by OC/BC ratio given by Hopke (1985).</t>
  </si>
  <si>
    <t>Transportation/Gasoline/Shipping</t>
  </si>
  <si>
    <t>Transportation/Jet Fuel/Airplane</t>
  </si>
  <si>
    <t>Transportation/Residual Fuel Oil/Shipping</t>
  </si>
  <si>
    <t>Mobile Sources/Heavy Fuel Oil/Ships</t>
  </si>
  <si>
    <t>FBC</t>
  </si>
  <si>
    <t>Fisher et al. (1978), Mamane et al. (1986), Olmez et al. (1988), Querol et al. (1995), and Smith et al. (1979)</t>
  </si>
  <si>
    <t>Based on Bond et al. (1999b)</t>
  </si>
  <si>
    <t>Electric Utilities/Wood- other/ -</t>
  </si>
  <si>
    <t>Electric Utilities</t>
  </si>
  <si>
    <t>Wood- other</t>
  </si>
  <si>
    <t>Battye et al. (2002)</t>
  </si>
  <si>
    <t>Values represent BC to PM2.5 ratio.</t>
  </si>
  <si>
    <t>Electric Utilities/Coal/ -</t>
  </si>
  <si>
    <t>Coal</t>
  </si>
  <si>
    <t>Electricity Production/Coal/Gasification</t>
  </si>
  <si>
    <t>Electric Utilities/Petroleum/ -</t>
  </si>
  <si>
    <t>Petroleum</t>
  </si>
  <si>
    <t>Electric Utilities/Natural Gas/ -</t>
  </si>
  <si>
    <t>Industrial Combustion/Wood/ -</t>
  </si>
  <si>
    <t>Industrial Combustion</t>
  </si>
  <si>
    <t>Industry/Biomass/Machine Drive</t>
  </si>
  <si>
    <t>Industrial Combustion/Coal/ -</t>
  </si>
  <si>
    <t>Industry/Coal/Machine Drive</t>
  </si>
  <si>
    <t>Industrial Combustion/Petroleum/ -</t>
  </si>
  <si>
    <t>Industrial Combustion/Natural Gas/ -</t>
  </si>
  <si>
    <t>Refineries/-/-</t>
  </si>
  <si>
    <t>Industrial- Petroleum Refining/ -/ -</t>
  </si>
  <si>
    <t>Industrial- Petroleum Refining</t>
  </si>
  <si>
    <t>Residential/Biomass/-</t>
  </si>
  <si>
    <t>Residential Combustion/Wood/ -</t>
  </si>
  <si>
    <t>Residential Combustion</t>
  </si>
  <si>
    <t>Residential Combustion/Natural Gas/ -</t>
  </si>
  <si>
    <t>Onroad Vehicles/Diesel/ -</t>
  </si>
  <si>
    <t>Onroad Vehicles</t>
  </si>
  <si>
    <t>Nonroad/Diesel/ -</t>
  </si>
  <si>
    <t>Nonroad</t>
  </si>
  <si>
    <t>Upper bound was estimated based on information for onroad vehicles.</t>
  </si>
  <si>
    <t>Marine Transportation/ -/ -</t>
  </si>
  <si>
    <t>Marine Transportation</t>
  </si>
  <si>
    <t>Locomotives/Diesel/ -</t>
  </si>
  <si>
    <t>Locomotives</t>
  </si>
  <si>
    <t>Onroad Vehicles/Gasoline/ -</t>
  </si>
  <si>
    <t>Table 1 and Table 3, lower bound corresponds to Light duty diesel 1996 - Denver and upper bound corresponds to SPECIATE - light duty diesel.</t>
  </si>
  <si>
    <t>Aircraft/ -/ -</t>
  </si>
  <si>
    <t>Transportation/Gasoline/Off-highway</t>
  </si>
  <si>
    <t>Nonroad/Gasoline/ -</t>
  </si>
  <si>
    <t>Conversions</t>
  </si>
  <si>
    <t>Release date: February 2, 2016</t>
  </si>
  <si>
    <t>Helpful reference:</t>
  </si>
  <si>
    <t>https://www.eia.gov/environment/emissions/co2_vol_mass.php</t>
  </si>
  <si>
    <t>https://github.com/IAMconsortium/units/files/5781143/UnitsAndConversions.pdf</t>
  </si>
  <si>
    <t>Carbon Dioxide Emissions Coefficients by Fuel</t>
  </si>
  <si>
    <t>Energy Unit Conversion</t>
  </si>
  <si>
    <t>Mass Conversions</t>
  </si>
  <si>
    <t>COMET-NYC Regions</t>
  </si>
  <si>
    <t xml:space="preserve">Pounds CO2 </t>
  </si>
  <si>
    <t>Kilograms CO2</t>
  </si>
  <si>
    <t>Pounds CO2</t>
  </si>
  <si>
    <t>MJ to PJ</t>
  </si>
  <si>
    <t>lb/kg</t>
  </si>
  <si>
    <t>R0</t>
  </si>
  <si>
    <t xml:space="preserve">Supply </t>
  </si>
  <si>
    <t xml:space="preserve">Carbon Dioxide (CO2) Factors: </t>
  </si>
  <si>
    <t>Per Unit of Volume or Mass</t>
  </si>
  <si>
    <t>Per Million Btu</t>
  </si>
  <si>
    <t>GJ to PJ</t>
  </si>
  <si>
    <t>lb/short ton</t>
  </si>
  <si>
    <t xml:space="preserve">R1 </t>
  </si>
  <si>
    <t xml:space="preserve">NY State power (Zones </t>
  </si>
  <si>
    <t>For homes and businesses</t>
  </si>
  <si>
    <t>Btu to PJ</t>
  </si>
  <si>
    <t>lb/bu (corn)</t>
  </si>
  <si>
    <t>mmBtu to PJ</t>
  </si>
  <si>
    <t>lb/bu (soybean)</t>
  </si>
  <si>
    <t>Butane</t>
  </si>
  <si>
    <t>quad to PJ</t>
  </si>
  <si>
    <t>lb/Mt</t>
  </si>
  <si>
    <t>Butane/Propane Mix</t>
  </si>
  <si>
    <t>kWh to PJ</t>
  </si>
  <si>
    <t>short ton/kg</t>
  </si>
  <si>
    <t>Home Heating and Diesel Fuel (Distillate)</t>
  </si>
  <si>
    <t>kg/short ton</t>
  </si>
  <si>
    <t>Fuel Energy Conversions</t>
  </si>
  <si>
    <t>short ton/metric tonne</t>
  </si>
  <si>
    <t>Coal (All types)</t>
  </si>
  <si>
    <t>short ton</t>
  </si>
  <si>
    <t>PJ/gal</t>
  </si>
  <si>
    <t>State to Census Division</t>
  </si>
  <si>
    <t>thousand cubic feet</t>
  </si>
  <si>
    <t>Volume Conversions</t>
  </si>
  <si>
    <t xml:space="preserve">Alabama </t>
  </si>
  <si>
    <t>L/gal</t>
  </si>
  <si>
    <t>Alaska</t>
  </si>
  <si>
    <t>Residual Heating Fuel (Businesses only)</t>
  </si>
  <si>
    <t>Ethanol</t>
  </si>
  <si>
    <t xml:space="preserve">Arizona </t>
  </si>
  <si>
    <t xml:space="preserve">Other transportation fuels </t>
  </si>
  <si>
    <t>Denatured Ethanol</t>
  </si>
  <si>
    <t>Price Conversions</t>
  </si>
  <si>
    <t xml:space="preserve">Arkansas </t>
  </si>
  <si>
    <t>E85</t>
  </si>
  <si>
    <t>Implicit price deflators for GDP</t>
  </si>
  <si>
    <t xml:space="preserve">California </t>
  </si>
  <si>
    <t>Aviation Gas</t>
  </si>
  <si>
    <t>Federal Reserve Economic Data</t>
  </si>
  <si>
    <t xml:space="preserve">Colorado </t>
  </si>
  <si>
    <t>Industrial fuels and others not listed above</t>
  </si>
  <si>
    <t>Biodiesel</t>
  </si>
  <si>
    <t>Link: https://fred.stlouisfed.org</t>
  </si>
  <si>
    <t xml:space="preserve">Connecticut </t>
  </si>
  <si>
    <t>Flared natural gas</t>
  </si>
  <si>
    <t>B20</t>
  </si>
  <si>
    <t>Downloaded on 11/12/2023</t>
  </si>
  <si>
    <t xml:space="preserve">Delaware </t>
  </si>
  <si>
    <t>Petroleum coke</t>
  </si>
  <si>
    <t xml:space="preserve">B2 </t>
  </si>
  <si>
    <t>Deflator</t>
  </si>
  <si>
    <t>Convert to 2005 $</t>
  </si>
  <si>
    <t xml:space="preserve">Florida </t>
  </si>
  <si>
    <t>Other petroleum &amp; miscellaneous</t>
  </si>
  <si>
    <t xml:space="preserve">Georgia </t>
  </si>
  <si>
    <t>Nonfuel uses</t>
  </si>
  <si>
    <t>Residual Oil</t>
  </si>
  <si>
    <t>Hawaii</t>
  </si>
  <si>
    <t>Asphalt and Road Oil</t>
  </si>
  <si>
    <t xml:space="preserve">Idaho </t>
  </si>
  <si>
    <t>Lubricants</t>
  </si>
  <si>
    <t>Natural Gas (LHV)</t>
  </si>
  <si>
    <t>PJ/ft3</t>
  </si>
  <si>
    <t xml:space="preserve">Illinois </t>
  </si>
  <si>
    <t>Petrochemical Feedstocks</t>
  </si>
  <si>
    <t>Natural Gas (HHV)</t>
  </si>
  <si>
    <t xml:space="preserve">Indiana </t>
  </si>
  <si>
    <t>Special Naphthas (solvents)</t>
  </si>
  <si>
    <t>LPG (propane)</t>
  </si>
  <si>
    <t xml:space="preserve">Iowa </t>
  </si>
  <si>
    <t xml:space="preserve">Waxes </t>
  </si>
  <si>
    <t xml:space="preserve">Kansas </t>
  </si>
  <si>
    <t>Coals by type</t>
  </si>
  <si>
    <t>PJ/kg</t>
  </si>
  <si>
    <t xml:space="preserve">Kentucky </t>
  </si>
  <si>
    <t>Anthracite</t>
  </si>
  <si>
    <t xml:space="preserve">Louisiana </t>
  </si>
  <si>
    <t>Bituminous</t>
  </si>
  <si>
    <t>Biomass Energy Conversions</t>
  </si>
  <si>
    <t xml:space="preserve">Maine </t>
  </si>
  <si>
    <t>Subbituminous</t>
  </si>
  <si>
    <t>Ag Residues</t>
  </si>
  <si>
    <t xml:space="preserve">Maryland </t>
  </si>
  <si>
    <t>Lignite</t>
  </si>
  <si>
    <t>high moisture</t>
  </si>
  <si>
    <t>PJ/Mt or GJ/t</t>
  </si>
  <si>
    <t xml:space="preserve">Massachusetts </t>
  </si>
  <si>
    <t>Coke</t>
  </si>
  <si>
    <t>low moisture</t>
  </si>
  <si>
    <t xml:space="preserve">Michigan </t>
  </si>
  <si>
    <t>Other fuels</t>
  </si>
  <si>
    <t>average</t>
  </si>
  <si>
    <t xml:space="preserve">Minnesota </t>
  </si>
  <si>
    <t>Geothermal (average all generation)</t>
  </si>
  <si>
    <t>NA</t>
  </si>
  <si>
    <t>Wood Fuel</t>
  </si>
  <si>
    <t xml:space="preserve">Mississippi </t>
  </si>
  <si>
    <t>Municiple Solid Waste</t>
  </si>
  <si>
    <t>HHV, bone dry, low</t>
  </si>
  <si>
    <t xml:space="preserve">Missouri </t>
  </si>
  <si>
    <t>Tire-derived fuel</t>
  </si>
  <si>
    <t>HHV, bone dry, high</t>
  </si>
  <si>
    <t xml:space="preserve">Montana </t>
  </si>
  <si>
    <t>Waste oil</t>
  </si>
  <si>
    <t>barrel</t>
  </si>
  <si>
    <t>HHV, bone dry, average</t>
  </si>
  <si>
    <t xml:space="preserve">Nebraska </t>
  </si>
  <si>
    <t>Source: U.S. Energy Information Administration estimates.</t>
  </si>
  <si>
    <t>air dry, 20% moisture</t>
  </si>
  <si>
    <t xml:space="preserve">Nevada </t>
  </si>
  <si>
    <t>Note: To convert to carbon equivalents multiply by 12/44.</t>
  </si>
  <si>
    <t>http://bioenergy.ornl.gov/papers/misc/energy_conv.html</t>
  </si>
  <si>
    <t xml:space="preserve">New Hampshire </t>
  </si>
  <si>
    <t>Coefficients may vary slightly with estimation method and across time.</t>
  </si>
  <si>
    <t>Note: ORNL tends to use the HHV or gross HV</t>
  </si>
  <si>
    <t xml:space="preserve">New Jersey </t>
  </si>
  <si>
    <t xml:space="preserve">New Mexico </t>
  </si>
  <si>
    <t>Switchgrass</t>
  </si>
  <si>
    <t xml:space="preserve">New York </t>
  </si>
  <si>
    <t>Ovendried (gross HV)</t>
  </si>
  <si>
    <t>Btu/ton</t>
  </si>
  <si>
    <t xml:space="preserve">North Carolina </t>
  </si>
  <si>
    <t>Ovendried (net HV)</t>
  </si>
  <si>
    <t xml:space="preserve">North Dakota </t>
  </si>
  <si>
    <t>PJ/Mt</t>
  </si>
  <si>
    <t xml:space="preserve">Ohio </t>
  </si>
  <si>
    <t xml:space="preserve">Oklahoma </t>
  </si>
  <si>
    <t>Wood pellets</t>
  </si>
  <si>
    <t xml:space="preserve">Oregon </t>
  </si>
  <si>
    <t>gross HV</t>
  </si>
  <si>
    <t xml:space="preserve">Pennsylvania </t>
  </si>
  <si>
    <t>net HV</t>
  </si>
  <si>
    <t xml:space="preserve">Rhode Island </t>
  </si>
  <si>
    <t xml:space="preserve">South Carolina </t>
  </si>
  <si>
    <t xml:space="preserve">South Dakota </t>
  </si>
  <si>
    <t>Shelled corn (15% MC)</t>
  </si>
  <si>
    <t xml:space="preserve">Tennessee </t>
  </si>
  <si>
    <t xml:space="preserve">Texas </t>
  </si>
  <si>
    <t xml:space="preserve">Utah </t>
  </si>
  <si>
    <t xml:space="preserve">Vermont </t>
  </si>
  <si>
    <t xml:space="preserve">Virginia </t>
  </si>
  <si>
    <t>http://www.fpl.fs.fed.us/documnts/techline/fuel-value-calculator.pdf</t>
  </si>
  <si>
    <t xml:space="preserve">Washington </t>
  </si>
  <si>
    <t xml:space="preserve">West Virginia </t>
  </si>
  <si>
    <t>Soybeans (HHV)</t>
  </si>
  <si>
    <t>MJ/kg</t>
  </si>
  <si>
    <t xml:space="preserve">Wisconsin </t>
  </si>
  <si>
    <t>Soybean oil (HHV)</t>
  </si>
  <si>
    <t xml:space="preserve">Wyoming </t>
  </si>
  <si>
    <t>Oil content of soybeans</t>
  </si>
  <si>
    <t>kg oil/kg soybean</t>
  </si>
  <si>
    <t>Sources: NREL (1998) and Demirbas (2007) Fuel (87) p 1745</t>
  </si>
  <si>
    <t>Fuel Properties Comparison Chart</t>
  </si>
  <si>
    <t>Energy Content (HHV)</t>
  </si>
  <si>
    <t>Btu/gal</t>
  </si>
  <si>
    <t>No. 2 Diesel</t>
  </si>
  <si>
    <t>Annual Energy Outlook, Table 12, page 59.</t>
  </si>
  <si>
    <t>http://www.eere.energy.gov/afdc/progs/fuel_compare.php</t>
  </si>
  <si>
    <t>Biodiesel Blends Heating Value</t>
  </si>
  <si>
    <t>Biodiesel (B100)</t>
  </si>
  <si>
    <t>B20 Blend (B20)</t>
  </si>
  <si>
    <t>B2 Blend (B2)</t>
  </si>
  <si>
    <t>http://www.biodiesel.org/pdf_files/fuelfactsheets/BTU_Content_Final_Oct2005.pdf</t>
  </si>
  <si>
    <t>Natural Gas Heating Values</t>
  </si>
  <si>
    <t>Btu/ft3</t>
  </si>
  <si>
    <t>Residual Fuel Oil Heating Value</t>
  </si>
  <si>
    <t>Residual Oil (HHV)</t>
  </si>
  <si>
    <t>Residual Oil (LHV)</t>
  </si>
  <si>
    <t>Transporation Energy Data Book: Ed. 26 (2007)</t>
  </si>
  <si>
    <t>CO2 emissions from a gallon of gasoline</t>
  </si>
  <si>
    <t>grams CO2/gallon</t>
  </si>
  <si>
    <t>CO2 emissions from a gallon of diesel</t>
  </si>
  <si>
    <t>Conversion Factors</t>
  </si>
  <si>
    <t>Hours per day</t>
  </si>
  <si>
    <t>Days per year</t>
  </si>
  <si>
    <t>j per btu</t>
  </si>
  <si>
    <t>btu per watthr</t>
  </si>
  <si>
    <t>j per pj</t>
  </si>
  <si>
    <t>dollar($) per $m</t>
  </si>
  <si>
    <t>cfm hrs per trillion cfm hrs</t>
  </si>
  <si>
    <t>lumens per billion lumens</t>
  </si>
  <si>
    <t>kwhr per j</t>
  </si>
  <si>
    <t>units per m units</t>
  </si>
  <si>
    <t>btu per mmbtu</t>
  </si>
  <si>
    <t>MMBtu to PJ</t>
  </si>
  <si>
    <t>tBTU to PJ</t>
  </si>
  <si>
    <t>Lighting average operating hours per day</t>
  </si>
  <si>
    <t>Source: Table ES-3.  Average Operating Hours per Day by Light Source, 2001 from U.S. Lighting Market Characterization Report (Sept 2002).</t>
  </si>
  <si>
    <t>PJ per quad</t>
  </si>
  <si>
    <t>GJ_to_PJ</t>
  </si>
  <si>
    <t>PJ to BTU</t>
  </si>
  <si>
    <t>gal to liter</t>
  </si>
  <si>
    <t>kwh to gj</t>
  </si>
  <si>
    <t>scf to gj</t>
  </si>
  <si>
    <t>FO2_l_to gj</t>
  </si>
  <si>
    <t>FO4_l_to gj</t>
  </si>
  <si>
    <t>FO6_l_to gj</t>
  </si>
  <si>
    <t>kgs_to_gj</t>
  </si>
  <si>
    <t>quad_to_PJ</t>
  </si>
  <si>
    <t>kgs_to_pj</t>
  </si>
  <si>
    <t xml:space="preserve">NIPA Table 1.1.9. Implicit Price Deflators for Gross Domestic Product                                                                                                                                                                                          </t>
  </si>
  <si>
    <t xml:space="preserve">[Index numbers, 2009=100]                                                                                                                                                                                                                                 </t>
  </si>
  <si>
    <t>US Department of Commerce: Bureau of Economic Analysis</t>
  </si>
  <si>
    <t>http://www.bea.gov/national/nipaweb/SelectTable.asp?Selected=Y</t>
  </si>
  <si>
    <t>Downloaded on 1/09/2014    Last Revised 12/23/2013</t>
  </si>
  <si>
    <t>To bring to $2005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</si>
</sst>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1" formatCode="_(* #,##0_);_(* \(#,##0\);_(* &quot;-&quot;_);_(@_)"/>
    <numFmt numFmtId="44" formatCode="_(&quot;$&quot;* #,##0.00_);_(&quot;$&quot;* \(#,##0.00\);_(&quot;$&quot;* &quot;-&quot;??_);_(@_)"/>
    <numFmt numFmtId="43" formatCode="_(* #,##0.00_);_(* \(#,##0.00\);_(* &quot;-&quot;??_);_(@_)"/>
    <numFmt numFmtId="164" formatCode="_-* #,##0.00_-;\-* #,##0.00_-;_-* &quot;-&quot;??_-;_-@_-"/>
    <numFmt numFmtId="165" formatCode="0.000"/>
    <numFmt numFmtId="166" formatCode="0.0000"/>
    <numFmt numFmtId="167" formatCode="0.0"/>
    <numFmt numFmtId="168" formatCode="0.0%"/>
    <numFmt numFmtId="169" formatCode="0.00_)"/>
    <numFmt numFmtId="170" formatCode="@*."/>
    <numFmt numFmtId="171" formatCode="0.000000"/>
    <numFmt numFmtId="172" formatCode="&quot;$&quot;#,##0"/>
    <numFmt numFmtId="173" formatCode="_-* #,##0_-;\-* #,##0_-;_-* &quot;-&quot;??_-;_-@_-"/>
    <numFmt numFmtId="174" formatCode="_(* #,##0_);_(* \(#,##0\);_(* &quot;-&quot;??_);_(@_)"/>
    <numFmt numFmtId="175" formatCode="\Te\x\t"/>
    <numFmt numFmtId="176" formatCode="_(* #,##0.00000_);_(* \(#,##0.00000\);_(* &quot;-&quot;??_);_(@_)"/>
    <numFmt numFmtId="177" formatCode="_(* #,##0.0000_);_(* \(#,##0.0000\);_(* &quot;-&quot;??_);_(@_)"/>
    <numFmt numFmtId="178" formatCode="_-* #,##0.00\ _€_-;\-* #,##0.00\ _€_-;_-* &quot;-&quot;??\ _€_-;_-@_-"/>
    <numFmt numFmtId="179" formatCode="_(* #,##0.000000_);_(* \(#,##0.000000\);_(* &quot;-&quot;??_);_(@_)"/>
    <numFmt numFmtId="180" formatCode="_(* #,##0.000_);_(* \(#,##0.000\);_(* &quot;-&quot;???_);_(@_)"/>
    <numFmt numFmtId="181" formatCode="_(* #,##0.000_);_(* \(#,##0.000\);_(* &quot;-&quot;??_);_(@_)"/>
    <numFmt numFmtId="182" formatCode="0.000E+00"/>
    <numFmt numFmtId="183" formatCode="0.0E+00"/>
    <numFmt numFmtId="184" formatCode="0E+00"/>
    <numFmt numFmtId="185" formatCode="_-* #,##0.0_-;\-* #,##0.0_-;_-* &quot;-&quot;??_-;_-@_-"/>
    <numFmt numFmtId="186" formatCode="_-* #,##0.000_-;\-* #,##0.000_-;_-* &quot;-&quot;??_-;_-@_-"/>
    <numFmt numFmtId="187" formatCode="#,##0.0"/>
  </numFmts>
  <fonts count="9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color indexed="8"/>
      <name val="Arial"/>
      <family val="2"/>
    </font>
    <font>
      <b/>
      <sz val="10"/>
      <color indexed="8"/>
      <name val="Arial"/>
      <family val="2"/>
    </font>
    <font>
      <sz val="10"/>
      <color indexed="10"/>
      <name val="Arial"/>
      <family val="2"/>
    </font>
    <font>
      <sz val="10"/>
      <color indexed="12"/>
      <name val="Arial"/>
      <family val="2"/>
    </font>
    <font>
      <b/>
      <sz val="10"/>
      <color indexed="12"/>
      <name val="Arial"/>
      <family val="2"/>
    </font>
    <font>
      <b/>
      <sz val="10"/>
      <color indexed="11"/>
      <name val="Arial"/>
      <family val="2"/>
    </font>
    <font>
      <sz val="8"/>
      <name val="Arial"/>
      <family val="2"/>
    </font>
    <font>
      <sz val="8"/>
      <name val="Arial"/>
      <family val="2"/>
    </font>
    <font>
      <b/>
      <sz val="8"/>
      <name val="Arial"/>
      <family val="2"/>
    </font>
    <font>
      <b/>
      <sz val="10"/>
      <color indexed="20"/>
      <name val="Arial"/>
      <family val="2"/>
    </font>
    <font>
      <sz val="10"/>
      <color indexed="20"/>
      <name val="Arial"/>
      <family val="2"/>
    </font>
    <font>
      <sz val="10"/>
      <color indexed="8"/>
      <name val="Arial"/>
      <family val="2"/>
    </font>
    <font>
      <b/>
      <sz val="11"/>
      <name val="Arial"/>
      <family val="2"/>
    </font>
    <font>
      <i/>
      <sz val="10"/>
      <name val="Arial"/>
      <family val="2"/>
    </font>
    <font>
      <sz val="9"/>
      <name val="Arial"/>
      <family val="2"/>
    </font>
    <font>
      <b/>
      <sz val="10"/>
      <color indexed="10"/>
      <name val="Arial"/>
      <family val="2"/>
    </font>
    <font>
      <sz val="10"/>
      <color indexed="56"/>
      <name val="Arial"/>
      <family val="2"/>
    </font>
    <font>
      <b/>
      <sz val="8"/>
      <color indexed="81"/>
      <name val="Tahoma"/>
      <family val="2"/>
    </font>
    <font>
      <sz val="8"/>
      <color indexed="81"/>
      <name val="Tahoma"/>
      <family val="2"/>
    </font>
    <font>
      <b/>
      <sz val="10"/>
      <color indexed="81"/>
      <name val="Tahoma"/>
      <family val="2"/>
    </font>
    <font>
      <sz val="10"/>
      <color indexed="81"/>
      <name val="Tahoma"/>
      <family val="2"/>
    </font>
    <font>
      <b/>
      <sz val="11"/>
      <color indexed="8"/>
      <name val="Calibri"/>
      <family val="2"/>
    </font>
    <font>
      <b/>
      <sz val="14"/>
      <color indexed="8"/>
      <name val="Calibri"/>
      <family val="2"/>
    </font>
    <font>
      <b/>
      <sz val="12"/>
      <color indexed="8"/>
      <name val="Calibri"/>
      <family val="2"/>
    </font>
    <font>
      <sz val="11"/>
      <color theme="1"/>
      <name val="Calibri"/>
      <family val="2"/>
      <scheme val="minor"/>
    </font>
    <font>
      <sz val="10"/>
      <color theme="1"/>
      <name val="Arial"/>
      <family val="2"/>
    </font>
    <font>
      <b/>
      <sz val="10"/>
      <color theme="1"/>
      <name val="Arial"/>
      <family val="2"/>
    </font>
    <font>
      <sz val="10"/>
      <name val="Cambria"/>
      <family val="1"/>
      <scheme val="major"/>
    </font>
    <font>
      <sz val="10"/>
      <name val="Calibri"/>
      <family val="2"/>
      <scheme val="minor"/>
    </font>
    <font>
      <b/>
      <sz val="10"/>
      <color rgb="FF800080"/>
      <name val="Arial"/>
      <family val="2"/>
    </font>
    <font>
      <u/>
      <sz val="10"/>
      <color theme="10"/>
      <name val="Arial"/>
      <family val="2"/>
    </font>
    <font>
      <sz val="10"/>
      <color rgb="FFFF0000"/>
      <name val="Arial"/>
      <family val="2"/>
    </font>
    <font>
      <sz val="10"/>
      <color rgb="FF0000FF"/>
      <name val="Arial"/>
      <family val="2"/>
    </font>
    <font>
      <sz val="9"/>
      <color indexed="81"/>
      <name val="Tahoma"/>
      <family val="2"/>
    </font>
    <font>
      <b/>
      <sz val="10"/>
      <color rgb="FFFF0000"/>
      <name val="Arial"/>
      <family val="2"/>
    </font>
    <font>
      <b/>
      <sz val="12"/>
      <color theme="4"/>
      <name val="Calibri"/>
      <family val="2"/>
      <scheme val="minor"/>
    </font>
    <font>
      <b/>
      <sz val="9"/>
      <color theme="1"/>
      <name val="Calibri"/>
      <family val="2"/>
      <scheme val="minor"/>
    </font>
    <font>
      <sz val="9"/>
      <color theme="1"/>
      <name val="Calibri"/>
      <family val="2"/>
      <scheme val="minor"/>
    </font>
    <font>
      <sz val="10"/>
      <name val="Arial"/>
      <family val="2"/>
    </font>
    <font>
      <sz val="10"/>
      <name val="Arial"/>
      <family val="2"/>
    </font>
    <font>
      <i/>
      <sz val="10"/>
      <color theme="1"/>
      <name val="Arial"/>
      <family val="2"/>
    </font>
    <font>
      <sz val="11"/>
      <color theme="1"/>
      <name val="Arial"/>
      <family val="2"/>
    </font>
    <font>
      <b/>
      <sz val="11"/>
      <color theme="1"/>
      <name val="Arial"/>
      <family val="2"/>
    </font>
    <font>
      <vertAlign val="superscript"/>
      <sz val="10"/>
      <color theme="1"/>
      <name val="Arial"/>
      <family val="2"/>
    </font>
    <font>
      <b/>
      <sz val="16"/>
      <color theme="1"/>
      <name val="Arial"/>
      <family val="2"/>
    </font>
    <font>
      <sz val="10"/>
      <color indexed="48"/>
      <name val="Arial"/>
      <family val="2"/>
    </font>
    <font>
      <b/>
      <sz val="9"/>
      <color indexed="81"/>
      <name val="Tahoma"/>
      <family val="2"/>
    </font>
    <font>
      <sz val="10"/>
      <color theme="0"/>
      <name val="Arial"/>
      <family val="2"/>
    </font>
    <font>
      <sz val="10"/>
      <color theme="0" tint="-0.249977111117893"/>
      <name val="Arial"/>
      <family val="2"/>
    </font>
    <font>
      <sz val="10"/>
      <color theme="0" tint="-0.499984740745262"/>
      <name val="Arial"/>
      <family val="2"/>
    </font>
    <font>
      <i/>
      <sz val="10"/>
      <color theme="0" tint="-0.499984740745262"/>
      <name val="Arial"/>
      <family val="2"/>
    </font>
    <font>
      <sz val="10"/>
      <color theme="3"/>
      <name val="Arial"/>
      <family val="2"/>
    </font>
    <font>
      <sz val="10"/>
      <color theme="9" tint="-0.249977111117893"/>
      <name val="Arial"/>
      <family val="2"/>
    </font>
    <font>
      <sz val="11"/>
      <name val="Arial"/>
      <family val="2"/>
    </font>
    <font>
      <b/>
      <sz val="11"/>
      <color theme="1"/>
      <name val="Calibri"/>
      <family val="2"/>
      <scheme val="minor"/>
    </font>
    <font>
      <b/>
      <i/>
      <sz val="11"/>
      <color theme="1"/>
      <name val="Calibri"/>
      <family val="2"/>
      <scheme val="minor"/>
    </font>
    <font>
      <b/>
      <i/>
      <sz val="10"/>
      <color theme="0" tint="-0.34998626667073579"/>
      <name val="Arial"/>
      <family val="2"/>
    </font>
    <font>
      <sz val="8"/>
      <name val="Arial"/>
      <family val="2"/>
    </font>
    <font>
      <sz val="10"/>
      <name val="Courier"/>
      <family val="3"/>
    </font>
    <font>
      <u/>
      <sz val="11"/>
      <color theme="10"/>
      <name val="Calibri"/>
      <family val="2"/>
      <scheme val="minor"/>
    </font>
    <font>
      <u/>
      <sz val="10"/>
      <color indexed="12"/>
      <name val="Arial"/>
      <family val="2"/>
    </font>
    <font>
      <sz val="11"/>
      <color rgb="FF000000"/>
      <name val="Calibri"/>
      <family val="2"/>
    </font>
    <font>
      <b/>
      <sz val="10"/>
      <color rgb="FF000000"/>
      <name val="Arial"/>
      <family val="2"/>
    </font>
    <font>
      <sz val="11"/>
      <color theme="1"/>
      <name val="Calibri"/>
      <family val="2"/>
    </font>
    <font>
      <sz val="10"/>
      <color theme="0" tint="-0.34998626667073579"/>
      <name val="Arial"/>
      <family val="2"/>
    </font>
    <font>
      <sz val="10"/>
      <name val="Calibri"/>
      <family val="2"/>
    </font>
    <font>
      <sz val="10"/>
      <name val="Arial"/>
      <family val="2"/>
    </font>
    <font>
      <b/>
      <sz val="12"/>
      <name val="Arial"/>
      <family val="2"/>
    </font>
    <font>
      <b/>
      <sz val="10"/>
      <color theme="1"/>
      <name val="Calibri"/>
      <family val="2"/>
      <scheme val="minor"/>
    </font>
    <font>
      <sz val="10"/>
      <color theme="1"/>
      <name val="Calibri"/>
      <family val="2"/>
      <scheme val="minor"/>
    </font>
    <font>
      <b/>
      <sz val="9"/>
      <name val="Arial"/>
      <family val="2"/>
    </font>
    <font>
      <sz val="10"/>
      <color theme="4"/>
      <name val="Cambria"/>
      <family val="1"/>
      <scheme val="major"/>
    </font>
    <font>
      <sz val="10"/>
      <color theme="4"/>
      <name val="Calibri"/>
      <family val="2"/>
      <scheme val="minor"/>
    </font>
    <font>
      <b/>
      <sz val="10"/>
      <name val="Calibri"/>
      <family val="2"/>
      <scheme val="minor"/>
    </font>
    <font>
      <vertAlign val="superscript"/>
      <sz val="10"/>
      <name val="Calibri"/>
      <family val="2"/>
      <scheme val="minor"/>
    </font>
    <font>
      <b/>
      <sz val="12"/>
      <name val="Cambria"/>
      <family val="1"/>
      <scheme val="major"/>
    </font>
    <font>
      <b/>
      <sz val="12"/>
      <name val="Calibri"/>
      <family val="2"/>
      <scheme val="minor"/>
    </font>
    <font>
      <sz val="11"/>
      <color rgb="FF000000"/>
      <name val="Calibri"/>
      <family val="2"/>
      <charset val="1"/>
    </font>
    <font>
      <b/>
      <sz val="14"/>
      <name val="Calibri"/>
      <family val="2"/>
      <scheme val="minor"/>
    </font>
    <font>
      <b/>
      <sz val="10"/>
      <color theme="0"/>
      <name val="Calibri"/>
      <family val="2"/>
      <scheme val="minor"/>
    </font>
    <font>
      <sz val="10"/>
      <color theme="0"/>
      <name val="Calibri"/>
      <family val="2"/>
      <scheme val="minor"/>
    </font>
    <font>
      <b/>
      <sz val="9"/>
      <color theme="0"/>
      <name val="Calibri"/>
      <family val="2"/>
      <scheme val="minor"/>
    </font>
    <font>
      <sz val="8"/>
      <name val="Calibri"/>
      <family val="2"/>
      <scheme val="minor"/>
    </font>
    <font>
      <i/>
      <sz val="10"/>
      <name val="Calibri"/>
      <family val="2"/>
      <scheme val="minor"/>
    </font>
    <font>
      <b/>
      <i/>
      <sz val="10"/>
      <name val="Calibri"/>
      <family val="2"/>
      <scheme val="minor"/>
    </font>
    <font>
      <i/>
      <u/>
      <sz val="10"/>
      <color theme="10"/>
      <name val="Calibri"/>
      <family val="2"/>
      <scheme val="minor"/>
    </font>
    <font>
      <i/>
      <u/>
      <sz val="10"/>
      <name val="Calibri"/>
      <family val="2"/>
      <scheme val="minor"/>
    </font>
    <font>
      <i/>
      <u/>
      <sz val="11"/>
      <color theme="10"/>
      <name val="Calibri"/>
      <family val="2"/>
      <scheme val="minor"/>
    </font>
    <font>
      <b/>
      <sz val="10"/>
      <color theme="0" tint="-0.499984740745262"/>
      <name val="Arial"/>
      <family val="2"/>
    </font>
  </fonts>
  <fills count="27">
    <fill>
      <patternFill patternType="none"/>
    </fill>
    <fill>
      <patternFill patternType="gray125"/>
    </fill>
    <fill>
      <patternFill patternType="solid">
        <fgColor indexed="9"/>
        <bgColor indexed="64"/>
      </patternFill>
    </fill>
    <fill>
      <patternFill patternType="solid">
        <fgColor theme="6" tint="0.59999389629810485"/>
        <bgColor indexed="64"/>
      </patternFill>
    </fill>
    <fill>
      <patternFill patternType="solid">
        <fgColor rgb="FFFFC000"/>
        <bgColor indexed="64"/>
      </patternFill>
    </fill>
    <fill>
      <patternFill patternType="solid">
        <fgColor theme="0"/>
        <bgColor indexed="64"/>
      </patternFill>
    </fill>
    <fill>
      <patternFill patternType="solid">
        <fgColor theme="9" tint="0.59999389629810485"/>
        <bgColor indexed="64"/>
      </patternFill>
    </fill>
    <fill>
      <patternFill patternType="solid">
        <fgColor theme="0"/>
        <bgColor theme="4" tint="0.79998168889431442"/>
      </patternFill>
    </fill>
    <fill>
      <patternFill patternType="solid">
        <fgColor theme="3" tint="0.59999389629810485"/>
        <bgColor indexed="64"/>
      </patternFill>
    </fill>
    <fill>
      <patternFill patternType="solid">
        <fgColor rgb="FFFFFF00"/>
        <bgColor indexed="64"/>
      </patternFill>
    </fill>
    <fill>
      <patternFill patternType="solid">
        <fgColor rgb="FFFFFF99"/>
        <bgColor indexed="64"/>
      </patternFill>
    </fill>
    <fill>
      <patternFill patternType="solid">
        <fgColor rgb="FFFF0000"/>
        <bgColor indexed="64"/>
      </patternFill>
    </fill>
    <fill>
      <patternFill patternType="solid">
        <fgColor indexed="43"/>
        <bgColor indexed="64"/>
      </patternFill>
    </fill>
    <fill>
      <patternFill patternType="solid">
        <fgColor rgb="FFFFFFCC"/>
        <bgColor indexed="64"/>
      </patternFill>
    </fill>
    <fill>
      <patternFill patternType="solid">
        <fgColor theme="8" tint="0.79998168889431442"/>
        <bgColor indexed="65"/>
      </patternFill>
    </fill>
    <fill>
      <patternFill patternType="solid">
        <fgColor theme="8" tint="0.79998168889431442"/>
        <bgColor indexed="64"/>
      </patternFill>
    </fill>
    <fill>
      <patternFill patternType="solid">
        <fgColor theme="8"/>
        <bgColor indexed="64"/>
      </patternFill>
    </fill>
    <fill>
      <patternFill patternType="solid">
        <fgColor theme="9"/>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8"/>
        <bgColor theme="9"/>
      </patternFill>
    </fill>
    <fill>
      <patternFill patternType="solid">
        <fgColor theme="8" tint="0.79998168889431442"/>
        <bgColor theme="9" tint="0.79998168889431442"/>
      </patternFill>
    </fill>
    <fill>
      <patternFill patternType="solid">
        <fgColor theme="9" tint="0.39997558519241921"/>
        <bgColor indexed="64"/>
      </patternFill>
    </fill>
    <fill>
      <patternFill patternType="solid">
        <fgColor theme="8" tint="0.39997558519241921"/>
        <bgColor indexed="64"/>
      </patternFill>
    </fill>
    <fill>
      <patternFill patternType="solid">
        <fgColor theme="3" tint="-0.249977111117893"/>
        <bgColor indexed="64"/>
      </patternFill>
    </fill>
    <fill>
      <patternFill patternType="solid">
        <fgColor rgb="FF002060"/>
        <bgColor indexed="64"/>
      </patternFill>
    </fill>
  </fills>
  <borders count="64">
    <border>
      <left/>
      <right/>
      <top/>
      <bottom/>
      <diagonal/>
    </border>
    <border>
      <left style="hair">
        <color indexed="64"/>
      </left>
      <right style="hair">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n">
        <color theme="0" tint="-0.249977111117893"/>
      </bottom>
      <diagonal/>
    </border>
    <border>
      <left/>
      <right/>
      <top/>
      <bottom style="dashed">
        <color theme="0" tint="-0.2499465926084170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style="thin">
        <color auto="1"/>
      </top>
      <bottom style="thin">
        <color indexed="64"/>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auto="1"/>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auto="1"/>
      </right>
      <top/>
      <bottom style="medium">
        <color indexed="64"/>
      </bottom>
      <diagonal/>
    </border>
    <border>
      <left/>
      <right style="thin">
        <color auto="1"/>
      </right>
      <top style="thin">
        <color auto="1"/>
      </top>
      <bottom style="medium">
        <color indexed="64"/>
      </bottom>
      <diagonal/>
    </border>
    <border>
      <left style="thin">
        <color auto="1"/>
      </left>
      <right/>
      <top style="medium">
        <color indexed="64"/>
      </top>
      <bottom/>
      <diagonal/>
    </border>
    <border>
      <left/>
      <right style="thin">
        <color auto="1"/>
      </right>
      <top style="medium">
        <color indexed="64"/>
      </top>
      <bottom/>
      <diagonal/>
    </border>
    <border>
      <left/>
      <right/>
      <top style="thin">
        <color theme="9" tint="0.79998168889431442"/>
      </top>
      <bottom style="thin">
        <color theme="9" tint="0.79998168889431442"/>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right/>
      <top/>
      <bottom style="thin">
        <color theme="9"/>
      </bottom>
      <diagonal/>
    </border>
    <border>
      <left/>
      <right/>
      <top style="thick">
        <color theme="4"/>
      </top>
      <bottom style="dashed">
        <color theme="0" tint="-0.24994659260841701"/>
      </bottom>
      <diagonal/>
    </border>
    <border>
      <left/>
      <right/>
      <top style="dashed">
        <color theme="0" tint="-0.24994659260841701"/>
      </top>
      <bottom style="thin">
        <color theme="0" tint="-0.24994659260841701"/>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thick">
        <color theme="4"/>
      </bottom>
      <diagonal/>
    </border>
    <border>
      <left/>
      <right/>
      <top style="medium">
        <color indexed="64"/>
      </top>
      <bottom style="thick">
        <color theme="4"/>
      </bottom>
      <diagonal/>
    </border>
    <border>
      <left/>
      <right style="medium">
        <color indexed="64"/>
      </right>
      <top style="medium">
        <color indexed="64"/>
      </top>
      <bottom style="thick">
        <color theme="4"/>
      </bottom>
      <diagonal/>
    </border>
    <border>
      <left style="medium">
        <color indexed="64"/>
      </left>
      <right style="medium">
        <color indexed="64"/>
      </right>
      <top/>
      <bottom style="thin">
        <color theme="0" tint="-0.249977111117893"/>
      </bottom>
      <diagonal/>
    </border>
    <border>
      <left/>
      <right style="medium">
        <color indexed="64"/>
      </right>
      <top/>
      <bottom style="thin">
        <color theme="0" tint="-0.249977111117893"/>
      </bottom>
      <diagonal/>
    </border>
    <border>
      <left style="medium">
        <color indexed="64"/>
      </left>
      <right/>
      <top/>
      <bottom style="dashed">
        <color theme="0" tint="-0.24994659260841701"/>
      </bottom>
      <diagonal/>
    </border>
    <border>
      <left/>
      <right style="medium">
        <color indexed="64"/>
      </right>
      <top/>
      <bottom style="dashed">
        <color theme="0" tint="-0.24994659260841701"/>
      </bottom>
      <diagonal/>
    </border>
    <border>
      <left/>
      <right style="medium">
        <color indexed="64"/>
      </right>
      <top/>
      <bottom style="medium">
        <color indexed="64"/>
      </bottom>
      <diagonal/>
    </border>
    <border>
      <left style="medium">
        <color indexed="64"/>
      </left>
      <right style="medium">
        <color indexed="64"/>
      </right>
      <top style="dashed">
        <color theme="0" tint="-0.24994659260841701"/>
      </top>
      <bottom style="thin">
        <color theme="0" tint="-0.249977111117893"/>
      </bottom>
      <diagonal/>
    </border>
    <border>
      <left/>
      <right/>
      <top style="dashed">
        <color theme="0" tint="-0.24994659260841701"/>
      </top>
      <bottom style="thin">
        <color theme="0" tint="-0.249977111117893"/>
      </bottom>
      <diagonal/>
    </border>
    <border>
      <left/>
      <right style="medium">
        <color indexed="64"/>
      </right>
      <top style="dashed">
        <color theme="0" tint="-0.24994659260841701"/>
      </top>
      <bottom style="thin">
        <color theme="0" tint="-0.249977111117893"/>
      </bottom>
      <diagonal/>
    </border>
    <border>
      <left/>
      <right/>
      <top style="medium">
        <color theme="4"/>
      </top>
      <bottom/>
      <diagonal/>
    </border>
    <border>
      <left style="medium">
        <color indexed="64"/>
      </left>
      <right style="medium">
        <color indexed="64"/>
      </right>
      <top style="medium">
        <color theme="4"/>
      </top>
      <bottom/>
      <diagonal/>
    </border>
    <border>
      <left/>
      <right style="medium">
        <color indexed="64"/>
      </right>
      <top style="medium">
        <color theme="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31">
    <xf numFmtId="0" fontId="0" fillId="0" borderId="0"/>
    <xf numFmtId="164" fontId="9" fillId="0" borderId="0" applyFont="0" applyFill="0" applyBorder="0" applyAlignment="0" applyProtection="0"/>
    <xf numFmtId="0" fontId="9" fillId="0" borderId="0"/>
    <xf numFmtId="0" fontId="34" fillId="0" borderId="0"/>
    <xf numFmtId="0" fontId="9" fillId="0" borderId="0"/>
    <xf numFmtId="0" fontId="7" fillId="0" borderId="0"/>
    <xf numFmtId="0" fontId="7" fillId="0" borderId="0"/>
    <xf numFmtId="0" fontId="7" fillId="0" borderId="0"/>
    <xf numFmtId="0" fontId="9" fillId="0" borderId="1"/>
    <xf numFmtId="0" fontId="21" fillId="0" borderId="0"/>
    <xf numFmtId="9" fontId="7" fillId="0" borderId="0" applyFont="0" applyFill="0" applyBorder="0" applyAlignment="0" applyProtection="0"/>
    <xf numFmtId="9" fontId="9" fillId="0" borderId="0" applyFont="0" applyFill="0" applyBorder="0" applyAlignment="0" applyProtection="0"/>
    <xf numFmtId="0" fontId="40" fillId="0" borderId="0" applyNumberFormat="0" applyFill="0" applyBorder="0" applyAlignment="0" applyProtection="0">
      <alignment vertical="top"/>
      <protection locked="0"/>
    </xf>
    <xf numFmtId="0" fontId="6" fillId="0" borderId="0"/>
    <xf numFmtId="0" fontId="45" fillId="0" borderId="0" applyNumberFormat="0" applyProtection="0">
      <alignment horizontal="left"/>
    </xf>
    <xf numFmtId="0" fontId="46" fillId="0" borderId="13" applyNumberFormat="0" applyProtection="0">
      <alignment wrapText="1"/>
    </xf>
    <xf numFmtId="0" fontId="46" fillId="0" borderId="14" applyNumberFormat="0" applyProtection="0">
      <alignment wrapText="1"/>
    </xf>
    <xf numFmtId="0" fontId="47" fillId="0" borderId="15" applyNumberFormat="0" applyFont="0" applyProtection="0">
      <alignment wrapText="1"/>
    </xf>
    <xf numFmtId="0" fontId="48" fillId="0" borderId="0"/>
    <xf numFmtId="43" fontId="49" fillId="0" borderId="0" applyFont="0" applyFill="0" applyBorder="0" applyAlignment="0" applyProtection="0"/>
    <xf numFmtId="0" fontId="5" fillId="0" borderId="0"/>
    <xf numFmtId="43" fontId="7" fillId="0" borderId="0" applyFont="0" applyFill="0" applyBorder="0" applyAlignment="0" applyProtection="0"/>
    <xf numFmtId="0" fontId="7" fillId="0" borderId="0"/>
    <xf numFmtId="0" fontId="7" fillId="0" borderId="0"/>
    <xf numFmtId="0" fontId="68" fillId="0" borderId="0"/>
    <xf numFmtId="164"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4" fillId="0" borderId="0"/>
    <xf numFmtId="43" fontId="4" fillId="0" borderId="0" applyFont="0" applyFill="0" applyBorder="0" applyAlignment="0" applyProtection="0"/>
    <xf numFmtId="178" fontId="7" fillId="0" borderId="0" applyFont="0" applyFill="0" applyBorder="0" applyAlignment="0" applyProtection="0"/>
    <xf numFmtId="178" fontId="7" fillId="0" borderId="0" applyFont="0" applyFill="0" applyBorder="0" applyAlignment="0" applyProtection="0"/>
    <xf numFmtId="43" fontId="7"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0" fontId="69" fillId="0" borderId="0" applyNumberFormat="0" applyFill="0" applyBorder="0" applyAlignment="0" applyProtection="0"/>
    <xf numFmtId="0" fontId="35" fillId="0" borderId="0"/>
    <xf numFmtId="0" fontId="70" fillId="0" borderId="0" applyNumberFormat="0" applyFill="0" applyBorder="0" applyAlignment="0" applyProtection="0">
      <alignment vertical="top"/>
      <protection locked="0"/>
    </xf>
    <xf numFmtId="9" fontId="4" fillId="0" borderId="0" applyFont="0" applyFill="0" applyBorder="0" applyAlignment="0" applyProtection="0"/>
    <xf numFmtId="164" fontId="4" fillId="0" borderId="0" applyFont="0" applyFill="0" applyBorder="0" applyAlignment="0" applyProtection="0"/>
    <xf numFmtId="0" fontId="4" fillId="14" borderId="0" applyNumberFormat="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4" fillId="0" borderId="0"/>
    <xf numFmtId="164" fontId="4" fillId="0" borderId="0" applyFont="0" applyFill="0" applyBorder="0" applyAlignment="0" applyProtection="0"/>
    <xf numFmtId="164" fontId="7"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4" fillId="0" borderId="0"/>
    <xf numFmtId="9" fontId="4" fillId="0" borderId="0" applyFont="0" applyFill="0" applyBorder="0" applyAlignment="0" applyProtection="0"/>
    <xf numFmtId="164" fontId="4" fillId="0" borderId="0" applyFont="0" applyFill="0" applyBorder="0" applyAlignment="0" applyProtection="0"/>
    <xf numFmtId="0" fontId="4" fillId="14" borderId="0" applyNumberFormat="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4" fillId="0" borderId="0"/>
    <xf numFmtId="164" fontId="4" fillId="0" borderId="0" applyFont="0" applyFill="0" applyBorder="0" applyAlignment="0" applyProtection="0"/>
    <xf numFmtId="164" fontId="7"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3" fillId="0" borderId="0"/>
    <xf numFmtId="0" fontId="7" fillId="0" borderId="0"/>
    <xf numFmtId="0" fontId="3" fillId="0" borderId="0"/>
    <xf numFmtId="0" fontId="7" fillId="0" borderId="0"/>
    <xf numFmtId="0" fontId="3" fillId="0" borderId="0"/>
    <xf numFmtId="0" fontId="3" fillId="0" borderId="0"/>
    <xf numFmtId="43"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9" fontId="3" fillId="0" borderId="0" applyFont="0" applyFill="0" applyBorder="0" applyAlignment="0" applyProtection="0"/>
    <xf numFmtId="164" fontId="3" fillId="0" borderId="0" applyFont="0" applyFill="0" applyBorder="0" applyAlignment="0" applyProtection="0"/>
    <xf numFmtId="0" fontId="3" fillId="14" borderId="0" applyNumberFormat="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9" fontId="3" fillId="0" borderId="0" applyFont="0" applyFill="0" applyBorder="0" applyAlignment="0" applyProtection="0"/>
    <xf numFmtId="164" fontId="3" fillId="0" borderId="0" applyFont="0" applyFill="0" applyBorder="0" applyAlignment="0" applyProtection="0"/>
    <xf numFmtId="0" fontId="3" fillId="14" borderId="0" applyNumberFormat="0" applyBorder="0" applyAlignment="0" applyProtection="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7" fillId="0" borderId="1"/>
    <xf numFmtId="0" fontId="2" fillId="0" borderId="0"/>
    <xf numFmtId="43" fontId="2" fillId="0" borderId="0" applyFont="0" applyFill="0" applyBorder="0" applyAlignment="0" applyProtection="0"/>
    <xf numFmtId="9" fontId="2" fillId="0" borderId="0" applyFont="0" applyFill="0" applyBorder="0" applyAlignment="0" applyProtection="0"/>
    <xf numFmtId="44" fontId="76" fillId="0" borderId="0" applyFont="0" applyFill="0" applyBorder="0" applyAlignment="0" applyProtection="0"/>
    <xf numFmtId="0" fontId="1" fillId="0" borderId="0"/>
    <xf numFmtId="0" fontId="69" fillId="0" borderId="0"/>
    <xf numFmtId="0" fontId="45" fillId="0" borderId="0">
      <alignment horizontal="left"/>
    </xf>
    <xf numFmtId="0" fontId="47" fillId="0" borderId="15">
      <alignment wrapText="1"/>
    </xf>
    <xf numFmtId="0" fontId="46" fillId="0" borderId="14">
      <alignment wrapText="1"/>
    </xf>
    <xf numFmtId="0" fontId="46" fillId="0" borderId="13">
      <alignment wrapText="1"/>
    </xf>
    <xf numFmtId="43" fontId="1" fillId="0" borderId="0"/>
    <xf numFmtId="0" fontId="47" fillId="0" borderId="59">
      <alignment vertical="top" wrapText="1"/>
    </xf>
  </cellStyleXfs>
  <cellXfs count="939">
    <xf numFmtId="0" fontId="0" fillId="0" borderId="0" xfId="0"/>
    <xf numFmtId="0" fontId="8" fillId="0" borderId="0" xfId="0" applyFont="1"/>
    <xf numFmtId="0" fontId="10" fillId="0" borderId="0" xfId="0" applyFont="1"/>
    <xf numFmtId="0" fontId="11" fillId="0" borderId="0" xfId="0" applyFont="1"/>
    <xf numFmtId="0" fontId="0" fillId="2" borderId="0" xfId="0" applyFill="1"/>
    <xf numFmtId="0" fontId="12" fillId="0" borderId="0" xfId="0" applyFont="1"/>
    <xf numFmtId="49" fontId="10" fillId="0" borderId="0" xfId="0" applyNumberFormat="1" applyFont="1"/>
    <xf numFmtId="11" fontId="10" fillId="0" borderId="0" xfId="0" applyNumberFormat="1" applyFont="1"/>
    <xf numFmtId="0" fontId="13" fillId="0" borderId="0" xfId="0" applyFont="1"/>
    <xf numFmtId="0" fontId="14" fillId="0" borderId="0" xfId="0" applyFont="1"/>
    <xf numFmtId="49" fontId="13" fillId="0" borderId="0" xfId="0" applyNumberFormat="1" applyFont="1"/>
    <xf numFmtId="0" fontId="15" fillId="0" borderId="0" xfId="0" applyFont="1"/>
    <xf numFmtId="0" fontId="7" fillId="0" borderId="0" xfId="0" applyFont="1"/>
    <xf numFmtId="0" fontId="8" fillId="5" borderId="0" xfId="0" applyFont="1" applyFill="1"/>
    <xf numFmtId="0" fontId="7" fillId="5" borderId="0" xfId="0" applyFont="1" applyFill="1"/>
    <xf numFmtId="0" fontId="0" fillId="5" borderId="0" xfId="0" applyFill="1"/>
    <xf numFmtId="0" fontId="16" fillId="5" borderId="0" xfId="0" applyFont="1" applyFill="1"/>
    <xf numFmtId="165" fontId="7" fillId="5" borderId="0" xfId="0" applyNumberFormat="1" applyFont="1" applyFill="1"/>
    <xf numFmtId="0" fontId="35" fillId="5" borderId="0" xfId="0" applyFont="1" applyFill="1"/>
    <xf numFmtId="0" fontId="35" fillId="5" borderId="0" xfId="0" applyFont="1" applyFill="1" applyAlignment="1">
      <alignment horizontal="center"/>
    </xf>
    <xf numFmtId="0" fontId="7" fillId="5" borderId="0" xfId="0" applyFont="1" applyFill="1" applyAlignment="1">
      <alignment vertical="center"/>
    </xf>
    <xf numFmtId="0" fontId="8" fillId="5" borderId="0" xfId="0" applyFont="1" applyFill="1" applyAlignment="1">
      <alignment horizontal="right"/>
    </xf>
    <xf numFmtId="0" fontId="7" fillId="5" borderId="0" xfId="0" applyFont="1" applyFill="1" applyAlignment="1">
      <alignment horizontal="left"/>
    </xf>
    <xf numFmtId="1" fontId="7" fillId="5" borderId="0" xfId="0" applyNumberFormat="1" applyFont="1" applyFill="1"/>
    <xf numFmtId="0" fontId="35" fillId="5" borderId="0" xfId="0" applyFont="1" applyFill="1" applyAlignment="1">
      <alignment vertical="center"/>
    </xf>
    <xf numFmtId="0" fontId="24" fillId="5" borderId="0" xfId="0" applyFont="1" applyFill="1"/>
    <xf numFmtId="14" fontId="7" fillId="5" borderId="0" xfId="0" applyNumberFormat="1" applyFont="1" applyFill="1"/>
    <xf numFmtId="0" fontId="35" fillId="5" borderId="0" xfId="0" applyFont="1" applyFill="1" applyAlignment="1">
      <alignment horizontal="center" vertical="center"/>
    </xf>
    <xf numFmtId="0" fontId="50" fillId="5" borderId="0" xfId="0" applyFont="1" applyFill="1"/>
    <xf numFmtId="0" fontId="8" fillId="5" borderId="0" xfId="0" applyFont="1" applyFill="1" applyAlignment="1">
      <alignment horizontal="center" vertical="center" wrapText="1"/>
    </xf>
    <xf numFmtId="0" fontId="7" fillId="5" borderId="0" xfId="0" applyFont="1" applyFill="1" applyAlignment="1">
      <alignment horizontal="right"/>
    </xf>
    <xf numFmtId="2" fontId="7" fillId="5" borderId="0" xfId="0" applyNumberFormat="1" applyFont="1" applyFill="1" applyAlignment="1">
      <alignment horizontal="left"/>
    </xf>
    <xf numFmtId="0" fontId="55" fillId="5" borderId="0" xfId="0" applyFont="1" applyFill="1"/>
    <xf numFmtId="0" fontId="35" fillId="5" borderId="0" xfId="0" applyFont="1" applyFill="1" applyAlignment="1">
      <alignment vertical="center" wrapText="1"/>
    </xf>
    <xf numFmtId="0" fontId="35" fillId="5" borderId="7" xfId="0" applyFont="1" applyFill="1" applyBorder="1"/>
    <xf numFmtId="0" fontId="7" fillId="5" borderId="9" xfId="0" applyFont="1" applyFill="1" applyBorder="1"/>
    <xf numFmtId="0" fontId="7" fillId="5" borderId="11" xfId="0" applyFont="1" applyFill="1" applyBorder="1"/>
    <xf numFmtId="0" fontId="16" fillId="5" borderId="0" xfId="6" applyFont="1" applyFill="1"/>
    <xf numFmtId="0" fontId="18" fillId="5" borderId="0" xfId="6" applyFont="1" applyFill="1"/>
    <xf numFmtId="0" fontId="40" fillId="5" borderId="0" xfId="12" applyFill="1" applyBorder="1" applyAlignment="1" applyProtection="1"/>
    <xf numFmtId="0" fontId="37" fillId="5" borderId="0" xfId="8" applyFont="1" applyFill="1" applyBorder="1"/>
    <xf numFmtId="11" fontId="35" fillId="5" borderId="0" xfId="0" applyNumberFormat="1" applyFont="1" applyFill="1"/>
    <xf numFmtId="2" fontId="7" fillId="5" borderId="0" xfId="0" applyNumberFormat="1" applyFont="1" applyFill="1" applyAlignment="1">
      <alignment horizontal="right"/>
    </xf>
    <xf numFmtId="2" fontId="7" fillId="5" borderId="0" xfId="0" applyNumberFormat="1" applyFont="1" applyFill="1" applyAlignment="1">
      <alignment horizontal="left" wrapText="1"/>
    </xf>
    <xf numFmtId="168" fontId="7" fillId="5" borderId="0" xfId="10" applyNumberFormat="1" applyFont="1" applyFill="1" applyAlignment="1">
      <alignment horizontal="left" wrapText="1"/>
    </xf>
    <xf numFmtId="1" fontId="7" fillId="5" borderId="0" xfId="10" applyNumberFormat="1" applyFont="1" applyFill="1" applyAlignment="1">
      <alignment horizontal="left" wrapText="1"/>
    </xf>
    <xf numFmtId="165" fontId="7" fillId="5" borderId="0" xfId="10" applyNumberFormat="1" applyFont="1" applyFill="1" applyAlignment="1">
      <alignment horizontal="left" wrapText="1"/>
    </xf>
    <xf numFmtId="2" fontId="41" fillId="5" borderId="0" xfId="10" applyNumberFormat="1" applyFont="1" applyFill="1" applyAlignment="1">
      <alignment horizontal="left" wrapText="1"/>
    </xf>
    <xf numFmtId="169" fontId="25" fillId="5" borderId="0" xfId="0" applyNumberFormat="1" applyFont="1" applyFill="1" applyAlignment="1">
      <alignment horizontal="left"/>
    </xf>
    <xf numFmtId="0" fontId="44" fillId="5" borderId="0" xfId="0" applyFont="1" applyFill="1" applyAlignment="1">
      <alignment horizontal="left" wrapText="1"/>
    </xf>
    <xf numFmtId="2" fontId="44" fillId="5" borderId="0" xfId="10" applyNumberFormat="1" applyFont="1" applyFill="1" applyAlignment="1">
      <alignment horizontal="left" wrapText="1"/>
    </xf>
    <xf numFmtId="0" fontId="36" fillId="5" borderId="2" xfId="0" applyFont="1" applyFill="1" applyBorder="1"/>
    <xf numFmtId="0" fontId="36" fillId="5" borderId="4" xfId="0" applyFont="1" applyFill="1" applyBorder="1" applyAlignment="1">
      <alignment horizontal="left" wrapText="1"/>
    </xf>
    <xf numFmtId="0" fontId="36" fillId="5" borderId="5" xfId="0" applyFont="1" applyFill="1" applyBorder="1" applyAlignment="1">
      <alignment wrapText="1" readingOrder="1"/>
    </xf>
    <xf numFmtId="0" fontId="36" fillId="5" borderId="6" xfId="0" applyFont="1" applyFill="1" applyBorder="1" applyAlignment="1">
      <alignment wrapText="1" readingOrder="1"/>
    </xf>
    <xf numFmtId="3" fontId="36" fillId="5" borderId="2" xfId="0" applyNumberFormat="1" applyFont="1" applyFill="1" applyBorder="1"/>
    <xf numFmtId="3" fontId="36" fillId="5" borderId="0" xfId="0" applyNumberFormat="1" applyFont="1" applyFill="1"/>
    <xf numFmtId="173" fontId="7" fillId="5" borderId="2" xfId="0" applyNumberFormat="1" applyFont="1" applyFill="1" applyBorder="1" applyAlignment="1">
      <alignment vertical="center"/>
    </xf>
    <xf numFmtId="10" fontId="7" fillId="5" borderId="0" xfId="10" applyNumberFormat="1" applyFont="1" applyFill="1" applyBorder="1" applyAlignment="1">
      <alignment horizontal="right" vertical="center" readingOrder="1"/>
    </xf>
    <xf numFmtId="2" fontId="7" fillId="5" borderId="0" xfId="0" applyNumberFormat="1" applyFont="1" applyFill="1" applyAlignment="1">
      <alignment horizontal="right" vertical="center" readingOrder="1"/>
    </xf>
    <xf numFmtId="174" fontId="7" fillId="5" borderId="2" xfId="0" applyNumberFormat="1" applyFont="1" applyFill="1" applyBorder="1"/>
    <xf numFmtId="174" fontId="7" fillId="5" borderId="0" xfId="0" applyNumberFormat="1" applyFont="1" applyFill="1"/>
    <xf numFmtId="43" fontId="35" fillId="5" borderId="19" xfId="0" applyNumberFormat="1" applyFont="1" applyFill="1" applyBorder="1"/>
    <xf numFmtId="43" fontId="7" fillId="5" borderId="2" xfId="0" applyNumberFormat="1" applyFont="1" applyFill="1" applyBorder="1"/>
    <xf numFmtId="41" fontId="35" fillId="5" borderId="2" xfId="0" applyNumberFormat="1" applyFont="1" applyFill="1" applyBorder="1"/>
    <xf numFmtId="41" fontId="35" fillId="5" borderId="0" xfId="0" applyNumberFormat="1" applyFont="1" applyFill="1"/>
    <xf numFmtId="41" fontId="35" fillId="5" borderId="3" xfId="0" applyNumberFormat="1" applyFont="1" applyFill="1" applyBorder="1"/>
    <xf numFmtId="43" fontId="35" fillId="5" borderId="3" xfId="0" applyNumberFormat="1" applyFont="1" applyFill="1" applyBorder="1"/>
    <xf numFmtId="10" fontId="7" fillId="5" borderId="11" xfId="10" applyNumberFormat="1" applyFont="1" applyFill="1" applyBorder="1" applyAlignment="1">
      <alignment horizontal="right" vertical="center" readingOrder="1"/>
    </xf>
    <xf numFmtId="2" fontId="7" fillId="5" borderId="11" xfId="0" applyNumberFormat="1" applyFont="1" applyFill="1" applyBorder="1" applyAlignment="1">
      <alignment horizontal="right" vertical="center" readingOrder="1"/>
    </xf>
    <xf numFmtId="174" fontId="7" fillId="5" borderId="27" xfId="0" applyNumberFormat="1" applyFont="1" applyFill="1" applyBorder="1"/>
    <xf numFmtId="174" fontId="7" fillId="5" borderId="11" xfId="0" applyNumberFormat="1" applyFont="1" applyFill="1" applyBorder="1"/>
    <xf numFmtId="41" fontId="35" fillId="5" borderId="27" xfId="0" applyNumberFormat="1" applyFont="1" applyFill="1" applyBorder="1"/>
    <xf numFmtId="41" fontId="35" fillId="5" borderId="11" xfId="0" applyNumberFormat="1" applyFont="1" applyFill="1" applyBorder="1"/>
    <xf numFmtId="41" fontId="35" fillId="5" borderId="28" xfId="0" applyNumberFormat="1" applyFont="1" applyFill="1" applyBorder="1"/>
    <xf numFmtId="43" fontId="35" fillId="5" borderId="29" xfId="0" applyNumberFormat="1" applyFont="1" applyFill="1" applyBorder="1"/>
    <xf numFmtId="43" fontId="7" fillId="5" borderId="27" xfId="0" applyNumberFormat="1" applyFont="1" applyFill="1" applyBorder="1"/>
    <xf numFmtId="0" fontId="7" fillId="5" borderId="3" xfId="0" applyFont="1" applyFill="1" applyBorder="1" applyAlignment="1">
      <alignment vertical="center"/>
    </xf>
    <xf numFmtId="174" fontId="7" fillId="5" borderId="3" xfId="0" applyNumberFormat="1" applyFont="1" applyFill="1" applyBorder="1"/>
    <xf numFmtId="0" fontId="7" fillId="5" borderId="9" xfId="0" applyFont="1" applyFill="1" applyBorder="1" applyAlignment="1">
      <alignment vertical="center"/>
    </xf>
    <xf numFmtId="173" fontId="7" fillId="5" borderId="30" xfId="0" applyNumberFormat="1" applyFont="1" applyFill="1" applyBorder="1" applyAlignment="1">
      <alignment vertical="center"/>
    </xf>
    <xf numFmtId="10" fontId="7" fillId="5" borderId="9" xfId="10" applyNumberFormat="1" applyFont="1" applyFill="1" applyBorder="1" applyAlignment="1">
      <alignment horizontal="right" vertical="center" readingOrder="1"/>
    </xf>
    <xf numFmtId="2" fontId="7" fillId="5" borderId="9" xfId="0" applyNumberFormat="1" applyFont="1" applyFill="1" applyBorder="1" applyAlignment="1">
      <alignment horizontal="right" vertical="center" readingOrder="1"/>
    </xf>
    <xf numFmtId="174" fontId="7" fillId="5" borderId="30" xfId="0" applyNumberFormat="1" applyFont="1" applyFill="1" applyBorder="1"/>
    <xf numFmtId="174" fontId="7" fillId="5" borderId="9" xfId="0" applyNumberFormat="1" applyFont="1" applyFill="1" applyBorder="1"/>
    <xf numFmtId="41" fontId="35" fillId="5" borderId="30" xfId="0" applyNumberFormat="1" applyFont="1" applyFill="1" applyBorder="1"/>
    <xf numFmtId="2" fontId="35" fillId="5" borderId="9" xfId="0" applyNumberFormat="1" applyFont="1" applyFill="1" applyBorder="1"/>
    <xf numFmtId="41" fontId="35" fillId="5" borderId="9" xfId="0" applyNumberFormat="1" applyFont="1" applyFill="1" applyBorder="1"/>
    <xf numFmtId="41" fontId="35" fillId="5" borderId="31" xfId="0" applyNumberFormat="1" applyFont="1" applyFill="1" applyBorder="1"/>
    <xf numFmtId="43" fontId="35" fillId="5" borderId="31" xfId="0" applyNumberFormat="1" applyFont="1" applyFill="1" applyBorder="1"/>
    <xf numFmtId="43" fontId="7" fillId="5" borderId="30" xfId="0" applyNumberFormat="1" applyFont="1" applyFill="1" applyBorder="1"/>
    <xf numFmtId="0" fontId="7" fillId="5" borderId="11" xfId="0" applyFont="1" applyFill="1" applyBorder="1" applyAlignment="1">
      <alignment vertical="center"/>
    </xf>
    <xf numFmtId="173" fontId="7" fillId="5" borderId="27" xfId="0" applyNumberFormat="1" applyFont="1" applyFill="1" applyBorder="1" applyAlignment="1">
      <alignment vertical="center"/>
    </xf>
    <xf numFmtId="0" fontId="36" fillId="5" borderId="20" xfId="0" applyFont="1" applyFill="1" applyBorder="1" applyAlignment="1">
      <alignment horizontal="center" vertical="center" textRotation="90"/>
    </xf>
    <xf numFmtId="0" fontId="7" fillId="5" borderId="20" xfId="0" applyFont="1" applyFill="1" applyBorder="1" applyAlignment="1">
      <alignment vertical="center"/>
    </xf>
    <xf numFmtId="164" fontId="7" fillId="5" borderId="7" xfId="0" applyNumberFormat="1" applyFont="1" applyFill="1" applyBorder="1" applyAlignment="1">
      <alignment vertical="center"/>
    </xf>
    <xf numFmtId="10" fontId="7" fillId="5" borderId="20" xfId="10" applyNumberFormat="1" applyFont="1" applyFill="1" applyBorder="1" applyAlignment="1">
      <alignment horizontal="right" vertical="center" readingOrder="1"/>
    </xf>
    <xf numFmtId="2" fontId="7" fillId="5" borderId="20" xfId="0" applyNumberFormat="1" applyFont="1" applyFill="1" applyBorder="1" applyAlignment="1">
      <alignment horizontal="right" vertical="center" readingOrder="1"/>
    </xf>
    <xf numFmtId="10" fontId="7" fillId="5" borderId="7" xfId="0" applyNumberFormat="1" applyFont="1" applyFill="1" applyBorder="1"/>
    <xf numFmtId="10" fontId="7" fillId="5" borderId="20" xfId="0" applyNumberFormat="1" applyFont="1" applyFill="1" applyBorder="1"/>
    <xf numFmtId="0" fontId="35" fillId="5" borderId="20" xfId="0" applyFont="1" applyFill="1" applyBorder="1"/>
    <xf numFmtId="0" fontId="35" fillId="5" borderId="21" xfId="0" applyFont="1" applyFill="1" applyBorder="1"/>
    <xf numFmtId="3" fontId="35" fillId="5" borderId="20" xfId="0" applyNumberFormat="1" applyFont="1" applyFill="1" applyBorder="1"/>
    <xf numFmtId="43" fontId="7" fillId="5" borderId="7" xfId="0" applyNumberFormat="1" applyFont="1" applyFill="1" applyBorder="1"/>
    <xf numFmtId="0" fontId="7" fillId="5" borderId="20" xfId="0" applyFont="1" applyFill="1" applyBorder="1"/>
    <xf numFmtId="174" fontId="7" fillId="5" borderId="2" xfId="19" applyNumberFormat="1" applyFont="1" applyFill="1" applyBorder="1"/>
    <xf numFmtId="9" fontId="7" fillId="5" borderId="0" xfId="10" applyFont="1" applyFill="1" applyBorder="1" applyAlignment="1">
      <alignment vertical="center" readingOrder="1"/>
    </xf>
    <xf numFmtId="0" fontId="7" fillId="5" borderId="0" xfId="0" applyFont="1" applyFill="1" applyAlignment="1">
      <alignment horizontal="center" vertical="center" readingOrder="1"/>
    </xf>
    <xf numFmtId="174" fontId="59" fillId="5" borderId="0" xfId="19" applyNumberFormat="1" applyFont="1" applyFill="1"/>
    <xf numFmtId="2" fontId="59" fillId="5" borderId="0" xfId="19" applyNumberFormat="1" applyFont="1" applyFill="1"/>
    <xf numFmtId="0" fontId="60" fillId="5" borderId="0" xfId="0" applyFont="1" applyFill="1"/>
    <xf numFmtId="174" fontId="35" fillId="5" borderId="0" xfId="0" applyNumberFormat="1" applyFont="1" applyFill="1"/>
    <xf numFmtId="9" fontId="7" fillId="5" borderId="0" xfId="10" applyFont="1" applyFill="1"/>
    <xf numFmtId="9" fontId="61" fillId="5" borderId="0" xfId="10" applyFont="1" applyFill="1"/>
    <xf numFmtId="2" fontId="7" fillId="4" borderId="0" xfId="0" applyNumberFormat="1" applyFont="1" applyFill="1" applyAlignment="1">
      <alignment horizontal="right"/>
    </xf>
    <xf numFmtId="10" fontId="7" fillId="5" borderId="0" xfId="0" applyNumberFormat="1" applyFont="1" applyFill="1" applyAlignment="1">
      <alignment horizontal="right"/>
    </xf>
    <xf numFmtId="2" fontId="7" fillId="3" borderId="0" xfId="0" applyNumberFormat="1" applyFont="1" applyFill="1" applyAlignment="1">
      <alignment horizontal="right"/>
    </xf>
    <xf numFmtId="10" fontId="7" fillId="4" borderId="0" xfId="0" applyNumberFormat="1" applyFont="1" applyFill="1" applyAlignment="1">
      <alignment horizontal="right"/>
    </xf>
    <xf numFmtId="2" fontId="41" fillId="4" borderId="0" xfId="0" applyNumberFormat="1" applyFont="1" applyFill="1" applyAlignment="1">
      <alignment horizontal="right"/>
    </xf>
    <xf numFmtId="10" fontId="41" fillId="4" borderId="0" xfId="0" applyNumberFormat="1" applyFont="1" applyFill="1" applyAlignment="1">
      <alignment horizontal="right"/>
    </xf>
    <xf numFmtId="2" fontId="7" fillId="8" borderId="0" xfId="0" applyNumberFormat="1" applyFont="1" applyFill="1" applyAlignment="1">
      <alignment horizontal="right"/>
    </xf>
    <xf numFmtId="10" fontId="7" fillId="8" borderId="0" xfId="0" applyNumberFormat="1" applyFont="1" applyFill="1" applyAlignment="1">
      <alignment horizontal="right"/>
    </xf>
    <xf numFmtId="2" fontId="40" fillId="5" borderId="0" xfId="12" applyNumberFormat="1" applyFill="1" applyBorder="1" applyAlignment="1" applyProtection="1">
      <alignment horizontal="left"/>
    </xf>
    <xf numFmtId="0" fontId="22" fillId="5" borderId="0" xfId="0" applyFont="1" applyFill="1" applyAlignment="1">
      <alignment horizontal="right"/>
    </xf>
    <xf numFmtId="165" fontId="61" fillId="5" borderId="0" xfId="10" applyNumberFormat="1" applyFont="1" applyFill="1"/>
    <xf numFmtId="2" fontId="8" fillId="4" borderId="0" xfId="0" applyNumberFormat="1" applyFont="1" applyFill="1" applyAlignment="1">
      <alignment horizontal="right" vertical="center"/>
    </xf>
    <xf numFmtId="0" fontId="0" fillId="5" borderId="0" xfId="0" applyFill="1" applyAlignment="1">
      <alignment horizontal="right"/>
    </xf>
    <xf numFmtId="9" fontId="50" fillId="5" borderId="0" xfId="10" applyFont="1" applyFill="1"/>
    <xf numFmtId="174" fontId="50" fillId="5" borderId="0" xfId="10" applyNumberFormat="1" applyFont="1" applyFill="1"/>
    <xf numFmtId="2" fontId="50" fillId="5" borderId="0" xfId="10" applyNumberFormat="1" applyFont="1" applyFill="1"/>
    <xf numFmtId="174" fontId="50" fillId="5" borderId="0" xfId="0" applyNumberFormat="1" applyFont="1" applyFill="1"/>
    <xf numFmtId="0" fontId="36" fillId="7" borderId="0" xfId="0" applyFont="1" applyFill="1" applyAlignment="1">
      <alignment wrapText="1"/>
    </xf>
    <xf numFmtId="0" fontId="36" fillId="7" borderId="2" xfId="0" applyFont="1" applyFill="1" applyBorder="1" applyAlignment="1">
      <alignment wrapText="1"/>
    </xf>
    <xf numFmtId="0" fontId="36" fillId="7" borderId="3" xfId="0" applyFont="1" applyFill="1" applyBorder="1" applyAlignment="1">
      <alignment wrapText="1"/>
    </xf>
    <xf numFmtId="0" fontId="36" fillId="7" borderId="7" xfId="0" applyFont="1" applyFill="1" applyBorder="1" applyAlignment="1">
      <alignment wrapText="1"/>
    </xf>
    <xf numFmtId="0" fontId="36" fillId="7" borderId="20" xfId="0" applyFont="1" applyFill="1" applyBorder="1" applyAlignment="1">
      <alignment wrapText="1"/>
    </xf>
    <xf numFmtId="0" fontId="36" fillId="7" borderId="21" xfId="0" applyFont="1" applyFill="1" applyBorder="1" applyAlignment="1">
      <alignment wrapText="1"/>
    </xf>
    <xf numFmtId="43" fontId="7" fillId="5" borderId="0" xfId="0" applyNumberFormat="1" applyFont="1" applyFill="1"/>
    <xf numFmtId="41" fontId="7" fillId="5" borderId="0" xfId="0" applyNumberFormat="1" applyFont="1" applyFill="1"/>
    <xf numFmtId="2" fontId="8" fillId="4" borderId="0" xfId="0" applyNumberFormat="1" applyFont="1" applyFill="1" applyAlignment="1">
      <alignment horizontal="right"/>
    </xf>
    <xf numFmtId="2" fontId="35" fillId="8" borderId="0" xfId="0" applyNumberFormat="1" applyFont="1" applyFill="1" applyAlignment="1">
      <alignment horizontal="right"/>
    </xf>
    <xf numFmtId="2" fontId="7" fillId="6" borderId="0" xfId="0" applyNumberFormat="1" applyFont="1" applyFill="1" applyAlignment="1">
      <alignment horizontal="right"/>
    </xf>
    <xf numFmtId="10" fontId="35" fillId="8" borderId="0" xfId="0" applyNumberFormat="1" applyFont="1" applyFill="1" applyAlignment="1">
      <alignment horizontal="right"/>
    </xf>
    <xf numFmtId="2" fontId="8" fillId="5" borderId="0" xfId="0" applyNumberFormat="1" applyFont="1" applyFill="1" applyAlignment="1">
      <alignment horizontal="center" vertical="center" wrapText="1"/>
    </xf>
    <xf numFmtId="2" fontId="36" fillId="4" borderId="0" xfId="0" applyNumberFormat="1" applyFont="1" applyFill="1" applyAlignment="1">
      <alignment horizontal="right" wrapText="1"/>
    </xf>
    <xf numFmtId="10" fontId="36" fillId="4" borderId="0" xfId="0" applyNumberFormat="1" applyFont="1" applyFill="1" applyAlignment="1">
      <alignment horizontal="right"/>
    </xf>
    <xf numFmtId="166" fontId="8" fillId="4" borderId="0" xfId="0" applyNumberFormat="1" applyFont="1" applyFill="1" applyAlignment="1">
      <alignment horizontal="right" vertical="center"/>
    </xf>
    <xf numFmtId="166" fontId="7" fillId="8" borderId="0" xfId="0" applyNumberFormat="1" applyFont="1" applyFill="1" applyAlignment="1">
      <alignment horizontal="right"/>
    </xf>
    <xf numFmtId="165" fontId="8" fillId="4" borderId="0" xfId="0" applyNumberFormat="1" applyFont="1" applyFill="1" applyAlignment="1">
      <alignment horizontal="right"/>
    </xf>
    <xf numFmtId="165" fontId="7" fillId="8" borderId="0" xfId="0" applyNumberFormat="1" applyFont="1" applyFill="1" applyAlignment="1">
      <alignment horizontal="right"/>
    </xf>
    <xf numFmtId="0" fontId="7" fillId="5" borderId="17" xfId="0" applyFont="1" applyFill="1" applyBorder="1" applyAlignment="1">
      <alignment vertical="center"/>
    </xf>
    <xf numFmtId="174" fontId="7" fillId="5" borderId="17" xfId="0" applyNumberFormat="1" applyFont="1" applyFill="1" applyBorder="1"/>
    <xf numFmtId="174" fontId="7" fillId="5" borderId="18" xfId="0" applyNumberFormat="1" applyFont="1" applyFill="1" applyBorder="1"/>
    <xf numFmtId="174" fontId="7" fillId="5" borderId="19" xfId="0" applyNumberFormat="1" applyFont="1" applyFill="1" applyBorder="1"/>
    <xf numFmtId="41" fontId="35" fillId="5" borderId="17" xfId="0" applyNumberFormat="1" applyFont="1" applyFill="1" applyBorder="1"/>
    <xf numFmtId="41" fontId="35" fillId="5" borderId="18" xfId="0" applyNumberFormat="1" applyFont="1" applyFill="1" applyBorder="1"/>
    <xf numFmtId="41" fontId="35" fillId="5" borderId="19" xfId="0" applyNumberFormat="1" applyFont="1" applyFill="1" applyBorder="1"/>
    <xf numFmtId="0" fontId="7" fillId="5" borderId="18" xfId="0" applyFont="1" applyFill="1" applyBorder="1"/>
    <xf numFmtId="43" fontId="7" fillId="5" borderId="17" xfId="0" applyNumberFormat="1" applyFont="1" applyFill="1" applyBorder="1"/>
    <xf numFmtId="0" fontId="7" fillId="5" borderId="2" xfId="0" applyFont="1" applyFill="1" applyBorder="1" applyAlignment="1">
      <alignment vertical="center"/>
    </xf>
    <xf numFmtId="174" fontId="7" fillId="5" borderId="4" xfId="0" applyNumberFormat="1" applyFont="1" applyFill="1" applyBorder="1"/>
    <xf numFmtId="174" fontId="7" fillId="5" borderId="5" xfId="0" applyNumberFormat="1" applyFont="1" applyFill="1" applyBorder="1"/>
    <xf numFmtId="174" fontId="7" fillId="5" borderId="6" xfId="0" applyNumberFormat="1" applyFont="1" applyFill="1" applyBorder="1"/>
    <xf numFmtId="41" fontId="35" fillId="5" borderId="4" xfId="0" applyNumberFormat="1" applyFont="1" applyFill="1" applyBorder="1"/>
    <xf numFmtId="41" fontId="35" fillId="5" borderId="5" xfId="0" applyNumberFormat="1" applyFont="1" applyFill="1" applyBorder="1"/>
    <xf numFmtId="41" fontId="35" fillId="5" borderId="6" xfId="0" applyNumberFormat="1" applyFont="1" applyFill="1" applyBorder="1"/>
    <xf numFmtId="43" fontId="35" fillId="5" borderId="21" xfId="0" applyNumberFormat="1" applyFont="1" applyFill="1" applyBorder="1"/>
    <xf numFmtId="43" fontId="7" fillId="5" borderId="4" xfId="0" applyNumberFormat="1" applyFont="1" applyFill="1" applyBorder="1"/>
    <xf numFmtId="0" fontId="7" fillId="5" borderId="23" xfId="0" applyFont="1" applyFill="1" applyBorder="1" applyAlignment="1">
      <alignment vertical="center"/>
    </xf>
    <xf numFmtId="174" fontId="7" fillId="5" borderId="24" xfId="19" applyNumberFormat="1" applyFont="1" applyFill="1" applyBorder="1" applyAlignment="1">
      <alignment horizontal="right" vertical="center" readingOrder="1"/>
    </xf>
    <xf numFmtId="10" fontId="7" fillId="5" borderId="24" xfId="10" applyNumberFormat="1" applyFont="1" applyFill="1" applyBorder="1" applyAlignment="1">
      <alignment horizontal="right" vertical="center" readingOrder="1"/>
    </xf>
    <xf numFmtId="2" fontId="7" fillId="5" borderId="24" xfId="0" applyNumberFormat="1" applyFont="1" applyFill="1" applyBorder="1" applyAlignment="1">
      <alignment horizontal="right" vertical="center" readingOrder="1"/>
    </xf>
    <xf numFmtId="43" fontId="35" fillId="5" borderId="6" xfId="0" applyNumberFormat="1" applyFont="1" applyFill="1" applyBorder="1"/>
    <xf numFmtId="0" fontId="7" fillId="5" borderId="24" xfId="0" applyFont="1" applyFill="1" applyBorder="1"/>
    <xf numFmtId="174" fontId="7" fillId="5" borderId="0" xfId="19" applyNumberFormat="1" applyFont="1" applyFill="1" applyBorder="1" applyAlignment="1">
      <alignment horizontal="right" vertical="center" readingOrder="1"/>
    </xf>
    <xf numFmtId="41" fontId="7" fillId="5" borderId="2" xfId="0" applyNumberFormat="1" applyFont="1" applyFill="1" applyBorder="1"/>
    <xf numFmtId="0" fontId="7" fillId="5" borderId="27" xfId="0" applyFont="1" applyFill="1" applyBorder="1" applyAlignment="1">
      <alignment vertical="center"/>
    </xf>
    <xf numFmtId="174" fontId="7" fillId="5" borderId="11" xfId="19" applyNumberFormat="1" applyFont="1" applyFill="1" applyBorder="1" applyAlignment="1">
      <alignment horizontal="right" vertical="center" readingOrder="1"/>
    </xf>
    <xf numFmtId="0" fontId="7" fillId="0" borderId="0" xfId="18" applyFont="1" applyAlignment="1">
      <alignment vertical="center"/>
    </xf>
    <xf numFmtId="0" fontId="7" fillId="0" borderId="0" xfId="0" applyFont="1" applyAlignment="1">
      <alignment vertical="center"/>
    </xf>
    <xf numFmtId="175" fontId="14" fillId="0" borderId="0" xfId="0" applyNumberFormat="1" applyFont="1"/>
    <xf numFmtId="175" fontId="8" fillId="10" borderId="18" xfId="0" applyNumberFormat="1" applyFont="1" applyFill="1" applyBorder="1" applyAlignment="1">
      <alignment horizontal="left"/>
    </xf>
    <xf numFmtId="175" fontId="8" fillId="12" borderId="20" xfId="0" applyNumberFormat="1" applyFont="1" applyFill="1" applyBorder="1"/>
    <xf numFmtId="0" fontId="8" fillId="13" borderId="0" xfId="0" applyFont="1" applyFill="1"/>
    <xf numFmtId="0" fontId="7" fillId="13" borderId="0" xfId="0" applyFont="1" applyFill="1"/>
    <xf numFmtId="0" fontId="19" fillId="13" borderId="0" xfId="0" applyFont="1" applyFill="1"/>
    <xf numFmtId="0" fontId="10" fillId="13" borderId="0" xfId="9" applyFont="1" applyFill="1" applyAlignment="1">
      <alignment wrapText="1"/>
    </xf>
    <xf numFmtId="0" fontId="7" fillId="13" borderId="0" xfId="18" applyFont="1" applyFill="1" applyAlignment="1">
      <alignment vertical="center"/>
    </xf>
    <xf numFmtId="0" fontId="20" fillId="13" borderId="0" xfId="0" applyFont="1" applyFill="1"/>
    <xf numFmtId="0" fontId="39" fillId="13" borderId="0" xfId="0" applyFont="1" applyFill="1"/>
    <xf numFmtId="0" fontId="10" fillId="13" borderId="0" xfId="0" applyFont="1" applyFill="1"/>
    <xf numFmtId="0" fontId="7" fillId="10" borderId="0" xfId="18" applyFont="1" applyFill="1" applyAlignment="1">
      <alignment vertical="center"/>
    </xf>
    <xf numFmtId="0" fontId="7" fillId="10" borderId="0" xfId="0" applyFont="1" applyFill="1"/>
    <xf numFmtId="0" fontId="8" fillId="10" borderId="0" xfId="18" applyFont="1" applyFill="1" applyAlignment="1">
      <alignment vertical="center"/>
    </xf>
    <xf numFmtId="0" fontId="8" fillId="10" borderId="0" xfId="0" applyFont="1" applyFill="1"/>
    <xf numFmtId="0" fontId="19" fillId="10" borderId="0" xfId="0" applyFont="1" applyFill="1"/>
    <xf numFmtId="0" fontId="0" fillId="13" borderId="0" xfId="0" applyFill="1"/>
    <xf numFmtId="0" fontId="0" fillId="10" borderId="0" xfId="0" applyFill="1"/>
    <xf numFmtId="0" fontId="14" fillId="0" borderId="0" xfId="20" applyFont="1" applyAlignment="1">
      <alignment horizontal="left"/>
    </xf>
    <xf numFmtId="0" fontId="16" fillId="0" borderId="0" xfId="0" applyFont="1" applyAlignment="1">
      <alignment horizontal="left"/>
    </xf>
    <xf numFmtId="0" fontId="16" fillId="0" borderId="0" xfId="0" applyFont="1"/>
    <xf numFmtId="0" fontId="18" fillId="0" borderId="0" xfId="0" applyFont="1"/>
    <xf numFmtId="0" fontId="7" fillId="0" borderId="0" xfId="0" applyFont="1" applyAlignment="1">
      <alignment horizontal="left"/>
    </xf>
    <xf numFmtId="0" fontId="16" fillId="13" borderId="0" xfId="0" applyFont="1" applyFill="1"/>
    <xf numFmtId="0" fontId="7" fillId="13" borderId="0" xfId="0" applyFont="1" applyFill="1" applyAlignment="1">
      <alignment horizontal="left"/>
    </xf>
    <xf numFmtId="2" fontId="7" fillId="13" borderId="0" xfId="0" applyNumberFormat="1" applyFont="1" applyFill="1"/>
    <xf numFmtId="2" fontId="16" fillId="13" borderId="0" xfId="0" applyNumberFormat="1" applyFont="1" applyFill="1"/>
    <xf numFmtId="0" fontId="38" fillId="0" borderId="0" xfId="0" applyFont="1"/>
    <xf numFmtId="0" fontId="38" fillId="13" borderId="0" xfId="0" applyFont="1" applyFill="1"/>
    <xf numFmtId="0" fontId="38" fillId="13" borderId="0" xfId="0" applyFont="1" applyFill="1" applyAlignment="1">
      <alignment horizontal="left"/>
    </xf>
    <xf numFmtId="0" fontId="38" fillId="13" borderId="0" xfId="9" applyFont="1" applyFill="1" applyAlignment="1">
      <alignment wrapText="1"/>
    </xf>
    <xf numFmtId="1" fontId="38" fillId="13" borderId="0" xfId="0" applyNumberFormat="1" applyFont="1" applyFill="1"/>
    <xf numFmtId="171" fontId="38" fillId="13" borderId="0" xfId="0" applyNumberFormat="1" applyFont="1" applyFill="1"/>
    <xf numFmtId="171" fontId="38" fillId="13" borderId="0" xfId="1" applyNumberFormat="1" applyFont="1" applyFill="1" applyBorder="1" applyAlignment="1">
      <alignment wrapText="1"/>
    </xf>
    <xf numFmtId="171" fontId="38" fillId="13" borderId="0" xfId="9" applyNumberFormat="1" applyFont="1" applyFill="1" applyAlignment="1">
      <alignment wrapText="1"/>
    </xf>
    <xf numFmtId="0" fontId="38" fillId="10" borderId="0" xfId="0" applyFont="1" applyFill="1"/>
    <xf numFmtId="0" fontId="38" fillId="10" borderId="0" xfId="0" applyFont="1" applyFill="1" applyAlignment="1">
      <alignment horizontal="left"/>
    </xf>
    <xf numFmtId="0" fontId="38" fillId="10" borderId="0" xfId="9" applyFont="1" applyFill="1" applyAlignment="1">
      <alignment wrapText="1"/>
    </xf>
    <xf numFmtId="1" fontId="38" fillId="10" borderId="0" xfId="0" applyNumberFormat="1" applyFont="1" applyFill="1"/>
    <xf numFmtId="171" fontId="38" fillId="10" borderId="0" xfId="0" applyNumberFormat="1" applyFont="1" applyFill="1"/>
    <xf numFmtId="0" fontId="19" fillId="0" borderId="0" xfId="18" applyFont="1" applyAlignment="1">
      <alignment horizontal="center" vertical="center"/>
    </xf>
    <xf numFmtId="0" fontId="8" fillId="0" borderId="10" xfId="18" applyFont="1" applyBorder="1" applyAlignment="1">
      <alignment vertical="center"/>
    </xf>
    <xf numFmtId="0" fontId="48" fillId="0" borderId="0" xfId="18" applyAlignment="1">
      <alignment vertical="center"/>
    </xf>
    <xf numFmtId="0" fontId="19" fillId="13" borderId="0" xfId="18" applyFont="1" applyFill="1" applyAlignment="1">
      <alignment horizontal="center" vertical="center"/>
    </xf>
    <xf numFmtId="1" fontId="16" fillId="13" borderId="0" xfId="0" applyNumberFormat="1" applyFont="1" applyFill="1"/>
    <xf numFmtId="0" fontId="48" fillId="13" borderId="0" xfId="18" applyFill="1" applyAlignment="1">
      <alignment vertical="center"/>
    </xf>
    <xf numFmtId="172" fontId="19" fillId="13" borderId="0" xfId="18" applyNumberFormat="1" applyFont="1" applyFill="1" applyAlignment="1">
      <alignment horizontal="center" vertical="center"/>
    </xf>
    <xf numFmtId="0" fontId="7" fillId="13" borderId="10" xfId="18" applyFont="1" applyFill="1" applyBorder="1" applyAlignment="1">
      <alignment vertical="center"/>
    </xf>
    <xf numFmtId="0" fontId="22" fillId="10" borderId="0" xfId="0" applyFont="1" applyFill="1"/>
    <xf numFmtId="0" fontId="19" fillId="10" borderId="0" xfId="18" applyFont="1" applyFill="1" applyAlignment="1">
      <alignment horizontal="center" vertical="center"/>
    </xf>
    <xf numFmtId="0" fontId="8" fillId="10" borderId="10" xfId="18" applyFont="1" applyFill="1" applyBorder="1" applyAlignment="1">
      <alignment vertical="center"/>
    </xf>
    <xf numFmtId="0" fontId="48" fillId="10" borderId="0" xfId="18" applyFill="1" applyAlignment="1">
      <alignment vertical="center"/>
    </xf>
    <xf numFmtId="172" fontId="19" fillId="10" borderId="0" xfId="18" applyNumberFormat="1" applyFont="1" applyFill="1" applyAlignment="1">
      <alignment horizontal="center" vertical="center"/>
    </xf>
    <xf numFmtId="4" fontId="7" fillId="13" borderId="0" xfId="0" applyNumberFormat="1" applyFont="1" applyFill="1"/>
    <xf numFmtId="0" fontId="7" fillId="10" borderId="0" xfId="0" applyFont="1" applyFill="1" applyAlignment="1">
      <alignment horizontal="left"/>
    </xf>
    <xf numFmtId="1" fontId="7" fillId="13" borderId="0" xfId="0" applyNumberFormat="1" applyFont="1" applyFill="1"/>
    <xf numFmtId="43" fontId="7" fillId="13" borderId="0" xfId="19" applyFont="1" applyFill="1"/>
    <xf numFmtId="175" fontId="8" fillId="11" borderId="0" xfId="0" applyNumberFormat="1" applyFont="1" applyFill="1" applyAlignment="1">
      <alignment horizontal="left"/>
    </xf>
    <xf numFmtId="0" fontId="7" fillId="11" borderId="0" xfId="0" applyFont="1" applyFill="1"/>
    <xf numFmtId="43" fontId="7" fillId="10" borderId="0" xfId="19" applyFont="1" applyFill="1"/>
    <xf numFmtId="1" fontId="7" fillId="0" borderId="0" xfId="0" applyNumberFormat="1" applyFont="1"/>
    <xf numFmtId="43" fontId="7" fillId="0" borderId="0" xfId="19" applyFont="1" applyFill="1"/>
    <xf numFmtId="176" fontId="7" fillId="11" borderId="0" xfId="0" applyNumberFormat="1" applyFont="1" applyFill="1"/>
    <xf numFmtId="177" fontId="7" fillId="11" borderId="0" xfId="19" applyNumberFormat="1" applyFont="1" applyFill="1"/>
    <xf numFmtId="175" fontId="7" fillId="13" borderId="0" xfId="22" applyNumberFormat="1" applyFill="1"/>
    <xf numFmtId="0" fontId="8" fillId="13" borderId="20" xfId="28" applyFont="1" applyFill="1" applyBorder="1"/>
    <xf numFmtId="0" fontId="7" fillId="13" borderId="0" xfId="28" applyFill="1"/>
    <xf numFmtId="175" fontId="8" fillId="10" borderId="0" xfId="0" applyNumberFormat="1" applyFont="1" applyFill="1" applyAlignment="1">
      <alignment horizontal="left"/>
    </xf>
    <xf numFmtId="0" fontId="7" fillId="5" borderId="0" xfId="0" applyFont="1" applyFill="1" applyAlignment="1">
      <alignment horizontal="center"/>
    </xf>
    <xf numFmtId="0" fontId="7" fillId="0" borderId="0" xfId="87"/>
    <xf numFmtId="0" fontId="8" fillId="10" borderId="0" xfId="87" applyFont="1" applyFill="1"/>
    <xf numFmtId="0" fontId="7" fillId="10" borderId="0" xfId="87" applyFill="1"/>
    <xf numFmtId="0" fontId="7" fillId="13" borderId="0" xfId="87" applyFill="1"/>
    <xf numFmtId="0" fontId="8" fillId="0" borderId="0" xfId="87" applyFont="1" applyAlignment="1">
      <alignment vertical="center"/>
    </xf>
    <xf numFmtId="0" fontId="7" fillId="0" borderId="0" xfId="87" applyAlignment="1">
      <alignment vertical="center"/>
    </xf>
    <xf numFmtId="0" fontId="7" fillId="0" borderId="0" xfId="87" applyAlignment="1">
      <alignment horizontal="center" vertical="center"/>
    </xf>
    <xf numFmtId="0" fontId="7" fillId="0" borderId="0" xfId="87" applyAlignment="1">
      <alignment horizontal="right" vertical="center"/>
    </xf>
    <xf numFmtId="43" fontId="7" fillId="0" borderId="0" xfId="19" applyFont="1" applyFill="1" applyAlignment="1">
      <alignment vertical="center"/>
    </xf>
    <xf numFmtId="0" fontId="8" fillId="0" borderId="0" xfId="87" applyFont="1" applyAlignment="1">
      <alignment horizontal="center" vertical="center"/>
    </xf>
    <xf numFmtId="0" fontId="7" fillId="0" borderId="0" xfId="87" applyAlignment="1">
      <alignment vertical="center" wrapText="1"/>
    </xf>
    <xf numFmtId="43" fontId="8" fillId="10" borderId="18" xfId="19" applyFont="1" applyFill="1" applyBorder="1" applyAlignment="1">
      <alignment horizontal="left"/>
    </xf>
    <xf numFmtId="0" fontId="8" fillId="10" borderId="0" xfId="87" applyFont="1" applyFill="1" applyAlignment="1">
      <alignment vertical="center"/>
    </xf>
    <xf numFmtId="0" fontId="7" fillId="10" borderId="0" xfId="87" applyFill="1" applyAlignment="1">
      <alignment vertical="center"/>
    </xf>
    <xf numFmtId="0" fontId="7" fillId="10" borderId="0" xfId="87" applyFill="1" applyAlignment="1">
      <alignment vertical="center" wrapText="1"/>
    </xf>
    <xf numFmtId="0" fontId="7" fillId="10" borderId="0" xfId="87" applyFill="1" applyAlignment="1">
      <alignment horizontal="center" vertical="center"/>
    </xf>
    <xf numFmtId="0" fontId="7" fillId="10" borderId="0" xfId="87" applyFill="1" applyAlignment="1">
      <alignment horizontal="right" vertical="center"/>
    </xf>
    <xf numFmtId="43" fontId="7" fillId="10" borderId="0" xfId="19" applyFont="1" applyFill="1" applyAlignment="1">
      <alignment vertical="center"/>
    </xf>
    <xf numFmtId="0" fontId="8" fillId="10" borderId="0" xfId="87" applyFont="1" applyFill="1" applyAlignment="1">
      <alignment horizontal="center" vertical="center"/>
    </xf>
    <xf numFmtId="0" fontId="7" fillId="13" borderId="0" xfId="87" applyFill="1" applyAlignment="1">
      <alignment horizontal="left" vertical="center"/>
    </xf>
    <xf numFmtId="0" fontId="7" fillId="13" borderId="0" xfId="87" applyFill="1" applyAlignment="1">
      <alignment vertical="center"/>
    </xf>
    <xf numFmtId="0" fontId="7" fillId="13" borderId="0" xfId="87" applyFill="1" applyAlignment="1">
      <alignment horizontal="center" vertical="center"/>
    </xf>
    <xf numFmtId="43" fontId="7" fillId="13" borderId="0" xfId="19" applyFont="1" applyFill="1" applyAlignment="1">
      <alignment horizontal="right" vertical="center"/>
    </xf>
    <xf numFmtId="43" fontId="7" fillId="13" borderId="0" xfId="19" applyFont="1" applyFill="1" applyAlignment="1">
      <alignment vertical="center"/>
    </xf>
    <xf numFmtId="43" fontId="7" fillId="13" borderId="0" xfId="19" applyFont="1" applyFill="1" applyAlignment="1">
      <alignment horizontal="center" vertical="center"/>
    </xf>
    <xf numFmtId="43" fontId="8" fillId="13" borderId="0" xfId="19" applyFont="1" applyFill="1" applyAlignment="1">
      <alignment horizontal="center" vertical="center" wrapText="1"/>
    </xf>
    <xf numFmtId="43" fontId="8" fillId="13" borderId="0" xfId="19" applyFont="1" applyFill="1" applyAlignment="1">
      <alignment horizontal="center" vertical="center"/>
    </xf>
    <xf numFmtId="0" fontId="8" fillId="13" borderId="0" xfId="87" applyFont="1" applyFill="1" applyAlignment="1">
      <alignment horizontal="center" vertical="center" wrapText="1"/>
    </xf>
    <xf numFmtId="166" fontId="7" fillId="13" borderId="0" xfId="87" applyNumberFormat="1" applyFill="1" applyAlignment="1">
      <alignment vertical="center"/>
    </xf>
    <xf numFmtId="0" fontId="7" fillId="13" borderId="0" xfId="87" applyFill="1" applyAlignment="1">
      <alignment horizontal="right" vertical="center"/>
    </xf>
    <xf numFmtId="0" fontId="19" fillId="13" borderId="0" xfId="87" applyFont="1" applyFill="1"/>
    <xf numFmtId="9" fontId="7" fillId="5" borderId="0" xfId="0" applyNumberFormat="1" applyFont="1" applyFill="1" applyAlignment="1">
      <alignment horizontal="right"/>
    </xf>
    <xf numFmtId="174" fontId="61" fillId="5" borderId="0" xfId="19" applyNumberFormat="1" applyFont="1" applyFill="1"/>
    <xf numFmtId="0" fontId="36" fillId="5" borderId="0" xfId="0" applyFont="1" applyFill="1" applyAlignment="1">
      <alignment horizontal="left" wrapText="1"/>
    </xf>
    <xf numFmtId="0" fontId="8" fillId="15" borderId="0" xfId="0" applyFont="1" applyFill="1" applyAlignment="1">
      <alignment horizontal="right"/>
    </xf>
    <xf numFmtId="0" fontId="7" fillId="15" borderId="0" xfId="0" applyFont="1" applyFill="1" applyAlignment="1">
      <alignment horizontal="right"/>
    </xf>
    <xf numFmtId="0" fontId="7" fillId="16" borderId="0" xfId="0" applyFont="1" applyFill="1"/>
    <xf numFmtId="0" fontId="8" fillId="16" borderId="0" xfId="0" applyFont="1" applyFill="1"/>
    <xf numFmtId="0" fontId="8" fillId="16" borderId="0" xfId="0" applyFont="1" applyFill="1" applyAlignment="1">
      <alignment horizontal="right" vertical="center" wrapText="1"/>
    </xf>
    <xf numFmtId="0" fontId="8" fillId="16" borderId="0" xfId="0" applyFont="1" applyFill="1" applyAlignment="1">
      <alignment horizontal="center" vertical="center" wrapText="1"/>
    </xf>
    <xf numFmtId="165" fontId="7" fillId="15" borderId="0" xfId="0" applyNumberFormat="1" applyFont="1" applyFill="1"/>
    <xf numFmtId="167" fontId="7" fillId="15" borderId="0" xfId="0" applyNumberFormat="1" applyFont="1" applyFill="1"/>
    <xf numFmtId="174" fontId="7" fillId="15" borderId="0" xfId="19" applyNumberFormat="1" applyFont="1" applyFill="1"/>
    <xf numFmtId="0" fontId="7" fillId="17" borderId="0" xfId="0" applyFont="1" applyFill="1"/>
    <xf numFmtId="0" fontId="36" fillId="17" borderId="0" xfId="0" applyFont="1" applyFill="1"/>
    <xf numFmtId="0" fontId="7" fillId="18" borderId="0" xfId="0" applyFont="1" applyFill="1"/>
    <xf numFmtId="1" fontId="7" fillId="18" borderId="0" xfId="0" applyNumberFormat="1" applyFont="1" applyFill="1"/>
    <xf numFmtId="0" fontId="71" fillId="18" borderId="0" xfId="0" applyFont="1" applyFill="1"/>
    <xf numFmtId="0" fontId="71" fillId="17" borderId="0" xfId="0" applyFont="1" applyFill="1"/>
    <xf numFmtId="0" fontId="8" fillId="16" borderId="0" xfId="0" applyFont="1" applyFill="1" applyAlignment="1">
      <alignment horizontal="left" vertical="center"/>
    </xf>
    <xf numFmtId="0" fontId="55" fillId="16" borderId="0" xfId="0" applyFont="1" applyFill="1"/>
    <xf numFmtId="9" fontId="7" fillId="15" borderId="0" xfId="10" applyFont="1" applyFill="1"/>
    <xf numFmtId="168" fontId="7" fillId="15" borderId="0" xfId="10" applyNumberFormat="1" applyFont="1" applyFill="1"/>
    <xf numFmtId="0" fontId="0" fillId="17" borderId="0" xfId="0" applyFill="1"/>
    <xf numFmtId="0" fontId="7" fillId="18" borderId="0" xfId="0" applyFont="1" applyFill="1" applyAlignment="1">
      <alignment horizontal="left"/>
    </xf>
    <xf numFmtId="169" fontId="7" fillId="18" borderId="0" xfId="0" applyNumberFormat="1" applyFont="1" applyFill="1"/>
    <xf numFmtId="0" fontId="7" fillId="5" borderId="0" xfId="0" applyFont="1" applyFill="1" applyAlignment="1">
      <alignment horizontal="left" wrapText="1"/>
    </xf>
    <xf numFmtId="0" fontId="0" fillId="18" borderId="0" xfId="0" applyFill="1"/>
    <xf numFmtId="170" fontId="51" fillId="5" borderId="0" xfId="28" applyNumberFormat="1" applyFont="1" applyFill="1" applyAlignment="1">
      <alignment horizontal="left" indent="1"/>
    </xf>
    <xf numFmtId="167" fontId="51" fillId="5" borderId="0" xfId="28" applyNumberFormat="1" applyFont="1" applyFill="1" applyAlignment="1">
      <alignment horizontal="right" indent="3"/>
    </xf>
    <xf numFmtId="167" fontId="52" fillId="5" borderId="0" xfId="28" applyNumberFormat="1" applyFont="1" applyFill="1" applyAlignment="1">
      <alignment horizontal="right" indent="3"/>
    </xf>
    <xf numFmtId="174" fontId="23" fillId="19" borderId="0" xfId="10" applyNumberFormat="1" applyFont="1" applyFill="1"/>
    <xf numFmtId="43" fontId="23" fillId="19" borderId="0" xfId="0" applyNumberFormat="1" applyFont="1" applyFill="1"/>
    <xf numFmtId="174" fontId="0" fillId="5" borderId="0" xfId="19" applyNumberFormat="1" applyFont="1" applyFill="1"/>
    <xf numFmtId="43" fontId="0" fillId="5" borderId="0" xfId="0" applyNumberFormat="1" applyFill="1"/>
    <xf numFmtId="0" fontId="8" fillId="17" borderId="0" xfId="0" applyFont="1" applyFill="1" applyAlignment="1">
      <alignment horizontal="center" vertical="center"/>
    </xf>
    <xf numFmtId="174" fontId="0" fillId="0" borderId="0" xfId="19" applyNumberFormat="1" applyFont="1"/>
    <xf numFmtId="0" fontId="8" fillId="5" borderId="0" xfId="0" applyFont="1" applyFill="1" applyAlignment="1">
      <alignment horizontal="left" vertical="center" wrapText="1"/>
    </xf>
    <xf numFmtId="0" fontId="8" fillId="5" borderId="0" xfId="0" applyFont="1" applyFill="1" applyAlignment="1">
      <alignment horizontal="left" vertical="center"/>
    </xf>
    <xf numFmtId="0" fontId="7" fillId="5" borderId="0" xfId="0" applyFont="1" applyFill="1" applyAlignment="1">
      <alignment horizontal="left" vertical="center" wrapText="1"/>
    </xf>
    <xf numFmtId="0" fontId="8" fillId="5" borderId="0" xfId="0" applyFont="1" applyFill="1" applyAlignment="1">
      <alignment vertical="center"/>
    </xf>
    <xf numFmtId="0" fontId="25" fillId="5" borderId="0" xfId="0" applyFont="1" applyFill="1" applyAlignment="1">
      <alignment horizontal="left" vertical="center" wrapText="1"/>
    </xf>
    <xf numFmtId="0" fontId="7" fillId="15" borderId="0" xfId="7" applyFill="1" applyAlignment="1">
      <alignment horizontal="left" vertical="center"/>
    </xf>
    <xf numFmtId="0" fontId="13" fillId="5" borderId="0" xfId="0" applyFont="1" applyFill="1" applyAlignment="1">
      <alignment horizontal="left" vertical="center"/>
    </xf>
    <xf numFmtId="2" fontId="7" fillId="5" borderId="0" xfId="0" applyNumberFormat="1" applyFont="1" applyFill="1" applyAlignment="1">
      <alignment horizontal="left" vertical="center"/>
    </xf>
    <xf numFmtId="0" fontId="7" fillId="5" borderId="0" xfId="0" applyFont="1" applyFill="1" applyAlignment="1">
      <alignment horizontal="left" vertical="center"/>
    </xf>
    <xf numFmtId="168" fontId="7" fillId="5" borderId="0" xfId="10" applyNumberFormat="1" applyFont="1" applyFill="1" applyAlignment="1">
      <alignment horizontal="left" vertical="center" wrapText="1"/>
    </xf>
    <xf numFmtId="168" fontId="7" fillId="5" borderId="0" xfId="10" applyNumberFormat="1" applyFont="1" applyFill="1" applyAlignment="1">
      <alignment horizontal="left" vertical="center"/>
    </xf>
    <xf numFmtId="0" fontId="0" fillId="5" borderId="0" xfId="0" applyFill="1" applyAlignment="1">
      <alignment vertical="center"/>
    </xf>
    <xf numFmtId="0" fontId="7" fillId="17" borderId="0" xfId="0" applyFont="1" applyFill="1" applyAlignment="1">
      <alignment horizontal="left" vertical="center" wrapText="1"/>
    </xf>
    <xf numFmtId="0" fontId="7" fillId="17" borderId="0" xfId="0" applyFont="1" applyFill="1" applyAlignment="1">
      <alignment horizontal="left" vertical="center"/>
    </xf>
    <xf numFmtId="0" fontId="7" fillId="6" borderId="0" xfId="0" applyFont="1" applyFill="1" applyAlignment="1">
      <alignment horizontal="left" vertical="center"/>
    </xf>
    <xf numFmtId="0" fontId="7" fillId="18" borderId="0" xfId="0" applyFont="1" applyFill="1" applyAlignment="1">
      <alignment horizontal="right" vertical="center"/>
    </xf>
    <xf numFmtId="0" fontId="7" fillId="18" borderId="0" xfId="0" applyFont="1" applyFill="1" applyAlignment="1">
      <alignment horizontal="left" vertical="center"/>
    </xf>
    <xf numFmtId="43" fontId="7" fillId="18" borderId="0" xfId="19" applyFont="1" applyFill="1" applyBorder="1" applyAlignment="1">
      <alignment horizontal="left" vertical="center"/>
    </xf>
    <xf numFmtId="43" fontId="7" fillId="18" borderId="0" xfId="19" applyFont="1" applyFill="1" applyBorder="1" applyAlignment="1">
      <alignment horizontal="left" vertical="center" wrapText="1"/>
    </xf>
    <xf numFmtId="43" fontId="8" fillId="18" borderId="0" xfId="19" applyFont="1" applyFill="1" applyBorder="1" applyAlignment="1">
      <alignment horizontal="left" vertical="center"/>
    </xf>
    <xf numFmtId="43" fontId="36" fillId="18" borderId="0" xfId="19" applyFont="1" applyFill="1" applyBorder="1" applyAlignment="1">
      <alignment horizontal="left" vertical="center" wrapText="1"/>
    </xf>
    <xf numFmtId="0" fontId="8" fillId="18" borderId="0" xfId="0" applyFont="1" applyFill="1" applyAlignment="1">
      <alignment horizontal="right" vertical="center"/>
    </xf>
    <xf numFmtId="0" fontId="8" fillId="18" borderId="0" xfId="0" applyFont="1" applyFill="1" applyAlignment="1">
      <alignment horizontal="left" vertical="center"/>
    </xf>
    <xf numFmtId="0" fontId="7" fillId="18" borderId="0" xfId="0" applyFont="1" applyFill="1" applyAlignment="1">
      <alignment vertical="center"/>
    </xf>
    <xf numFmtId="43" fontId="41" fillId="18" borderId="0" xfId="19" applyFont="1" applyFill="1" applyBorder="1" applyAlignment="1">
      <alignment horizontal="left" vertical="center"/>
    </xf>
    <xf numFmtId="43" fontId="8" fillId="18" borderId="0" xfId="19" applyFont="1" applyFill="1" applyBorder="1" applyAlignment="1">
      <alignment horizontal="left" vertical="center" wrapText="1"/>
    </xf>
    <xf numFmtId="0" fontId="13" fillId="18" borderId="0" xfId="0" applyFont="1" applyFill="1" applyAlignment="1">
      <alignment horizontal="right" vertical="center"/>
    </xf>
    <xf numFmtId="43" fontId="35" fillId="18" borderId="0" xfId="19" applyFont="1" applyFill="1" applyBorder="1" applyAlignment="1">
      <alignment horizontal="left" vertical="center" wrapText="1"/>
    </xf>
    <xf numFmtId="0" fontId="36" fillId="17" borderId="0" xfId="0" applyFont="1" applyFill="1" applyAlignment="1">
      <alignment vertical="center" wrapText="1"/>
    </xf>
    <xf numFmtId="0" fontId="36" fillId="17" borderId="41" xfId="0" applyFont="1" applyFill="1" applyBorder="1" applyAlignment="1">
      <alignment vertical="center" wrapText="1"/>
    </xf>
    <xf numFmtId="0" fontId="7" fillId="18" borderId="0" xfId="0" applyFont="1" applyFill="1" applyAlignment="1">
      <alignment horizontal="left" vertical="center" wrapText="1"/>
    </xf>
    <xf numFmtId="0" fontId="36" fillId="18" borderId="0" xfId="0" applyFont="1" applyFill="1" applyAlignment="1">
      <alignment horizontal="left" vertical="center" wrapText="1"/>
    </xf>
    <xf numFmtId="43" fontId="7" fillId="18" borderId="0" xfId="19" applyFont="1" applyFill="1" applyAlignment="1">
      <alignment vertical="center"/>
    </xf>
    <xf numFmtId="43" fontId="7" fillId="18" borderId="0" xfId="19" applyFont="1" applyFill="1" applyAlignment="1">
      <alignment vertical="center" wrapText="1"/>
    </xf>
    <xf numFmtId="43" fontId="7" fillId="18" borderId="0" xfId="19" applyFont="1" applyFill="1" applyAlignment="1">
      <alignment horizontal="left" vertical="center" wrapText="1"/>
    </xf>
    <xf numFmtId="43" fontId="7" fillId="18" borderId="0" xfId="19" applyFont="1" applyFill="1" applyAlignment="1">
      <alignment horizontal="left" vertical="center"/>
    </xf>
    <xf numFmtId="43" fontId="36" fillId="18" borderId="0" xfId="19" applyFont="1" applyFill="1" applyAlignment="1">
      <alignment horizontal="left" vertical="center" wrapText="1"/>
    </xf>
    <xf numFmtId="0" fontId="0" fillId="18" borderId="0" xfId="0" applyFill="1" applyAlignment="1">
      <alignment horizontal="right" vertical="center"/>
    </xf>
    <xf numFmtId="43" fontId="26" fillId="18" borderId="0" xfId="19" applyFont="1" applyFill="1" applyAlignment="1">
      <alignment vertical="center"/>
    </xf>
    <xf numFmtId="43" fontId="7" fillId="5" borderId="0" xfId="19" applyFont="1" applyFill="1" applyBorder="1" applyAlignment="1">
      <alignment horizontal="left" vertical="center" wrapText="1"/>
    </xf>
    <xf numFmtId="2" fontId="7" fillId="5" borderId="0" xfId="0" applyNumberFormat="1" applyFont="1" applyFill="1" applyAlignment="1">
      <alignment horizontal="right" vertical="center" wrapText="1"/>
    </xf>
    <xf numFmtId="169" fontId="7" fillId="5" borderId="0" xfId="0" applyNumberFormat="1" applyFont="1" applyFill="1" applyAlignment="1">
      <alignment horizontal="right" vertical="center"/>
    </xf>
    <xf numFmtId="2" fontId="42" fillId="5" borderId="0" xfId="0" applyNumberFormat="1" applyFont="1" applyFill="1" applyAlignment="1">
      <alignment horizontal="right" vertical="center"/>
    </xf>
    <xf numFmtId="0" fontId="36" fillId="17" borderId="41" xfId="0" applyFont="1" applyFill="1" applyBorder="1" applyAlignment="1">
      <alignment horizontal="center" vertical="center" wrapText="1"/>
    </xf>
    <xf numFmtId="0" fontId="7" fillId="17" borderId="41" xfId="0" applyFont="1" applyFill="1" applyBorder="1" applyAlignment="1">
      <alignment horizontal="center" vertical="center" wrapText="1"/>
    </xf>
    <xf numFmtId="0" fontId="7" fillId="17" borderId="41" xfId="0" applyFont="1" applyFill="1" applyBorder="1" applyAlignment="1">
      <alignment horizontal="center" vertical="center"/>
    </xf>
    <xf numFmtId="0" fontId="36" fillId="17" borderId="0" xfId="0" applyFont="1" applyFill="1" applyAlignment="1">
      <alignment vertical="center"/>
    </xf>
    <xf numFmtId="43" fontId="7" fillId="5" borderId="0" xfId="0" applyNumberFormat="1" applyFont="1" applyFill="1" applyAlignment="1">
      <alignment horizontal="left" vertical="center" wrapText="1"/>
    </xf>
    <xf numFmtId="0" fontId="7" fillId="16" borderId="0" xfId="0" applyFont="1" applyFill="1" applyAlignment="1">
      <alignment horizontal="left" vertical="center"/>
    </xf>
    <xf numFmtId="0" fontId="36" fillId="16" borderId="0" xfId="0" applyFont="1" applyFill="1" applyAlignment="1">
      <alignment horizontal="left" vertical="center" wrapText="1"/>
    </xf>
    <xf numFmtId="0" fontId="36" fillId="20" borderId="0" xfId="0" applyFont="1" applyFill="1" applyAlignment="1">
      <alignment horizontal="left" vertical="center" wrapText="1"/>
    </xf>
    <xf numFmtId="43" fontId="7" fillId="15" borderId="0" xfId="0" applyNumberFormat="1" applyFont="1" applyFill="1" applyAlignment="1">
      <alignment horizontal="left" vertical="center" wrapText="1"/>
    </xf>
    <xf numFmtId="0" fontId="7" fillId="15" borderId="0" xfId="0" applyFont="1" applyFill="1" applyAlignment="1">
      <alignment horizontal="right" vertical="center"/>
    </xf>
    <xf numFmtId="0" fontId="7" fillId="15" borderId="0" xfId="0" applyFont="1" applyFill="1" applyAlignment="1">
      <alignment horizontal="left" vertical="center" wrapText="1"/>
    </xf>
    <xf numFmtId="43" fontId="8" fillId="15" borderId="0" xfId="19" applyFont="1" applyFill="1" applyAlignment="1">
      <alignment vertical="center"/>
    </xf>
    <xf numFmtId="43" fontId="8" fillId="15" borderId="0" xfId="19" applyFont="1" applyFill="1" applyAlignment="1">
      <alignment horizontal="left" vertical="center"/>
    </xf>
    <xf numFmtId="0" fontId="7" fillId="15" borderId="0" xfId="0" applyFont="1" applyFill="1" applyAlignment="1">
      <alignment horizontal="left" vertical="center"/>
    </xf>
    <xf numFmtId="43" fontId="8" fillId="15" borderId="0" xfId="19" applyFont="1" applyFill="1" applyBorder="1" applyAlignment="1">
      <alignment horizontal="left" vertical="center"/>
    </xf>
    <xf numFmtId="0" fontId="8" fillId="15" borderId="0" xfId="0" applyFont="1" applyFill="1" applyAlignment="1">
      <alignment horizontal="right" vertical="center"/>
    </xf>
    <xf numFmtId="0" fontId="7" fillId="15" borderId="0" xfId="0" applyFont="1" applyFill="1" applyAlignment="1">
      <alignment vertical="center"/>
    </xf>
    <xf numFmtId="0" fontId="12" fillId="15" borderId="0" xfId="0" applyFont="1" applyFill="1" applyAlignment="1">
      <alignment horizontal="right" vertical="center"/>
    </xf>
    <xf numFmtId="0" fontId="12" fillId="15" borderId="0" xfId="0" applyFont="1" applyFill="1" applyAlignment="1">
      <alignment horizontal="left" vertical="center" wrapText="1"/>
    </xf>
    <xf numFmtId="43" fontId="12" fillId="15" borderId="0" xfId="19" applyFont="1" applyFill="1" applyAlignment="1">
      <alignment horizontal="left" vertical="center"/>
    </xf>
    <xf numFmtId="0" fontId="25" fillId="15" borderId="0" xfId="0" applyFont="1" applyFill="1" applyAlignment="1">
      <alignment horizontal="right" vertical="center" wrapText="1"/>
    </xf>
    <xf numFmtId="43" fontId="25" fillId="15" borderId="0" xfId="19" applyFont="1" applyFill="1" applyAlignment="1">
      <alignment horizontal="left" vertical="center"/>
    </xf>
    <xf numFmtId="43" fontId="7" fillId="15" borderId="0" xfId="19" applyFont="1" applyFill="1" applyAlignment="1">
      <alignment horizontal="left" vertical="center"/>
    </xf>
    <xf numFmtId="43" fontId="44" fillId="15" borderId="0" xfId="19" applyFont="1" applyFill="1" applyAlignment="1">
      <alignment horizontal="left" vertical="center" wrapText="1"/>
    </xf>
    <xf numFmtId="0" fontId="12" fillId="15" borderId="0" xfId="0" applyFont="1" applyFill="1" applyAlignment="1">
      <alignment horizontal="right" vertical="center" wrapText="1"/>
    </xf>
    <xf numFmtId="43" fontId="12" fillId="15" borderId="0" xfId="19" applyFont="1" applyFill="1" applyAlignment="1">
      <alignment horizontal="left" vertical="center" wrapText="1"/>
    </xf>
    <xf numFmtId="0" fontId="13" fillId="15" borderId="0" xfId="7" applyFont="1" applyFill="1" applyAlignment="1">
      <alignment horizontal="right" vertical="center"/>
    </xf>
    <xf numFmtId="2" fontId="42" fillId="15" borderId="0" xfId="0" applyNumberFormat="1" applyFont="1" applyFill="1" applyAlignment="1">
      <alignment horizontal="right" vertical="center"/>
    </xf>
    <xf numFmtId="0" fontId="36" fillId="15" borderId="0" xfId="0" applyFont="1" applyFill="1" applyAlignment="1">
      <alignment horizontal="left" vertical="center" wrapText="1"/>
    </xf>
    <xf numFmtId="0" fontId="7" fillId="16" borderId="0" xfId="0" applyFont="1" applyFill="1" applyAlignment="1">
      <alignment horizontal="left" vertical="center" wrapText="1"/>
    </xf>
    <xf numFmtId="0" fontId="36" fillId="16" borderId="0" xfId="0" applyFont="1" applyFill="1" applyAlignment="1">
      <alignment horizontal="center" vertical="center" wrapText="1"/>
    </xf>
    <xf numFmtId="168" fontId="8" fillId="5" borderId="0" xfId="10" applyNumberFormat="1" applyFont="1" applyFill="1" applyAlignment="1">
      <alignment vertical="center"/>
    </xf>
    <xf numFmtId="0" fontId="44" fillId="15" borderId="0" xfId="0" applyFont="1" applyFill="1" applyAlignment="1">
      <alignment horizontal="right" vertical="center"/>
    </xf>
    <xf numFmtId="0" fontId="25" fillId="15" borderId="0" xfId="0" applyFont="1" applyFill="1" applyAlignment="1">
      <alignment horizontal="left" vertical="center" wrapText="1"/>
    </xf>
    <xf numFmtId="43" fontId="7" fillId="15" borderId="0" xfId="19" applyFont="1" applyFill="1" applyAlignment="1">
      <alignment horizontal="left" vertical="center" wrapText="1"/>
    </xf>
    <xf numFmtId="0" fontId="44" fillId="15" borderId="0" xfId="0" applyFont="1" applyFill="1" applyAlignment="1">
      <alignment horizontal="right" vertical="center" wrapText="1"/>
    </xf>
    <xf numFmtId="181" fontId="25" fillId="15" borderId="0" xfId="19" applyNumberFormat="1" applyFont="1" applyFill="1" applyAlignment="1">
      <alignment horizontal="left" vertical="center"/>
    </xf>
    <xf numFmtId="43" fontId="41" fillId="15" borderId="0" xfId="19" applyFont="1" applyFill="1" applyAlignment="1">
      <alignment horizontal="left" vertical="center" wrapText="1"/>
    </xf>
    <xf numFmtId="2" fontId="58" fillId="5" borderId="0" xfId="5" applyNumberFormat="1" applyFont="1" applyFill="1" applyAlignment="1">
      <alignment horizontal="right" vertical="center"/>
    </xf>
    <xf numFmtId="43" fontId="7" fillId="15" borderId="0" xfId="19" applyFont="1" applyFill="1" applyBorder="1" applyAlignment="1">
      <alignment horizontal="left" vertical="center"/>
    </xf>
    <xf numFmtId="2" fontId="7" fillId="15" borderId="0" xfId="0" applyNumberFormat="1" applyFont="1" applyFill="1" applyAlignment="1">
      <alignment horizontal="right" vertical="center" wrapText="1"/>
    </xf>
    <xf numFmtId="0" fontId="8" fillId="15" borderId="0" xfId="0" applyFont="1" applyFill="1" applyAlignment="1">
      <alignment horizontal="left" vertical="center" wrapText="1"/>
    </xf>
    <xf numFmtId="0" fontId="8" fillId="16" borderId="0" xfId="0" applyFont="1" applyFill="1" applyAlignment="1">
      <alignment vertical="center"/>
    </xf>
    <xf numFmtId="0" fontId="8" fillId="16" borderId="0" xfId="0" applyFont="1" applyFill="1" applyAlignment="1">
      <alignment horizontal="left" vertical="center" wrapText="1"/>
    </xf>
    <xf numFmtId="0" fontId="35" fillId="16" borderId="0" xfId="0" applyFont="1" applyFill="1"/>
    <xf numFmtId="0" fontId="35" fillId="15" borderId="0" xfId="0" applyFont="1" applyFill="1"/>
    <xf numFmtId="0" fontId="8" fillId="21" borderId="0" xfId="0" applyFont="1" applyFill="1" applyAlignment="1">
      <alignment horizontal="center"/>
    </xf>
    <xf numFmtId="43" fontId="0" fillId="5" borderId="0" xfId="19" applyFont="1" applyFill="1" applyBorder="1"/>
    <xf numFmtId="0" fontId="73" fillId="5" borderId="0" xfId="0" applyFont="1" applyFill="1"/>
    <xf numFmtId="43" fontId="73" fillId="5" borderId="0" xfId="19" applyFont="1" applyFill="1" applyBorder="1"/>
    <xf numFmtId="174" fontId="0" fillId="5" borderId="0" xfId="32" applyNumberFormat="1" applyFont="1" applyFill="1" applyBorder="1"/>
    <xf numFmtId="180" fontId="0" fillId="5" borderId="0" xfId="0" applyNumberFormat="1" applyFill="1"/>
    <xf numFmtId="0" fontId="8" fillId="16" borderId="0" xfId="0" applyFont="1" applyFill="1" applyAlignment="1">
      <alignment horizontal="center" vertical="center"/>
    </xf>
    <xf numFmtId="0" fontId="0" fillId="16" borderId="0" xfId="0" applyFill="1" applyAlignment="1">
      <alignment horizontal="center"/>
    </xf>
    <xf numFmtId="0" fontId="0" fillId="16" borderId="0" xfId="0" applyFill="1"/>
    <xf numFmtId="0" fontId="7" fillId="16" borderId="0" xfId="0" applyFont="1" applyFill="1" applyAlignment="1">
      <alignment horizontal="center"/>
    </xf>
    <xf numFmtId="43" fontId="0" fillId="16" borderId="0" xfId="0" applyNumberFormat="1" applyFill="1"/>
    <xf numFmtId="0" fontId="35" fillId="22" borderId="0" xfId="0" applyFont="1" applyFill="1"/>
    <xf numFmtId="43" fontId="35" fillId="22" borderId="0" xfId="19" applyFont="1" applyFill="1" applyBorder="1"/>
    <xf numFmtId="43" fontId="35" fillId="15" borderId="0" xfId="19" applyFont="1" applyFill="1" applyBorder="1"/>
    <xf numFmtId="43" fontId="0" fillId="15" borderId="0" xfId="0" applyNumberFormat="1" applyFill="1"/>
    <xf numFmtId="174" fontId="0" fillId="18" borderId="0" xfId="19" applyNumberFormat="1" applyFont="1" applyFill="1" applyBorder="1"/>
    <xf numFmtId="0" fontId="64" fillId="17" borderId="0" xfId="0" applyFont="1" applyFill="1" applyAlignment="1">
      <alignment horizontal="center"/>
    </xf>
    <xf numFmtId="0" fontId="7" fillId="18" borderId="0" xfId="7" applyFill="1" applyAlignment="1">
      <alignment horizontal="left" vertical="center"/>
    </xf>
    <xf numFmtId="0" fontId="74" fillId="18" borderId="0" xfId="7" applyFont="1" applyFill="1" applyAlignment="1">
      <alignment horizontal="left" vertical="center"/>
    </xf>
    <xf numFmtId="2" fontId="74" fillId="18" borderId="0" xfId="0" applyNumberFormat="1" applyFont="1" applyFill="1" applyAlignment="1">
      <alignment horizontal="right"/>
    </xf>
    <xf numFmtId="0" fontId="64" fillId="5" borderId="0" xfId="0" applyFont="1" applyFill="1" applyAlignment="1">
      <alignment horizontal="center"/>
    </xf>
    <xf numFmtId="174" fontId="0" fillId="5" borderId="0" xfId="19" applyNumberFormat="1" applyFont="1" applyFill="1" applyBorder="1"/>
    <xf numFmtId="0" fontId="8" fillId="19" borderId="0" xfId="0" applyFont="1" applyFill="1" applyAlignment="1">
      <alignment horizontal="center" vertical="center" wrapText="1"/>
    </xf>
    <xf numFmtId="0" fontId="8" fillId="19" borderId="0" xfId="0" applyFont="1" applyFill="1" applyAlignment="1">
      <alignment horizontal="center" vertical="center"/>
    </xf>
    <xf numFmtId="173" fontId="60" fillId="5" borderId="0" xfId="0" applyNumberFormat="1" applyFont="1" applyFill="1"/>
    <xf numFmtId="3" fontId="8" fillId="5" borderId="0" xfId="0" applyNumberFormat="1" applyFont="1" applyFill="1"/>
    <xf numFmtId="0" fontId="8" fillId="16" borderId="0" xfId="0" applyFont="1" applyFill="1" applyAlignment="1">
      <alignment horizontal="right"/>
    </xf>
    <xf numFmtId="0" fontId="8" fillId="16" borderId="0" xfId="0" applyFont="1" applyFill="1" applyAlignment="1">
      <alignment horizontal="left"/>
    </xf>
    <xf numFmtId="0" fontId="7" fillId="15" borderId="0" xfId="0" applyFont="1" applyFill="1"/>
    <xf numFmtId="173" fontId="7" fillId="15" borderId="0" xfId="0" applyNumberFormat="1" applyFont="1" applyFill="1"/>
    <xf numFmtId="173" fontId="59" fillId="5" borderId="0" xfId="0" applyNumberFormat="1" applyFont="1" applyFill="1"/>
    <xf numFmtId="0" fontId="59" fillId="5" borderId="0" xfId="0" applyFont="1" applyFill="1"/>
    <xf numFmtId="164" fontId="7" fillId="15" borderId="0" xfId="0" applyNumberFormat="1" applyFont="1" applyFill="1"/>
    <xf numFmtId="0" fontId="36" fillId="5" borderId="0" xfId="0" applyFont="1" applyFill="1" applyAlignment="1">
      <alignment horizontal="left" vertical="center" wrapText="1"/>
    </xf>
    <xf numFmtId="43" fontId="0" fillId="5" borderId="0" xfId="19" applyFont="1" applyFill="1" applyBorder="1" applyAlignment="1">
      <alignment vertical="center"/>
    </xf>
    <xf numFmtId="43" fontId="8" fillId="16" borderId="0" xfId="19" applyFont="1" applyFill="1" applyBorder="1" applyAlignment="1">
      <alignment horizontal="left" vertical="center"/>
    </xf>
    <xf numFmtId="43" fontId="0" fillId="16" borderId="0" xfId="19" applyFont="1" applyFill="1" applyBorder="1" applyAlignment="1">
      <alignment vertical="center"/>
    </xf>
    <xf numFmtId="43" fontId="8" fillId="5" borderId="0" xfId="19" applyFont="1" applyFill="1" applyBorder="1" applyAlignment="1">
      <alignment vertical="center"/>
    </xf>
    <xf numFmtId="43" fontId="8" fillId="16" borderId="0" xfId="19" applyFont="1" applyFill="1" applyBorder="1" applyAlignment="1">
      <alignment horizontal="center" vertical="center"/>
    </xf>
    <xf numFmtId="43" fontId="8" fillId="5" borderId="0" xfId="19" applyFont="1" applyFill="1" applyBorder="1" applyAlignment="1">
      <alignment horizontal="right" vertical="center"/>
    </xf>
    <xf numFmtId="43" fontId="72" fillId="15" borderId="0" xfId="19" applyFont="1" applyFill="1" applyBorder="1" applyAlignment="1">
      <alignment vertical="center" wrapText="1"/>
    </xf>
    <xf numFmtId="43" fontId="35" fillId="15" borderId="0" xfId="19" applyFont="1" applyFill="1" applyBorder="1" applyAlignment="1">
      <alignment horizontal="right" vertical="center"/>
    </xf>
    <xf numFmtId="43" fontId="72" fillId="5" borderId="0" xfId="19" applyFont="1" applyFill="1" applyBorder="1" applyAlignment="1">
      <alignment vertical="center" wrapText="1"/>
    </xf>
    <xf numFmtId="43" fontId="35" fillId="5" borderId="0" xfId="19" applyFont="1" applyFill="1" applyBorder="1" applyAlignment="1">
      <alignment horizontal="right" vertical="center"/>
    </xf>
    <xf numFmtId="43" fontId="8" fillId="16" borderId="0" xfId="19" applyFont="1" applyFill="1" applyBorder="1" applyAlignment="1">
      <alignment vertical="center"/>
    </xf>
    <xf numFmtId="43" fontId="8" fillId="16" borderId="0" xfId="19" applyFont="1" applyFill="1" applyBorder="1" applyAlignment="1">
      <alignment horizontal="right" vertical="center"/>
    </xf>
    <xf numFmtId="43" fontId="8" fillId="15" borderId="0" xfId="19" applyFont="1" applyFill="1" applyBorder="1" applyAlignment="1">
      <alignment horizontal="right" vertical="center"/>
    </xf>
    <xf numFmtId="43" fontId="0" fillId="15" borderId="0" xfId="19" applyFont="1" applyFill="1" applyBorder="1" applyAlignment="1">
      <alignment horizontal="right" vertical="center"/>
    </xf>
    <xf numFmtId="0" fontId="8" fillId="17" borderId="0" xfId="0" applyFont="1" applyFill="1" applyAlignment="1">
      <alignment horizontal="right" vertical="center" wrapText="1"/>
    </xf>
    <xf numFmtId="0" fontId="8" fillId="17" borderId="0" xfId="0" applyFont="1" applyFill="1" applyAlignment="1">
      <alignment horizontal="left" vertical="center"/>
    </xf>
    <xf numFmtId="0" fontId="8" fillId="17" borderId="0" xfId="0" applyFont="1" applyFill="1" applyAlignment="1">
      <alignment horizontal="left" vertical="center" wrapText="1"/>
    </xf>
    <xf numFmtId="0" fontId="35" fillId="17" borderId="0" xfId="0" applyFont="1" applyFill="1" applyAlignment="1">
      <alignment vertical="center"/>
    </xf>
    <xf numFmtId="0" fontId="36" fillId="17" borderId="0" xfId="0" applyFont="1" applyFill="1" applyAlignment="1">
      <alignment horizontal="right" vertical="center"/>
    </xf>
    <xf numFmtId="0" fontId="36" fillId="17" borderId="0" xfId="0" applyFont="1" applyFill="1" applyAlignment="1">
      <alignment horizontal="center" vertical="center"/>
    </xf>
    <xf numFmtId="174" fontId="35" fillId="18" borderId="0" xfId="19" applyNumberFormat="1" applyFont="1" applyFill="1" applyAlignment="1">
      <alignment vertical="center"/>
    </xf>
    <xf numFmtId="174" fontId="7" fillId="18" borderId="0" xfId="19" applyNumberFormat="1" applyFont="1" applyFill="1" applyAlignment="1">
      <alignment horizontal="right" vertical="center"/>
    </xf>
    <xf numFmtId="0" fontId="40" fillId="17" borderId="0" xfId="12" applyFill="1" applyBorder="1" applyAlignment="1" applyProtection="1">
      <alignment vertical="center"/>
    </xf>
    <xf numFmtId="0" fontId="7" fillId="17" borderId="0" xfId="0" applyFont="1" applyFill="1" applyAlignment="1">
      <alignment vertical="center"/>
    </xf>
    <xf numFmtId="2" fontId="7" fillId="18" borderId="0" xfId="0" applyNumberFormat="1" applyFont="1" applyFill="1" applyAlignment="1">
      <alignment vertical="center"/>
    </xf>
    <xf numFmtId="0" fontId="35" fillId="16" borderId="0" xfId="0" applyFont="1" applyFill="1" applyAlignment="1">
      <alignment horizontal="center" vertical="center"/>
    </xf>
    <xf numFmtId="0" fontId="35" fillId="17" borderId="0" xfId="0" applyFont="1" applyFill="1" applyAlignment="1">
      <alignment horizontal="center" vertical="center"/>
    </xf>
    <xf numFmtId="174" fontId="35" fillId="15" borderId="0" xfId="0" applyNumberFormat="1" applyFont="1" applyFill="1" applyAlignment="1">
      <alignment vertical="center"/>
    </xf>
    <xf numFmtId="3" fontId="35" fillId="15" borderId="0" xfId="0" applyNumberFormat="1" applyFont="1" applyFill="1" applyAlignment="1">
      <alignment vertical="center"/>
    </xf>
    <xf numFmtId="3" fontId="35" fillId="18" borderId="0" xfId="0" applyNumberFormat="1" applyFont="1" applyFill="1" applyAlignment="1">
      <alignment vertical="center"/>
    </xf>
    <xf numFmtId="174" fontId="35" fillId="18" borderId="0" xfId="0" applyNumberFormat="1" applyFont="1" applyFill="1" applyAlignment="1">
      <alignment vertical="center"/>
    </xf>
    <xf numFmtId="0" fontId="35" fillId="16" borderId="0" xfId="0" applyFont="1" applyFill="1" applyAlignment="1">
      <alignment vertical="center"/>
    </xf>
    <xf numFmtId="43" fontId="35" fillId="15" borderId="0" xfId="19" applyFont="1" applyFill="1" applyAlignment="1">
      <alignment vertical="center"/>
    </xf>
    <xf numFmtId="0" fontId="64" fillId="16" borderId="0" xfId="0" applyFont="1" applyFill="1" applyAlignment="1">
      <alignment vertical="center"/>
    </xf>
    <xf numFmtId="174" fontId="0" fillId="15" borderId="0" xfId="19" applyNumberFormat="1" applyFont="1" applyFill="1" applyBorder="1" applyAlignment="1">
      <alignment horizontal="right" vertical="center"/>
    </xf>
    <xf numFmtId="0" fontId="7" fillId="16" borderId="0" xfId="0" applyFont="1" applyFill="1" applyAlignment="1">
      <alignment vertical="center"/>
    </xf>
    <xf numFmtId="0" fontId="55" fillId="16" borderId="0" xfId="0" applyFont="1" applyFill="1" applyAlignment="1">
      <alignment vertical="center"/>
    </xf>
    <xf numFmtId="165" fontId="7" fillId="15" borderId="0" xfId="0" applyNumberFormat="1" applyFont="1" applyFill="1" applyAlignment="1">
      <alignment vertical="center"/>
    </xf>
    <xf numFmtId="0" fontId="7" fillId="5" borderId="0" xfId="0" applyFont="1" applyFill="1" applyAlignment="1">
      <alignment horizontal="right" vertical="center"/>
    </xf>
    <xf numFmtId="0" fontId="64" fillId="16" borderId="0" xfId="0" applyFont="1" applyFill="1" applyAlignment="1">
      <alignment horizontal="right" vertical="center"/>
    </xf>
    <xf numFmtId="0" fontId="40" fillId="5" borderId="0" xfId="12" applyFill="1" applyAlignment="1" applyProtection="1">
      <alignment vertical="center"/>
    </xf>
    <xf numFmtId="174" fontId="35" fillId="15" borderId="0" xfId="19" applyNumberFormat="1" applyFont="1" applyFill="1" applyAlignment="1">
      <alignment vertical="center"/>
    </xf>
    <xf numFmtId="174" fontId="35" fillId="5" borderId="0" xfId="19" applyNumberFormat="1" applyFont="1" applyFill="1" applyAlignment="1">
      <alignment vertical="center"/>
    </xf>
    <xf numFmtId="0" fontId="12" fillId="5" borderId="0" xfId="0" applyFont="1" applyFill="1" applyAlignment="1">
      <alignment vertical="center"/>
    </xf>
    <xf numFmtId="0" fontId="8" fillId="17" borderId="0" xfId="0" applyFont="1" applyFill="1" applyAlignment="1">
      <alignment vertical="center"/>
    </xf>
    <xf numFmtId="1" fontId="7" fillId="18" borderId="0" xfId="0" applyNumberFormat="1" applyFont="1" applyFill="1" applyAlignment="1">
      <alignment vertical="center"/>
    </xf>
    <xf numFmtId="0" fontId="7" fillId="9" borderId="0" xfId="0" applyFont="1" applyFill="1" applyAlignment="1">
      <alignment vertical="center"/>
    </xf>
    <xf numFmtId="0" fontId="7" fillId="17" borderId="0" xfId="0" applyFont="1" applyFill="1" applyAlignment="1">
      <alignment horizontal="right" vertical="center"/>
    </xf>
    <xf numFmtId="0" fontId="57" fillId="17" borderId="0" xfId="0" applyFont="1" applyFill="1" applyAlignment="1">
      <alignment vertical="center"/>
    </xf>
    <xf numFmtId="0" fontId="8" fillId="5" borderId="0" xfId="0" applyFont="1" applyFill="1" applyAlignment="1">
      <alignment horizontal="right" vertical="center"/>
    </xf>
    <xf numFmtId="1" fontId="7" fillId="5" borderId="0" xfId="0" applyNumberFormat="1" applyFont="1" applyFill="1" applyAlignment="1">
      <alignment vertical="center"/>
    </xf>
    <xf numFmtId="167" fontId="7" fillId="5" borderId="0" xfId="0" applyNumberFormat="1" applyFont="1" applyFill="1" applyAlignment="1">
      <alignment vertical="center"/>
    </xf>
    <xf numFmtId="181" fontId="35" fillId="5" borderId="0" xfId="19" applyNumberFormat="1" applyFont="1" applyFill="1" applyAlignment="1">
      <alignment vertical="center"/>
    </xf>
    <xf numFmtId="0" fontId="35" fillId="5" borderId="0" xfId="19" applyNumberFormat="1" applyFont="1" applyFill="1" applyAlignment="1">
      <alignment vertical="center"/>
    </xf>
    <xf numFmtId="174" fontId="0" fillId="5" borderId="0" xfId="19" applyNumberFormat="1" applyFont="1" applyFill="1" applyBorder="1" applyAlignment="1">
      <alignment horizontal="right" vertical="center"/>
    </xf>
    <xf numFmtId="0" fontId="8" fillId="16" borderId="0" xfId="0" applyFont="1" applyFill="1" applyAlignment="1">
      <alignment horizontal="right" vertical="center"/>
    </xf>
    <xf numFmtId="43" fontId="35" fillId="15" borderId="0" xfId="0" applyNumberFormat="1" applyFont="1" applyFill="1"/>
    <xf numFmtId="165" fontId="7" fillId="5" borderId="0" xfId="0" applyNumberFormat="1" applyFont="1" applyFill="1" applyAlignment="1">
      <alignment vertical="center"/>
    </xf>
    <xf numFmtId="0" fontId="36" fillId="15" borderId="0" xfId="0" applyFont="1" applyFill="1" applyAlignment="1">
      <alignment horizontal="right" vertical="center"/>
    </xf>
    <xf numFmtId="174" fontId="7" fillId="5" borderId="0" xfId="19" applyNumberFormat="1" applyFont="1" applyFill="1"/>
    <xf numFmtId="168" fontId="7" fillId="5" borderId="0" xfId="10" applyNumberFormat="1" applyFont="1" applyFill="1"/>
    <xf numFmtId="174" fontId="71" fillId="18" borderId="0" xfId="19" applyNumberFormat="1" applyFont="1" applyFill="1"/>
    <xf numFmtId="0" fontId="7" fillId="17" borderId="33" xfId="0" applyFont="1" applyFill="1" applyBorder="1"/>
    <xf numFmtId="0" fontId="7" fillId="17" borderId="34" xfId="0" applyFont="1" applyFill="1" applyBorder="1" applyAlignment="1">
      <alignment vertical="center"/>
    </xf>
    <xf numFmtId="0" fontId="7" fillId="17" borderId="35" xfId="0" applyFont="1" applyFill="1" applyBorder="1" applyAlignment="1">
      <alignment vertical="center"/>
    </xf>
    <xf numFmtId="0" fontId="8" fillId="17" borderId="36" xfId="0" applyFont="1" applyFill="1" applyBorder="1"/>
    <xf numFmtId="9" fontId="7" fillId="18" borderId="37" xfId="0" applyNumberFormat="1" applyFont="1" applyFill="1" applyBorder="1"/>
    <xf numFmtId="0" fontId="8" fillId="17" borderId="38" xfId="0" applyFont="1" applyFill="1" applyBorder="1"/>
    <xf numFmtId="0" fontId="7" fillId="17" borderId="39" xfId="0" applyFont="1" applyFill="1" applyBorder="1" applyAlignment="1">
      <alignment vertical="center"/>
    </xf>
    <xf numFmtId="9" fontId="7" fillId="18" borderId="40" xfId="0" applyNumberFormat="1" applyFont="1" applyFill="1" applyBorder="1"/>
    <xf numFmtId="0" fontId="36" fillId="16" borderId="0" xfId="0" applyFont="1" applyFill="1" applyAlignment="1">
      <alignment vertical="center"/>
    </xf>
    <xf numFmtId="0" fontId="8" fillId="5" borderId="0" xfId="0" applyFont="1" applyFill="1" applyAlignment="1">
      <alignment horizontal="right" vertical="center" wrapText="1"/>
    </xf>
    <xf numFmtId="9" fontId="7" fillId="18" borderId="0" xfId="10" applyFont="1" applyFill="1"/>
    <xf numFmtId="0" fontId="35" fillId="17" borderId="0" xfId="0" applyFont="1" applyFill="1"/>
    <xf numFmtId="43" fontId="35" fillId="5" borderId="0" xfId="19" applyFont="1" applyFill="1" applyBorder="1"/>
    <xf numFmtId="0" fontId="36" fillId="16" borderId="0" xfId="0" applyFont="1" applyFill="1"/>
    <xf numFmtId="0" fontId="35" fillId="16" borderId="0" xfId="0" applyFont="1" applyFill="1" applyAlignment="1">
      <alignment vertical="center" wrapText="1"/>
    </xf>
    <xf numFmtId="0" fontId="35" fillId="15" borderId="0" xfId="0" applyFont="1" applyFill="1" applyAlignment="1">
      <alignment horizontal="right"/>
    </xf>
    <xf numFmtId="43" fontId="7" fillId="5" borderId="0" xfId="0" applyNumberFormat="1" applyFont="1" applyFill="1" applyAlignment="1">
      <alignment horizontal="right"/>
    </xf>
    <xf numFmtId="2" fontId="7" fillId="15" borderId="0" xfId="0" applyNumberFormat="1" applyFont="1" applyFill="1"/>
    <xf numFmtId="2" fontId="7" fillId="15" borderId="0" xfId="0" applyNumberFormat="1" applyFont="1" applyFill="1" applyAlignment="1">
      <alignment horizontal="right"/>
    </xf>
    <xf numFmtId="0" fontId="40" fillId="5" borderId="0" xfId="12" applyFill="1" applyAlignment="1" applyProtection="1"/>
    <xf numFmtId="0" fontId="7" fillId="5" borderId="0" xfId="0" applyFont="1" applyFill="1" applyAlignment="1">
      <alignment vertical="center" wrapText="1"/>
    </xf>
    <xf numFmtId="0" fontId="36" fillId="0" borderId="42" xfId="17" applyFont="1" applyBorder="1">
      <alignment wrapText="1"/>
    </xf>
    <xf numFmtId="167" fontId="35" fillId="0" borderId="42" xfId="17" applyNumberFormat="1" applyFont="1" applyBorder="1" applyAlignment="1">
      <alignment horizontal="right" wrapText="1"/>
    </xf>
    <xf numFmtId="0" fontId="36" fillId="0" borderId="14" xfId="16" applyFont="1">
      <alignment wrapText="1"/>
    </xf>
    <xf numFmtId="167" fontId="36" fillId="0" borderId="14" xfId="16" applyNumberFormat="1" applyFont="1" applyAlignment="1">
      <alignment horizontal="right" wrapText="1"/>
    </xf>
    <xf numFmtId="0" fontId="35" fillId="0" borderId="15" xfId="17" applyFont="1">
      <alignment wrapText="1"/>
    </xf>
    <xf numFmtId="167" fontId="35" fillId="0" borderId="15" xfId="17" applyNumberFormat="1" applyFont="1" applyAlignment="1">
      <alignment horizontal="right" wrapText="1"/>
    </xf>
    <xf numFmtId="0" fontId="35" fillId="0" borderId="15" xfId="17" applyFont="1" applyAlignment="1">
      <alignment horizontal="left" wrapText="1"/>
    </xf>
    <xf numFmtId="0" fontId="36" fillId="0" borderId="14" xfId="16" applyFont="1" applyAlignment="1">
      <alignment horizontal="left" wrapText="1"/>
    </xf>
    <xf numFmtId="0" fontId="35" fillId="0" borderId="15" xfId="17" applyFont="1" applyAlignment="1">
      <alignment horizontal="left" wrapText="1" indent="1"/>
    </xf>
    <xf numFmtId="0" fontId="35" fillId="0" borderId="15" xfId="17" applyFont="1" applyAlignment="1">
      <alignment horizontal="left" wrapText="1" indent="2"/>
    </xf>
    <xf numFmtId="0" fontId="36" fillId="0" borderId="43" xfId="16" applyFont="1" applyBorder="1">
      <alignment wrapText="1"/>
    </xf>
    <xf numFmtId="167" fontId="35" fillId="0" borderId="43" xfId="17" applyNumberFormat="1" applyFont="1" applyBorder="1" applyAlignment="1">
      <alignment horizontal="right" wrapText="1"/>
    </xf>
    <xf numFmtId="3" fontId="36" fillId="0" borderId="13" xfId="15" applyNumberFormat="1" applyFont="1" applyAlignment="1">
      <alignment horizontal="left" wrapText="1"/>
    </xf>
    <xf numFmtId="167" fontId="35" fillId="9" borderId="15" xfId="17" applyNumberFormat="1" applyFont="1" applyFill="1" applyAlignment="1">
      <alignment horizontal="right" wrapText="1"/>
    </xf>
    <xf numFmtId="0" fontId="35" fillId="5" borderId="0" xfId="28" applyFont="1" applyFill="1"/>
    <xf numFmtId="0" fontId="51" fillId="5" borderId="0" xfId="28" applyFont="1" applyFill="1"/>
    <xf numFmtId="0" fontId="52" fillId="5" borderId="0" xfId="28" applyFont="1" applyFill="1"/>
    <xf numFmtId="43" fontId="35" fillId="5" borderId="0" xfId="19" applyFont="1" applyFill="1" applyAlignment="1">
      <alignment horizontal="center"/>
    </xf>
    <xf numFmtId="43" fontId="35" fillId="5" borderId="0" xfId="19" applyFont="1" applyFill="1"/>
    <xf numFmtId="0" fontId="35" fillId="18" borderId="0" xfId="0" applyFont="1" applyFill="1"/>
    <xf numFmtId="174" fontId="35" fillId="18" borderId="0" xfId="19" applyNumberFormat="1" applyFont="1" applyFill="1"/>
    <xf numFmtId="0" fontId="36" fillId="17" borderId="0" xfId="0" applyFont="1" applyFill="1" applyAlignment="1">
      <alignment horizontal="center"/>
    </xf>
    <xf numFmtId="0" fontId="36" fillId="16" borderId="0" xfId="0" applyFont="1" applyFill="1" applyAlignment="1">
      <alignment horizontal="center"/>
    </xf>
    <xf numFmtId="43" fontId="0" fillId="5" borderId="0" xfId="19" applyFont="1" applyFill="1"/>
    <xf numFmtId="0" fontId="0" fillId="15" borderId="0" xfId="0" applyFill="1"/>
    <xf numFmtId="2" fontId="51" fillId="15" borderId="0" xfId="28" applyNumberFormat="1" applyFont="1" applyFill="1"/>
    <xf numFmtId="43" fontId="7" fillId="5" borderId="0" xfId="19" applyFont="1" applyFill="1" applyAlignment="1">
      <alignment horizontal="right"/>
    </xf>
    <xf numFmtId="174" fontId="7" fillId="5" borderId="0" xfId="19" applyNumberFormat="1" applyFont="1" applyFill="1" applyAlignment="1">
      <alignment horizontal="right"/>
    </xf>
    <xf numFmtId="0" fontId="14" fillId="5" borderId="0" xfId="20" applyFont="1" applyFill="1" applyAlignment="1">
      <alignment horizontal="left"/>
    </xf>
    <xf numFmtId="0" fontId="54" fillId="17" borderId="0" xfId="0" applyFont="1" applyFill="1"/>
    <xf numFmtId="0" fontId="7" fillId="17" borderId="0" xfId="0" applyFont="1" applyFill="1" applyAlignment="1">
      <alignment horizontal="right"/>
    </xf>
    <xf numFmtId="2" fontId="7" fillId="17" borderId="0" xfId="0" applyNumberFormat="1" applyFont="1" applyFill="1" applyAlignment="1">
      <alignment horizontal="right"/>
    </xf>
    <xf numFmtId="174" fontId="7" fillId="17" borderId="0" xfId="19" applyNumberFormat="1" applyFont="1" applyFill="1" applyAlignment="1">
      <alignment horizontal="right"/>
    </xf>
    <xf numFmtId="43" fontId="7" fillId="17" borderId="0" xfId="19" applyFont="1" applyFill="1" applyAlignment="1">
      <alignment horizontal="right"/>
    </xf>
    <xf numFmtId="0" fontId="7" fillId="17" borderId="0" xfId="0" applyFont="1" applyFill="1" applyAlignment="1">
      <alignment horizontal="center"/>
    </xf>
    <xf numFmtId="0" fontId="8" fillId="6" borderId="0" xfId="0" applyFont="1" applyFill="1" applyAlignment="1">
      <alignment horizontal="right"/>
    </xf>
    <xf numFmtId="0" fontId="7" fillId="6" borderId="0" xfId="0" applyFont="1" applyFill="1" applyAlignment="1">
      <alignment horizontal="right"/>
    </xf>
    <xf numFmtId="174" fontId="7" fillId="6" borderId="0" xfId="19" applyNumberFormat="1" applyFont="1" applyFill="1" applyAlignment="1">
      <alignment horizontal="right"/>
    </xf>
    <xf numFmtId="43" fontId="7" fillId="6" borderId="0" xfId="19" applyFont="1" applyFill="1" applyAlignment="1">
      <alignment horizontal="right"/>
    </xf>
    <xf numFmtId="0" fontId="8" fillId="18" borderId="0" xfId="0" applyFont="1" applyFill="1" applyAlignment="1">
      <alignment horizontal="left"/>
    </xf>
    <xf numFmtId="0" fontId="7" fillId="18" borderId="0" xfId="0" applyFont="1" applyFill="1" applyAlignment="1">
      <alignment horizontal="right"/>
    </xf>
    <xf numFmtId="2" fontId="7" fillId="18" borderId="0" xfId="0" applyNumberFormat="1" applyFont="1" applyFill="1" applyAlignment="1">
      <alignment horizontal="right"/>
    </xf>
    <xf numFmtId="174" fontId="7" fillId="18" borderId="0" xfId="19" applyNumberFormat="1" applyFont="1" applyFill="1" applyAlignment="1">
      <alignment horizontal="right"/>
    </xf>
    <xf numFmtId="43" fontId="7" fillId="18" borderId="0" xfId="19" applyFont="1" applyFill="1" applyAlignment="1">
      <alignment horizontal="right"/>
    </xf>
    <xf numFmtId="1" fontId="7" fillId="18" borderId="0" xfId="0" applyNumberFormat="1" applyFont="1" applyFill="1" applyAlignment="1">
      <alignment horizontal="right"/>
    </xf>
    <xf numFmtId="2" fontId="8" fillId="17" borderId="0" xfId="0" applyNumberFormat="1" applyFont="1" applyFill="1" applyAlignment="1">
      <alignment horizontal="center"/>
    </xf>
    <xf numFmtId="174" fontId="8" fillId="17" borderId="0" xfId="19" applyNumberFormat="1" applyFont="1" applyFill="1" applyAlignment="1">
      <alignment horizontal="center"/>
    </xf>
    <xf numFmtId="43" fontId="8" fillId="17" borderId="0" xfId="19" applyFont="1" applyFill="1" applyAlignment="1">
      <alignment horizontal="center"/>
    </xf>
    <xf numFmtId="0" fontId="7" fillId="23" borderId="0" xfId="0" applyFont="1" applyFill="1" applyAlignment="1">
      <alignment horizontal="right"/>
    </xf>
    <xf numFmtId="0" fontId="8" fillId="23" borderId="0" xfId="0" applyFont="1" applyFill="1" applyAlignment="1">
      <alignment horizontal="right"/>
    </xf>
    <xf numFmtId="2" fontId="7" fillId="23" borderId="0" xfId="0" applyNumberFormat="1" applyFont="1" applyFill="1" applyAlignment="1">
      <alignment horizontal="right"/>
    </xf>
    <xf numFmtId="174" fontId="7" fillId="23" borderId="0" xfId="19" applyNumberFormat="1" applyFont="1" applyFill="1" applyAlignment="1">
      <alignment horizontal="right"/>
    </xf>
    <xf numFmtId="43" fontId="7" fillId="23" borderId="0" xfId="19" applyFont="1" applyFill="1" applyAlignment="1">
      <alignment horizontal="right"/>
    </xf>
    <xf numFmtId="167" fontId="7" fillId="18" borderId="0" xfId="0" applyNumberFormat="1" applyFont="1" applyFill="1" applyAlignment="1">
      <alignment horizontal="right"/>
    </xf>
    <xf numFmtId="175" fontId="8" fillId="16" borderId="18" xfId="0" applyNumberFormat="1" applyFont="1" applyFill="1" applyBorder="1" applyAlignment="1">
      <alignment horizontal="left"/>
    </xf>
    <xf numFmtId="0" fontId="0" fillId="24" borderId="0" xfId="0" applyFill="1"/>
    <xf numFmtId="166" fontId="0" fillId="24" borderId="0" xfId="0" applyNumberFormat="1" applyFill="1"/>
    <xf numFmtId="166" fontId="0" fillId="15" borderId="0" xfId="0" applyNumberFormat="1" applyFill="1"/>
    <xf numFmtId="0" fontId="7" fillId="5" borderId="0" xfId="28" applyFill="1"/>
    <xf numFmtId="0" fontId="7" fillId="18" borderId="0" xfId="28" applyFill="1"/>
    <xf numFmtId="1" fontId="7" fillId="18" borderId="0" xfId="28" applyNumberFormat="1" applyFill="1"/>
    <xf numFmtId="0" fontId="37" fillId="18" borderId="0" xfId="8" applyFont="1" applyFill="1" applyBorder="1"/>
    <xf numFmtId="0" fontId="32" fillId="17" borderId="0" xfId="118" applyFont="1" applyFill="1" applyBorder="1" applyAlignment="1">
      <alignment vertical="center" readingOrder="1"/>
    </xf>
    <xf numFmtId="0" fontId="7" fillId="17" borderId="0" xfId="118" applyFill="1" applyBorder="1"/>
    <xf numFmtId="0" fontId="7" fillId="17" borderId="0" xfId="28" applyFill="1"/>
    <xf numFmtId="0" fontId="33" fillId="17" borderId="0" xfId="118" applyFont="1" applyFill="1" applyBorder="1"/>
    <xf numFmtId="0" fontId="31" fillId="17" borderId="0" xfId="118" applyFont="1" applyFill="1" applyBorder="1"/>
    <xf numFmtId="0" fontId="36" fillId="17" borderId="0" xfId="8" applyFont="1" applyFill="1" applyBorder="1"/>
    <xf numFmtId="0" fontId="36" fillId="17" borderId="0" xfId="8" applyFont="1" applyFill="1" applyBorder="1" applyAlignment="1">
      <alignment horizontal="left"/>
    </xf>
    <xf numFmtId="11" fontId="36" fillId="17" borderId="0" xfId="4" applyNumberFormat="1" applyFont="1" applyFill="1"/>
    <xf numFmtId="0" fontId="36" fillId="17" borderId="0" xfId="4" applyFont="1" applyFill="1"/>
    <xf numFmtId="179" fontId="35" fillId="18" borderId="0" xfId="19" applyNumberFormat="1" applyFont="1" applyFill="1"/>
    <xf numFmtId="0" fontId="35" fillId="17" borderId="0" xfId="0" applyFont="1" applyFill="1" applyAlignment="1">
      <alignment horizontal="right"/>
    </xf>
    <xf numFmtId="175" fontId="8" fillId="17" borderId="18" xfId="0" applyNumberFormat="1" applyFont="1" applyFill="1" applyBorder="1" applyAlignment="1">
      <alignment horizontal="left"/>
    </xf>
    <xf numFmtId="0" fontId="0" fillId="6" borderId="0" xfId="0" applyFill="1"/>
    <xf numFmtId="2" fontId="51" fillId="5" borderId="0" xfId="28" applyNumberFormat="1" applyFont="1" applyFill="1" applyAlignment="1">
      <alignment horizontal="left"/>
    </xf>
    <xf numFmtId="2" fontId="51" fillId="5" borderId="0" xfId="28" applyNumberFormat="1" applyFont="1" applyFill="1" applyAlignment="1">
      <alignment horizontal="left" vertical="center"/>
    </xf>
    <xf numFmtId="2" fontId="51" fillId="5" borderId="0" xfId="28" applyNumberFormat="1" applyFont="1" applyFill="1" applyAlignment="1">
      <alignment horizontal="right"/>
    </xf>
    <xf numFmtId="2" fontId="51" fillId="4" borderId="0" xfId="28" applyNumberFormat="1" applyFont="1" applyFill="1" applyAlignment="1">
      <alignment horizontal="right"/>
    </xf>
    <xf numFmtId="166" fontId="51" fillId="5" borderId="0" xfId="28" applyNumberFormat="1" applyFont="1" applyFill="1" applyAlignment="1">
      <alignment horizontal="left"/>
    </xf>
    <xf numFmtId="166" fontId="51" fillId="5" borderId="0" xfId="28" applyNumberFormat="1" applyFont="1" applyFill="1" applyAlignment="1">
      <alignment horizontal="right"/>
    </xf>
    <xf numFmtId="166" fontId="51" fillId="4" borderId="0" xfId="28" applyNumberFormat="1" applyFont="1" applyFill="1" applyAlignment="1">
      <alignment horizontal="right"/>
    </xf>
    <xf numFmtId="166" fontId="51" fillId="9" borderId="0" xfId="28" applyNumberFormat="1" applyFont="1" applyFill="1" applyAlignment="1">
      <alignment horizontal="right"/>
    </xf>
    <xf numFmtId="2" fontId="51" fillId="4" borderId="0" xfId="28" applyNumberFormat="1" applyFont="1" applyFill="1" applyAlignment="1">
      <alignment horizontal="left"/>
    </xf>
    <xf numFmtId="1" fontId="51" fillId="4" borderId="0" xfId="28" applyNumberFormat="1" applyFont="1" applyFill="1" applyAlignment="1">
      <alignment horizontal="left"/>
    </xf>
    <xf numFmtId="9" fontId="51" fillId="5" borderId="0" xfId="28" applyNumberFormat="1" applyFont="1" applyFill="1" applyAlignment="1">
      <alignment horizontal="left"/>
    </xf>
    <xf numFmtId="0" fontId="8" fillId="5" borderId="0" xfId="0" applyFont="1" applyFill="1" applyAlignment="1">
      <alignment horizontal="center"/>
    </xf>
    <xf numFmtId="2" fontId="0" fillId="5" borderId="0" xfId="0" applyNumberFormat="1" applyFill="1"/>
    <xf numFmtId="0" fontId="7" fillId="18" borderId="0" xfId="0" applyFont="1" applyFill="1" applyAlignment="1">
      <alignment horizontal="center" vertical="center"/>
    </xf>
    <xf numFmtId="0" fontId="8" fillId="18" borderId="0" xfId="0" applyFont="1" applyFill="1" applyAlignment="1">
      <alignment horizontal="center" vertical="center"/>
    </xf>
    <xf numFmtId="2" fontId="35" fillId="18" borderId="0" xfId="0" applyNumberFormat="1" applyFont="1" applyFill="1" applyAlignment="1">
      <alignment horizontal="center"/>
    </xf>
    <xf numFmtId="166" fontId="35" fillId="15" borderId="0" xfId="0" applyNumberFormat="1" applyFont="1" applyFill="1" applyAlignment="1">
      <alignment horizontal="center"/>
    </xf>
    <xf numFmtId="165" fontId="35" fillId="15" borderId="0" xfId="0" applyNumberFormat="1" applyFont="1" applyFill="1" applyAlignment="1">
      <alignment horizontal="center"/>
    </xf>
    <xf numFmtId="167" fontId="35" fillId="15" borderId="0" xfId="0" applyNumberFormat="1" applyFont="1" applyFill="1" applyAlignment="1">
      <alignment horizontal="center"/>
    </xf>
    <xf numFmtId="0" fontId="35" fillId="15" borderId="0" xfId="0" applyFont="1" applyFill="1" applyAlignment="1">
      <alignment horizontal="center"/>
    </xf>
    <xf numFmtId="0" fontId="36" fillId="6" borderId="0" xfId="0" applyFont="1" applyFill="1"/>
    <xf numFmtId="0" fontId="8" fillId="6" borderId="0" xfId="0" applyFont="1" applyFill="1" applyAlignment="1">
      <alignment horizontal="center" vertical="center"/>
    </xf>
    <xf numFmtId="0" fontId="36" fillId="6" borderId="0" xfId="0" applyFont="1" applyFill="1" applyAlignment="1">
      <alignment horizontal="center"/>
    </xf>
    <xf numFmtId="0" fontId="36" fillId="20" borderId="0" xfId="0" applyFont="1" applyFill="1" applyAlignment="1">
      <alignment horizontal="center"/>
    </xf>
    <xf numFmtId="0" fontId="7" fillId="6" borderId="0" xfId="0" applyFont="1" applyFill="1" applyAlignment="1">
      <alignment horizontal="center" vertical="center"/>
    </xf>
    <xf numFmtId="2" fontId="7" fillId="18" borderId="0" xfId="19" applyNumberFormat="1" applyFont="1" applyFill="1" applyAlignment="1">
      <alignment horizontal="center" vertical="center"/>
    </xf>
    <xf numFmtId="0" fontId="35" fillId="18" borderId="0" xfId="0" applyFont="1" applyFill="1" applyAlignment="1">
      <alignment horizontal="center" vertical="center"/>
    </xf>
    <xf numFmtId="166" fontId="35" fillId="20" borderId="0" xfId="0" applyNumberFormat="1" applyFont="1" applyFill="1" applyAlignment="1">
      <alignment horizontal="center"/>
    </xf>
    <xf numFmtId="0" fontId="35" fillId="20" borderId="0" xfId="0" applyFont="1" applyFill="1" applyAlignment="1">
      <alignment horizontal="center"/>
    </xf>
    <xf numFmtId="167" fontId="35" fillId="20" borderId="0" xfId="0" applyNumberFormat="1" applyFont="1" applyFill="1" applyAlignment="1">
      <alignment horizontal="center"/>
    </xf>
    <xf numFmtId="165" fontId="35" fillId="20" borderId="0" xfId="0" applyNumberFormat="1" applyFont="1" applyFill="1" applyAlignment="1">
      <alignment horizontal="center"/>
    </xf>
    <xf numFmtId="14" fontId="7" fillId="5" borderId="0" xfId="0" applyNumberFormat="1" applyFont="1" applyFill="1" applyAlignment="1">
      <alignment horizontal="left" vertical="center"/>
    </xf>
    <xf numFmtId="2" fontId="0" fillId="5" borderId="0" xfId="0" applyNumberFormat="1" applyFill="1" applyAlignment="1">
      <alignment horizontal="left" vertical="center"/>
    </xf>
    <xf numFmtId="0" fontId="7" fillId="18" borderId="0" xfId="0" applyFont="1" applyFill="1" applyAlignment="1">
      <alignment horizontal="left" wrapText="1"/>
    </xf>
    <xf numFmtId="0" fontId="73" fillId="18" borderId="0" xfId="0" applyFont="1" applyFill="1"/>
    <xf numFmtId="11" fontId="73" fillId="18" borderId="0" xfId="0" applyNumberFormat="1" applyFont="1" applyFill="1"/>
    <xf numFmtId="0" fontId="8" fillId="17" borderId="0" xfId="0" applyFont="1" applyFill="1"/>
    <xf numFmtId="0" fontId="16" fillId="17" borderId="0" xfId="0" applyFont="1" applyFill="1"/>
    <xf numFmtId="0" fontId="16" fillId="17" borderId="0" xfId="6" applyFont="1" applyFill="1"/>
    <xf numFmtId="0" fontId="0" fillId="18" borderId="0" xfId="0" applyFill="1" applyAlignment="1">
      <alignment horizontal="center"/>
    </xf>
    <xf numFmtId="165" fontId="16" fillId="18" borderId="0" xfId="6" applyNumberFormat="1" applyFont="1" applyFill="1"/>
    <xf numFmtId="2" fontId="51" fillId="17" borderId="0" xfId="28" applyNumberFormat="1" applyFont="1" applyFill="1" applyAlignment="1">
      <alignment horizontal="left"/>
    </xf>
    <xf numFmtId="43" fontId="51" fillId="5" borderId="0" xfId="19" applyFont="1" applyFill="1" applyAlignment="1">
      <alignment horizontal="left"/>
    </xf>
    <xf numFmtId="43" fontId="51" fillId="5" borderId="0" xfId="19" applyFont="1" applyFill="1" applyAlignment="1">
      <alignment horizontal="left" vertical="center"/>
    </xf>
    <xf numFmtId="2" fontId="51" fillId="16" borderId="0" xfId="28" applyNumberFormat="1" applyFont="1" applyFill="1" applyAlignment="1">
      <alignment horizontal="left"/>
    </xf>
    <xf numFmtId="2" fontId="51" fillId="15" borderId="0" xfId="28" applyNumberFormat="1" applyFont="1" applyFill="1" applyAlignment="1">
      <alignment horizontal="left"/>
    </xf>
    <xf numFmtId="2" fontId="63" fillId="0" borderId="0" xfId="0" applyNumberFormat="1" applyFont="1" applyAlignment="1">
      <alignment horizontal="left"/>
    </xf>
    <xf numFmtId="2" fontId="52" fillId="17" borderId="0" xfId="28" applyNumberFormat="1" applyFont="1" applyFill="1" applyAlignment="1">
      <alignment horizontal="left"/>
    </xf>
    <xf numFmtId="2" fontId="52" fillId="16" borderId="0" xfId="28" applyNumberFormat="1" applyFont="1" applyFill="1" applyAlignment="1">
      <alignment horizontal="left"/>
    </xf>
    <xf numFmtId="43" fontId="51" fillId="15" borderId="0" xfId="19" applyFont="1" applyFill="1" applyAlignment="1">
      <alignment horizontal="left"/>
    </xf>
    <xf numFmtId="174" fontId="51" fillId="15" borderId="0" xfId="19" applyNumberFormat="1" applyFont="1" applyFill="1" applyAlignment="1">
      <alignment horizontal="left"/>
    </xf>
    <xf numFmtId="174" fontId="63" fillId="0" borderId="0" xfId="0" applyNumberFormat="1" applyFont="1" applyAlignment="1">
      <alignment horizontal="left"/>
    </xf>
    <xf numFmtId="2" fontId="51" fillId="5" borderId="0" xfId="28" applyNumberFormat="1" applyFont="1" applyFill="1" applyAlignment="1">
      <alignment vertical="top"/>
    </xf>
    <xf numFmtId="2" fontId="51" fillId="16" borderId="0" xfId="28" applyNumberFormat="1" applyFont="1" applyFill="1" applyAlignment="1">
      <alignment horizontal="right"/>
    </xf>
    <xf numFmtId="2" fontId="51" fillId="15" borderId="0" xfId="0" applyNumberFormat="1" applyFont="1" applyFill="1"/>
    <xf numFmtId="43" fontId="0" fillId="18" borderId="0" xfId="19" applyFont="1" applyFill="1"/>
    <xf numFmtId="174" fontId="0" fillId="18" borderId="0" xfId="19" applyNumberFormat="1" applyFont="1" applyFill="1"/>
    <xf numFmtId="0" fontId="36" fillId="23" borderId="0" xfId="0" applyFont="1" applyFill="1"/>
    <xf numFmtId="0" fontId="35" fillId="23" borderId="0" xfId="0" applyFont="1" applyFill="1"/>
    <xf numFmtId="0" fontId="7" fillId="23" borderId="0" xfId="0" applyFont="1" applyFill="1" applyAlignment="1">
      <alignment horizontal="center" vertical="center"/>
    </xf>
    <xf numFmtId="0" fontId="8" fillId="23" borderId="0" xfId="0" applyFont="1" applyFill="1" applyAlignment="1">
      <alignment horizontal="center" vertical="center"/>
    </xf>
    <xf numFmtId="0" fontId="36" fillId="23" borderId="0" xfId="0" applyFont="1" applyFill="1" applyAlignment="1">
      <alignment horizontal="center"/>
    </xf>
    <xf numFmtId="0" fontId="36" fillId="24" borderId="0" xfId="0" applyFont="1" applyFill="1" applyAlignment="1">
      <alignment horizontal="center"/>
    </xf>
    <xf numFmtId="166" fontId="35" fillId="24" borderId="0" xfId="0" applyNumberFormat="1" applyFont="1" applyFill="1" applyAlignment="1">
      <alignment horizontal="center"/>
    </xf>
    <xf numFmtId="165" fontId="35" fillId="24" borderId="0" xfId="0" applyNumberFormat="1" applyFont="1" applyFill="1" applyAlignment="1">
      <alignment horizontal="center"/>
    </xf>
    <xf numFmtId="167" fontId="35" fillId="24" borderId="0" xfId="0" applyNumberFormat="1" applyFont="1" applyFill="1" applyAlignment="1">
      <alignment horizontal="center"/>
    </xf>
    <xf numFmtId="43" fontId="35" fillId="5" borderId="0" xfId="0" applyNumberFormat="1" applyFont="1" applyFill="1"/>
    <xf numFmtId="0" fontId="35" fillId="5" borderId="0" xfId="0" applyFont="1" applyFill="1" applyAlignment="1">
      <alignment horizontal="right"/>
    </xf>
    <xf numFmtId="0" fontId="36" fillId="5" borderId="0" xfId="0" applyFont="1" applyFill="1" applyAlignment="1">
      <alignment horizontal="center"/>
    </xf>
    <xf numFmtId="0" fontId="36" fillId="17" borderId="0" xfId="28" applyFont="1" applyFill="1" applyAlignment="1">
      <alignment vertical="center"/>
    </xf>
    <xf numFmtId="0" fontId="35" fillId="5" borderId="0" xfId="28" applyFont="1" applyFill="1" applyAlignment="1">
      <alignment vertical="center"/>
    </xf>
    <xf numFmtId="0" fontId="2" fillId="5" borderId="0" xfId="119" applyFill="1"/>
    <xf numFmtId="0" fontId="7" fillId="17" borderId="0" xfId="28" applyFill="1" applyAlignment="1">
      <alignment vertical="center"/>
    </xf>
    <xf numFmtId="0" fontId="2" fillId="17" borderId="0" xfId="119" applyFill="1"/>
    <xf numFmtId="0" fontId="7" fillId="18" borderId="32" xfId="28" applyFill="1" applyBorder="1" applyAlignment="1">
      <alignment horizontal="left" vertical="center"/>
    </xf>
    <xf numFmtId="174" fontId="0" fillId="18" borderId="32" xfId="32" applyNumberFormat="1" applyFont="1" applyFill="1" applyBorder="1" applyAlignment="1">
      <alignment vertical="center"/>
    </xf>
    <xf numFmtId="174" fontId="2" fillId="18" borderId="0" xfId="119" applyNumberFormat="1" applyFill="1"/>
    <xf numFmtId="43" fontId="0" fillId="18" borderId="32" xfId="32" applyFont="1" applyFill="1" applyBorder="1" applyAlignment="1">
      <alignment vertical="center"/>
    </xf>
    <xf numFmtId="0" fontId="7" fillId="18" borderId="0" xfId="28" applyFill="1" applyAlignment="1">
      <alignment horizontal="left" vertical="center"/>
    </xf>
    <xf numFmtId="174" fontId="0" fillId="18" borderId="0" xfId="32" applyNumberFormat="1" applyFont="1" applyFill="1" applyAlignment="1">
      <alignment vertical="center"/>
    </xf>
    <xf numFmtId="0" fontId="64" fillId="18" borderId="0" xfId="28" applyFont="1" applyFill="1" applyAlignment="1">
      <alignment vertical="center"/>
    </xf>
    <xf numFmtId="174" fontId="65" fillId="18" borderId="0" xfId="32" applyNumberFormat="1" applyFont="1" applyFill="1" applyAlignment="1">
      <alignment vertical="center"/>
    </xf>
    <xf numFmtId="0" fontId="64" fillId="5" borderId="0" xfId="119" applyFont="1" applyFill="1"/>
    <xf numFmtId="0" fontId="65" fillId="5" borderId="0" xfId="119" applyFont="1" applyFill="1"/>
    <xf numFmtId="0" fontId="2" fillId="5" borderId="0" xfId="119" applyFill="1" applyAlignment="1">
      <alignment horizontal="left"/>
    </xf>
    <xf numFmtId="1" fontId="2" fillId="5" borderId="0" xfId="119" applyNumberFormat="1" applyFill="1"/>
    <xf numFmtId="0" fontId="64" fillId="5" borderId="0" xfId="28" applyFont="1" applyFill="1" applyAlignment="1">
      <alignment vertical="center"/>
    </xf>
    <xf numFmtId="174" fontId="65" fillId="5" borderId="0" xfId="32" applyNumberFormat="1" applyFont="1" applyFill="1" applyAlignment="1">
      <alignment vertical="center"/>
    </xf>
    <xf numFmtId="174" fontId="2" fillId="5" borderId="0" xfId="119" applyNumberFormat="1" applyFill="1"/>
    <xf numFmtId="9" fontId="0" fillId="5" borderId="0" xfId="10" applyFont="1" applyFill="1" applyBorder="1" applyAlignment="1">
      <alignment horizontal="right" vertical="center"/>
    </xf>
    <xf numFmtId="43" fontId="7" fillId="15" borderId="0" xfId="19" applyFont="1" applyFill="1"/>
    <xf numFmtId="2" fontId="7" fillId="25" borderId="0" xfId="0" applyNumberFormat="1" applyFont="1" applyFill="1" applyAlignment="1">
      <alignment horizontal="right"/>
    </xf>
    <xf numFmtId="2" fontId="8" fillId="25" borderId="0" xfId="0" applyNumberFormat="1" applyFont="1" applyFill="1" applyAlignment="1">
      <alignment horizontal="center" vertical="center"/>
    </xf>
    <xf numFmtId="2" fontId="66" fillId="25" borderId="0" xfId="0" applyNumberFormat="1" applyFont="1" applyFill="1" applyAlignment="1">
      <alignment horizontal="right"/>
    </xf>
    <xf numFmtId="0" fontId="7" fillId="25" borderId="0" xfId="0" applyFont="1" applyFill="1" applyAlignment="1">
      <alignment horizontal="right"/>
    </xf>
    <xf numFmtId="166" fontId="7" fillId="25" borderId="0" xfId="0" applyNumberFormat="1" applyFont="1" applyFill="1" applyAlignment="1">
      <alignment horizontal="right"/>
    </xf>
    <xf numFmtId="0" fontId="7" fillId="25" borderId="0" xfId="0" applyFont="1" applyFill="1" applyAlignment="1">
      <alignment horizontal="center"/>
    </xf>
    <xf numFmtId="0" fontId="8" fillId="25" borderId="0" xfId="0" applyFont="1" applyFill="1" applyAlignment="1">
      <alignment horizontal="right"/>
    </xf>
    <xf numFmtId="1" fontId="77" fillId="5" borderId="0" xfId="122" applyNumberFormat="1" applyFont="1" applyFill="1" applyAlignment="1">
      <alignment horizontal="right"/>
    </xf>
    <xf numFmtId="2" fontId="35" fillId="5" borderId="0" xfId="0" applyNumberFormat="1" applyFont="1" applyFill="1" applyAlignment="1">
      <alignment horizontal="right" wrapText="1"/>
    </xf>
    <xf numFmtId="10" fontId="35" fillId="5" borderId="0" xfId="0" applyNumberFormat="1" applyFont="1" applyFill="1" applyAlignment="1">
      <alignment horizontal="right"/>
    </xf>
    <xf numFmtId="2" fontId="8" fillId="5" borderId="0" xfId="0" applyNumberFormat="1" applyFont="1" applyFill="1" applyAlignment="1">
      <alignment horizontal="right" vertical="center"/>
    </xf>
    <xf numFmtId="43" fontId="0" fillId="18" borderId="0" xfId="19" applyFont="1" applyFill="1" applyBorder="1"/>
    <xf numFmtId="174" fontId="35" fillId="18" borderId="0" xfId="19" applyNumberFormat="1" applyFont="1" applyFill="1" applyAlignment="1">
      <alignment horizontal="center"/>
    </xf>
    <xf numFmtId="2" fontId="36" fillId="4" borderId="0" xfId="0" applyNumberFormat="1" applyFont="1" applyFill="1" applyAlignment="1">
      <alignment horizontal="center" wrapText="1"/>
    </xf>
    <xf numFmtId="10" fontId="36" fillId="4" borderId="0" xfId="0" applyNumberFormat="1" applyFont="1" applyFill="1" applyAlignment="1">
      <alignment horizontal="center"/>
    </xf>
    <xf numFmtId="2" fontId="8" fillId="4" borderId="0" xfId="0" applyNumberFormat="1" applyFont="1" applyFill="1" applyAlignment="1">
      <alignment horizontal="center" vertical="center"/>
    </xf>
    <xf numFmtId="2" fontId="8" fillId="25" borderId="0" xfId="0" applyNumberFormat="1" applyFont="1" applyFill="1" applyAlignment="1">
      <alignment horizontal="center"/>
    </xf>
    <xf numFmtId="0" fontId="8" fillId="25" borderId="0" xfId="0" applyFont="1" applyFill="1" applyAlignment="1">
      <alignment horizontal="center"/>
    </xf>
    <xf numFmtId="9" fontId="7" fillId="5" borderId="0" xfId="10" applyFont="1" applyFill="1" applyAlignment="1">
      <alignment horizontal="right"/>
    </xf>
    <xf numFmtId="2" fontId="8" fillId="5" borderId="0" xfId="0" applyNumberFormat="1" applyFont="1" applyFill="1" applyAlignment="1">
      <alignment horizontal="center" vertical="center"/>
    </xf>
    <xf numFmtId="0" fontId="36" fillId="16" borderId="0" xfId="28" applyFont="1" applyFill="1" applyAlignment="1">
      <alignment horizontal="center"/>
    </xf>
    <xf numFmtId="0" fontId="36" fillId="17" borderId="0" xfId="28" applyFont="1" applyFill="1" applyAlignment="1">
      <alignment horizontal="left"/>
    </xf>
    <xf numFmtId="174" fontId="7" fillId="18" borderId="0" xfId="19" applyNumberFormat="1" applyFont="1" applyFill="1"/>
    <xf numFmtId="0" fontId="36" fillId="15" borderId="0" xfId="28" applyFont="1" applyFill="1" applyAlignment="1">
      <alignment horizontal="right"/>
    </xf>
    <xf numFmtId="10" fontId="35" fillId="15" borderId="0" xfId="10" applyNumberFormat="1" applyFont="1" applyFill="1" applyAlignment="1">
      <alignment horizontal="right"/>
    </xf>
    <xf numFmtId="43" fontId="35" fillId="15" borderId="0" xfId="19" applyFont="1" applyFill="1" applyAlignment="1">
      <alignment horizontal="right" vertical="center"/>
    </xf>
    <xf numFmtId="43" fontId="35" fillId="15" borderId="0" xfId="19" applyFont="1" applyFill="1" applyAlignment="1">
      <alignment horizontal="center"/>
    </xf>
    <xf numFmtId="0" fontId="36" fillId="17" borderId="0" xfId="28" applyFont="1" applyFill="1"/>
    <xf numFmtId="174" fontId="7" fillId="17" borderId="0" xfId="19" applyNumberFormat="1" applyFont="1" applyFill="1"/>
    <xf numFmtId="174" fontId="7" fillId="16" borderId="0" xfId="19" applyNumberFormat="1" applyFont="1" applyFill="1"/>
    <xf numFmtId="43" fontId="7" fillId="16" borderId="0" xfId="19" applyFont="1" applyFill="1"/>
    <xf numFmtId="0" fontId="36" fillId="16" borderId="0" xfId="28" applyFont="1" applyFill="1"/>
    <xf numFmtId="43" fontId="7" fillId="15" borderId="0" xfId="19" applyFont="1" applyFill="1" applyAlignment="1">
      <alignment horizontal="right" vertical="center"/>
    </xf>
    <xf numFmtId="43" fontId="7" fillId="15" borderId="0" xfId="0" applyNumberFormat="1" applyFont="1" applyFill="1"/>
    <xf numFmtId="170" fontId="52" fillId="5" borderId="0" xfId="28" applyNumberFormat="1" applyFont="1" applyFill="1"/>
    <xf numFmtId="170" fontId="52" fillId="5" borderId="0" xfId="28" applyNumberFormat="1" applyFont="1" applyFill="1" applyAlignment="1">
      <alignment horizontal="left" indent="1"/>
    </xf>
    <xf numFmtId="170" fontId="51" fillId="5" borderId="0" xfId="28" applyNumberFormat="1" applyFont="1" applyFill="1" applyAlignment="1">
      <alignment horizontal="left" indent="2"/>
    </xf>
    <xf numFmtId="0" fontId="81" fillId="5" borderId="0" xfId="0" applyFont="1" applyFill="1"/>
    <xf numFmtId="0" fontId="36" fillId="5" borderId="0" xfId="28" applyFont="1" applyFill="1" applyAlignment="1">
      <alignment horizontal="right"/>
    </xf>
    <xf numFmtId="10" fontId="35" fillId="5" borderId="0" xfId="10" applyNumberFormat="1" applyFont="1" applyFill="1" applyAlignment="1">
      <alignment horizontal="right"/>
    </xf>
    <xf numFmtId="181" fontId="7" fillId="5" borderId="0" xfId="19" applyNumberFormat="1" applyFont="1" applyFill="1" applyAlignment="1">
      <alignment horizontal="right" vertical="center"/>
    </xf>
    <xf numFmtId="0" fontId="82" fillId="17" borderId="0" xfId="0" applyFont="1" applyFill="1" applyAlignment="1">
      <alignment horizontal="center" vertical="center"/>
    </xf>
    <xf numFmtId="0" fontId="83" fillId="17" borderId="0" xfId="0" applyFont="1" applyFill="1"/>
    <xf numFmtId="0" fontId="83" fillId="17" borderId="0" xfId="0" applyFont="1" applyFill="1" applyAlignment="1">
      <alignment horizontal="center" vertical="center"/>
    </xf>
    <xf numFmtId="0" fontId="80" fillId="17" borderId="0" xfId="0" applyFont="1" applyFill="1"/>
    <xf numFmtId="0" fontId="85" fillId="17" borderId="0" xfId="0" applyFont="1" applyFill="1"/>
    <xf numFmtId="0" fontId="86" fillId="17" borderId="0" xfId="14" applyFont="1" applyFill="1" applyAlignment="1">
      <alignment horizontal="left" wrapText="1"/>
    </xf>
    <xf numFmtId="1" fontId="83" fillId="17" borderId="0" xfId="15" applyNumberFormat="1" applyFont="1" applyFill="1" applyBorder="1" applyAlignment="1">
      <alignment horizontal="right" wrapText="1"/>
    </xf>
    <xf numFmtId="0" fontId="37" fillId="17" borderId="0" xfId="0" applyFont="1" applyFill="1"/>
    <xf numFmtId="170" fontId="18" fillId="18" borderId="0" xfId="0" applyNumberFormat="1" applyFont="1" applyFill="1"/>
    <xf numFmtId="167" fontId="16" fillId="18" borderId="0" xfId="0" applyNumberFormat="1" applyFont="1" applyFill="1" applyAlignment="1">
      <alignment horizontal="right" indent="1"/>
    </xf>
    <xf numFmtId="167" fontId="79" fillId="18" borderId="0" xfId="17" applyNumberFormat="1" applyFont="1" applyFill="1" applyBorder="1" applyAlignment="1">
      <alignment horizontal="right" wrapText="1"/>
    </xf>
    <xf numFmtId="2" fontId="79" fillId="18" borderId="0" xfId="17" applyNumberFormat="1" applyFont="1" applyFill="1" applyBorder="1" applyAlignment="1">
      <alignment horizontal="right" wrapText="1"/>
    </xf>
    <xf numFmtId="0" fontId="18" fillId="18" borderId="0" xfId="0" applyFont="1" applyFill="1" applyAlignment="1">
      <alignment horizontal="left" indent="1"/>
    </xf>
    <xf numFmtId="167" fontId="78" fillId="18" borderId="0" xfId="16" applyNumberFormat="1" applyFont="1" applyFill="1" applyBorder="1" applyAlignment="1">
      <alignment horizontal="right" wrapText="1"/>
    </xf>
    <xf numFmtId="170" fontId="16" fillId="18" borderId="0" xfId="0" applyNumberFormat="1" applyFont="1" applyFill="1" applyAlignment="1">
      <alignment horizontal="left" indent="2"/>
    </xf>
    <xf numFmtId="0" fontId="18" fillId="18" borderId="0" xfId="0" applyFont="1" applyFill="1"/>
    <xf numFmtId="2" fontId="78" fillId="18" borderId="0" xfId="16" applyNumberFormat="1" applyFont="1" applyFill="1" applyBorder="1" applyAlignment="1">
      <alignment horizontal="right" wrapText="1"/>
    </xf>
    <xf numFmtId="170" fontId="16" fillId="18" borderId="0" xfId="0" applyNumberFormat="1" applyFont="1" applyFill="1" applyAlignment="1">
      <alignment horizontal="left" indent="1"/>
    </xf>
    <xf numFmtId="170" fontId="83" fillId="18" borderId="0" xfId="0" applyNumberFormat="1" applyFont="1" applyFill="1"/>
    <xf numFmtId="167" fontId="38" fillId="18" borderId="0" xfId="0" applyNumberFormat="1" applyFont="1" applyFill="1" applyAlignment="1">
      <alignment horizontal="right" vertical="center"/>
    </xf>
    <xf numFmtId="0" fontId="83" fillId="18" borderId="0" xfId="0" applyFont="1" applyFill="1"/>
    <xf numFmtId="170" fontId="38" fillId="18" borderId="0" xfId="0" applyNumberFormat="1" applyFont="1" applyFill="1" applyAlignment="1">
      <alignment horizontal="left" indent="1"/>
    </xf>
    <xf numFmtId="0" fontId="38" fillId="18" borderId="0" xfId="0" applyFont="1" applyFill="1" applyAlignment="1">
      <alignment horizontal="left" indent="1"/>
    </xf>
    <xf numFmtId="170" fontId="83" fillId="18" borderId="0" xfId="0" applyNumberFormat="1" applyFont="1" applyFill="1" applyAlignment="1">
      <alignment horizontal="left" indent="1"/>
    </xf>
    <xf numFmtId="170" fontId="38" fillId="18" borderId="0" xfId="0" applyNumberFormat="1" applyFont="1" applyFill="1" applyAlignment="1">
      <alignment horizontal="left" indent="2"/>
    </xf>
    <xf numFmtId="1" fontId="77" fillId="5" borderId="0" xfId="122" applyNumberFormat="1" applyFont="1" applyFill="1" applyAlignment="1"/>
    <xf numFmtId="0" fontId="87" fillId="18" borderId="0" xfId="0" applyFont="1" applyFill="1"/>
    <xf numFmtId="43" fontId="74" fillId="18" borderId="0" xfId="19" applyFont="1" applyFill="1" applyAlignment="1">
      <alignment horizontal="left" vertical="center"/>
    </xf>
    <xf numFmtId="0" fontId="8" fillId="23" borderId="0" xfId="0" applyFont="1" applyFill="1"/>
    <xf numFmtId="0" fontId="7" fillId="23" borderId="0" xfId="0" applyFont="1" applyFill="1"/>
    <xf numFmtId="0" fontId="8" fillId="18" borderId="0" xfId="0" applyFont="1" applyFill="1"/>
    <xf numFmtId="2" fontId="7" fillId="18" borderId="0" xfId="0" applyNumberFormat="1" applyFont="1" applyFill="1"/>
    <xf numFmtId="0" fontId="8" fillId="6" borderId="0" xfId="0" applyFont="1" applyFill="1"/>
    <xf numFmtId="0" fontId="7" fillId="6" borderId="0" xfId="0" applyFont="1" applyFill="1"/>
    <xf numFmtId="0" fontId="8" fillId="6" borderId="0" xfId="87" applyFont="1" applyFill="1"/>
    <xf numFmtId="11" fontId="0" fillId="18" borderId="0" xfId="19" applyNumberFormat="1" applyFont="1" applyFill="1" applyBorder="1"/>
    <xf numFmtId="164" fontId="7" fillId="9" borderId="0" xfId="0" applyNumberFormat="1" applyFont="1" applyFill="1"/>
    <xf numFmtId="43" fontId="62" fillId="17" borderId="0" xfId="19" applyFont="1" applyFill="1" applyAlignment="1">
      <alignment horizontal="right"/>
    </xf>
    <xf numFmtId="43" fontId="7" fillId="17" borderId="0" xfId="0" applyNumberFormat="1" applyFont="1" applyFill="1" applyAlignment="1">
      <alignment horizontal="center"/>
    </xf>
    <xf numFmtId="43" fontId="8" fillId="23" borderId="0" xfId="0" applyNumberFormat="1" applyFont="1" applyFill="1" applyAlignment="1">
      <alignment horizontal="right"/>
    </xf>
    <xf numFmtId="43" fontId="8" fillId="6" borderId="0" xfId="19" applyFont="1" applyFill="1" applyAlignment="1">
      <alignment horizontal="right"/>
    </xf>
    <xf numFmtId="43" fontId="8" fillId="18" borderId="0" xfId="19" applyFont="1" applyFill="1" applyAlignment="1">
      <alignment horizontal="right"/>
    </xf>
    <xf numFmtId="43" fontId="8" fillId="23" borderId="0" xfId="19" applyFont="1" applyFill="1" applyAlignment="1">
      <alignment horizontal="right"/>
    </xf>
    <xf numFmtId="43" fontId="8" fillId="5" borderId="0" xfId="19" applyFont="1" applyFill="1" applyAlignment="1">
      <alignment horizontal="right"/>
    </xf>
    <xf numFmtId="43" fontId="62" fillId="5" borderId="0" xfId="19" applyFont="1" applyFill="1" applyAlignment="1">
      <alignment horizontal="right"/>
    </xf>
    <xf numFmtId="0" fontId="88" fillId="0" borderId="0" xfId="123" applyFont="1"/>
    <xf numFmtId="0" fontId="38" fillId="0" borderId="0" xfId="123" applyFont="1"/>
    <xf numFmtId="0" fontId="1" fillId="0" borderId="0" xfId="123"/>
    <xf numFmtId="2" fontId="1" fillId="0" borderId="0" xfId="123" applyNumberFormat="1"/>
    <xf numFmtId="183" fontId="38" fillId="0" borderId="0" xfId="123" applyNumberFormat="1" applyFont="1"/>
    <xf numFmtId="0" fontId="69" fillId="0" borderId="0" xfId="124"/>
    <xf numFmtId="0" fontId="89" fillId="26" borderId="45" xfId="123" applyFont="1" applyFill="1" applyBorder="1"/>
    <xf numFmtId="0" fontId="90" fillId="26" borderId="46" xfId="123" applyFont="1" applyFill="1" applyBorder="1"/>
    <xf numFmtId="0" fontId="47" fillId="0" borderId="0" xfId="126" applyBorder="1">
      <alignment wrapText="1"/>
    </xf>
    <xf numFmtId="0" fontId="46" fillId="0" borderId="0" xfId="127" applyBorder="1" applyAlignment="1">
      <alignment horizontal="right" wrapText="1"/>
    </xf>
    <xf numFmtId="2" fontId="46" fillId="0" borderId="0" xfId="127" applyNumberFormat="1" applyBorder="1" applyAlignment="1">
      <alignment horizontal="right" wrapText="1"/>
    </xf>
    <xf numFmtId="184" fontId="38" fillId="0" borderId="10" xfId="123" applyNumberFormat="1" applyFont="1" applyBorder="1"/>
    <xf numFmtId="0" fontId="38" fillId="0" borderId="47" xfId="123" applyFont="1" applyBorder="1"/>
    <xf numFmtId="0" fontId="38" fillId="0" borderId="10" xfId="123" applyFont="1" applyBorder="1"/>
    <xf numFmtId="0" fontId="38" fillId="0" borderId="10" xfId="123" applyFont="1" applyBorder="1" applyAlignment="1">
      <alignment horizontal="left"/>
    </xf>
    <xf numFmtId="0" fontId="38" fillId="0" borderId="47" xfId="123" applyFont="1" applyBorder="1" applyAlignment="1">
      <alignment horizontal="left"/>
    </xf>
    <xf numFmtId="0" fontId="91" fillId="26" borderId="48" xfId="128" applyFont="1" applyFill="1" applyBorder="1">
      <alignment wrapText="1"/>
    </xf>
    <xf numFmtId="0" fontId="91" fillId="26" borderId="49" xfId="128" applyFont="1" applyFill="1" applyBorder="1" applyAlignment="1">
      <alignment horizontal="right" wrapText="1"/>
    </xf>
    <xf numFmtId="2" fontId="91" fillId="26" borderId="49" xfId="128" applyNumberFormat="1" applyFont="1" applyFill="1" applyBorder="1" applyAlignment="1">
      <alignment horizontal="right" wrapText="1"/>
    </xf>
    <xf numFmtId="2" fontId="91" fillId="26" borderId="50" xfId="128" applyNumberFormat="1" applyFont="1" applyFill="1" applyBorder="1" applyAlignment="1">
      <alignment horizontal="right" wrapText="1"/>
    </xf>
    <xf numFmtId="3" fontId="38" fillId="0" borderId="10" xfId="123" applyNumberFormat="1" applyFont="1" applyBorder="1"/>
    <xf numFmtId="182" fontId="38" fillId="0" borderId="10" xfId="123" applyNumberFormat="1" applyFont="1" applyBorder="1"/>
    <xf numFmtId="0" fontId="38" fillId="0" borderId="10" xfId="129" applyNumberFormat="1" applyFont="1" applyBorder="1" applyAlignment="1">
      <alignment horizontal="left"/>
    </xf>
    <xf numFmtId="4" fontId="47" fillId="0" borderId="53" xfId="126" applyNumberFormat="1" applyBorder="1">
      <alignment wrapText="1"/>
    </xf>
    <xf numFmtId="4" fontId="47" fillId="0" borderId="15" xfId="126" applyNumberFormat="1">
      <alignment wrapText="1"/>
    </xf>
    <xf numFmtId="4" fontId="47" fillId="0" borderId="54" xfId="126" applyNumberFormat="1" applyBorder="1">
      <alignment wrapText="1"/>
    </xf>
    <xf numFmtId="183" fontId="38" fillId="0" borderId="44" xfId="123" applyNumberFormat="1" applyFont="1" applyBorder="1"/>
    <xf numFmtId="0" fontId="38" fillId="0" borderId="55" xfId="123" applyFont="1" applyBorder="1"/>
    <xf numFmtId="11" fontId="38" fillId="0" borderId="10" xfId="123" applyNumberFormat="1" applyFont="1" applyBorder="1"/>
    <xf numFmtId="1" fontId="38" fillId="0" borderId="10" xfId="123" applyNumberFormat="1" applyFont="1" applyBorder="1"/>
    <xf numFmtId="0" fontId="38" fillId="0" borderId="44" xfId="123" applyFont="1" applyBorder="1" applyAlignment="1">
      <alignment horizontal="left"/>
    </xf>
    <xf numFmtId="0" fontId="38" fillId="0" borderId="55" xfId="123" applyFont="1" applyBorder="1" applyAlignment="1">
      <alignment horizontal="left"/>
    </xf>
    <xf numFmtId="0" fontId="90" fillId="26" borderId="9" xfId="123" applyFont="1" applyFill="1" applyBorder="1"/>
    <xf numFmtId="185" fontId="38" fillId="0" borderId="44" xfId="129" applyNumberFormat="1" applyFont="1" applyBorder="1"/>
    <xf numFmtId="182" fontId="38" fillId="0" borderId="0" xfId="123" applyNumberFormat="1" applyFont="1"/>
    <xf numFmtId="185" fontId="38" fillId="0" borderId="0" xfId="129" applyNumberFormat="1" applyFont="1"/>
    <xf numFmtId="186" fontId="38" fillId="0" borderId="44" xfId="129" applyNumberFormat="1" applyFont="1" applyBorder="1"/>
    <xf numFmtId="0" fontId="83" fillId="0" borderId="10" xfId="123" applyFont="1" applyBorder="1"/>
    <xf numFmtId="0" fontId="92" fillId="0" borderId="0" xfId="123" applyFont="1"/>
    <xf numFmtId="0" fontId="92" fillId="0" borderId="47" xfId="123" applyFont="1" applyBorder="1"/>
    <xf numFmtId="0" fontId="93" fillId="0" borderId="10" xfId="123" applyFont="1" applyBorder="1"/>
    <xf numFmtId="0" fontId="83" fillId="0" borderId="10" xfId="123" applyFont="1" applyBorder="1" applyAlignment="1">
      <alignment horizontal="center"/>
    </xf>
    <xf numFmtId="0" fontId="83" fillId="0" borderId="0" xfId="123" applyFont="1" applyAlignment="1">
      <alignment horizontal="center"/>
    </xf>
    <xf numFmtId="0" fontId="83" fillId="0" borderId="47" xfId="123" applyFont="1" applyBorder="1" applyAlignment="1">
      <alignment horizontal="left"/>
    </xf>
    <xf numFmtId="2" fontId="38" fillId="0" borderId="0" xfId="123" applyNumberFormat="1" applyFont="1"/>
    <xf numFmtId="165" fontId="38" fillId="0" borderId="47" xfId="123" applyNumberFormat="1" applyFont="1" applyBorder="1"/>
    <xf numFmtId="11" fontId="38" fillId="0" borderId="0" xfId="123" applyNumberFormat="1" applyFont="1"/>
    <xf numFmtId="0" fontId="38" fillId="0" borderId="44" xfId="123" applyFont="1" applyBorder="1"/>
    <xf numFmtId="182" fontId="38" fillId="9" borderId="11" xfId="123" applyNumberFormat="1" applyFont="1" applyFill="1" applyBorder="1"/>
    <xf numFmtId="0" fontId="94" fillId="0" borderId="10" xfId="123" applyFont="1" applyBorder="1"/>
    <xf numFmtId="0" fontId="38" fillId="0" borderId="0" xfId="123" quotePrefix="1" applyFont="1"/>
    <xf numFmtId="0" fontId="38" fillId="0" borderId="10" xfId="123" applyFont="1" applyBorder="1" applyAlignment="1">
      <alignment horizontal="left" indent="1"/>
    </xf>
    <xf numFmtId="4" fontId="47" fillId="0" borderId="10" xfId="126" applyNumberFormat="1" applyBorder="1">
      <alignment wrapText="1"/>
    </xf>
    <xf numFmtId="4" fontId="47" fillId="0" borderId="0" xfId="126" applyNumberFormat="1" applyBorder="1">
      <alignment wrapText="1"/>
    </xf>
    <xf numFmtId="4" fontId="47" fillId="0" borderId="47" xfId="126" applyNumberFormat="1" applyBorder="1">
      <alignment wrapText="1"/>
    </xf>
    <xf numFmtId="4" fontId="46" fillId="0" borderId="10" xfId="126" applyNumberFormat="1" applyFont="1" applyBorder="1">
      <alignment wrapText="1"/>
    </xf>
    <xf numFmtId="4" fontId="47" fillId="0" borderId="0" xfId="126" applyNumberFormat="1" applyBorder="1" applyAlignment="1">
      <alignment horizontal="right" wrapText="1"/>
    </xf>
    <xf numFmtId="0" fontId="47" fillId="0" borderId="10" xfId="126" applyBorder="1">
      <alignment wrapText="1"/>
    </xf>
    <xf numFmtId="187" fontId="47" fillId="0" borderId="0" xfId="126" applyNumberFormat="1" applyBorder="1">
      <alignment wrapText="1"/>
    </xf>
    <xf numFmtId="2" fontId="47" fillId="0" borderId="0" xfId="126" applyNumberFormat="1" applyBorder="1">
      <alignment wrapText="1"/>
    </xf>
    <xf numFmtId="0" fontId="95" fillId="0" borderId="10" xfId="124" applyFont="1" applyBorder="1"/>
    <xf numFmtId="173" fontId="38" fillId="0" borderId="0" xfId="123" applyNumberFormat="1" applyFont="1"/>
    <xf numFmtId="0" fontId="94" fillId="0" borderId="10" xfId="123" applyFont="1" applyBorder="1" applyAlignment="1">
      <alignment horizontal="left"/>
    </xf>
    <xf numFmtId="173" fontId="38" fillId="0" borderId="0" xfId="129" applyNumberFormat="1" applyFont="1"/>
    <xf numFmtId="167" fontId="38" fillId="0" borderId="0" xfId="123" applyNumberFormat="1" applyFont="1"/>
    <xf numFmtId="167" fontId="38" fillId="12" borderId="0" xfId="123" applyNumberFormat="1" applyFont="1" applyFill="1"/>
    <xf numFmtId="166" fontId="38" fillId="0" borderId="0" xfId="123" applyNumberFormat="1" applyFont="1"/>
    <xf numFmtId="168" fontId="38" fillId="0" borderId="0" xfId="123" applyNumberFormat="1" applyFont="1"/>
    <xf numFmtId="2" fontId="38" fillId="0" borderId="11" xfId="123" applyNumberFormat="1" applyFont="1" applyBorder="1"/>
    <xf numFmtId="165" fontId="38" fillId="0" borderId="55" xfId="123" applyNumberFormat="1" applyFont="1" applyBorder="1"/>
    <xf numFmtId="0" fontId="96" fillId="0" borderId="44" xfId="123" applyFont="1" applyBorder="1"/>
    <xf numFmtId="0" fontId="38" fillId="0" borderId="11" xfId="123" applyFont="1" applyBorder="1"/>
    <xf numFmtId="3" fontId="38" fillId="0" borderId="0" xfId="123" applyNumberFormat="1" applyFont="1"/>
    <xf numFmtId="0" fontId="95" fillId="0" borderId="44" xfId="124" applyFont="1" applyBorder="1"/>
    <xf numFmtId="0" fontId="97" fillId="0" borderId="0" xfId="124" applyFont="1"/>
    <xf numFmtId="0" fontId="89" fillId="26" borderId="9" xfId="123" applyFont="1" applyFill="1" applyBorder="1"/>
    <xf numFmtId="0" fontId="89" fillId="26" borderId="46" xfId="123" applyFont="1" applyFill="1" applyBorder="1"/>
    <xf numFmtId="0" fontId="96" fillId="0" borderId="10" xfId="123" applyFont="1" applyBorder="1"/>
    <xf numFmtId="0" fontId="52" fillId="5" borderId="0" xfId="28" applyFont="1" applyFill="1" applyAlignment="1">
      <alignment horizontal="center"/>
    </xf>
    <xf numFmtId="174" fontId="35" fillId="5" borderId="0" xfId="19" applyNumberFormat="1" applyFont="1" applyFill="1"/>
    <xf numFmtId="0" fontId="52" fillId="5" borderId="0" xfId="28" applyFont="1" applyFill="1" applyAlignment="1">
      <alignment horizontal="right"/>
    </xf>
    <xf numFmtId="10" fontId="51" fillId="5" borderId="0" xfId="10" applyNumberFormat="1" applyFont="1" applyFill="1" applyAlignment="1">
      <alignment horizontal="right"/>
    </xf>
    <xf numFmtId="43" fontId="51" fillId="5" borderId="0" xfId="19" applyFont="1" applyFill="1" applyAlignment="1">
      <alignment horizontal="right" vertical="center"/>
    </xf>
    <xf numFmtId="43" fontId="51" fillId="5" borderId="0" xfId="19" applyFont="1" applyFill="1" applyAlignment="1">
      <alignment horizontal="center"/>
    </xf>
    <xf numFmtId="175" fontId="8" fillId="5" borderId="0" xfId="0" applyNumberFormat="1" applyFont="1" applyFill="1" applyAlignment="1">
      <alignment horizontal="left"/>
    </xf>
    <xf numFmtId="0" fontId="7" fillId="23" borderId="0" xfId="0" applyFont="1" applyFill="1" applyAlignment="1">
      <alignment horizontal="left"/>
    </xf>
    <xf numFmtId="0" fontId="7" fillId="6" borderId="0" xfId="0" applyFont="1" applyFill="1" applyAlignment="1">
      <alignment horizontal="left"/>
    </xf>
    <xf numFmtId="0" fontId="7" fillId="6" borderId="0" xfId="87" applyFill="1"/>
    <xf numFmtId="0" fontId="7" fillId="6" borderId="0" xfId="87" applyFill="1" applyAlignment="1">
      <alignment horizontal="right"/>
    </xf>
    <xf numFmtId="2" fontId="7" fillId="6" borderId="0" xfId="87" applyNumberFormat="1" applyFill="1" applyAlignment="1">
      <alignment horizontal="right"/>
    </xf>
    <xf numFmtId="1" fontId="7" fillId="6" borderId="0" xfId="87" applyNumberFormat="1" applyFill="1" applyAlignment="1">
      <alignment horizontal="right"/>
    </xf>
    <xf numFmtId="0" fontId="7" fillId="5" borderId="0" xfId="87" applyFill="1"/>
    <xf numFmtId="0" fontId="7" fillId="18" borderId="0" xfId="87" applyFill="1"/>
    <xf numFmtId="0" fontId="7" fillId="18" borderId="0" xfId="87" applyFill="1" applyAlignment="1">
      <alignment horizontal="left"/>
    </xf>
    <xf numFmtId="0" fontId="7" fillId="18" borderId="0" xfId="87" applyFill="1" applyAlignment="1">
      <alignment horizontal="right"/>
    </xf>
    <xf numFmtId="2" fontId="7" fillId="18" borderId="0" xfId="87" applyNumberFormat="1" applyFill="1" applyAlignment="1">
      <alignment horizontal="right"/>
    </xf>
    <xf numFmtId="1" fontId="7" fillId="18" borderId="0" xfId="87" applyNumberFormat="1" applyFill="1" applyAlignment="1">
      <alignment horizontal="right"/>
    </xf>
    <xf numFmtId="2" fontId="7" fillId="6" borderId="0" xfId="0" applyNumberFormat="1" applyFont="1" applyFill="1"/>
    <xf numFmtId="0" fontId="16" fillId="10" borderId="0" xfId="0" applyFont="1" applyFill="1" applyAlignment="1">
      <alignment horizontal="left"/>
    </xf>
    <xf numFmtId="0" fontId="16" fillId="10" borderId="0" xfId="0" applyFont="1" applyFill="1"/>
    <xf numFmtId="0" fontId="18" fillId="10" borderId="0" xfId="0" applyFont="1" applyFill="1"/>
    <xf numFmtId="0" fontId="16" fillId="10" borderId="0" xfId="0" applyFont="1" applyFill="1" applyAlignment="1">
      <alignment horizontal="right"/>
    </xf>
    <xf numFmtId="0" fontId="7" fillId="0" borderId="0" xfId="0" applyFont="1" applyAlignment="1">
      <alignment horizontal="right"/>
    </xf>
    <xf numFmtId="0" fontId="7" fillId="10" borderId="0" xfId="0" applyFont="1" applyFill="1" applyAlignment="1">
      <alignment horizontal="right"/>
    </xf>
    <xf numFmtId="2" fontId="7" fillId="13" borderId="0" xfId="0" applyNumberFormat="1" applyFont="1" applyFill="1" applyAlignment="1">
      <alignment horizontal="right"/>
    </xf>
    <xf numFmtId="0" fontId="7" fillId="13" borderId="0" xfId="0" applyFont="1" applyFill="1" applyAlignment="1">
      <alignment horizontal="right"/>
    </xf>
    <xf numFmtId="4" fontId="7" fillId="13" borderId="0" xfId="0" applyNumberFormat="1" applyFont="1" applyFill="1" applyAlignment="1">
      <alignment horizontal="right"/>
    </xf>
    <xf numFmtId="168" fontId="7" fillId="13" borderId="0" xfId="10" applyNumberFormat="1" applyFont="1" applyFill="1" applyAlignment="1">
      <alignment horizontal="right"/>
    </xf>
    <xf numFmtId="1" fontId="7" fillId="13" borderId="0" xfId="0" applyNumberFormat="1" applyFont="1" applyFill="1" applyAlignment="1">
      <alignment horizontal="right"/>
    </xf>
    <xf numFmtId="0" fontId="40" fillId="0" borderId="0" xfId="12" applyAlignment="1" applyProtection="1"/>
    <xf numFmtId="0" fontId="36" fillId="5" borderId="0" xfId="0" applyFont="1" applyFill="1"/>
    <xf numFmtId="0" fontId="1" fillId="0" borderId="0" xfId="123"/>
    <xf numFmtId="0" fontId="98" fillId="15" borderId="0" xfId="0" applyFont="1" applyFill="1" applyAlignment="1">
      <alignment horizontal="right"/>
    </xf>
    <xf numFmtId="174" fontId="59" fillId="15" borderId="0" xfId="19" applyNumberFormat="1" applyFont="1" applyFill="1"/>
    <xf numFmtId="0" fontId="59" fillId="5" borderId="0" xfId="0" applyFont="1" applyFill="1" applyAlignment="1">
      <alignment vertical="center"/>
    </xf>
    <xf numFmtId="10" fontId="35" fillId="5" borderId="0" xfId="10" applyNumberFormat="1" applyFont="1" applyFill="1" applyAlignment="1">
      <alignment vertical="center"/>
    </xf>
    <xf numFmtId="0" fontId="36" fillId="5" borderId="8" xfId="0" applyFont="1" applyFill="1" applyBorder="1" applyAlignment="1">
      <alignment horizontal="center" vertical="center" textRotation="90"/>
    </xf>
    <xf numFmtId="0" fontId="8" fillId="17" borderId="0" xfId="0" applyFont="1" applyFill="1" applyAlignment="1">
      <alignment horizontal="center"/>
    </xf>
    <xf numFmtId="0" fontId="8" fillId="16" borderId="0" xfId="0" applyFont="1" applyFill="1" applyAlignment="1">
      <alignment horizontal="center"/>
    </xf>
    <xf numFmtId="2" fontId="40" fillId="5" borderId="0" xfId="12" applyNumberFormat="1" applyFill="1" applyAlignment="1" applyProtection="1">
      <alignment horizontal="left"/>
    </xf>
    <xf numFmtId="2" fontId="51" fillId="5" borderId="0" xfId="28" applyNumberFormat="1" applyFont="1" applyFill="1" applyAlignment="1">
      <alignment horizontal="left"/>
    </xf>
    <xf numFmtId="0" fontId="35" fillId="5" borderId="0" xfId="0" applyFont="1" applyFill="1" applyAlignment="1">
      <alignment horizontal="center" wrapText="1"/>
    </xf>
    <xf numFmtId="2" fontId="8" fillId="6" borderId="0" xfId="0" applyNumberFormat="1" applyFont="1" applyFill="1" applyAlignment="1">
      <alignment horizontal="center" vertical="center"/>
    </xf>
    <xf numFmtId="2" fontId="8" fillId="3" borderId="0" xfId="0" applyNumberFormat="1" applyFont="1" applyFill="1" applyAlignment="1">
      <alignment horizontal="center" vertical="center"/>
    </xf>
    <xf numFmtId="0" fontId="36" fillId="5" borderId="7" xfId="0" applyFont="1" applyFill="1" applyBorder="1" applyAlignment="1">
      <alignment wrapText="1"/>
    </xf>
    <xf numFmtId="0" fontId="36" fillId="5" borderId="20" xfId="0" applyFont="1" applyFill="1" applyBorder="1" applyAlignment="1">
      <alignment wrapText="1"/>
    </xf>
    <xf numFmtId="0" fontId="36" fillId="5" borderId="21" xfId="0" applyFont="1" applyFill="1" applyBorder="1" applyAlignment="1">
      <alignment wrapText="1"/>
    </xf>
    <xf numFmtId="0" fontId="36" fillId="5" borderId="22" xfId="0" applyFont="1" applyFill="1" applyBorder="1" applyAlignment="1">
      <alignment horizontal="center" vertical="center" textRotation="90"/>
    </xf>
    <xf numFmtId="0" fontId="36" fillId="5" borderId="25" xfId="0" applyFont="1" applyFill="1" applyBorder="1" applyAlignment="1">
      <alignment horizontal="center" vertical="center" textRotation="90"/>
    </xf>
    <xf numFmtId="0" fontId="36" fillId="5" borderId="26" xfId="0" applyFont="1" applyFill="1" applyBorder="1" applyAlignment="1">
      <alignment horizontal="center" vertical="center" textRotation="90"/>
    </xf>
    <xf numFmtId="0" fontId="36" fillId="5" borderId="0" xfId="0" applyFont="1" applyFill="1" applyAlignment="1"/>
    <xf numFmtId="0" fontId="36" fillId="5" borderId="16" xfId="0" applyFont="1" applyFill="1" applyBorder="1" applyAlignment="1">
      <alignment horizontal="center" vertical="center" textRotation="90"/>
    </xf>
    <xf numFmtId="0" fontId="36" fillId="5" borderId="12" xfId="0" applyFont="1" applyFill="1" applyBorder="1" applyAlignment="1">
      <alignment horizontal="center" vertical="center" textRotation="90"/>
    </xf>
    <xf numFmtId="0" fontId="36" fillId="5" borderId="8" xfId="0" applyFont="1" applyFill="1" applyBorder="1" applyAlignment="1">
      <alignment horizontal="center" vertical="center" textRotation="90"/>
    </xf>
    <xf numFmtId="0" fontId="23" fillId="5" borderId="0" xfId="0" applyFont="1" applyFill="1" applyAlignment="1">
      <alignment horizontal="center" wrapText="1"/>
    </xf>
    <xf numFmtId="0" fontId="23" fillId="19" borderId="0" xfId="0" applyFont="1" applyFill="1" applyAlignment="1">
      <alignment horizontal="center" wrapText="1"/>
    </xf>
    <xf numFmtId="0" fontId="36" fillId="5" borderId="17" xfId="0" applyFont="1" applyFill="1" applyBorder="1" applyAlignment="1">
      <alignment horizontal="left"/>
    </xf>
    <xf numFmtId="0" fontId="36" fillId="5" borderId="18" xfId="0" applyFont="1" applyFill="1" applyBorder="1" applyAlignment="1">
      <alignment horizontal="left"/>
    </xf>
    <xf numFmtId="0" fontId="36" fillId="5" borderId="19" xfId="0" applyFont="1" applyFill="1" applyBorder="1" applyAlignment="1">
      <alignment horizontal="left"/>
    </xf>
    <xf numFmtId="0" fontId="36" fillId="5" borderId="4" xfId="0" applyFont="1" applyFill="1" applyBorder="1" applyAlignment="1"/>
    <xf numFmtId="0" fontId="36" fillId="5" borderId="5" xfId="0" applyFont="1" applyFill="1" applyBorder="1" applyAlignment="1"/>
    <xf numFmtId="0" fontId="8" fillId="17" borderId="0" xfId="0" applyFont="1" applyFill="1" applyAlignment="1">
      <alignment horizontal="center"/>
    </xf>
    <xf numFmtId="0" fontId="52" fillId="5" borderId="0" xfId="28" applyFont="1" applyFill="1" applyAlignment="1">
      <alignment horizontal="center" vertical="center"/>
    </xf>
    <xf numFmtId="0" fontId="52" fillId="5" borderId="0" xfId="28" applyFont="1" applyFill="1" applyAlignment="1">
      <alignment horizontal="center" vertical="distributed"/>
    </xf>
    <xf numFmtId="0" fontId="8" fillId="16" borderId="0" xfId="0" applyFont="1" applyFill="1" applyAlignment="1">
      <alignment horizontal="center"/>
    </xf>
    <xf numFmtId="0" fontId="35" fillId="16" borderId="0" xfId="0" applyFont="1" applyFill="1" applyAlignment="1">
      <alignment horizontal="center" wrapText="1"/>
    </xf>
    <xf numFmtId="2" fontId="40" fillId="5" borderId="0" xfId="12" applyNumberFormat="1" applyFill="1" applyAlignment="1" applyProtection="1">
      <alignment horizontal="left"/>
    </xf>
    <xf numFmtId="2" fontId="51" fillId="5" borderId="0" xfId="28" applyNumberFormat="1" applyFont="1" applyFill="1" applyAlignment="1">
      <alignment horizontal="left"/>
    </xf>
    <xf numFmtId="0" fontId="46" fillId="0" borderId="60" xfId="130" applyFont="1" applyBorder="1" applyAlignment="1">
      <alignment vertical="top" wrapText="1"/>
    </xf>
    <xf numFmtId="0" fontId="1" fillId="0" borderId="59" xfId="123" applyBorder="1" applyAlignment="1"/>
    <xf numFmtId="0" fontId="1" fillId="0" borderId="61" xfId="123" applyBorder="1" applyAlignment="1"/>
    <xf numFmtId="0" fontId="46" fillId="0" borderId="62" xfId="126" applyFont="1" applyBorder="1" applyAlignment="1">
      <alignment wrapText="1"/>
    </xf>
    <xf numFmtId="0" fontId="1" fillId="0" borderId="0" xfId="123" applyAlignment="1"/>
    <xf numFmtId="0" fontId="1" fillId="0" borderId="47" xfId="123" applyBorder="1" applyAlignment="1"/>
    <xf numFmtId="0" fontId="46" fillId="0" borderId="63" xfId="126" applyFont="1" applyBorder="1" applyAlignment="1">
      <alignment wrapText="1"/>
    </xf>
    <xf numFmtId="0" fontId="1" fillId="0" borderId="11" xfId="123" applyBorder="1" applyAlignment="1"/>
    <xf numFmtId="0" fontId="1" fillId="0" borderId="55" xfId="123" applyBorder="1" applyAlignment="1"/>
    <xf numFmtId="0" fontId="86" fillId="0" borderId="0" xfId="125" applyFont="1" applyAlignment="1">
      <alignment horizontal="left"/>
    </xf>
    <xf numFmtId="0" fontId="46" fillId="0" borderId="51" xfId="127" applyBorder="1" applyAlignment="1">
      <alignment wrapText="1"/>
    </xf>
    <xf numFmtId="0" fontId="1" fillId="0" borderId="14" xfId="123" applyBorder="1" applyAlignment="1"/>
    <xf numFmtId="0" fontId="1" fillId="0" borderId="52" xfId="123" applyBorder="1" applyAlignment="1"/>
    <xf numFmtId="4" fontId="46" fillId="0" borderId="51" xfId="127" applyNumberFormat="1" applyBorder="1" applyAlignment="1">
      <alignment wrapText="1"/>
    </xf>
    <xf numFmtId="4" fontId="46" fillId="0" borderId="56" xfId="127" applyNumberFormat="1" applyBorder="1" applyAlignment="1">
      <alignment wrapText="1"/>
    </xf>
    <xf numFmtId="0" fontId="1" fillId="0" borderId="57" xfId="123" applyBorder="1" applyAlignment="1"/>
    <xf numFmtId="0" fontId="1" fillId="0" borderId="58" xfId="123" applyBorder="1" applyAlignment="1"/>
  </cellXfs>
  <cellStyles count="131">
    <cellStyle name="20% - Accent5 2" xfId="51" xr:uid="{03889B2D-6DC1-48F4-BDBA-019E302C83A8}"/>
    <cellStyle name="20% - Accent5 2 2" xfId="99" xr:uid="{B51D0C29-A354-46BA-954B-082B571EA662}"/>
    <cellStyle name="20% - Accent5 3" xfId="69" xr:uid="{4C05EA62-EBC4-4DC6-B674-F6E213AD422E}"/>
    <cellStyle name="20% - Accent5 3 2" xfId="110" xr:uid="{DA827F34-2416-42EC-9D7C-B37D6F5D307E}"/>
    <cellStyle name="Body: normal cell" xfId="17" xr:uid="{00000000-0005-0000-0000-000000000000}"/>
    <cellStyle name="Body: normal cell 2" xfId="126" xr:uid="{8E9D5AB4-5716-4AA2-912D-E16F54FA8D19}"/>
    <cellStyle name="Comma" xfId="19" builtinId="3"/>
    <cellStyle name="Comma 10" xfId="120" xr:uid="{BF08635A-39F5-4459-BFC4-0BD4BB1DB22C}"/>
    <cellStyle name="Comma 10 2" xfId="32" xr:uid="{49122807-7558-4847-8A0B-1859AC1E0BDC}"/>
    <cellStyle name="Comma 10 2 2" xfId="56" xr:uid="{D7E6E875-9B76-4EF6-9A7D-D67AD8D6383E}"/>
    <cellStyle name="Comma 10 2 3" xfId="74" xr:uid="{45909A0C-89C0-4EE0-BC5B-E31DF6023747}"/>
    <cellStyle name="Comma 11" xfId="129" xr:uid="{C725FBAD-791E-4A79-9630-89E07B814EB8}"/>
    <cellStyle name="Comma 2" xfId="21" xr:uid="{1905C7C7-29C5-4E33-8F12-6517ADDD90F1}"/>
    <cellStyle name="Comma 2 2" xfId="31" xr:uid="{883D46C4-89BC-4F62-A67E-E5D676E801CD}"/>
    <cellStyle name="Comma 2 2 2" xfId="39" xr:uid="{AF233BB0-2FB1-4701-9ECC-B5925D961640}"/>
    <cellStyle name="Comma 2 2 2 2" xfId="60" xr:uid="{9DE04E2C-F75E-4B2A-9DE3-B9153031AE9F}"/>
    <cellStyle name="Comma 2 2 2 3" xfId="78" xr:uid="{BEEAFE2B-E78A-4976-A129-FF0315989467}"/>
    <cellStyle name="Comma 2 2 3" xfId="55" xr:uid="{94B16A63-106C-4458-BBC1-08FC37257535}"/>
    <cellStyle name="Comma 2 2 4" xfId="73" xr:uid="{10914023-8963-407F-A67B-13B502B661D3}"/>
    <cellStyle name="Comma 2 3" xfId="33" xr:uid="{6A7247C2-58E2-4C5F-9C5D-2AA3563A2515}"/>
    <cellStyle name="Comma 2 3 2" xfId="57" xr:uid="{C746E0B5-C9D1-4A9D-A1E7-5270473882F6}"/>
    <cellStyle name="Comma 2 3 3" xfId="75" xr:uid="{E66E8AF9-6E80-4DC7-B455-5124EBF0A42C}"/>
    <cellStyle name="Comma 2 4" xfId="52" xr:uid="{3E71D8BA-9DAA-475A-B500-78496C20C169}"/>
    <cellStyle name="Comma 2 5" xfId="70" xr:uid="{D176D01A-9DD8-4E78-9F31-F626DE247126}"/>
    <cellStyle name="Comma 26" xfId="38" xr:uid="{0A539E46-B3E2-4C11-852D-4645B8A51B0D}"/>
    <cellStyle name="Comma 3" xfId="1" xr:uid="{00000000-0005-0000-0000-000002000000}"/>
    <cellStyle name="Comma 3 2" xfId="54" xr:uid="{A1C0D834-A48E-441F-9756-82FC26333D9F}"/>
    <cellStyle name="Comma 3 3" xfId="72" xr:uid="{B0F14236-2936-4F63-BFC0-A8A929793A13}"/>
    <cellStyle name="Comma 3 4" xfId="30" xr:uid="{9DE17917-62A5-4D91-A5ED-35E10D7C3850}"/>
    <cellStyle name="Comma 3 7" xfId="37" xr:uid="{B9DA649F-3E8F-44D7-8F63-405ED44975C5}"/>
    <cellStyle name="Comma 4" xfId="36" xr:uid="{B80884AC-AA5D-4CFF-80CA-18269D859DFE}"/>
    <cellStyle name="Comma 4 2" xfId="44" xr:uid="{227C8227-911A-4CD7-B9D3-4A8C9607107B}"/>
    <cellStyle name="Comma 4 2 2" xfId="65" xr:uid="{12C5AD3E-DE8C-4578-9CFF-B3F4A96D8501}"/>
    <cellStyle name="Comma 4 2 2 2" xfId="106" xr:uid="{309410D8-6DC8-44B8-B499-CCF51600DFA4}"/>
    <cellStyle name="Comma 4 2 3" xfId="83" xr:uid="{511199BD-0002-4116-9AC6-1DCA956F896D}"/>
    <cellStyle name="Comma 4 2 3 2" xfId="117" xr:uid="{7D7C8B1D-D993-4FCE-A06C-7994C39C1174}"/>
    <cellStyle name="Comma 4 2 4" xfId="95" xr:uid="{D20C5626-D01F-4A30-B272-A0FFB02A31F4}"/>
    <cellStyle name="Comma 4 3" xfId="59" xr:uid="{FEF91D04-4542-4E91-9BA2-57ABAB2530EA}"/>
    <cellStyle name="Comma 4 3 2" xfId="101" xr:uid="{B8BC385B-50E7-4105-BAEC-24546BEE8726}"/>
    <cellStyle name="Comma 4 4" xfId="77" xr:uid="{FE6972C8-8BFB-4928-9A79-597A6F36503F}"/>
    <cellStyle name="Comma 4 4 2" xfId="112" xr:uid="{108A29E9-0E70-4C2F-A639-AEED379E11C1}"/>
    <cellStyle name="Comma 4 5" xfId="90" xr:uid="{114C1688-F80A-4064-A7B4-E995966DDE52}"/>
    <cellStyle name="Comma 5" xfId="41" xr:uid="{163FD0AB-17C5-457C-9C6F-AAC60D72CB89}"/>
    <cellStyle name="Comma 5 2" xfId="62" xr:uid="{66044EF1-0DD9-4303-8B2A-0E27D66F8E20}"/>
    <cellStyle name="Comma 5 2 2" xfId="103" xr:uid="{58CC471F-9E88-438E-AC4E-3D2F51D376AC}"/>
    <cellStyle name="Comma 5 3" xfId="80" xr:uid="{27075348-7421-4D0E-A269-3B0505F666F3}"/>
    <cellStyle name="Comma 5 3 2" xfId="114" xr:uid="{01F811A8-1574-48C8-BE6A-1B6D1079D698}"/>
    <cellStyle name="Comma 5 4" xfId="92" xr:uid="{626480EB-50DA-41F6-B56E-89B0E67F12A6}"/>
    <cellStyle name="Comma 6" xfId="53" xr:uid="{6E3FD1BE-214C-452B-87D5-9A6F4CEE7115}"/>
    <cellStyle name="Comma 6 2" xfId="71" xr:uid="{8B447AF5-646F-4AE1-AEA1-CC01115DAFA6}"/>
    <cellStyle name="Comma 7" xfId="50" xr:uid="{6270A350-0246-424B-BB22-6FF608599695}"/>
    <cellStyle name="Comma 7 2" xfId="98" xr:uid="{7DD5023A-7E12-4DD9-82DD-2A329C153A36}"/>
    <cellStyle name="Comma 8" xfId="68" xr:uid="{B29750E2-4C28-4786-AFF9-92C7099257E8}"/>
    <cellStyle name="Comma 8 2" xfId="109" xr:uid="{5014CF92-C034-4440-892B-9DDEE3224AD7}"/>
    <cellStyle name="Comma 9" xfId="25" xr:uid="{A097E3D3-5B45-466B-A64C-ED46749E2AC5}"/>
    <cellStyle name="Currency" xfId="122" builtinId="4"/>
    <cellStyle name="Footnotes: top row" xfId="130" xr:uid="{A7829CA1-295A-4AF3-B6EE-C47FBE7C3EA7}"/>
    <cellStyle name="Header: bottom row" xfId="15" xr:uid="{00000000-0005-0000-0000-000003000000}"/>
    <cellStyle name="Header: bottom row 2" xfId="128" xr:uid="{6B270B7B-5C2C-49AC-9AD5-F3FA3B127B08}"/>
    <cellStyle name="Hyperlink" xfId="12" builtinId="8"/>
    <cellStyle name="Hyperlink 2" xfId="48" xr:uid="{8740C0A0-C4BB-467A-914D-A7967A89DFC1}"/>
    <cellStyle name="Hyperlink 3" xfId="46" xr:uid="{DFF180FA-9AAD-4D24-B41B-CD892F1813CF}"/>
    <cellStyle name="Hyperlink 4" xfId="124" xr:uid="{B645B4DB-4BB7-4AD8-94C2-953415AB6EAD}"/>
    <cellStyle name="Normal" xfId="0" builtinId="0"/>
    <cellStyle name="Normal 10" xfId="20" xr:uid="{E5BEE50C-66AA-4342-A984-DB45D9F1BB46}"/>
    <cellStyle name="Normal 10 2" xfId="28" xr:uid="{96FFFD0C-E2E8-4E2A-9304-5DE59ED8C3A8}"/>
    <cellStyle name="Normal 10 3" xfId="22" xr:uid="{FE90CAF8-5E65-433A-976F-59387CCF3EDD}"/>
    <cellStyle name="Normal 10 4" xfId="88" xr:uid="{B785792A-F0F7-4BA5-81A1-61E0DE80DC3A}"/>
    <cellStyle name="Normal 2" xfId="2" xr:uid="{00000000-0005-0000-0000-000006000000}"/>
    <cellStyle name="Normal 2 2" xfId="18" xr:uid="{00000000-0005-0000-0000-000007000000}"/>
    <cellStyle name="Normal 2 2 2" xfId="87" xr:uid="{233A2CD8-3984-4996-A142-B1884C2A1354}"/>
    <cellStyle name="Normal 2 3" xfId="35" xr:uid="{84BB1EC6-AA45-4F29-9F7F-A4C45500AD47}"/>
    <cellStyle name="Normal 2 3 2" xfId="43" xr:uid="{BD0D20D6-3A2A-4C43-B6CE-734A5084707B}"/>
    <cellStyle name="Normal 2 3 2 2" xfId="64" xr:uid="{122036CB-D05C-4169-BAF8-AEB1BFE743BD}"/>
    <cellStyle name="Normal 2 3 2 2 2" xfId="105" xr:uid="{B5281475-D46E-48A0-B82D-1D46FCA62B3C}"/>
    <cellStyle name="Normal 2 3 2 3" xfId="82" xr:uid="{1834C5CA-980B-4BA4-ABF9-F71D2C5A2226}"/>
    <cellStyle name="Normal 2 3 2 3 2" xfId="116" xr:uid="{1A6CAF7C-058A-4812-AFB8-A02924127750}"/>
    <cellStyle name="Normal 2 3 2 4" xfId="94" xr:uid="{9E4D0B84-A476-4D4F-9D04-B99E846BAE9C}"/>
    <cellStyle name="Normal 2 3 3" xfId="58" xr:uid="{016C6AD0-0429-4098-91A4-E770F7EEDA6E}"/>
    <cellStyle name="Normal 2 3 3 2" xfId="100" xr:uid="{804010E3-C28D-44A5-A0BF-6FF345BE4436}"/>
    <cellStyle name="Normal 2 3 4" xfId="76" xr:uid="{71C00994-AEAC-4E34-B8F2-13D2C6B371CC}"/>
    <cellStyle name="Normal 2 3 4 2" xfId="111" xr:uid="{1AA5AABE-EDF6-49D7-B486-A8762B21C1E4}"/>
    <cellStyle name="Normal 2 3 5" xfId="89" xr:uid="{F2791086-C762-4793-82D4-C84FB25B4120}"/>
    <cellStyle name="Normal 2 4" xfId="23" xr:uid="{F285E783-0954-4062-9F14-1D7B1F126762}"/>
    <cellStyle name="Normal 3" xfId="3" xr:uid="{00000000-0005-0000-0000-000008000000}"/>
    <cellStyle name="Normal 3 2" xfId="61" xr:uid="{4525667B-9FC9-4AAF-8053-C4CBA4287452}"/>
    <cellStyle name="Normal 3 2 2" xfId="79" xr:uid="{E64B32D9-237D-4464-B435-C0A2CE3C5B0B}"/>
    <cellStyle name="Normal 3 2 2 2" xfId="113" xr:uid="{65CD190B-EAE1-4207-AFDA-5F3E705F00D6}"/>
    <cellStyle name="Normal 3 2 3" xfId="102" xr:uid="{1073692D-9AB9-41DD-A1F7-674DDA8589CB}"/>
    <cellStyle name="Normal 3 3" xfId="47" xr:uid="{FB9D0AEB-92A5-47D9-A8A0-DAF6CD1285F1}"/>
    <cellStyle name="Normal 3 4" xfId="40" xr:uid="{05BCEE18-2E2E-4EBE-A2F0-6A54B2CF9DED}"/>
    <cellStyle name="Normal 3 4 2" xfId="91" xr:uid="{FB9EEA1F-6B04-45D0-882D-B91C1B10B40F}"/>
    <cellStyle name="Normal 3 5" xfId="84" xr:uid="{4E7D64B5-DEB0-4030-813E-144284F18260}"/>
    <cellStyle name="Normal 4" xfId="13" xr:uid="{00000000-0005-0000-0000-000009000000}"/>
    <cellStyle name="Normal 4 2" xfId="27" xr:uid="{F7D5E2FA-1354-4094-A9AC-A7DDFB4317CE}"/>
    <cellStyle name="Normal 4 3" xfId="26" xr:uid="{DDA69903-596E-4341-B7C1-DB19366046D2}"/>
    <cellStyle name="Normal 4 4" xfId="86" xr:uid="{B41E953D-7B10-4A53-81D9-5CCCF850C85D}"/>
    <cellStyle name="Normal 5" xfId="45" xr:uid="{C0A171B3-0B94-461F-A165-F0992922395A}"/>
    <cellStyle name="Normal 5 2" xfId="96" xr:uid="{7AD43ED6-BC77-4F3C-B10F-4CC5479E6BDC}"/>
    <cellStyle name="Normal 6" xfId="42" xr:uid="{B547BF51-6300-4A68-B334-E784550753B2}"/>
    <cellStyle name="Normal 6 2" xfId="63" xr:uid="{B3FAA92A-4252-4536-AB7C-4B22B68D86D7}"/>
    <cellStyle name="Normal 6 2 2" xfId="104" xr:uid="{8ADC3C63-A3BF-406E-ACA9-CDC81B3A39E3}"/>
    <cellStyle name="Normal 6 3" xfId="81" xr:uid="{0874CDB9-8D17-44F5-BC28-E53ABEECC9CC}"/>
    <cellStyle name="Normal 6 3 2" xfId="115" xr:uid="{6E71A102-3F61-48B0-9B92-AD6D8470D7B6}"/>
    <cellStyle name="Normal 6 4" xfId="93" xr:uid="{4B6C77E4-E0F6-43AF-AB8F-E9640D2F5D64}"/>
    <cellStyle name="Normal 7" xfId="4" xr:uid="{00000000-0005-0000-0000-00000A000000}"/>
    <cellStyle name="Normal 7 2" xfId="66" xr:uid="{8E42D23F-5BFC-4B63-81E1-B623E7B29C2B}"/>
    <cellStyle name="Normal 7 2 2" xfId="107" xr:uid="{D9055431-74D2-4F75-B20D-307972179573}"/>
    <cellStyle name="Normal 7 3" xfId="85" xr:uid="{749F7A41-A9FE-4D60-B914-F6F58383B038}"/>
    <cellStyle name="Normal 8" xfId="119" xr:uid="{9CE07758-9EA3-42C6-B3F5-CC8270CD9968}"/>
    <cellStyle name="Normal 9" xfId="123" xr:uid="{B3641445-EE5A-4EEE-9417-C21970C58CFD}"/>
    <cellStyle name="Normal_Commercial" xfId="5" xr:uid="{00000000-0005-0000-0000-00000B000000}"/>
    <cellStyle name="Normal_EPAUS9r_08_SRC_Coal_v0.1a" xfId="6" xr:uid="{00000000-0005-0000-0000-00000F000000}"/>
    <cellStyle name="Normal_Residential" xfId="7" xr:uid="{00000000-0005-0000-0000-000010000000}"/>
    <cellStyle name="Normal_RTI-BC" xfId="8" xr:uid="{00000000-0005-0000-0000-000011000000}"/>
    <cellStyle name="Normal_RTI-BC 2" xfId="118" xr:uid="{C019F796-8D9F-47A4-90CF-BDFD29D82ECB}"/>
    <cellStyle name="Normal_Sheet1" xfId="9" xr:uid="{00000000-0005-0000-0000-000012000000}"/>
    <cellStyle name="Normale_B2020" xfId="24" xr:uid="{C8135D35-4F39-4001-ADD5-863F063875AC}"/>
    <cellStyle name="Parent row" xfId="16" xr:uid="{00000000-0005-0000-0000-000014000000}"/>
    <cellStyle name="Parent row 2" xfId="127" xr:uid="{29147214-616E-4D37-BA13-7C46070DB524}"/>
    <cellStyle name="Percent" xfId="10" builtinId="5"/>
    <cellStyle name="Percent 2" xfId="11" xr:uid="{00000000-0005-0000-0000-000016000000}"/>
    <cellStyle name="Percent 2 2" xfId="29" xr:uid="{47F88FDF-DD80-47E6-93BD-7DCA3BAA8826}"/>
    <cellStyle name="Percent 3" xfId="49" xr:uid="{EC8D6295-EA24-4CCB-BC45-97796F8069B0}"/>
    <cellStyle name="Percent 3 2" xfId="97" xr:uid="{2FB8DD46-4664-4421-B49E-DDD73D272A76}"/>
    <cellStyle name="Percent 4" xfId="67" xr:uid="{C898FFB0-01DA-4B08-8073-FA7EABDC17AC}"/>
    <cellStyle name="Percent 4 2" xfId="108" xr:uid="{4BC96677-44C9-401C-9E01-EE8E75E38404}"/>
    <cellStyle name="Percent 5" xfId="121" xr:uid="{9C8D40C9-FD86-4C79-B5BF-40061B6932C8}"/>
    <cellStyle name="Pourcentage 2" xfId="34" xr:uid="{4ED2742B-2A76-4B06-B771-ABCB3270EAB6}"/>
    <cellStyle name="Table title" xfId="14" xr:uid="{00000000-0005-0000-0000-000017000000}"/>
    <cellStyle name="Table title 2" xfId="125" xr:uid="{D6FF457F-1400-44C7-99E1-1FB89A0621C3}"/>
  </cellStyles>
  <dxfs count="97">
    <dxf>
      <font>
        <b/>
        <i val="0"/>
        <condense val="0"/>
        <extend val="0"/>
      </font>
      <fill>
        <patternFill>
          <bgColor indexed="10"/>
        </patternFill>
      </fill>
    </dxf>
    <dxf>
      <font>
        <b/>
        <i val="0"/>
        <condense val="0"/>
        <extend val="0"/>
      </font>
      <fill>
        <patternFill>
          <bgColor indexed="10"/>
        </patternFill>
      </fill>
    </dxf>
    <dxf>
      <numFmt numFmtId="174" formatCode="_(* #,##0_);_(* \(#,##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auto="1"/>
        <name val="Arial"/>
        <scheme val="none"/>
      </font>
      <numFmt numFmtId="174" formatCode="_(* #,##0_);_(* \(#,##0\);_(* &quot;-&quot;??_);_(@_)"/>
      <fill>
        <patternFill patternType="solid">
          <fgColor indexed="64"/>
          <bgColor theme="9" tint="0.79998168889431442"/>
        </patternFill>
      </fill>
    </dxf>
    <dxf>
      <font>
        <b val="0"/>
        <i val="0"/>
        <strike val="0"/>
        <condense val="0"/>
        <extend val="0"/>
        <outline val="0"/>
        <shadow val="0"/>
        <u val="none"/>
        <vertAlign val="baseline"/>
        <sz val="10"/>
        <color auto="1"/>
        <name val="Arial"/>
        <scheme val="none"/>
      </font>
      <numFmt numFmtId="174" formatCode="_(* #,##0_);_(* \(#,##0\);_(* &quot;-&quot;??_);_(@_)"/>
      <fill>
        <patternFill patternType="solid">
          <fgColor indexed="64"/>
          <bgColor theme="9" tint="0.79998168889431442"/>
        </patternFill>
      </fill>
    </dxf>
    <dxf>
      <font>
        <b val="0"/>
        <i val="0"/>
        <strike val="0"/>
        <condense val="0"/>
        <extend val="0"/>
        <outline val="0"/>
        <shadow val="0"/>
        <u val="none"/>
        <vertAlign val="baseline"/>
        <sz val="10"/>
        <color auto="1"/>
        <name val="Arial"/>
        <scheme val="none"/>
      </font>
      <numFmt numFmtId="174" formatCode="_(* #,##0_);_(* \(#,##0\);_(* &quot;-&quot;??_);_(@_)"/>
      <fill>
        <patternFill patternType="solid">
          <fgColor indexed="64"/>
          <bgColor theme="9" tint="0.79998168889431442"/>
        </patternFill>
      </fill>
    </dxf>
    <dxf>
      <font>
        <b val="0"/>
        <i val="0"/>
        <strike val="0"/>
        <condense val="0"/>
        <extend val="0"/>
        <outline val="0"/>
        <shadow val="0"/>
        <u val="none"/>
        <vertAlign val="baseline"/>
        <sz val="10"/>
        <color auto="1"/>
        <name val="Arial"/>
        <scheme val="none"/>
      </font>
      <numFmt numFmtId="174" formatCode="_(* #,##0_);_(* \(#,##0\);_(* &quot;-&quot;??_);_(@_)"/>
      <fill>
        <patternFill patternType="solid">
          <fgColor indexed="64"/>
          <bgColor theme="9" tint="0.79998168889431442"/>
        </patternFill>
      </fill>
    </dxf>
    <dxf>
      <font>
        <b val="0"/>
        <i val="0"/>
        <strike val="0"/>
        <condense val="0"/>
        <extend val="0"/>
        <outline val="0"/>
        <shadow val="0"/>
        <u val="none"/>
        <vertAlign val="baseline"/>
        <sz val="10"/>
        <color auto="1"/>
        <name val="Arial"/>
        <scheme val="none"/>
      </font>
      <numFmt numFmtId="174" formatCode="_(* #,##0_);_(* \(#,##0\);_(* &quot;-&quot;??_);_(@_)"/>
      <fill>
        <patternFill patternType="solid">
          <fgColor indexed="64"/>
          <bgColor theme="9" tint="0.79998168889431442"/>
        </patternFill>
      </fill>
    </dxf>
    <dxf>
      <font>
        <b val="0"/>
        <i val="0"/>
        <strike val="0"/>
        <condense val="0"/>
        <extend val="0"/>
        <outline val="0"/>
        <shadow val="0"/>
        <u val="none"/>
        <vertAlign val="baseline"/>
        <sz val="10"/>
        <color auto="1"/>
        <name val="Arial"/>
        <scheme val="none"/>
      </font>
      <numFmt numFmtId="174" formatCode="_(* #,##0_);_(* \(#,##0\);_(* &quot;-&quot;??_);_(@_)"/>
      <fill>
        <patternFill patternType="solid">
          <fgColor indexed="64"/>
          <bgColor theme="9" tint="0.79998168889431442"/>
        </patternFill>
      </fill>
    </dxf>
    <dxf>
      <font>
        <b val="0"/>
        <i val="0"/>
        <strike val="0"/>
        <condense val="0"/>
        <extend val="0"/>
        <outline val="0"/>
        <shadow val="0"/>
        <u val="none"/>
        <vertAlign val="baseline"/>
        <sz val="10"/>
        <color auto="1"/>
        <name val="Arial"/>
        <scheme val="none"/>
      </font>
      <numFmt numFmtId="174" formatCode="_(* #,##0_);_(* \(#,##0\);_(* &quot;-&quot;??_);_(@_)"/>
      <fill>
        <patternFill patternType="solid">
          <fgColor indexed="64"/>
          <bgColor theme="9" tint="0.79998168889431442"/>
        </patternFill>
      </fill>
    </dxf>
    <dxf>
      <font>
        <b val="0"/>
        <i val="0"/>
        <strike val="0"/>
        <condense val="0"/>
        <extend val="0"/>
        <outline val="0"/>
        <shadow val="0"/>
        <u val="none"/>
        <vertAlign val="baseline"/>
        <sz val="10"/>
        <color auto="1"/>
        <name val="Arial"/>
        <scheme val="none"/>
      </font>
      <numFmt numFmtId="174" formatCode="_(* #,##0_);_(* \(#,##0\);_(* &quot;-&quot;??_);_(@_)"/>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ont>
        <b val="0"/>
        <i val="0"/>
        <strike val="0"/>
        <condense val="0"/>
        <extend val="0"/>
        <outline val="0"/>
        <shadow val="0"/>
        <u val="none"/>
        <vertAlign val="baseline"/>
        <sz val="10"/>
        <color auto="1"/>
        <name val="Arial"/>
        <scheme val="none"/>
      </font>
      <fill>
        <patternFill patternType="solid">
          <fgColor indexed="64"/>
          <bgColor theme="9" tint="0.79998168889431442"/>
        </patternFill>
      </fill>
    </dxf>
    <dxf>
      <font>
        <b/>
        <i val="0"/>
        <strike val="0"/>
        <condense val="0"/>
        <extend val="0"/>
        <outline val="0"/>
        <shadow val="0"/>
        <u val="none"/>
        <vertAlign val="baseline"/>
        <sz val="11"/>
        <color theme="1"/>
        <name val="Calibri"/>
        <family val="2"/>
        <scheme val="minor"/>
      </font>
      <fill>
        <patternFill patternType="solid">
          <fgColor indexed="64"/>
          <bgColor theme="9"/>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A5A5A5"/>
      <color rgb="FFFFFFCC"/>
      <color rgb="FFFFFF99"/>
      <color rgb="FFF9A5A5"/>
      <color rgb="FFDFA5F9"/>
      <color rgb="FF0000FF"/>
      <color rgb="FFD5A4F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pivotCacheDefinition" Target="pivotCache/pivotCacheDefinition1.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theme" Target="theme/theme1.xml"/><Relationship Id="rId64"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activeX/activeX27.xml><?xml version="1.0" encoding="utf-8"?>
<ax:ocx xmlns:ax="http://schemas.microsoft.com/office/2006/activeX" xmlns:r="http://schemas.openxmlformats.org/officeDocument/2006/relationships" ax:classid="{D7053240-CE69-11CD-A777-00DD01143C57}" ax:persistence="persistStreamInit" r:id="rId1"/>
</file>

<file path=xl/activeX/activeX28.xml><?xml version="1.0" encoding="utf-8"?>
<ax:ocx xmlns:ax="http://schemas.microsoft.com/office/2006/activeX" xmlns:r="http://schemas.openxmlformats.org/officeDocument/2006/relationships" ax:classid="{D7053240-CE69-11CD-A777-00DD01143C57}" ax:persistence="persistStreamInit" r:id="rId1"/>
</file>

<file path=xl/activeX/activeX29.xml><?xml version="1.0" encoding="utf-8"?>
<ax:ocx xmlns:ax="http://schemas.microsoft.com/office/2006/activeX" xmlns:r="http://schemas.openxmlformats.org/officeDocument/2006/relationships" ax:classid="{D7053240-CE69-11CD-A777-00DD01143C57}" ax:persistence="persistStreamInit" r:id="rId1"/>
</file>

<file path=xl/activeX/activeX30.xml><?xml version="1.0" encoding="utf-8"?>
<ax:ocx xmlns:ax="http://schemas.microsoft.com/office/2006/activeX" xmlns:r="http://schemas.openxmlformats.org/officeDocument/2006/relationships" ax:classid="{D7053240-CE69-11CD-A777-00DD01143C57}" ax:persistence="persistStreamInit" r:id="rId1"/>
</file>

<file path=xl/activeX/activeX31.xml><?xml version="1.0" encoding="utf-8"?>
<ax:ocx xmlns:ax="http://schemas.microsoft.com/office/2006/activeX" xmlns:r="http://schemas.openxmlformats.org/officeDocument/2006/relationships" ax:classid="{D7053240-CE69-11CD-A777-00DD01143C57}" ax:persistence="persistStreamInit" r:id="rId1"/>
</file>

<file path=xl/activeX/activeX32.xml><?xml version="1.0" encoding="utf-8"?>
<ax:ocx xmlns:ax="http://schemas.microsoft.com/office/2006/activeX" xmlns:r="http://schemas.openxmlformats.org/officeDocument/2006/relationships" ax:classid="{D7053240-CE69-11CD-A777-00DD01143C57}" ax:persistence="persistStreamInit" r:id="rId1"/>
</file>

<file path=xl/activeX/activeX33.xml><?xml version="1.0" encoding="utf-8"?>
<ax:ocx xmlns:ax="http://schemas.microsoft.com/office/2006/activeX" xmlns:r="http://schemas.openxmlformats.org/officeDocument/2006/relationships" ax:classid="{D7053240-CE69-11CD-A777-00DD01143C57}" ax:persistence="persistStreamInit" r:id="rId1"/>
</file>

<file path=xl/activeX/activeX34.xml><?xml version="1.0" encoding="utf-8"?>
<ax:ocx xmlns:ax="http://schemas.microsoft.com/office/2006/activeX" xmlns:r="http://schemas.openxmlformats.org/officeDocument/2006/relationships" ax:classid="{D7053240-CE69-11CD-A777-00DD01143C57}" ax:persistence="persistStreamInit" r:id="rId1"/>
</file>

<file path=xl/activeX/activeX35.xml><?xml version="1.0" encoding="utf-8"?>
<ax:ocx xmlns:ax="http://schemas.microsoft.com/office/2006/activeX" xmlns:r="http://schemas.openxmlformats.org/officeDocument/2006/relationships" ax:classid="{D7053240-CE69-11CD-A777-00DD01143C57}" ax:persistence="persistStreamInit" r:id="rId1"/>
</file>

<file path=xl/activeX/activeX36.xml><?xml version="1.0" encoding="utf-8"?>
<ax:ocx xmlns:ax="http://schemas.microsoft.com/office/2006/activeX" xmlns:r="http://schemas.openxmlformats.org/officeDocument/2006/relationships" ax:classid="{D7053240-CE69-11CD-A777-00DD01143C57}" ax:persistence="persistStreamInit" r:id="rId1"/>
</file>

<file path=xl/activeX/activeX37.xml><?xml version="1.0" encoding="utf-8"?>
<ax:ocx xmlns:ax="http://schemas.microsoft.com/office/2006/activeX" xmlns:r="http://schemas.openxmlformats.org/officeDocument/2006/relationships" ax:classid="{D7053240-CE69-11CD-A777-00DD01143C57}" ax:persistence="persistStreamInit" r:id="rId1"/>
</file>

<file path=xl/activeX/activeX38.xml><?xml version="1.0" encoding="utf-8"?>
<ax:ocx xmlns:ax="http://schemas.microsoft.com/office/2006/activeX" xmlns:r="http://schemas.openxmlformats.org/officeDocument/2006/relationships" ax:classid="{D7053240-CE69-11CD-A777-00DD01143C57}" ax:persistence="persistStreamInit" r:id="rId1"/>
</file>

<file path=xl/activeX/activeX39.xml><?xml version="1.0" encoding="utf-8"?>
<ax:ocx xmlns:ax="http://schemas.microsoft.com/office/2006/activeX" xmlns:r="http://schemas.openxmlformats.org/officeDocument/2006/relationships" ax:classid="{D7053240-CE69-11CD-A777-00DD01143C57}" ax:persistence="persistStreamInit" r:id="rId1"/>
</file>

<file path=xl/activeX/activeX40.xml><?xml version="1.0" encoding="utf-8"?>
<ax:ocx xmlns:ax="http://schemas.microsoft.com/office/2006/activeX" xmlns:r="http://schemas.openxmlformats.org/officeDocument/2006/relationships" ax:classid="{D7053240-CE69-11CD-A777-00DD01143C57}" ax:persistence="persistStreamInit" r:id="rId1"/>
</file>

<file path=xl/activeX/activeX41.xml><?xml version="1.0" encoding="utf-8"?>
<ax:ocx xmlns:ax="http://schemas.microsoft.com/office/2006/activeX" xmlns:r="http://schemas.openxmlformats.org/officeDocument/2006/relationships" ax:classid="{D7053240-CE69-11CD-A777-00DD01143C57}" ax:persistence="persistStreamInit" r:id="rId1"/>
</file>

<file path=xl/activeX/activeX42.xml><?xml version="1.0" encoding="utf-8"?>
<ax:ocx xmlns:ax="http://schemas.microsoft.com/office/2006/activeX" xmlns:r="http://schemas.openxmlformats.org/officeDocument/2006/relationships" ax:classid="{D7053240-CE69-11CD-A777-00DD01143C57}" ax:persistence="persistStreamInit" r:id="rId1"/>
</file>

<file path=xl/activeX/activeX43.xml><?xml version="1.0" encoding="utf-8"?>
<ax:ocx xmlns:ax="http://schemas.microsoft.com/office/2006/activeX" xmlns:r="http://schemas.openxmlformats.org/officeDocument/2006/relationships" ax:classid="{D7053240-CE69-11CD-A777-00DD01143C57}" ax:persistence="persistStreamInit" r:id="rId1"/>
</file>

<file path=xl/activeX/activeX44.xml><?xml version="1.0" encoding="utf-8"?>
<ax:ocx xmlns:ax="http://schemas.microsoft.com/office/2006/activeX" xmlns:r="http://schemas.openxmlformats.org/officeDocument/2006/relationships" ax:classid="{D7053240-CE69-11CD-A777-00DD01143C57}" ax:persistence="persistStreamInit" r:id="rId1"/>
</file>

<file path=xl/activeX/activeX45.xml><?xml version="1.0" encoding="utf-8"?>
<ax:ocx xmlns:ax="http://schemas.microsoft.com/office/2006/activeX" xmlns:r="http://schemas.openxmlformats.org/officeDocument/2006/relationships" ax:classid="{D7053240-CE69-11CD-A777-00DD01143C57}" ax:persistence="persistStreamInit" r:id="rId1"/>
</file>

<file path=xl/activeX/activeX46.xml><?xml version="1.0" encoding="utf-8"?>
<ax:ocx xmlns:ax="http://schemas.microsoft.com/office/2006/activeX" xmlns:r="http://schemas.openxmlformats.org/officeDocument/2006/relationships" ax:classid="{D7053240-CE69-11CD-A777-00DD01143C57}" ax:persistence="persistStreamInit" r:id="rId1"/>
</file>

<file path=xl/activeX/activeX47.xml><?xml version="1.0" encoding="utf-8"?>
<ax:ocx xmlns:ax="http://schemas.microsoft.com/office/2006/activeX" xmlns:r="http://schemas.openxmlformats.org/officeDocument/2006/relationships" ax:classid="{D7053240-CE69-11CD-A777-00DD01143C57}" ax:persistence="persistStreamInit" r:id="rId1"/>
</file>

<file path=xl/activeX/activeX48.xml><?xml version="1.0" encoding="utf-8"?>
<ax:ocx xmlns:ax="http://schemas.microsoft.com/office/2006/activeX" xmlns:r="http://schemas.openxmlformats.org/officeDocument/2006/relationships" ax:classid="{D7053240-CE69-11CD-A777-00DD01143C57}" ax:persistence="persistStreamInit" r:id="rId1"/>
</file>

<file path=xl/activeX/activeX49.xml><?xml version="1.0" encoding="utf-8"?>
<ax:ocx xmlns:ax="http://schemas.microsoft.com/office/2006/activeX" xmlns:r="http://schemas.openxmlformats.org/officeDocument/2006/relationships" ax:classid="{D7053240-CE69-11CD-A777-00DD01143C57}" ax:persistence="persistStreamInit" r:id="rId1"/>
</file>

<file path=xl/activeX/activeX50.xml><?xml version="1.0" encoding="utf-8"?>
<ax:ocx xmlns:ax="http://schemas.microsoft.com/office/2006/activeX" xmlns:r="http://schemas.openxmlformats.org/officeDocument/2006/relationships" ax:classid="{D7053240-CE69-11CD-A777-00DD01143C57}" ax:persistence="persistStreamInit" r:id="rId1"/>
</file>

<file path=xl/activeX/activeX51.xml><?xml version="1.0" encoding="utf-8"?>
<ax:ocx xmlns:ax="http://schemas.microsoft.com/office/2006/activeX" xmlns:r="http://schemas.openxmlformats.org/officeDocument/2006/relationships" ax:classid="{D7053240-CE69-11CD-A777-00DD01143C57}" ax:persistence="persistStreamInit" r:id="rId1"/>
</file>

<file path=xl/activeX/activeX52.xml><?xml version="1.0" encoding="utf-8"?>
<ax:ocx xmlns:ax="http://schemas.microsoft.com/office/2006/activeX" xmlns:r="http://schemas.openxmlformats.org/officeDocument/2006/relationships" ax:classid="{D7053240-CE69-11CD-A777-00DD01143C57}" ax:persistence="persistStreamInit" r:id="rId1"/>
</file>

<file path=xl/activeX/activeX53.xml><?xml version="1.0" encoding="utf-8"?>
<ax:ocx xmlns:ax="http://schemas.microsoft.com/office/2006/activeX" xmlns:r="http://schemas.openxmlformats.org/officeDocument/2006/relationships" ax:classid="{D7053240-CE69-11CD-A777-00DD01143C57}" ax:persistence="persistStreamInit" r:id="rId1"/>
</file>

<file path=xl/activeX/activeX54.xml><?xml version="1.0" encoding="utf-8"?>
<ax:ocx xmlns:ax="http://schemas.microsoft.com/office/2006/activeX" xmlns:r="http://schemas.openxmlformats.org/officeDocument/2006/relationships" ax:classid="{D7053240-CE69-11CD-A777-00DD01143C57}" ax:persistence="persistStreamInit" r:id="rId1"/>
</file>

<file path=xl/activeX/activeX55.xml><?xml version="1.0" encoding="utf-8"?>
<ax:ocx xmlns:ax="http://schemas.microsoft.com/office/2006/activeX" xmlns:r="http://schemas.openxmlformats.org/officeDocument/2006/relationships" ax:classid="{D7053240-CE69-11CD-A777-00DD01143C57}" ax:persistence="persistStreamInit" r:id="rId1"/>
</file>

<file path=xl/activeX/activeX56.xml><?xml version="1.0" encoding="utf-8"?>
<ax:ocx xmlns:ax="http://schemas.microsoft.com/office/2006/activeX" xmlns:r="http://schemas.openxmlformats.org/officeDocument/2006/relationships" ax:classid="{D7053240-CE69-11CD-A777-00DD01143C57}" ax:persistence="persistStreamInit" r:id="rId1"/>
</file>

<file path=xl/activeX/activeX57.xml><?xml version="1.0" encoding="utf-8"?>
<ax:ocx xmlns:ax="http://schemas.microsoft.com/office/2006/activeX" xmlns:r="http://schemas.openxmlformats.org/officeDocument/2006/relationships" ax:classid="{D7053240-CE69-11CD-A777-00DD01143C57}" ax:persistence="persistStreamInit" r:id="rId1"/>
</file>

<file path=xl/activeX/activeX58.xml><?xml version="1.0" encoding="utf-8"?>
<ax:ocx xmlns:ax="http://schemas.microsoft.com/office/2006/activeX" xmlns:r="http://schemas.openxmlformats.org/officeDocument/2006/relationships" ax:classid="{D7053240-CE69-11CD-A777-00DD01143C57}" ax:persistence="persistStreamInit" r:id="rId1"/>
</file>

<file path=xl/activeX/activeX59.xml><?xml version="1.0" encoding="utf-8"?>
<ax:ocx xmlns:ax="http://schemas.microsoft.com/office/2006/activeX" xmlns:r="http://schemas.openxmlformats.org/officeDocument/2006/relationships" ax:classid="{D7053240-CE69-11CD-A777-00DD01143C57}" ax:persistence="persistStreamInit" r:id="rId1"/>
</file>

<file path=xl/activeX/activeX60.xml><?xml version="1.0" encoding="utf-8"?>
<ax:ocx xmlns:ax="http://schemas.microsoft.com/office/2006/activeX" xmlns:r="http://schemas.openxmlformats.org/officeDocument/2006/relationships" ax:classid="{D7053240-CE69-11CD-A777-00DD01143C57}" ax:persistence="persistStreamInit" r:id="rId1"/>
</file>

<file path=xl/activeX/activeX61.xml><?xml version="1.0" encoding="utf-8"?>
<ax:ocx xmlns:ax="http://schemas.microsoft.com/office/2006/activeX" xmlns:r="http://schemas.openxmlformats.org/officeDocument/2006/relationships" ax:classid="{D7053240-CE69-11CD-A777-00DD01143C57}" ax:persistence="persistStreamInit" r:id="rId1"/>
</file>

<file path=xl/activeX/activeX62.xml><?xml version="1.0" encoding="utf-8"?>
<ax:ocx xmlns:ax="http://schemas.microsoft.com/office/2006/activeX" xmlns:r="http://schemas.openxmlformats.org/officeDocument/2006/relationships" ax:classid="{D7053240-CE69-11CD-A777-00DD01143C57}" ax:persistence="persistStreamInit" r:id="rId1"/>
</file>

<file path=xl/activeX/activeX63.xml><?xml version="1.0" encoding="utf-8"?>
<ax:ocx xmlns:ax="http://schemas.microsoft.com/office/2006/activeX" xmlns:r="http://schemas.openxmlformats.org/officeDocument/2006/relationships" ax:classid="{D7053240-CE69-11CD-A777-00DD01143C57}" ax:persistence="persistStreamInit" r:id="rId1"/>
</file>

<file path=xl/activeX/activeX64.xml><?xml version="1.0" encoding="utf-8"?>
<ax:ocx xmlns:ax="http://schemas.microsoft.com/office/2006/activeX" xmlns:r="http://schemas.openxmlformats.org/officeDocument/2006/relationships" ax:classid="{D7053240-CE69-11CD-A777-00DD01143C57}" ax:persistence="persistStreamInit" r:id="rId1"/>
</file>

<file path=xl/activeX/activeX65.xml><?xml version="1.0" encoding="utf-8"?>
<ax:ocx xmlns:ax="http://schemas.microsoft.com/office/2006/activeX" xmlns:r="http://schemas.openxmlformats.org/officeDocument/2006/relationships" ax:classid="{D7053240-CE69-11CD-A777-00DD01143C57}" ax:persistence="persistStreamInit" r:id="rId1"/>
</file>

<file path=xl/activeX/activeX66.xml><?xml version="1.0" encoding="utf-8"?>
<ax:ocx xmlns:ax="http://schemas.microsoft.com/office/2006/activeX" xmlns:r="http://schemas.openxmlformats.org/officeDocument/2006/relationships" ax:classid="{D7053240-CE69-11CD-A777-00DD01143C57}" ax:persistence="persistStreamInit" r:id="rId1"/>
</file>

<file path=xl/activeX/activeX67.xml><?xml version="1.0" encoding="utf-8"?>
<ax:ocx xmlns:ax="http://schemas.microsoft.com/office/2006/activeX" xmlns:r="http://schemas.openxmlformats.org/officeDocument/2006/relationships" ax:classid="{D7053240-CE69-11CD-A777-00DD01143C57}" ax:persistence="persistStreamInit" r:id="rId1"/>
</file>

<file path=xl/activeX/activeX68.xml><?xml version="1.0" encoding="utf-8"?>
<ax:ocx xmlns:ax="http://schemas.microsoft.com/office/2006/activeX" xmlns:r="http://schemas.openxmlformats.org/officeDocument/2006/relationships" ax:classid="{D7053240-CE69-11CD-A777-00DD01143C57}" ax:persistence="persistStreamInit" r:id="rId1"/>
</file>

<file path=xl/activeX/activeX69.xml><?xml version="1.0" encoding="utf-8"?>
<ax:ocx xmlns:ax="http://schemas.microsoft.com/office/2006/activeX" xmlns:r="http://schemas.openxmlformats.org/officeDocument/2006/relationships" ax:classid="{D7053240-CE69-11CD-A777-00DD01143C57}" ax:persistence="persistStreamInit" r:id="rId1"/>
</file>

<file path=xl/drawings/_rels/drawing7.xml.rels><?xml version="1.0" encoding="UTF-8" standalone="yes"?>
<Relationships xmlns="http://schemas.openxmlformats.org/package/2006/relationships"><Relationship Id="rId1" Type="http://schemas.openxmlformats.org/officeDocument/2006/relationships/image" Target="../media/image36.png"/></Relationships>
</file>

<file path=xl/drawings/_rels/drawing8.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image" Target="../media/image6.emf"/><Relationship Id="rId7" Type="http://schemas.openxmlformats.org/officeDocument/2006/relationships/image" Target="../media/image2.emf"/><Relationship Id="rId2" Type="http://schemas.openxmlformats.org/officeDocument/2006/relationships/image" Target="../media/image7.emf"/><Relationship Id="rId1" Type="http://schemas.openxmlformats.org/officeDocument/2006/relationships/image" Target="../media/image8.emf"/><Relationship Id="rId6" Type="http://schemas.openxmlformats.org/officeDocument/2006/relationships/image" Target="../media/image3.emf"/><Relationship Id="rId5" Type="http://schemas.openxmlformats.org/officeDocument/2006/relationships/image" Target="../media/image4.emf"/><Relationship Id="rId4"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2.emf"/><Relationship Id="rId1" Type="http://schemas.openxmlformats.org/officeDocument/2006/relationships/image" Target="../media/image13.emf"/><Relationship Id="rId5" Type="http://schemas.openxmlformats.org/officeDocument/2006/relationships/image" Target="../media/image9.emf"/><Relationship Id="rId4" Type="http://schemas.openxmlformats.org/officeDocument/2006/relationships/image" Target="../media/image10.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6.emf"/><Relationship Id="rId1" Type="http://schemas.openxmlformats.org/officeDocument/2006/relationships/image" Target="../media/image17.emf"/><Relationship Id="rId4" Type="http://schemas.openxmlformats.org/officeDocument/2006/relationships/image" Target="../media/image14.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20.emf"/><Relationship Id="rId2" Type="http://schemas.openxmlformats.org/officeDocument/2006/relationships/image" Target="../media/image21.emf"/><Relationship Id="rId1" Type="http://schemas.openxmlformats.org/officeDocument/2006/relationships/image" Target="../media/image22.emf"/><Relationship Id="rId5" Type="http://schemas.openxmlformats.org/officeDocument/2006/relationships/image" Target="../media/image18.emf"/><Relationship Id="rId4" Type="http://schemas.openxmlformats.org/officeDocument/2006/relationships/image" Target="../media/image19.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27.emf"/><Relationship Id="rId7" Type="http://schemas.openxmlformats.org/officeDocument/2006/relationships/image" Target="../media/image23.emf"/><Relationship Id="rId2" Type="http://schemas.openxmlformats.org/officeDocument/2006/relationships/image" Target="../media/image28.emf"/><Relationship Id="rId1" Type="http://schemas.openxmlformats.org/officeDocument/2006/relationships/image" Target="../media/image29.emf"/><Relationship Id="rId6" Type="http://schemas.openxmlformats.org/officeDocument/2006/relationships/image" Target="../media/image24.emf"/><Relationship Id="rId5" Type="http://schemas.openxmlformats.org/officeDocument/2006/relationships/image" Target="../media/image25.emf"/><Relationship Id="rId4" Type="http://schemas.openxmlformats.org/officeDocument/2006/relationships/image" Target="../media/image26.emf"/></Relationships>
</file>

<file path=xl/drawings/_rels/vmlDrawing10.vml.rels><?xml version="1.0" encoding="UTF-8" standalone="yes"?>
<Relationships xmlns="http://schemas.openxmlformats.org/package/2006/relationships"><Relationship Id="rId3" Type="http://schemas.openxmlformats.org/officeDocument/2006/relationships/image" Target="../media/image33.emf"/><Relationship Id="rId2" Type="http://schemas.openxmlformats.org/officeDocument/2006/relationships/image" Target="../media/image34.emf"/><Relationship Id="rId1" Type="http://schemas.openxmlformats.org/officeDocument/2006/relationships/image" Target="../media/image35.emf"/><Relationship Id="rId6" Type="http://schemas.openxmlformats.org/officeDocument/2006/relationships/image" Target="../media/image30.emf"/><Relationship Id="rId5" Type="http://schemas.openxmlformats.org/officeDocument/2006/relationships/image" Target="../media/image31.emf"/><Relationship Id="rId4" Type="http://schemas.openxmlformats.org/officeDocument/2006/relationships/image" Target="../media/image32.emf"/></Relationships>
</file>

<file path=xl/drawings/_rels/vmlDrawing12.vml.rels><?xml version="1.0" encoding="UTF-8" standalone="yes"?>
<Relationships xmlns="http://schemas.openxmlformats.org/package/2006/relationships"><Relationship Id="rId3" Type="http://schemas.openxmlformats.org/officeDocument/2006/relationships/image" Target="../media/image42.emf"/><Relationship Id="rId2" Type="http://schemas.openxmlformats.org/officeDocument/2006/relationships/image" Target="../media/image43.emf"/><Relationship Id="rId1" Type="http://schemas.openxmlformats.org/officeDocument/2006/relationships/image" Target="../media/image44.emf"/><Relationship Id="rId6" Type="http://schemas.openxmlformats.org/officeDocument/2006/relationships/image" Target="../media/image39.emf"/><Relationship Id="rId5" Type="http://schemas.openxmlformats.org/officeDocument/2006/relationships/image" Target="../media/image40.emf"/><Relationship Id="rId4" Type="http://schemas.openxmlformats.org/officeDocument/2006/relationships/image" Target="../media/image41.emf"/></Relationships>
</file>

<file path=xl/drawings/_rels/vmlDrawing13.vml.rels><?xml version="1.0" encoding="UTF-8" standalone="yes"?>
<Relationships xmlns="http://schemas.openxmlformats.org/package/2006/relationships"><Relationship Id="rId3" Type="http://schemas.openxmlformats.org/officeDocument/2006/relationships/image" Target="../media/image49.emf"/><Relationship Id="rId7" Type="http://schemas.openxmlformats.org/officeDocument/2006/relationships/image" Target="../media/image45.emf"/><Relationship Id="rId2" Type="http://schemas.openxmlformats.org/officeDocument/2006/relationships/image" Target="../media/image50.emf"/><Relationship Id="rId1" Type="http://schemas.openxmlformats.org/officeDocument/2006/relationships/image" Target="../media/image51.emf"/><Relationship Id="rId6" Type="http://schemas.openxmlformats.org/officeDocument/2006/relationships/image" Target="../media/image46.emf"/><Relationship Id="rId5" Type="http://schemas.openxmlformats.org/officeDocument/2006/relationships/image" Target="../media/image47.emf"/><Relationship Id="rId4" Type="http://schemas.openxmlformats.org/officeDocument/2006/relationships/image" Target="../media/image48.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54.emf"/><Relationship Id="rId2" Type="http://schemas.openxmlformats.org/officeDocument/2006/relationships/image" Target="../media/image55.emf"/><Relationship Id="rId1" Type="http://schemas.openxmlformats.org/officeDocument/2006/relationships/image" Target="../media/image56.emf"/><Relationship Id="rId5" Type="http://schemas.openxmlformats.org/officeDocument/2006/relationships/image" Target="../media/image52.emf"/><Relationship Id="rId4" Type="http://schemas.openxmlformats.org/officeDocument/2006/relationships/image" Target="../media/image53.emf"/></Relationships>
</file>

<file path=xl/drawings/_rels/vmlDrawing15.vml.rels><?xml version="1.0" encoding="UTF-8" standalone="yes"?>
<Relationships xmlns="http://schemas.openxmlformats.org/package/2006/relationships"><Relationship Id="rId3" Type="http://schemas.openxmlformats.org/officeDocument/2006/relationships/image" Target="../media/image58.emf"/><Relationship Id="rId2" Type="http://schemas.openxmlformats.org/officeDocument/2006/relationships/image" Target="../media/image59.emf"/><Relationship Id="rId1" Type="http://schemas.openxmlformats.org/officeDocument/2006/relationships/image" Target="../media/image60.emf"/><Relationship Id="rId4" Type="http://schemas.openxmlformats.org/officeDocument/2006/relationships/image" Target="../media/image57.emf"/></Relationships>
</file>

<file path=xl/drawings/_rels/vmlDrawing16.vml.rels><?xml version="1.0" encoding="UTF-8" standalone="yes"?>
<Relationships xmlns="http://schemas.openxmlformats.org/package/2006/relationships"><Relationship Id="rId3" Type="http://schemas.openxmlformats.org/officeDocument/2006/relationships/image" Target="../media/image63.emf"/><Relationship Id="rId2" Type="http://schemas.openxmlformats.org/officeDocument/2006/relationships/image" Target="../media/image64.emf"/><Relationship Id="rId1" Type="http://schemas.openxmlformats.org/officeDocument/2006/relationships/image" Target="../media/image65.emf"/><Relationship Id="rId5" Type="http://schemas.openxmlformats.org/officeDocument/2006/relationships/image" Target="../media/image61.emf"/><Relationship Id="rId4" Type="http://schemas.openxmlformats.org/officeDocument/2006/relationships/image" Target="../media/image62.emf"/></Relationships>
</file>

<file path=xl/drawings/_rels/vmlDrawing17.vml.rels><?xml version="1.0" encoding="UTF-8" standalone="yes"?>
<Relationships xmlns="http://schemas.openxmlformats.org/package/2006/relationships"><Relationship Id="rId3" Type="http://schemas.openxmlformats.org/officeDocument/2006/relationships/image" Target="../media/image70.emf"/><Relationship Id="rId7" Type="http://schemas.openxmlformats.org/officeDocument/2006/relationships/image" Target="../media/image66.emf"/><Relationship Id="rId2" Type="http://schemas.openxmlformats.org/officeDocument/2006/relationships/image" Target="../media/image71.emf"/><Relationship Id="rId1" Type="http://schemas.openxmlformats.org/officeDocument/2006/relationships/image" Target="../media/image72.emf"/><Relationship Id="rId6" Type="http://schemas.openxmlformats.org/officeDocument/2006/relationships/image" Target="../media/image67.emf"/><Relationship Id="rId5" Type="http://schemas.openxmlformats.org/officeDocument/2006/relationships/image" Target="../media/image68.emf"/><Relationship Id="rId4" Type="http://schemas.openxmlformats.org/officeDocument/2006/relationships/image" Target="../media/image6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28575</xdr:colOff>
          <xdr:row>3</xdr:row>
          <xdr:rowOff>104775</xdr:rowOff>
        </xdr:from>
        <xdr:to>
          <xdr:col>4</xdr:col>
          <xdr:colOff>1000125</xdr:colOff>
          <xdr:row>4</xdr:row>
          <xdr:rowOff>123825</xdr:rowOff>
        </xdr:to>
        <xdr:sp macro="" textlink="">
          <xdr:nvSpPr>
            <xdr:cNvPr id="2049" name="cmdEnergySets"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4</xdr:row>
          <xdr:rowOff>180975</xdr:rowOff>
        </xdr:from>
        <xdr:to>
          <xdr:col>4</xdr:col>
          <xdr:colOff>1000125</xdr:colOff>
          <xdr:row>6</xdr:row>
          <xdr:rowOff>0</xdr:rowOff>
        </xdr:to>
        <xdr:sp macro="" textlink="">
          <xdr:nvSpPr>
            <xdr:cNvPr id="2051" name="cmdDemandSets"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1019175</xdr:colOff>
          <xdr:row>4</xdr:row>
          <xdr:rowOff>180975</xdr:rowOff>
        </xdr:from>
        <xdr:to>
          <xdr:col>5</xdr:col>
          <xdr:colOff>0</xdr:colOff>
          <xdr:row>6</xdr:row>
          <xdr:rowOff>0</xdr:rowOff>
        </xdr:to>
        <xdr:sp macro="" textlink="">
          <xdr:nvSpPr>
            <xdr:cNvPr id="2052" name="cmdEmissionSets"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1019175</xdr:colOff>
          <xdr:row>3</xdr:row>
          <xdr:rowOff>104775</xdr:rowOff>
        </xdr:from>
        <xdr:to>
          <xdr:col>5</xdr:col>
          <xdr:colOff>0</xdr:colOff>
          <xdr:row>4</xdr:row>
          <xdr:rowOff>123825</xdr:rowOff>
        </xdr:to>
        <xdr:sp macro="" textlink="">
          <xdr:nvSpPr>
            <xdr:cNvPr id="2053" name="cmdMaterialSets"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xdr:row>
          <xdr:rowOff>142875</xdr:rowOff>
        </xdr:from>
        <xdr:to>
          <xdr:col>0</xdr:col>
          <xdr:colOff>828675</xdr:colOff>
          <xdr:row>4</xdr:row>
          <xdr:rowOff>0</xdr:rowOff>
        </xdr:to>
        <xdr:sp macro="" textlink="">
          <xdr:nvSpPr>
            <xdr:cNvPr id="2061" name="cmdCheckCommoditiesSheet"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4</xdr:row>
          <xdr:rowOff>180975</xdr:rowOff>
        </xdr:from>
        <xdr:to>
          <xdr:col>4</xdr:col>
          <xdr:colOff>19050</xdr:colOff>
          <xdr:row>6</xdr:row>
          <xdr:rowOff>0</xdr:rowOff>
        </xdr:to>
        <xdr:sp macro="" textlink="">
          <xdr:nvSpPr>
            <xdr:cNvPr id="2063" name="cmdCommUnit"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104775</xdr:rowOff>
        </xdr:to>
        <xdr:sp macro="" textlink="">
          <xdr:nvSpPr>
            <xdr:cNvPr id="2073" name="cmdRefreshUnits" hidden="1">
              <a:extLst>
                <a:ext uri="{63B3BB69-23CF-44E3-9099-C40C66FF867C}">
                  <a14:compatExt spid="_x0000_s2073"/>
                </a:ext>
                <a:ext uri="{FF2B5EF4-FFF2-40B4-BE49-F238E27FC236}">
                  <a16:creationId xmlns:a16="http://schemas.microsoft.com/office/drawing/2014/main" id="{00000000-0008-0000-0000-00001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561975</xdr:colOff>
          <xdr:row>2</xdr:row>
          <xdr:rowOff>0</xdr:rowOff>
        </xdr:from>
        <xdr:to>
          <xdr:col>4</xdr:col>
          <xdr:colOff>1533525</xdr:colOff>
          <xdr:row>3</xdr:row>
          <xdr:rowOff>76200</xdr:rowOff>
        </xdr:to>
        <xdr:sp macro="" textlink="">
          <xdr:nvSpPr>
            <xdr:cNvPr id="2074" name="cmdTaxSubSets" hidden="1">
              <a:extLst>
                <a:ext uri="{63B3BB69-23CF-44E3-9099-C40C66FF867C}">
                  <a14:compatExt spid="_x0000_s2074"/>
                </a:ext>
                <a:ext uri="{FF2B5EF4-FFF2-40B4-BE49-F238E27FC236}">
                  <a16:creationId xmlns:a16="http://schemas.microsoft.com/office/drawing/2014/main" id="{00000000-0008-0000-0000-00001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28575</xdr:colOff>
          <xdr:row>4</xdr:row>
          <xdr:rowOff>28575</xdr:rowOff>
        </xdr:from>
        <xdr:to>
          <xdr:col>5</xdr:col>
          <xdr:colOff>1828800</xdr:colOff>
          <xdr:row>5</xdr:row>
          <xdr:rowOff>104775</xdr:rowOff>
        </xdr:to>
        <xdr:sp macro="" textlink="">
          <xdr:nvSpPr>
            <xdr:cNvPr id="1025" name="cmdTechnologySets"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xdr:row>
          <xdr:rowOff>152400</xdr:rowOff>
        </xdr:from>
        <xdr:to>
          <xdr:col>1</xdr:col>
          <xdr:colOff>0</xdr:colOff>
          <xdr:row>4</xdr:row>
          <xdr:rowOff>0</xdr:rowOff>
        </xdr:to>
        <xdr:sp macro="" textlink="">
          <xdr:nvSpPr>
            <xdr:cNvPr id="1034" name="cmdCheckTechnologiesSheet"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4</xdr:row>
          <xdr:rowOff>28575</xdr:rowOff>
        </xdr:from>
        <xdr:to>
          <xdr:col>4</xdr:col>
          <xdr:colOff>9525</xdr:colOff>
          <xdr:row>5</xdr:row>
          <xdr:rowOff>104775</xdr:rowOff>
        </xdr:to>
        <xdr:sp macro="" textlink="">
          <xdr:nvSpPr>
            <xdr:cNvPr id="1035" name="cmdTACTUnit"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4</xdr:row>
          <xdr:rowOff>28575</xdr:rowOff>
        </xdr:from>
        <xdr:to>
          <xdr:col>5</xdr:col>
          <xdr:colOff>9525</xdr:colOff>
          <xdr:row>5</xdr:row>
          <xdr:rowOff>104775</xdr:rowOff>
        </xdr:to>
        <xdr:sp macro="" textlink="">
          <xdr:nvSpPr>
            <xdr:cNvPr id="1036" name="cmdTCAPUnit"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276225</xdr:colOff>
          <xdr:row>3</xdr:row>
          <xdr:rowOff>200025</xdr:rowOff>
        </xdr:to>
        <xdr:sp macro="" textlink="">
          <xdr:nvSpPr>
            <xdr:cNvPr id="1135" name="cmdRefreshUnits"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28575</xdr:colOff>
          <xdr:row>4</xdr:row>
          <xdr:rowOff>28575</xdr:rowOff>
        </xdr:from>
        <xdr:to>
          <xdr:col>4</xdr:col>
          <xdr:colOff>1000125</xdr:colOff>
          <xdr:row>5</xdr:row>
          <xdr:rowOff>47625</xdr:rowOff>
        </xdr:to>
        <xdr:sp macro="" textlink="">
          <xdr:nvSpPr>
            <xdr:cNvPr id="10242" name="cmdConstraintSets" hidden="1">
              <a:extLst>
                <a:ext uri="{63B3BB69-23CF-44E3-9099-C40C66FF867C}">
                  <a14:compatExt spid="_x0000_s10242"/>
                </a:ext>
                <a:ext uri="{FF2B5EF4-FFF2-40B4-BE49-F238E27FC236}">
                  <a16:creationId xmlns:a16="http://schemas.microsoft.com/office/drawing/2014/main" id="{00000000-0008-0000-11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xdr:row>
          <xdr:rowOff>0</xdr:rowOff>
        </xdr:from>
        <xdr:to>
          <xdr:col>1</xdr:col>
          <xdr:colOff>9525</xdr:colOff>
          <xdr:row>4</xdr:row>
          <xdr:rowOff>0</xdr:rowOff>
        </xdr:to>
        <xdr:sp macro="" textlink="">
          <xdr:nvSpPr>
            <xdr:cNvPr id="10246" name="cmdCheckConstraintsSheet" hidden="1">
              <a:extLst>
                <a:ext uri="{63B3BB69-23CF-44E3-9099-C40C66FF867C}">
                  <a14:compatExt spid="_x0000_s10246"/>
                </a:ext>
                <a:ext uri="{FF2B5EF4-FFF2-40B4-BE49-F238E27FC236}">
                  <a16:creationId xmlns:a16="http://schemas.microsoft.com/office/drawing/2014/main" id="{00000000-0008-0000-1100-00000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4</xdr:row>
          <xdr:rowOff>28575</xdr:rowOff>
        </xdr:from>
        <xdr:to>
          <xdr:col>3</xdr:col>
          <xdr:colOff>581025</xdr:colOff>
          <xdr:row>5</xdr:row>
          <xdr:rowOff>47625</xdr:rowOff>
        </xdr:to>
        <xdr:sp macro="" textlink="">
          <xdr:nvSpPr>
            <xdr:cNvPr id="10247" name="cmdConstraintUnit" hidden="1">
              <a:extLst>
                <a:ext uri="{63B3BB69-23CF-44E3-9099-C40C66FF867C}">
                  <a14:compatExt spid="_x0000_s10247"/>
                </a:ext>
                <a:ext uri="{FF2B5EF4-FFF2-40B4-BE49-F238E27FC236}">
                  <a16:creationId xmlns:a16="http://schemas.microsoft.com/office/drawing/2014/main" id="{00000000-0008-0000-11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2</xdr:row>
          <xdr:rowOff>66675</xdr:rowOff>
        </xdr:from>
        <xdr:to>
          <xdr:col>3</xdr:col>
          <xdr:colOff>581025</xdr:colOff>
          <xdr:row>4</xdr:row>
          <xdr:rowOff>38100</xdr:rowOff>
        </xdr:to>
        <xdr:sp macro="" textlink="">
          <xdr:nvSpPr>
            <xdr:cNvPr id="10359" name="cmdRefreshUnits" hidden="1">
              <a:extLst>
                <a:ext uri="{63B3BB69-23CF-44E3-9099-C40C66FF867C}">
                  <a14:compatExt spid="_x0000_s10359"/>
                </a:ext>
                <a:ext uri="{FF2B5EF4-FFF2-40B4-BE49-F238E27FC236}">
                  <a16:creationId xmlns:a16="http://schemas.microsoft.com/office/drawing/2014/main" id="{00000000-0008-0000-1100-00007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4</xdr:row>
          <xdr:rowOff>28575</xdr:rowOff>
        </xdr:from>
        <xdr:to>
          <xdr:col>1</xdr:col>
          <xdr:colOff>9525</xdr:colOff>
          <xdr:row>5</xdr:row>
          <xdr:rowOff>19050</xdr:rowOff>
        </xdr:to>
        <xdr:sp macro="" textlink="">
          <xdr:nvSpPr>
            <xdr:cNvPr id="4097" name="cmdAddParameter" hidden="1">
              <a:extLst>
                <a:ext uri="{63B3BB69-23CF-44E3-9099-C40C66FF867C}">
                  <a14:compatExt spid="_x0000_s4097"/>
                </a:ext>
                <a:ext uri="{FF2B5EF4-FFF2-40B4-BE49-F238E27FC236}">
                  <a16:creationId xmlns:a16="http://schemas.microsoft.com/office/drawing/2014/main" id="{00000000-0008-0000-12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28575</xdr:rowOff>
        </xdr:from>
        <xdr:to>
          <xdr:col>2</xdr:col>
          <xdr:colOff>1400175</xdr:colOff>
          <xdr:row>4</xdr:row>
          <xdr:rowOff>0</xdr:rowOff>
        </xdr:to>
        <xdr:sp macro="" textlink="">
          <xdr:nvSpPr>
            <xdr:cNvPr id="4098" name="cmdCommNameAndDesc" hidden="1">
              <a:extLst>
                <a:ext uri="{63B3BB69-23CF-44E3-9099-C40C66FF867C}">
                  <a14:compatExt spid="_x0000_s4098"/>
                </a:ext>
                <a:ext uri="{FF2B5EF4-FFF2-40B4-BE49-F238E27FC236}">
                  <a16:creationId xmlns:a16="http://schemas.microsoft.com/office/drawing/2014/main" id="{00000000-0008-0000-12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5</xdr:row>
          <xdr:rowOff>0</xdr:rowOff>
        </xdr:from>
        <xdr:to>
          <xdr:col>1</xdr:col>
          <xdr:colOff>9525</xdr:colOff>
          <xdr:row>5</xdr:row>
          <xdr:rowOff>238125</xdr:rowOff>
        </xdr:to>
        <xdr:sp macro="" textlink="">
          <xdr:nvSpPr>
            <xdr:cNvPr id="4100" name="cmdAddParamQualifier" hidden="1">
              <a:extLst>
                <a:ext uri="{63B3BB69-23CF-44E3-9099-C40C66FF867C}">
                  <a14:compatExt spid="_x0000_s4100"/>
                </a:ext>
                <a:ext uri="{FF2B5EF4-FFF2-40B4-BE49-F238E27FC236}">
                  <a16:creationId xmlns:a16="http://schemas.microsoft.com/office/drawing/2014/main" id="{00000000-0008-0000-12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xdr:row>
          <xdr:rowOff>28575</xdr:rowOff>
        </xdr:from>
        <xdr:to>
          <xdr:col>1</xdr:col>
          <xdr:colOff>9525</xdr:colOff>
          <xdr:row>4</xdr:row>
          <xdr:rowOff>9525</xdr:rowOff>
        </xdr:to>
        <xdr:sp macro="" textlink="">
          <xdr:nvSpPr>
            <xdr:cNvPr id="4106" name="cmdCheckCommDataSheet" hidden="1">
              <a:extLst>
                <a:ext uri="{63B3BB69-23CF-44E3-9099-C40C66FF867C}">
                  <a14:compatExt spid="_x0000_s4106"/>
                </a:ext>
                <a:ext uri="{FF2B5EF4-FFF2-40B4-BE49-F238E27FC236}">
                  <a16:creationId xmlns:a16="http://schemas.microsoft.com/office/drawing/2014/main" id="{00000000-0008-0000-12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4</xdr:col>
          <xdr:colOff>0</xdr:colOff>
          <xdr:row>4</xdr:row>
          <xdr:rowOff>0</xdr:rowOff>
        </xdr:to>
        <xdr:sp macro="" textlink="">
          <xdr:nvSpPr>
            <xdr:cNvPr id="4299" name="cmdRefreshUnits" hidden="1">
              <a:extLst>
                <a:ext uri="{63B3BB69-23CF-44E3-9099-C40C66FF867C}">
                  <a14:compatExt spid="_x0000_s4299"/>
                </a:ext>
                <a:ext uri="{FF2B5EF4-FFF2-40B4-BE49-F238E27FC236}">
                  <a16:creationId xmlns:a16="http://schemas.microsoft.com/office/drawing/2014/main" id="{00000000-0008-0000-12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1590675</xdr:colOff>
          <xdr:row>4</xdr:row>
          <xdr:rowOff>9525</xdr:rowOff>
        </xdr:to>
        <xdr:sp macro="" textlink="">
          <xdr:nvSpPr>
            <xdr:cNvPr id="3074" name="cmdTechNameAndDesc" hidden="1">
              <a:extLst>
                <a:ext uri="{63B3BB69-23CF-44E3-9099-C40C66FF867C}">
                  <a14:compatExt spid="_x0000_s3074"/>
                </a:ext>
                <a:ext uri="{FF2B5EF4-FFF2-40B4-BE49-F238E27FC236}">
                  <a16:creationId xmlns:a16="http://schemas.microsoft.com/office/drawing/2014/main" id="{00000000-0008-0000-13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2</xdr:row>
          <xdr:rowOff>142875</xdr:rowOff>
        </xdr:from>
        <xdr:to>
          <xdr:col>5</xdr:col>
          <xdr:colOff>9525</xdr:colOff>
          <xdr:row>4</xdr:row>
          <xdr:rowOff>0</xdr:rowOff>
        </xdr:to>
        <xdr:sp macro="" textlink="">
          <xdr:nvSpPr>
            <xdr:cNvPr id="3075" name="cmdCommIN" hidden="1">
              <a:extLst>
                <a:ext uri="{63B3BB69-23CF-44E3-9099-C40C66FF867C}">
                  <a14:compatExt spid="_x0000_s3075"/>
                </a:ext>
                <a:ext uri="{FF2B5EF4-FFF2-40B4-BE49-F238E27FC236}">
                  <a16:creationId xmlns:a16="http://schemas.microsoft.com/office/drawing/2014/main" id="{00000000-0008-0000-1300-000003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2</xdr:row>
          <xdr:rowOff>142875</xdr:rowOff>
        </xdr:from>
        <xdr:to>
          <xdr:col>6</xdr:col>
          <xdr:colOff>19050</xdr:colOff>
          <xdr:row>4</xdr:row>
          <xdr:rowOff>0</xdr:rowOff>
        </xdr:to>
        <xdr:sp macro="" textlink="">
          <xdr:nvSpPr>
            <xdr:cNvPr id="3076" name="cmdCommOUT" hidden="1">
              <a:extLst>
                <a:ext uri="{63B3BB69-23CF-44E3-9099-C40C66FF867C}">
                  <a14:compatExt spid="_x0000_s3076"/>
                </a:ext>
                <a:ext uri="{FF2B5EF4-FFF2-40B4-BE49-F238E27FC236}">
                  <a16:creationId xmlns:a16="http://schemas.microsoft.com/office/drawing/2014/main" id="{00000000-0008-0000-13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xdr:row>
          <xdr:rowOff>0</xdr:rowOff>
        </xdr:from>
        <xdr:to>
          <xdr:col>1</xdr:col>
          <xdr:colOff>38100</xdr:colOff>
          <xdr:row>5</xdr:row>
          <xdr:rowOff>9525</xdr:rowOff>
        </xdr:to>
        <xdr:sp macro="" textlink="">
          <xdr:nvSpPr>
            <xdr:cNvPr id="3077" name="cmdAddParameter" hidden="1">
              <a:extLst>
                <a:ext uri="{63B3BB69-23CF-44E3-9099-C40C66FF867C}">
                  <a14:compatExt spid="_x0000_s3077"/>
                </a:ext>
                <a:ext uri="{FF2B5EF4-FFF2-40B4-BE49-F238E27FC236}">
                  <a16:creationId xmlns:a16="http://schemas.microsoft.com/office/drawing/2014/main" id="{00000000-0008-0000-13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5</xdr:row>
          <xdr:rowOff>28575</xdr:rowOff>
        </xdr:from>
        <xdr:to>
          <xdr:col>1</xdr:col>
          <xdr:colOff>28575</xdr:colOff>
          <xdr:row>6</xdr:row>
          <xdr:rowOff>28575</xdr:rowOff>
        </xdr:to>
        <xdr:sp macro="" textlink="">
          <xdr:nvSpPr>
            <xdr:cNvPr id="3079" name="cmdAddParamQualifier" hidden="1">
              <a:extLst>
                <a:ext uri="{63B3BB69-23CF-44E3-9099-C40C66FF867C}">
                  <a14:compatExt spid="_x0000_s3079"/>
                </a:ext>
                <a:ext uri="{FF2B5EF4-FFF2-40B4-BE49-F238E27FC236}">
                  <a16:creationId xmlns:a16="http://schemas.microsoft.com/office/drawing/2014/main" id="{00000000-0008-0000-1300-000007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xdr:row>
          <xdr:rowOff>152400</xdr:rowOff>
        </xdr:from>
        <xdr:to>
          <xdr:col>1</xdr:col>
          <xdr:colOff>28575</xdr:colOff>
          <xdr:row>4</xdr:row>
          <xdr:rowOff>28575</xdr:rowOff>
        </xdr:to>
        <xdr:sp macro="" textlink="">
          <xdr:nvSpPr>
            <xdr:cNvPr id="3080" name="cmdCheckTechDataSheet" hidden="1">
              <a:extLst>
                <a:ext uri="{63B3BB69-23CF-44E3-9099-C40C66FF867C}">
                  <a14:compatExt spid="_x0000_s3080"/>
                </a:ext>
                <a:ext uri="{FF2B5EF4-FFF2-40B4-BE49-F238E27FC236}">
                  <a16:creationId xmlns:a16="http://schemas.microsoft.com/office/drawing/2014/main" id="{00000000-0008-0000-1300-00000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28575</xdr:rowOff>
        </xdr:from>
        <xdr:to>
          <xdr:col>4</xdr:col>
          <xdr:colOff>28575</xdr:colOff>
          <xdr:row>4</xdr:row>
          <xdr:rowOff>19050</xdr:rowOff>
        </xdr:to>
        <xdr:sp macro="" textlink="">
          <xdr:nvSpPr>
            <xdr:cNvPr id="3112" name="cmdRefreshUnits" hidden="1">
              <a:extLst>
                <a:ext uri="{63B3BB69-23CF-44E3-9099-C40C66FF867C}">
                  <a14:compatExt spid="_x0000_s3112"/>
                </a:ext>
                <a:ext uri="{FF2B5EF4-FFF2-40B4-BE49-F238E27FC236}">
                  <a16:creationId xmlns:a16="http://schemas.microsoft.com/office/drawing/2014/main" id="{00000000-0008-0000-1300-00002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3</xdr:row>
          <xdr:rowOff>0</xdr:rowOff>
        </xdr:from>
        <xdr:to>
          <xdr:col>2</xdr:col>
          <xdr:colOff>1019175</xdr:colOff>
          <xdr:row>4</xdr:row>
          <xdr:rowOff>28575</xdr:rowOff>
        </xdr:to>
        <xdr:sp macro="" textlink="">
          <xdr:nvSpPr>
            <xdr:cNvPr id="11265" name="cmdConstrNameAndDesc" hidden="1">
              <a:extLst>
                <a:ext uri="{63B3BB69-23CF-44E3-9099-C40C66FF867C}">
                  <a14:compatExt spid="_x0000_s11265"/>
                </a:ext>
                <a:ext uri="{FF2B5EF4-FFF2-40B4-BE49-F238E27FC236}">
                  <a16:creationId xmlns:a16="http://schemas.microsoft.com/office/drawing/2014/main" id="{00000000-0008-0000-14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11266" name="cmdTechName" hidden="1">
              <a:extLst>
                <a:ext uri="{63B3BB69-23CF-44E3-9099-C40C66FF867C}">
                  <a14:compatExt spid="_x0000_s11266"/>
                </a:ext>
                <a:ext uri="{FF2B5EF4-FFF2-40B4-BE49-F238E27FC236}">
                  <a16:creationId xmlns:a16="http://schemas.microsoft.com/office/drawing/2014/main" id="{00000000-0008-0000-14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xdr:row>
          <xdr:rowOff>0</xdr:rowOff>
        </xdr:from>
        <xdr:to>
          <xdr:col>1</xdr:col>
          <xdr:colOff>19050</xdr:colOff>
          <xdr:row>5</xdr:row>
          <xdr:rowOff>9525</xdr:rowOff>
        </xdr:to>
        <xdr:sp macro="" textlink="">
          <xdr:nvSpPr>
            <xdr:cNvPr id="11268" name="cmdAddParameter" hidden="1">
              <a:extLst>
                <a:ext uri="{63B3BB69-23CF-44E3-9099-C40C66FF867C}">
                  <a14:compatExt spid="_x0000_s11268"/>
                </a:ext>
                <a:ext uri="{FF2B5EF4-FFF2-40B4-BE49-F238E27FC236}">
                  <a16:creationId xmlns:a16="http://schemas.microsoft.com/office/drawing/2014/main" id="{00000000-0008-0000-14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xdr:row>
          <xdr:rowOff>152400</xdr:rowOff>
        </xdr:from>
        <xdr:to>
          <xdr:col>1</xdr:col>
          <xdr:colOff>0</xdr:colOff>
          <xdr:row>4</xdr:row>
          <xdr:rowOff>28575</xdr:rowOff>
        </xdr:to>
        <xdr:sp macro="" textlink="">
          <xdr:nvSpPr>
            <xdr:cNvPr id="11271" name="cmdCheckConstrDataSheet" hidden="1">
              <a:extLst>
                <a:ext uri="{63B3BB69-23CF-44E3-9099-C40C66FF867C}">
                  <a14:compatExt spid="_x0000_s11271"/>
                </a:ext>
                <a:ext uri="{FF2B5EF4-FFF2-40B4-BE49-F238E27FC236}">
                  <a16:creationId xmlns:a16="http://schemas.microsoft.com/office/drawing/2014/main" id="{00000000-0008-0000-14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5</xdr:row>
          <xdr:rowOff>0</xdr:rowOff>
        </xdr:from>
        <xdr:to>
          <xdr:col>1</xdr:col>
          <xdr:colOff>19050</xdr:colOff>
          <xdr:row>6</xdr:row>
          <xdr:rowOff>19050</xdr:rowOff>
        </xdr:to>
        <xdr:sp macro="" textlink="">
          <xdr:nvSpPr>
            <xdr:cNvPr id="11361" name="cmdAddParamQualifier" hidden="1">
              <a:extLst>
                <a:ext uri="{63B3BB69-23CF-44E3-9099-C40C66FF867C}">
                  <a14:compatExt spid="_x0000_s11361"/>
                </a:ext>
                <a:ext uri="{FF2B5EF4-FFF2-40B4-BE49-F238E27FC236}">
                  <a16:creationId xmlns:a16="http://schemas.microsoft.com/office/drawing/2014/main" id="{00000000-0008-0000-1400-00006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1019175</xdr:colOff>
          <xdr:row>2</xdr:row>
          <xdr:rowOff>28575</xdr:rowOff>
        </xdr:from>
        <xdr:to>
          <xdr:col>4</xdr:col>
          <xdr:colOff>9525</xdr:colOff>
          <xdr:row>4</xdr:row>
          <xdr:rowOff>19050</xdr:rowOff>
        </xdr:to>
        <xdr:sp macro="" textlink="">
          <xdr:nvSpPr>
            <xdr:cNvPr id="11374" name="cmdRefreshUnits" hidden="1">
              <a:extLst>
                <a:ext uri="{63B3BB69-23CF-44E3-9099-C40C66FF867C}">
                  <a14:compatExt spid="_x0000_s11374"/>
                </a:ext>
                <a:ext uri="{FF2B5EF4-FFF2-40B4-BE49-F238E27FC236}">
                  <a16:creationId xmlns:a16="http://schemas.microsoft.com/office/drawing/2014/main" id="{00000000-0008-0000-1400-00006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27</xdr:col>
      <xdr:colOff>0</xdr:colOff>
      <xdr:row>31</xdr:row>
      <xdr:rowOff>0</xdr:rowOff>
    </xdr:from>
    <xdr:to>
      <xdr:col>27</xdr:col>
      <xdr:colOff>304800</xdr:colOff>
      <xdr:row>32</xdr:row>
      <xdr:rowOff>142875</xdr:rowOff>
    </xdr:to>
    <xdr:sp macro="" textlink="">
      <xdr:nvSpPr>
        <xdr:cNvPr id="740354" name="AutoShape 2" descr="homes with most or all indoor bulbs of a single type">
          <a:extLst>
            <a:ext uri="{FF2B5EF4-FFF2-40B4-BE49-F238E27FC236}">
              <a16:creationId xmlns:a16="http://schemas.microsoft.com/office/drawing/2014/main" id="{6DACABF0-6397-5BBD-EECF-DACBE9139AC9}"/>
            </a:ext>
          </a:extLst>
        </xdr:cNvPr>
        <xdr:cNvSpPr>
          <a:spLocks noChangeAspect="1" noChangeArrowheads="1"/>
        </xdr:cNvSpPr>
      </xdr:nvSpPr>
      <xdr:spPr bwMode="auto">
        <a:xfrm>
          <a:off x="19154775" y="501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27</xdr:col>
      <xdr:colOff>0</xdr:colOff>
      <xdr:row>31</xdr:row>
      <xdr:rowOff>0</xdr:rowOff>
    </xdr:from>
    <xdr:to>
      <xdr:col>27</xdr:col>
      <xdr:colOff>304800</xdr:colOff>
      <xdr:row>32</xdr:row>
      <xdr:rowOff>142875</xdr:rowOff>
    </xdr:to>
    <xdr:sp macro="" textlink="">
      <xdr:nvSpPr>
        <xdr:cNvPr id="740355" name="AutoShape 3" descr="homes with most or all indoor bulbs of a single type">
          <a:extLst>
            <a:ext uri="{FF2B5EF4-FFF2-40B4-BE49-F238E27FC236}">
              <a16:creationId xmlns:a16="http://schemas.microsoft.com/office/drawing/2014/main" id="{FE247CC1-E17B-AD55-766B-D2043258A703}"/>
            </a:ext>
          </a:extLst>
        </xdr:cNvPr>
        <xdr:cNvSpPr>
          <a:spLocks noChangeAspect="1" noChangeArrowheads="1"/>
        </xdr:cNvSpPr>
      </xdr:nvSpPr>
      <xdr:spPr bwMode="auto">
        <a:xfrm>
          <a:off x="19154775" y="501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28</xdr:col>
      <xdr:colOff>0</xdr:colOff>
      <xdr:row>30</xdr:row>
      <xdr:rowOff>0</xdr:rowOff>
    </xdr:from>
    <xdr:to>
      <xdr:col>28</xdr:col>
      <xdr:colOff>304800</xdr:colOff>
      <xdr:row>31</xdr:row>
      <xdr:rowOff>142875</xdr:rowOff>
    </xdr:to>
    <xdr:sp macro="" textlink="">
      <xdr:nvSpPr>
        <xdr:cNvPr id="740356" name="AutoShape 4" descr="homes with most or all indoor bulbs of a single type">
          <a:extLst>
            <a:ext uri="{FF2B5EF4-FFF2-40B4-BE49-F238E27FC236}">
              <a16:creationId xmlns:a16="http://schemas.microsoft.com/office/drawing/2014/main" id="{C9ABA86D-C267-5F70-90DC-7120A090B82E}"/>
            </a:ext>
          </a:extLst>
        </xdr:cNvPr>
        <xdr:cNvSpPr>
          <a:spLocks noChangeAspect="1" noChangeArrowheads="1"/>
        </xdr:cNvSpPr>
      </xdr:nvSpPr>
      <xdr:spPr bwMode="auto">
        <a:xfrm>
          <a:off x="20173950" y="48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28</xdr:col>
      <xdr:colOff>0</xdr:colOff>
      <xdr:row>30</xdr:row>
      <xdr:rowOff>0</xdr:rowOff>
    </xdr:from>
    <xdr:to>
      <xdr:col>28</xdr:col>
      <xdr:colOff>304800</xdr:colOff>
      <xdr:row>31</xdr:row>
      <xdr:rowOff>142875</xdr:rowOff>
    </xdr:to>
    <xdr:sp macro="" textlink="">
      <xdr:nvSpPr>
        <xdr:cNvPr id="740357" name="AutoShape 5" descr="homes with most or all indoor bulbs of a single type">
          <a:extLst>
            <a:ext uri="{FF2B5EF4-FFF2-40B4-BE49-F238E27FC236}">
              <a16:creationId xmlns:a16="http://schemas.microsoft.com/office/drawing/2014/main" id="{28AD0B8F-08E0-C74F-FD89-1C8DE0BFC2D9}"/>
            </a:ext>
          </a:extLst>
        </xdr:cNvPr>
        <xdr:cNvSpPr>
          <a:spLocks noChangeAspect="1" noChangeArrowheads="1"/>
        </xdr:cNvSpPr>
      </xdr:nvSpPr>
      <xdr:spPr bwMode="auto">
        <a:xfrm>
          <a:off x="20173950" y="48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18</xdr:col>
      <xdr:colOff>190500</xdr:colOff>
      <xdr:row>48</xdr:row>
      <xdr:rowOff>134471</xdr:rowOff>
    </xdr:from>
    <xdr:to>
      <xdr:col>26</xdr:col>
      <xdr:colOff>132230</xdr:colOff>
      <xdr:row>65</xdr:row>
      <xdr:rowOff>85165</xdr:rowOff>
    </xdr:to>
    <xdr:pic>
      <xdr:nvPicPr>
        <xdr:cNvPr id="2" name="Picture 1">
          <a:extLst>
            <a:ext uri="{FF2B5EF4-FFF2-40B4-BE49-F238E27FC236}">
              <a16:creationId xmlns:a16="http://schemas.microsoft.com/office/drawing/2014/main" id="{B840B520-90DD-1750-3B20-3EE6D969C2E5}"/>
            </a:ext>
          </a:extLst>
        </xdr:cNvPr>
        <xdr:cNvPicPr>
          <a:picLocks noChangeAspect="1"/>
        </xdr:cNvPicPr>
      </xdr:nvPicPr>
      <xdr:blipFill>
        <a:blip xmlns:r="http://schemas.openxmlformats.org/officeDocument/2006/relationships" r:embed="rId1"/>
        <a:stretch>
          <a:fillRect/>
        </a:stretch>
      </xdr:blipFill>
      <xdr:spPr>
        <a:xfrm>
          <a:off x="12606618" y="7664824"/>
          <a:ext cx="5600700" cy="26289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847725</xdr:colOff>
      <xdr:row>1</xdr:row>
      <xdr:rowOff>19050</xdr:rowOff>
    </xdr:from>
    <xdr:to>
      <xdr:col>23</xdr:col>
      <xdr:colOff>236139</xdr:colOff>
      <xdr:row>20</xdr:row>
      <xdr:rowOff>85725</xdr:rowOff>
    </xdr:to>
    <xdr:pic>
      <xdr:nvPicPr>
        <xdr:cNvPr id="2" name="Picture 1">
          <a:extLst>
            <a:ext uri="{FF2B5EF4-FFF2-40B4-BE49-F238E27FC236}">
              <a16:creationId xmlns:a16="http://schemas.microsoft.com/office/drawing/2014/main" id="{A6E1A7E3-2281-42C6-9DFF-839B28AE6DEB}"/>
            </a:ext>
          </a:extLst>
        </xdr:cNvPr>
        <xdr:cNvPicPr>
          <a:picLocks noChangeAspect="1"/>
        </xdr:cNvPicPr>
      </xdr:nvPicPr>
      <xdr:blipFill rotWithShape="1">
        <a:blip xmlns:r="http://schemas.openxmlformats.org/officeDocument/2006/relationships" r:embed="rId1"/>
        <a:srcRect l="53008" t="37731" r="38070" b="31631"/>
        <a:stretch/>
      </xdr:blipFill>
      <xdr:spPr>
        <a:xfrm>
          <a:off x="17735550" y="200025"/>
          <a:ext cx="3388914" cy="3533775"/>
        </a:xfrm>
        <a:prstGeom prst="rect">
          <a:avLst/>
        </a:prstGeom>
      </xdr:spPr>
    </xdr:pic>
    <xdr:clientData/>
  </xdr:twoCellAnchor>
  <xdr:twoCellAnchor editAs="oneCell">
    <xdr:from>
      <xdr:col>18</xdr:col>
      <xdr:colOff>695325</xdr:colOff>
      <xdr:row>29</xdr:row>
      <xdr:rowOff>9525</xdr:rowOff>
    </xdr:from>
    <xdr:to>
      <xdr:col>28</xdr:col>
      <xdr:colOff>552450</xdr:colOff>
      <xdr:row>54</xdr:row>
      <xdr:rowOff>35593</xdr:rowOff>
    </xdr:to>
    <xdr:pic>
      <xdr:nvPicPr>
        <xdr:cNvPr id="3" name="Picture 2">
          <a:extLst>
            <a:ext uri="{FF2B5EF4-FFF2-40B4-BE49-F238E27FC236}">
              <a16:creationId xmlns:a16="http://schemas.microsoft.com/office/drawing/2014/main" id="{F986DD46-AFD2-4F1B-AA04-6DEAC9615400}"/>
            </a:ext>
          </a:extLst>
        </xdr:cNvPr>
        <xdr:cNvPicPr>
          <a:picLocks noChangeAspect="1"/>
        </xdr:cNvPicPr>
      </xdr:nvPicPr>
      <xdr:blipFill rotWithShape="1">
        <a:blip xmlns:r="http://schemas.openxmlformats.org/officeDocument/2006/relationships" r:embed="rId2"/>
        <a:srcRect l="45012" t="42277" r="37909" b="14451"/>
        <a:stretch/>
      </xdr:blipFill>
      <xdr:spPr>
        <a:xfrm>
          <a:off x="17583150" y="5286375"/>
          <a:ext cx="5962650" cy="455044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3</xdr:row>
          <xdr:rowOff>0</xdr:rowOff>
        </xdr:from>
        <xdr:to>
          <xdr:col>2</xdr:col>
          <xdr:colOff>1019175</xdr:colOff>
          <xdr:row>4</xdr:row>
          <xdr:rowOff>28575</xdr:rowOff>
        </xdr:to>
        <xdr:sp macro="" textlink="">
          <xdr:nvSpPr>
            <xdr:cNvPr id="70657" name="cmdConstrNameAndDesc" hidden="1">
              <a:extLst>
                <a:ext uri="{63B3BB69-23CF-44E3-9099-C40C66FF867C}">
                  <a14:compatExt spid="_x0000_s70657"/>
                </a:ext>
                <a:ext uri="{FF2B5EF4-FFF2-40B4-BE49-F238E27FC236}">
                  <a16:creationId xmlns:a16="http://schemas.microsoft.com/office/drawing/2014/main" id="{00000000-0008-0000-1900-000001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70658" name="cmdTechName" hidden="1">
              <a:extLst>
                <a:ext uri="{63B3BB69-23CF-44E3-9099-C40C66FF867C}">
                  <a14:compatExt spid="_x0000_s70658"/>
                </a:ext>
                <a:ext uri="{FF2B5EF4-FFF2-40B4-BE49-F238E27FC236}">
                  <a16:creationId xmlns:a16="http://schemas.microsoft.com/office/drawing/2014/main" id="{00000000-0008-0000-1900-000002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xdr:row>
          <xdr:rowOff>0</xdr:rowOff>
        </xdr:from>
        <xdr:to>
          <xdr:col>1</xdr:col>
          <xdr:colOff>19050</xdr:colOff>
          <xdr:row>5</xdr:row>
          <xdr:rowOff>9525</xdr:rowOff>
        </xdr:to>
        <xdr:sp macro="" textlink="">
          <xdr:nvSpPr>
            <xdr:cNvPr id="70659" name="cmdAddParameter" hidden="1">
              <a:extLst>
                <a:ext uri="{63B3BB69-23CF-44E3-9099-C40C66FF867C}">
                  <a14:compatExt spid="_x0000_s70659"/>
                </a:ext>
                <a:ext uri="{FF2B5EF4-FFF2-40B4-BE49-F238E27FC236}">
                  <a16:creationId xmlns:a16="http://schemas.microsoft.com/office/drawing/2014/main" id="{00000000-0008-0000-1900-000003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xdr:row>
          <xdr:rowOff>152400</xdr:rowOff>
        </xdr:from>
        <xdr:to>
          <xdr:col>1</xdr:col>
          <xdr:colOff>0</xdr:colOff>
          <xdr:row>4</xdr:row>
          <xdr:rowOff>28575</xdr:rowOff>
        </xdr:to>
        <xdr:sp macro="" textlink="">
          <xdr:nvSpPr>
            <xdr:cNvPr id="70660" name="cmdCheckConstrDataSheet" hidden="1">
              <a:extLst>
                <a:ext uri="{63B3BB69-23CF-44E3-9099-C40C66FF867C}">
                  <a14:compatExt spid="_x0000_s70660"/>
                </a:ext>
                <a:ext uri="{FF2B5EF4-FFF2-40B4-BE49-F238E27FC236}">
                  <a16:creationId xmlns:a16="http://schemas.microsoft.com/office/drawing/2014/main" id="{00000000-0008-0000-1900-000004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5</xdr:row>
          <xdr:rowOff>0</xdr:rowOff>
        </xdr:from>
        <xdr:to>
          <xdr:col>1</xdr:col>
          <xdr:colOff>19050</xdr:colOff>
          <xdr:row>6</xdr:row>
          <xdr:rowOff>19050</xdr:rowOff>
        </xdr:to>
        <xdr:sp macro="" textlink="">
          <xdr:nvSpPr>
            <xdr:cNvPr id="70661" name="cmdAddParamQualifier" hidden="1">
              <a:extLst>
                <a:ext uri="{63B3BB69-23CF-44E3-9099-C40C66FF867C}">
                  <a14:compatExt spid="_x0000_s70661"/>
                </a:ext>
                <a:ext uri="{FF2B5EF4-FFF2-40B4-BE49-F238E27FC236}">
                  <a16:creationId xmlns:a16="http://schemas.microsoft.com/office/drawing/2014/main" id="{00000000-0008-0000-1900-000005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1019175</xdr:colOff>
          <xdr:row>2</xdr:row>
          <xdr:rowOff>28575</xdr:rowOff>
        </xdr:from>
        <xdr:to>
          <xdr:col>4</xdr:col>
          <xdr:colOff>9525</xdr:colOff>
          <xdr:row>4</xdr:row>
          <xdr:rowOff>19050</xdr:rowOff>
        </xdr:to>
        <xdr:sp macro="" textlink="">
          <xdr:nvSpPr>
            <xdr:cNvPr id="70662" name="cmdRefreshUnits" hidden="1">
              <a:extLst>
                <a:ext uri="{63B3BB69-23CF-44E3-9099-C40C66FF867C}">
                  <a14:compatExt spid="_x0000_s70662"/>
                </a:ext>
                <a:ext uri="{FF2B5EF4-FFF2-40B4-BE49-F238E27FC236}">
                  <a16:creationId xmlns:a16="http://schemas.microsoft.com/office/drawing/2014/main" id="{00000000-0008-0000-1900-000006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1590675</xdr:colOff>
          <xdr:row>4</xdr:row>
          <xdr:rowOff>9525</xdr:rowOff>
        </xdr:to>
        <xdr:sp macro="" textlink="">
          <xdr:nvSpPr>
            <xdr:cNvPr id="69633" name="cmdTechNameAndDesc" hidden="1">
              <a:extLst>
                <a:ext uri="{63B3BB69-23CF-44E3-9099-C40C66FF867C}">
                  <a14:compatExt spid="_x0000_s69633"/>
                </a:ext>
                <a:ext uri="{FF2B5EF4-FFF2-40B4-BE49-F238E27FC236}">
                  <a16:creationId xmlns:a16="http://schemas.microsoft.com/office/drawing/2014/main" id="{00000000-0008-0000-1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2</xdr:row>
          <xdr:rowOff>142875</xdr:rowOff>
        </xdr:from>
        <xdr:to>
          <xdr:col>5</xdr:col>
          <xdr:colOff>9525</xdr:colOff>
          <xdr:row>4</xdr:row>
          <xdr:rowOff>0</xdr:rowOff>
        </xdr:to>
        <xdr:sp macro="" textlink="">
          <xdr:nvSpPr>
            <xdr:cNvPr id="69634" name="cmdCommIN" hidden="1">
              <a:extLst>
                <a:ext uri="{63B3BB69-23CF-44E3-9099-C40C66FF867C}">
                  <a14:compatExt spid="_x0000_s69634"/>
                </a:ext>
                <a:ext uri="{FF2B5EF4-FFF2-40B4-BE49-F238E27FC236}">
                  <a16:creationId xmlns:a16="http://schemas.microsoft.com/office/drawing/2014/main" id="{00000000-0008-0000-1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28575</xdr:colOff>
          <xdr:row>2</xdr:row>
          <xdr:rowOff>142875</xdr:rowOff>
        </xdr:from>
        <xdr:to>
          <xdr:col>6</xdr:col>
          <xdr:colOff>19050</xdr:colOff>
          <xdr:row>4</xdr:row>
          <xdr:rowOff>0</xdr:rowOff>
        </xdr:to>
        <xdr:sp macro="" textlink="">
          <xdr:nvSpPr>
            <xdr:cNvPr id="69635" name="cmdCommOUT" hidden="1">
              <a:extLst>
                <a:ext uri="{63B3BB69-23CF-44E3-9099-C40C66FF867C}">
                  <a14:compatExt spid="_x0000_s69635"/>
                </a:ext>
                <a:ext uri="{FF2B5EF4-FFF2-40B4-BE49-F238E27FC236}">
                  <a16:creationId xmlns:a16="http://schemas.microsoft.com/office/drawing/2014/main" id="{00000000-0008-0000-1A00-000003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xdr:row>
          <xdr:rowOff>0</xdr:rowOff>
        </xdr:from>
        <xdr:to>
          <xdr:col>1</xdr:col>
          <xdr:colOff>38100</xdr:colOff>
          <xdr:row>5</xdr:row>
          <xdr:rowOff>9525</xdr:rowOff>
        </xdr:to>
        <xdr:sp macro="" textlink="">
          <xdr:nvSpPr>
            <xdr:cNvPr id="69636" name="cmdAddParameter" hidden="1">
              <a:extLst>
                <a:ext uri="{63B3BB69-23CF-44E3-9099-C40C66FF867C}">
                  <a14:compatExt spid="_x0000_s69636"/>
                </a:ext>
                <a:ext uri="{FF2B5EF4-FFF2-40B4-BE49-F238E27FC236}">
                  <a16:creationId xmlns:a16="http://schemas.microsoft.com/office/drawing/2014/main" id="{00000000-0008-0000-1A00-000004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5</xdr:row>
          <xdr:rowOff>28575</xdr:rowOff>
        </xdr:from>
        <xdr:to>
          <xdr:col>1</xdr:col>
          <xdr:colOff>28575</xdr:colOff>
          <xdr:row>6</xdr:row>
          <xdr:rowOff>28575</xdr:rowOff>
        </xdr:to>
        <xdr:sp macro="" textlink="">
          <xdr:nvSpPr>
            <xdr:cNvPr id="69637" name="cmdAddParamQualifier" hidden="1">
              <a:extLst>
                <a:ext uri="{63B3BB69-23CF-44E3-9099-C40C66FF867C}">
                  <a14:compatExt spid="_x0000_s69637"/>
                </a:ext>
                <a:ext uri="{FF2B5EF4-FFF2-40B4-BE49-F238E27FC236}">
                  <a16:creationId xmlns:a16="http://schemas.microsoft.com/office/drawing/2014/main" id="{00000000-0008-0000-1A00-00000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xdr:row>
          <xdr:rowOff>152400</xdr:rowOff>
        </xdr:from>
        <xdr:to>
          <xdr:col>1</xdr:col>
          <xdr:colOff>28575</xdr:colOff>
          <xdr:row>4</xdr:row>
          <xdr:rowOff>28575</xdr:rowOff>
        </xdr:to>
        <xdr:sp macro="" textlink="">
          <xdr:nvSpPr>
            <xdr:cNvPr id="69638" name="cmdCheckTechDataSheet" hidden="1">
              <a:extLst>
                <a:ext uri="{63B3BB69-23CF-44E3-9099-C40C66FF867C}">
                  <a14:compatExt spid="_x0000_s69638"/>
                </a:ext>
                <a:ext uri="{FF2B5EF4-FFF2-40B4-BE49-F238E27FC236}">
                  <a16:creationId xmlns:a16="http://schemas.microsoft.com/office/drawing/2014/main" id="{00000000-0008-0000-1A00-000006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28575</xdr:rowOff>
        </xdr:from>
        <xdr:to>
          <xdr:col>4</xdr:col>
          <xdr:colOff>28575</xdr:colOff>
          <xdr:row>4</xdr:row>
          <xdr:rowOff>19050</xdr:rowOff>
        </xdr:to>
        <xdr:sp macro="" textlink="">
          <xdr:nvSpPr>
            <xdr:cNvPr id="69639" name="cmdRefreshUnits" hidden="1">
              <a:extLst>
                <a:ext uri="{63B3BB69-23CF-44E3-9099-C40C66FF867C}">
                  <a14:compatExt spid="_x0000_s69639"/>
                </a:ext>
                <a:ext uri="{FF2B5EF4-FFF2-40B4-BE49-F238E27FC236}">
                  <a16:creationId xmlns:a16="http://schemas.microsoft.com/office/drawing/2014/main" id="{00000000-0008-0000-1A00-000007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4</xdr:row>
          <xdr:rowOff>28575</xdr:rowOff>
        </xdr:from>
        <xdr:to>
          <xdr:col>1</xdr:col>
          <xdr:colOff>9525</xdr:colOff>
          <xdr:row>5</xdr:row>
          <xdr:rowOff>19050</xdr:rowOff>
        </xdr:to>
        <xdr:sp macro="" textlink="">
          <xdr:nvSpPr>
            <xdr:cNvPr id="68609" name="cmdAddParameter" hidden="1">
              <a:extLst>
                <a:ext uri="{63B3BB69-23CF-44E3-9099-C40C66FF867C}">
                  <a14:compatExt spid="_x0000_s68609"/>
                </a:ext>
                <a:ext uri="{FF2B5EF4-FFF2-40B4-BE49-F238E27FC236}">
                  <a16:creationId xmlns:a16="http://schemas.microsoft.com/office/drawing/2014/main" id="{00000000-0008-0000-1B00-000001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28575</xdr:rowOff>
        </xdr:from>
        <xdr:to>
          <xdr:col>2</xdr:col>
          <xdr:colOff>1400175</xdr:colOff>
          <xdr:row>4</xdr:row>
          <xdr:rowOff>0</xdr:rowOff>
        </xdr:to>
        <xdr:sp macro="" textlink="">
          <xdr:nvSpPr>
            <xdr:cNvPr id="68610" name="cmdCommNameAndDesc" hidden="1">
              <a:extLst>
                <a:ext uri="{63B3BB69-23CF-44E3-9099-C40C66FF867C}">
                  <a14:compatExt spid="_x0000_s68610"/>
                </a:ext>
                <a:ext uri="{FF2B5EF4-FFF2-40B4-BE49-F238E27FC236}">
                  <a16:creationId xmlns:a16="http://schemas.microsoft.com/office/drawing/2014/main" id="{00000000-0008-0000-1B00-000002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5</xdr:row>
          <xdr:rowOff>0</xdr:rowOff>
        </xdr:from>
        <xdr:to>
          <xdr:col>1</xdr:col>
          <xdr:colOff>9525</xdr:colOff>
          <xdr:row>5</xdr:row>
          <xdr:rowOff>238125</xdr:rowOff>
        </xdr:to>
        <xdr:sp macro="" textlink="">
          <xdr:nvSpPr>
            <xdr:cNvPr id="68611" name="cmdAddParamQualifier" hidden="1">
              <a:extLst>
                <a:ext uri="{63B3BB69-23CF-44E3-9099-C40C66FF867C}">
                  <a14:compatExt spid="_x0000_s68611"/>
                </a:ext>
                <a:ext uri="{FF2B5EF4-FFF2-40B4-BE49-F238E27FC236}">
                  <a16:creationId xmlns:a16="http://schemas.microsoft.com/office/drawing/2014/main" id="{00000000-0008-0000-1B00-000003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xdr:row>
          <xdr:rowOff>28575</xdr:rowOff>
        </xdr:from>
        <xdr:to>
          <xdr:col>1</xdr:col>
          <xdr:colOff>9525</xdr:colOff>
          <xdr:row>4</xdr:row>
          <xdr:rowOff>9525</xdr:rowOff>
        </xdr:to>
        <xdr:sp macro="" textlink="">
          <xdr:nvSpPr>
            <xdr:cNvPr id="68612" name="cmdCheckCommDataSheet" hidden="1">
              <a:extLst>
                <a:ext uri="{63B3BB69-23CF-44E3-9099-C40C66FF867C}">
                  <a14:compatExt spid="_x0000_s68612"/>
                </a:ext>
                <a:ext uri="{FF2B5EF4-FFF2-40B4-BE49-F238E27FC236}">
                  <a16:creationId xmlns:a16="http://schemas.microsoft.com/office/drawing/2014/main" id="{00000000-0008-0000-1B00-000004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4</xdr:col>
          <xdr:colOff>0</xdr:colOff>
          <xdr:row>4</xdr:row>
          <xdr:rowOff>0</xdr:rowOff>
        </xdr:to>
        <xdr:sp macro="" textlink="">
          <xdr:nvSpPr>
            <xdr:cNvPr id="68613" name="cmdRefreshUnits" hidden="1">
              <a:extLst>
                <a:ext uri="{63B3BB69-23CF-44E3-9099-C40C66FF867C}">
                  <a14:compatExt spid="_x0000_s68613"/>
                </a:ext>
                <a:ext uri="{FF2B5EF4-FFF2-40B4-BE49-F238E27FC236}">
                  <a16:creationId xmlns:a16="http://schemas.microsoft.com/office/drawing/2014/main" id="{00000000-0008-0000-1B00-000005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28575</xdr:colOff>
          <xdr:row>4</xdr:row>
          <xdr:rowOff>28575</xdr:rowOff>
        </xdr:from>
        <xdr:to>
          <xdr:col>4</xdr:col>
          <xdr:colOff>1000125</xdr:colOff>
          <xdr:row>5</xdr:row>
          <xdr:rowOff>47625</xdr:rowOff>
        </xdr:to>
        <xdr:sp macro="" textlink="">
          <xdr:nvSpPr>
            <xdr:cNvPr id="67585" name="cmdConstraintSets" hidden="1">
              <a:extLst>
                <a:ext uri="{63B3BB69-23CF-44E3-9099-C40C66FF867C}">
                  <a14:compatExt spid="_x0000_s67585"/>
                </a:ext>
                <a:ext uri="{FF2B5EF4-FFF2-40B4-BE49-F238E27FC236}">
                  <a16:creationId xmlns:a16="http://schemas.microsoft.com/office/drawing/2014/main" id="{00000000-0008-0000-1C00-000001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xdr:row>
          <xdr:rowOff>0</xdr:rowOff>
        </xdr:from>
        <xdr:to>
          <xdr:col>1</xdr:col>
          <xdr:colOff>9525</xdr:colOff>
          <xdr:row>4</xdr:row>
          <xdr:rowOff>0</xdr:rowOff>
        </xdr:to>
        <xdr:sp macro="" textlink="">
          <xdr:nvSpPr>
            <xdr:cNvPr id="67586" name="cmdCheckConstraintsSheet" hidden="1">
              <a:extLst>
                <a:ext uri="{63B3BB69-23CF-44E3-9099-C40C66FF867C}">
                  <a14:compatExt spid="_x0000_s67586"/>
                </a:ext>
                <a:ext uri="{FF2B5EF4-FFF2-40B4-BE49-F238E27FC236}">
                  <a16:creationId xmlns:a16="http://schemas.microsoft.com/office/drawing/2014/main" id="{00000000-0008-0000-1C00-000002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4</xdr:row>
          <xdr:rowOff>28575</xdr:rowOff>
        </xdr:from>
        <xdr:to>
          <xdr:col>3</xdr:col>
          <xdr:colOff>581025</xdr:colOff>
          <xdr:row>5</xdr:row>
          <xdr:rowOff>47625</xdr:rowOff>
        </xdr:to>
        <xdr:sp macro="" textlink="">
          <xdr:nvSpPr>
            <xdr:cNvPr id="67587" name="cmdConstraintUnit" hidden="1">
              <a:extLst>
                <a:ext uri="{63B3BB69-23CF-44E3-9099-C40C66FF867C}">
                  <a14:compatExt spid="_x0000_s67587"/>
                </a:ext>
                <a:ext uri="{FF2B5EF4-FFF2-40B4-BE49-F238E27FC236}">
                  <a16:creationId xmlns:a16="http://schemas.microsoft.com/office/drawing/2014/main" id="{00000000-0008-0000-1C00-000003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2</xdr:row>
          <xdr:rowOff>66675</xdr:rowOff>
        </xdr:from>
        <xdr:to>
          <xdr:col>3</xdr:col>
          <xdr:colOff>581025</xdr:colOff>
          <xdr:row>4</xdr:row>
          <xdr:rowOff>38100</xdr:rowOff>
        </xdr:to>
        <xdr:sp macro="" textlink="">
          <xdr:nvSpPr>
            <xdr:cNvPr id="67588" name="cmdRefreshUnits" hidden="1">
              <a:extLst>
                <a:ext uri="{63B3BB69-23CF-44E3-9099-C40C66FF867C}">
                  <a14:compatExt spid="_x0000_s67588"/>
                </a:ext>
                <a:ext uri="{FF2B5EF4-FFF2-40B4-BE49-F238E27FC236}">
                  <a16:creationId xmlns:a16="http://schemas.microsoft.com/office/drawing/2014/main" id="{00000000-0008-0000-1C00-000004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28575</xdr:colOff>
          <xdr:row>4</xdr:row>
          <xdr:rowOff>28575</xdr:rowOff>
        </xdr:from>
        <xdr:to>
          <xdr:col>5</xdr:col>
          <xdr:colOff>1828800</xdr:colOff>
          <xdr:row>5</xdr:row>
          <xdr:rowOff>104775</xdr:rowOff>
        </xdr:to>
        <xdr:sp macro="" textlink="">
          <xdr:nvSpPr>
            <xdr:cNvPr id="66561" name="cmdTechnologySets" hidden="1">
              <a:extLst>
                <a:ext uri="{63B3BB69-23CF-44E3-9099-C40C66FF867C}">
                  <a14:compatExt spid="_x0000_s66561"/>
                </a:ext>
                <a:ext uri="{FF2B5EF4-FFF2-40B4-BE49-F238E27FC236}">
                  <a16:creationId xmlns:a16="http://schemas.microsoft.com/office/drawing/2014/main" id="{00000000-0008-0000-1D00-000001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xdr:row>
          <xdr:rowOff>152400</xdr:rowOff>
        </xdr:from>
        <xdr:to>
          <xdr:col>1</xdr:col>
          <xdr:colOff>0</xdr:colOff>
          <xdr:row>4</xdr:row>
          <xdr:rowOff>0</xdr:rowOff>
        </xdr:to>
        <xdr:sp macro="" textlink="">
          <xdr:nvSpPr>
            <xdr:cNvPr id="66562" name="cmdCheckTechnologiesSheet" hidden="1">
              <a:extLst>
                <a:ext uri="{63B3BB69-23CF-44E3-9099-C40C66FF867C}">
                  <a14:compatExt spid="_x0000_s66562"/>
                </a:ext>
                <a:ext uri="{FF2B5EF4-FFF2-40B4-BE49-F238E27FC236}">
                  <a16:creationId xmlns:a16="http://schemas.microsoft.com/office/drawing/2014/main" id="{00000000-0008-0000-1D00-000002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4</xdr:row>
          <xdr:rowOff>28575</xdr:rowOff>
        </xdr:from>
        <xdr:to>
          <xdr:col>4</xdr:col>
          <xdr:colOff>9525</xdr:colOff>
          <xdr:row>5</xdr:row>
          <xdr:rowOff>104775</xdr:rowOff>
        </xdr:to>
        <xdr:sp macro="" textlink="">
          <xdr:nvSpPr>
            <xdr:cNvPr id="66563" name="cmdTACTUnit" hidden="1">
              <a:extLst>
                <a:ext uri="{63B3BB69-23CF-44E3-9099-C40C66FF867C}">
                  <a14:compatExt spid="_x0000_s66563"/>
                </a:ext>
                <a:ext uri="{FF2B5EF4-FFF2-40B4-BE49-F238E27FC236}">
                  <a16:creationId xmlns:a16="http://schemas.microsoft.com/office/drawing/2014/main" id="{00000000-0008-0000-1D00-000003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4</xdr:row>
          <xdr:rowOff>28575</xdr:rowOff>
        </xdr:from>
        <xdr:to>
          <xdr:col>5</xdr:col>
          <xdr:colOff>9525</xdr:colOff>
          <xdr:row>5</xdr:row>
          <xdr:rowOff>104775</xdr:rowOff>
        </xdr:to>
        <xdr:sp macro="" textlink="">
          <xdr:nvSpPr>
            <xdr:cNvPr id="66564" name="cmdTCAPUnit" hidden="1">
              <a:extLst>
                <a:ext uri="{63B3BB69-23CF-44E3-9099-C40C66FF867C}">
                  <a14:compatExt spid="_x0000_s66564"/>
                </a:ext>
                <a:ext uri="{FF2B5EF4-FFF2-40B4-BE49-F238E27FC236}">
                  <a16:creationId xmlns:a16="http://schemas.microsoft.com/office/drawing/2014/main" id="{00000000-0008-0000-1D00-000004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276225</xdr:colOff>
          <xdr:row>3</xdr:row>
          <xdr:rowOff>200025</xdr:rowOff>
        </xdr:to>
        <xdr:sp macro="" textlink="">
          <xdr:nvSpPr>
            <xdr:cNvPr id="66565" name="cmdRefreshUnits" hidden="1">
              <a:extLst>
                <a:ext uri="{63B3BB69-23CF-44E3-9099-C40C66FF867C}">
                  <a14:compatExt spid="_x0000_s66565"/>
                </a:ext>
                <a:ext uri="{FF2B5EF4-FFF2-40B4-BE49-F238E27FC236}">
                  <a16:creationId xmlns:a16="http://schemas.microsoft.com/office/drawing/2014/main" id="{00000000-0008-0000-1D00-000005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28575</xdr:colOff>
          <xdr:row>3</xdr:row>
          <xdr:rowOff>104775</xdr:rowOff>
        </xdr:from>
        <xdr:to>
          <xdr:col>4</xdr:col>
          <xdr:colOff>1000125</xdr:colOff>
          <xdr:row>4</xdr:row>
          <xdr:rowOff>123825</xdr:rowOff>
        </xdr:to>
        <xdr:sp macro="" textlink="">
          <xdr:nvSpPr>
            <xdr:cNvPr id="63489" name="cmdEnergySets" hidden="1">
              <a:extLst>
                <a:ext uri="{63B3BB69-23CF-44E3-9099-C40C66FF867C}">
                  <a14:compatExt spid="_x0000_s63489"/>
                </a:ext>
                <a:ext uri="{FF2B5EF4-FFF2-40B4-BE49-F238E27FC236}">
                  <a16:creationId xmlns:a16="http://schemas.microsoft.com/office/drawing/2014/main" id="{00000000-0008-0000-1E00-000001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4</xdr:row>
          <xdr:rowOff>180975</xdr:rowOff>
        </xdr:from>
        <xdr:to>
          <xdr:col>4</xdr:col>
          <xdr:colOff>1000125</xdr:colOff>
          <xdr:row>6</xdr:row>
          <xdr:rowOff>0</xdr:rowOff>
        </xdr:to>
        <xdr:sp macro="" textlink="">
          <xdr:nvSpPr>
            <xdr:cNvPr id="63490" name="cmdDemandSets" hidden="1">
              <a:extLst>
                <a:ext uri="{63B3BB69-23CF-44E3-9099-C40C66FF867C}">
                  <a14:compatExt spid="_x0000_s63490"/>
                </a:ext>
                <a:ext uri="{FF2B5EF4-FFF2-40B4-BE49-F238E27FC236}">
                  <a16:creationId xmlns:a16="http://schemas.microsoft.com/office/drawing/2014/main" id="{00000000-0008-0000-1E00-000002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1019175</xdr:colOff>
          <xdr:row>4</xdr:row>
          <xdr:rowOff>180975</xdr:rowOff>
        </xdr:from>
        <xdr:to>
          <xdr:col>5</xdr:col>
          <xdr:colOff>0</xdr:colOff>
          <xdr:row>6</xdr:row>
          <xdr:rowOff>0</xdr:rowOff>
        </xdr:to>
        <xdr:sp macro="" textlink="">
          <xdr:nvSpPr>
            <xdr:cNvPr id="63491" name="cmdEmissionSets" hidden="1">
              <a:extLst>
                <a:ext uri="{63B3BB69-23CF-44E3-9099-C40C66FF867C}">
                  <a14:compatExt spid="_x0000_s63491"/>
                </a:ext>
                <a:ext uri="{FF2B5EF4-FFF2-40B4-BE49-F238E27FC236}">
                  <a16:creationId xmlns:a16="http://schemas.microsoft.com/office/drawing/2014/main" id="{00000000-0008-0000-1E00-000003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1019175</xdr:colOff>
          <xdr:row>3</xdr:row>
          <xdr:rowOff>104775</xdr:rowOff>
        </xdr:from>
        <xdr:to>
          <xdr:col>5</xdr:col>
          <xdr:colOff>0</xdr:colOff>
          <xdr:row>4</xdr:row>
          <xdr:rowOff>123825</xdr:rowOff>
        </xdr:to>
        <xdr:sp macro="" textlink="">
          <xdr:nvSpPr>
            <xdr:cNvPr id="63492" name="cmdMaterialSets" hidden="1">
              <a:extLst>
                <a:ext uri="{63B3BB69-23CF-44E3-9099-C40C66FF867C}">
                  <a14:compatExt spid="_x0000_s63492"/>
                </a:ext>
                <a:ext uri="{FF2B5EF4-FFF2-40B4-BE49-F238E27FC236}">
                  <a16:creationId xmlns:a16="http://schemas.microsoft.com/office/drawing/2014/main" id="{00000000-0008-0000-1E00-000004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xdr:row>
          <xdr:rowOff>142875</xdr:rowOff>
        </xdr:from>
        <xdr:to>
          <xdr:col>0</xdr:col>
          <xdr:colOff>828675</xdr:colOff>
          <xdr:row>4</xdr:row>
          <xdr:rowOff>0</xdr:rowOff>
        </xdr:to>
        <xdr:sp macro="" textlink="">
          <xdr:nvSpPr>
            <xdr:cNvPr id="63493" name="cmdCheckCommoditiesSheet" hidden="1">
              <a:extLst>
                <a:ext uri="{63B3BB69-23CF-44E3-9099-C40C66FF867C}">
                  <a14:compatExt spid="_x0000_s63493"/>
                </a:ext>
                <a:ext uri="{FF2B5EF4-FFF2-40B4-BE49-F238E27FC236}">
                  <a16:creationId xmlns:a16="http://schemas.microsoft.com/office/drawing/2014/main" id="{00000000-0008-0000-1E00-000005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4</xdr:row>
          <xdr:rowOff>180975</xdr:rowOff>
        </xdr:from>
        <xdr:to>
          <xdr:col>4</xdr:col>
          <xdr:colOff>19050</xdr:colOff>
          <xdr:row>6</xdr:row>
          <xdr:rowOff>0</xdr:rowOff>
        </xdr:to>
        <xdr:sp macro="" textlink="">
          <xdr:nvSpPr>
            <xdr:cNvPr id="63494" name="cmdCommUnit" hidden="1">
              <a:extLst>
                <a:ext uri="{63B3BB69-23CF-44E3-9099-C40C66FF867C}">
                  <a14:compatExt spid="_x0000_s63494"/>
                </a:ext>
                <a:ext uri="{FF2B5EF4-FFF2-40B4-BE49-F238E27FC236}">
                  <a16:creationId xmlns:a16="http://schemas.microsoft.com/office/drawing/2014/main" id="{00000000-0008-0000-1E00-00000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104775</xdr:rowOff>
        </xdr:to>
        <xdr:sp macro="" textlink="">
          <xdr:nvSpPr>
            <xdr:cNvPr id="63495" name="cmdRefreshUnits" hidden="1">
              <a:extLst>
                <a:ext uri="{63B3BB69-23CF-44E3-9099-C40C66FF867C}">
                  <a14:compatExt spid="_x0000_s63495"/>
                </a:ext>
                <a:ext uri="{FF2B5EF4-FFF2-40B4-BE49-F238E27FC236}">
                  <a16:creationId xmlns:a16="http://schemas.microsoft.com/office/drawing/2014/main" id="{00000000-0008-0000-1E00-00000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a.ad.epa.gov\ord\RTP\Users\E-J\jwitt02\Net%20MyDocuments\Industrial%20sector\Iron%20and%20Steel\IronSteelCokeModel2000_Final%20Coke%20and%20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2626umcec001\nrml_appcd\Documents%20and%20Settings\Owner\My%20Documents\MARKAL\EPA%20national%20model\Supply%20&amp;%20Ups\coal\CMM_SUPPLY_da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a.ad.epa.gov\ord\RTP\Users\E-J\jwitt02\Net%20MyDocuments\EPAUS9r_12_IND_v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Documents%20and%20Settings\mdoorn\Local%20Settings\Temporary%20Internet%20Files\OLK9\Wastewater%202003%20v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X:\Documents%20and%20Settings\14348\Local%20Settings\Temporary%20Internet%20Files\OLK18\Wastewater\Wastewater%202003%20v8.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cf10684\inventory06by\Documents%20and%20Settings\14348\Local%20Settings\Temporary%20Internet%20Files\OLK18\Wastewater\Wastewater%202003%20v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a.ad.epa.gov\ord\ehe\WWInventory\2007%20Inventory\Inventory%20Files\WastewaterTreatment07_3310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emphold\TMPL_R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V2626umcec001\nrml_appcd\EMODEL\China\Anhui\Scen4\MODE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a.ad.epa.gov\ord\ehs\DOCUME~1\svijay\LOCALS~1\Temp\notesFCBCEE\ISIS%20Inputs%20Pulp%20and%20Paper%201-16-0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V2626umcec001\nrml_appcd\Documents%20and%20Settings\Evelyn\My%20Documents\MARKAL\EPA%20national%20model\from%20EPA\EPA%20CD\EPA%20CD\all%20files\MARKAL-coal2002BU.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X:\Documents%20and%20Settings\00518\Local%20Settings\Temporary%20Internet%20Files\OLKA3\Risk%20Analysis%20(T2)_nitric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cf10684\inventory06by\WWInventory\2006%20Inventory\Uncertainty\Trial2_RiskAnalysis(t2)_WW_09120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X:\WINDOWS\TEMP\notesE1EF34\RiskAnalysis(t2)_WW.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a.ad.epa.gov\ord\RTP\Users\E-J\jwitt02\Net%20MyDocuments\Industrial%20sector\Pulp%20and%20Paper\PP_Workbook_v10_final.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a.ad.epa.gov\ord\Documents%20and%20Settings\dwinters\My%20Documents\Projects\MARKAL%20WA%204-12\Task_2_PnP\ISIS_inputs_Pulp_Paper_v8.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a.ad.epa.gov\ord\Documents%20and%20Settings\dwinters\My%20Documents\Projects\MARKAL%20WA%204-12\Task_2_PnP\boneyard\ISIS_nInputs-dcw.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a.ad.epa.gov\ord\RTP\Users\E-J\jwitt02\Net%20MyDocuments\EPAUS9r_14_IND_v0.0.112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a.ad.epa.gov\ord\ehe\Projects\0210742-ERG_EPA_(Opt4)\0210742.004.012-MARKAL\Data_and_Tools\Task_1_Cement\cement_CO2_GHGreportin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SAGE\saic_technology\ResCOM\New%20Microsoft%20Excel%20Workshee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face"/>
      <sheetName val="Baseline-Steel Mill Products"/>
      <sheetName val="Control-Steel Mill Products"/>
      <sheetName val="WithReg-Steel Mill Products"/>
      <sheetName val="Baseline-Coke"/>
      <sheetName val="ControlCosts-Coke"/>
      <sheetName val="WithReg-Coke"/>
      <sheetName val="Foundry Module"/>
      <sheetName val="Results"/>
      <sheetName val="PPI COKE"/>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m2025curves"/>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Sv6.1-Home"/>
      <sheetName val="ReadMe"/>
      <sheetName val="Commodities"/>
      <sheetName val="Constraints"/>
      <sheetName val="Technologies"/>
      <sheetName val="TechData_X&amp;ZZ"/>
      <sheetName val="TechData_CHP"/>
      <sheetName val="TechData_DMD"/>
      <sheetName val="RESID_TDATA"/>
      <sheetName val="Steam"/>
      <sheetName val="CHP_resids"/>
      <sheetName val="CHP-raw data"/>
      <sheetName val="CommData_Dmd_Food"/>
      <sheetName val="CommData_Dmd_Prmry Metals"/>
      <sheetName val="CommData_Dmd_Chem"/>
      <sheetName val="CommData_Dmd_Paper"/>
      <sheetName val="CommData_Dmd_Non-Metal Minrls"/>
      <sheetName val="CommData_Dmd_Transprt Equip"/>
      <sheetName val="CommData_Dmd_Oth"/>
      <sheetName val="CommData_Dmd_NonMan"/>
      <sheetName val="Demand"/>
      <sheetName val="ConstrData"/>
      <sheetName val="UC_Shares"/>
      <sheetName val="National_EndUse1"/>
      <sheetName val="Feedstock"/>
      <sheetName val="CensusDiv"/>
      <sheetName val="old_CensusDiv"/>
      <sheetName val="AEOData"/>
      <sheetName val="TechData_Emis"/>
      <sheetName val="EmissionsSummary"/>
      <sheetName val="EmissionsUpdate"/>
      <sheetName val="Emissions"/>
      <sheetName val="GREET1.8bEmis"/>
      <sheetName val="RTI-BC"/>
      <sheetName val="RTI-OC"/>
      <sheetName val="AP42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RGmyTemplate_portR5C6"/>
      <sheetName val="RiskRGmyTemplate_portR29C6"/>
      <sheetName val="RiskRGmyTemplate_portR53C6"/>
      <sheetName val="Summary"/>
      <sheetName val="CRF"/>
      <sheetName val="Population"/>
      <sheetName val="Ind Calcs"/>
      <sheetName val="Dom Calcs"/>
      <sheetName val="Historical"/>
      <sheetName val="Unc Param"/>
      <sheetName val="Unc Summary"/>
      <sheetName val="myTemplate"/>
      <sheetName val="Details"/>
      <sheetName val="Sensitivities"/>
    </sheetNames>
    <sheetDataSet>
      <sheetData sheetId="0"/>
      <sheetData sheetId="1"/>
      <sheetData sheetId="2"/>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nd Calcs"/>
      <sheetName val="Dom Calcs"/>
      <sheetName val="RiskRGmyTemplate_portR5C6"/>
      <sheetName val="RiskRGmyTemplate_portR29C6"/>
      <sheetName val="RiskRGmyTemplate_portR53C6"/>
      <sheetName val="CRF"/>
      <sheetName val="Population"/>
      <sheetName val="Historical"/>
      <sheetName val="Unc Param"/>
      <sheetName val="Unc Summary"/>
      <sheetName val="myTemplate"/>
      <sheetName val="Details"/>
      <sheetName val="Sensitivities"/>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nd Calcs"/>
      <sheetName val="Dom Calcs"/>
      <sheetName val="RiskRGmyTemplate_portR5C6"/>
      <sheetName val="RiskRGmyTemplate_portR29C6"/>
      <sheetName val="RiskRGmyTemplate_portR53C6"/>
      <sheetName val="CRF"/>
      <sheetName val="Population"/>
      <sheetName val="Historical"/>
      <sheetName val="Unc Param"/>
      <sheetName val="Unc Summary"/>
      <sheetName val="myTemplate"/>
      <sheetName val="Details"/>
      <sheetName val="Sensitivities"/>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RF Reporter"/>
      <sheetName val="Pop data"/>
      <sheetName val="Dom Calcs"/>
      <sheetName val="Ind Calcs"/>
      <sheetName val="P_P"/>
      <sheetName val="M_P"/>
      <sheetName val="F_V_J"/>
      <sheetName val="Ethanol"/>
      <sheetName val="Petroleum"/>
      <sheetName val="Constants"/>
      <sheetName val="Uncertainty Tier 2"/>
      <sheetName val="T2.Step2.ResultsTemplate"/>
      <sheetName val="Historic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tables"/>
      <sheetName val="input prices"/>
      <sheetName val="input coefficients"/>
      <sheetName val="mill data by product"/>
      <sheetName val="P&amp;P units"/>
      <sheetName val="emissions abatement"/>
      <sheetName val="emis abat calc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S"/>
      <sheetName val="M-TID"/>
      <sheetName val="M-TS"/>
      <sheetName val="MARKAL data"/>
      <sheetName val="energy carriers"/>
      <sheetName val="Summary"/>
      <sheetName val="CUM"/>
      <sheetName val="Res-Sulfur"/>
      <sheetName val="Reserves"/>
      <sheetName val="Steps"/>
      <sheetName val="Period Averages"/>
      <sheetName val="Coal Supply Curves"/>
      <sheetName val="Supply Curve Mapping"/>
      <sheetName val="Key to Supply Curve Report"/>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sheetData sheetId="9"/>
      <sheetData sheetId="10" refreshError="1"/>
      <sheetData sheetId="11" refreshError="1"/>
      <sheetData sheetId="12"/>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c Inputs"/>
      <sheetName val="RiskRGT2.Step2.RelateR6C7"/>
      <sheetName val="T2.Step1.Sources"/>
      <sheetName val="T2.Step2.ResultsTemplate"/>
      <sheetName val="Conversions"/>
      <sheetName val="Summary Quick Report"/>
      <sheetName val="Output D13"/>
      <sheetName val="Outputs Data Report"/>
      <sheetName val="Output Graphs"/>
      <sheetName val="Input Grap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c Inputs"/>
      <sheetName val="RiskRGT2.Step2.RelateR6C7"/>
      <sheetName val="RiskRGT2.Step2.RelateR31C7"/>
      <sheetName val="RiskRGT2.Step2.RelateR56C7"/>
      <sheetName val="T2.Step1.Sources"/>
      <sheetName val="Conversions"/>
      <sheetName val="Summary Quick Report"/>
      <sheetName val="IndustrialWW F88"/>
      <sheetName val="DomesticWW F89"/>
      <sheetName val="TotalWW D92"/>
      <sheetName val="Summary Report"/>
      <sheetName val="Outputs Data Report"/>
      <sheetName val="Inputs Data Report"/>
      <sheetName val="Output Graphs"/>
      <sheetName val="Input Graph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c Inputs"/>
      <sheetName val="RiskRGT2.Step2.RelateR6C7"/>
      <sheetName val="RiskRGT2.Step2.RelateR31C7"/>
      <sheetName val="RiskRGT2.Step2.RelateR56C7"/>
      <sheetName val="T2.Step1.Sources"/>
      <sheetName val="T2.Step2.ResultsTemplate"/>
      <sheetName val="Conversions"/>
      <sheetName val="Summary Quick Report"/>
      <sheetName val="Output2 F45"/>
      <sheetName val="Output3 F46"/>
      <sheetName val="Output D49"/>
      <sheetName val="Outputs Data Report"/>
      <sheetName val="Output Graphs"/>
      <sheetName val="Input Grap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sheetName val="QA Emails"/>
      <sheetName val="QA-Tech Review"/>
      <sheetName val="Introduction"/>
      <sheetName val="Tech Authors"/>
      <sheetName val="References"/>
      <sheetName val="Methodology"/>
      <sheetName val="-------"/>
      <sheetName val="R0i"/>
      <sheetName val="R1i"/>
      <sheetName val="R2i"/>
      <sheetName val="R3i"/>
      <sheetName val="R4i"/>
      <sheetName val="R5i"/>
      <sheetName val="R6i"/>
      <sheetName val="R7i"/>
      <sheetName val="R8i"/>
      <sheetName val="R9i"/>
      <sheetName val="------"/>
      <sheetName val="R0p"/>
      <sheetName val="R1p"/>
      <sheetName val="R2p"/>
      <sheetName val="R3p"/>
      <sheetName val="R4p"/>
      <sheetName val="R5p"/>
      <sheetName val="R6p"/>
      <sheetName val="R7p"/>
      <sheetName val="R8p"/>
      <sheetName val="R9p"/>
      <sheetName val="-----"/>
      <sheetName val="R0n"/>
      <sheetName val="R1n"/>
      <sheetName val="R2n"/>
      <sheetName val="R3n"/>
      <sheetName val="R4n"/>
      <sheetName val="R5n"/>
      <sheetName val="R6n"/>
      <sheetName val="R7n"/>
      <sheetName val="R8n"/>
      <sheetName val="R9n"/>
      <sheetName val="----"/>
      <sheetName val="RISIData"/>
      <sheetName val="RISI1"/>
      <sheetName val="RISI2"/>
      <sheetName val="ICR-Pulp"/>
      <sheetName val="ICR-Mill"/>
      <sheetName val="Conv_Factors"/>
      <sheetName val="PWACalcs"/>
      <sheetName val="2008NEI_PWA"/>
      <sheetName val="LWCapacities"/>
      <sheetName val="AFPAProd"/>
      <sheetName val="Energetics2005_PPB"/>
      <sheetName val="Data"/>
      <sheetName val="Calcs"/>
      <sheetName val="2008NEI"/>
      <sheetName val="2008NEIref"/>
      <sheetName val="Mandatory GHG Reporting Rule"/>
      <sheetName val="NEImills"/>
      <sheetName val="--------"/>
      <sheetName val="Units_Non_Integrated_New"/>
      <sheetName val="Units_Integrated"/>
      <sheetName val="mill data by product_NonInt"/>
      <sheetName val="mill data by product_Integrated"/>
      <sheetName val="Energy"/>
      <sheetName val="Emissions"/>
      <sheetName val="FuelsAvailability"/>
      <sheetName val="Energetics2005_IntegratedMills"/>
      <sheetName val="Energetics2005_PulpOnlyMills"/>
      <sheetName val="Energetics2005_NonIntegrated"/>
      <sheetName val="---------"/>
      <sheetName val="Electrcity_Non_int"/>
      <sheetName val="EnergyInsByPr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Tech Authors"/>
      <sheetName val="Sources"/>
      <sheetName val="-------"/>
      <sheetName val="R1i"/>
      <sheetName val="R2i"/>
      <sheetName val="R3i"/>
      <sheetName val="R4i"/>
      <sheetName val="R5i"/>
      <sheetName val="R6i"/>
      <sheetName val="R7i"/>
      <sheetName val="R8i"/>
      <sheetName val="R9i"/>
      <sheetName val="------"/>
      <sheetName val="R0p"/>
      <sheetName val="R1p"/>
      <sheetName val="R2p"/>
      <sheetName val="R3p"/>
      <sheetName val="R4p"/>
      <sheetName val="R0i"/>
      <sheetName val="R5p"/>
      <sheetName val="R6p"/>
      <sheetName val="R7p"/>
      <sheetName val="R8p"/>
      <sheetName val="R9p"/>
      <sheetName val="-----"/>
      <sheetName val="R0n"/>
      <sheetName val="R1n"/>
      <sheetName val="R2n"/>
      <sheetName val="R3n"/>
      <sheetName val="R4n"/>
      <sheetName val="R5n"/>
      <sheetName val="R6n"/>
      <sheetName val="R7n"/>
      <sheetName val="R8n"/>
      <sheetName val="R9n"/>
      <sheetName val="----"/>
      <sheetName val="Data"/>
      <sheetName val="Calcs-Cap"/>
      <sheetName val="Calcs"/>
      <sheetName val="2008NEI"/>
      <sheetName val="2008NEIref"/>
      <sheetName val="Mandatory GHG Reporting Rule"/>
      <sheetName val="NEImills"/>
      <sheetName val="Units_Non_Integrated_New"/>
      <sheetName val="Units_Integrated"/>
      <sheetName val="mill data by product_NonInt"/>
      <sheetName val="mill data by product_Integrated"/>
      <sheetName val="Energy"/>
      <sheetName val="Emissions"/>
      <sheetName val="FuelsAvailability"/>
      <sheetName val="Energetics2005_IntegratedMills"/>
      <sheetName val="Energetics2005_PulpOnlyMills"/>
      <sheetName val="Energetics2005_NonIntegrated"/>
      <sheetName val="-------------------------------"/>
      <sheetName val="mill data by product_NonInt_Org"/>
      <sheetName val="PnP_Non_Int_Formated"/>
      <sheetName val="PlantCapCost"/>
      <sheetName val="P&amp;P Units_Non-int"/>
      <sheetName val="Units_Non_Integrated"/>
      <sheetName val="Policy"/>
      <sheetName val="Demand"/>
      <sheetName val="Productratio"/>
      <sheetName val="Electrcity_Non_int"/>
      <sheetName val="WastenWater"/>
      <sheetName val="Imports"/>
      <sheetName val="TransCosts"/>
      <sheetName val="ID_DC_MAP"/>
      <sheetName val="Emisintensity_integrated"/>
      <sheetName val="Emisintensity_Non_integrated"/>
      <sheetName val="Emisintensity_Cal"/>
      <sheetName val="Ecntrlpowerblr"/>
      <sheetName val="Ecntrlrecfurnace"/>
      <sheetName val="Ecntrlhogfuelblr"/>
      <sheetName val="BoilerExistctrl"/>
      <sheetName val="Controls"/>
      <sheetName val="Controls_Compatibility"/>
      <sheetName val="EEMeasures"/>
      <sheetName val="EE_Compatibility"/>
      <sheetName val="EscalationRates"/>
      <sheetName val="Calibration"/>
      <sheetName val="Units_Original"/>
      <sheetName val="EmissionUnits"/>
      <sheetName val="Boiler Capacity Calcs"/>
      <sheetName val="Sheet3"/>
      <sheetName val="EmissionUnits-old"/>
      <sheetName val="P&amp;P units 10_10 trimmed"/>
      <sheetName val="P&amp;P Units_Trimmed_non-int"/>
      <sheetName val="P&amp;P units 11_09"/>
      <sheetName val="P&amp;P Units-old"/>
      <sheetName val="EMPAX"/>
      <sheetName val="AEO 2009v2"/>
      <sheetName val="Growth Rates"/>
      <sheetName val="Demand Projections"/>
      <sheetName val="Population Projections"/>
      <sheetName val="Regional Demand Projections"/>
      <sheetName val="FuelEnergyContant"/>
      <sheetName val="EnergyInsByPr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availability"/>
      <sheetName val="R1-NewEng"/>
      <sheetName val="R2-MidAtl"/>
      <sheetName val="R3-ENCentral"/>
      <sheetName val="R4-WNCentral"/>
      <sheetName val="R5-SAtl"/>
      <sheetName val="R6-ESCentral"/>
      <sheetName val="R7-WSCentral"/>
      <sheetName val="R8-Mtn"/>
      <sheetName val="R9-Pacific"/>
      <sheetName val="calcs"/>
      <sheetName val="data"/>
      <sheetName val="Summary"/>
      <sheetName val="Generals"/>
      <sheetName val="Demand"/>
      <sheetName val="Units"/>
      <sheetName val="Intensity"/>
      <sheetName val="WastenWater"/>
      <sheetName val="DomTrnsCst"/>
      <sheetName val="ImpTrnsCst"/>
      <sheetName val="Electricity"/>
      <sheetName val="bControls"/>
      <sheetName val="Controls"/>
      <sheetName val="EEMeasures"/>
      <sheetName val="EscalationRates"/>
      <sheetName val="Policy"/>
      <sheetName val="pControls"/>
      <sheetName val="Caliberation"/>
      <sheetName val="_______________________________"/>
      <sheetName val="Emisintensity_Non_integrated"/>
      <sheetName val="Electrcity_Non_int"/>
      <sheetName val="Mappings"/>
      <sheetName val="Units_Non_Integrated"/>
      <sheetName val="mill data by product_NonInt_Org"/>
      <sheetName val="PnP_Non_Int_Formated"/>
      <sheetName val="P&amp;P Units_Non-int"/>
      <sheetName val="P&amp;P Units_Trimmed_non-int"/>
      <sheetName val="Emisintensity_Cal"/>
      <sheetName val="mill data by product"/>
      <sheetName val="Productratio"/>
      <sheetName val="Units_Original"/>
      <sheetName val="EmissionUnits"/>
      <sheetName val="Boiler Capacity Calcs"/>
      <sheetName val="P&amp;P units 10_10 trimmed"/>
      <sheetName val="P&amp;P units 11_09"/>
      <sheetName val="EMPAX"/>
      <sheetName val="AEO 2009v2"/>
      <sheetName val="Growth Rates"/>
      <sheetName val="Demand Projections"/>
      <sheetName val="Population Projections"/>
      <sheetName val="Regional Demand Projections"/>
      <sheetName val="FuelEnergyContant"/>
      <sheetName val="EnergyInsByPro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Sv6.1-Home"/>
      <sheetName val="ReadMe"/>
      <sheetName val="Commodities"/>
      <sheetName val="Technologies"/>
      <sheetName val="Constraints"/>
      <sheetName val="CommData"/>
      <sheetName val="TechData_SUP"/>
      <sheetName val="TechData_BOL"/>
      <sheetName val="TechData_CHP"/>
      <sheetName val="TechData_ESD"/>
      <sheetName val="TechData_MNF"/>
      <sheetName val="TechData_Emis"/>
      <sheetName val="TechData_TRD"/>
      <sheetName val="TechData_X&amp;ZZ"/>
      <sheetName val="ConstrData"/>
      <sheetName val="BoilerESD"/>
      <sheetName val="CHPData"/>
      <sheetName val="Emissions"/>
      <sheetName val="Consumption"/>
      <sheetName val="MSBoilers"/>
      <sheetName val="ASBoilers"/>
      <sheetName val="CHPInst"/>
      <sheetName val="Food"/>
      <sheetName val="Food_GHG"/>
      <sheetName val="Food_NEI"/>
      <sheetName val="PaperISIS"/>
      <sheetName val="PaperDOE"/>
      <sheetName val="PaperEmis"/>
      <sheetName val="Petrochem"/>
      <sheetName val="CCIGW"/>
      <sheetName val="OtrOrgChem"/>
      <sheetName val="2011GHGRP-CO"/>
      <sheetName val="2011NEI-CO"/>
      <sheetName val="NitroFert"/>
      <sheetName val="PhosFert"/>
      <sheetName val="Ammonia"/>
      <sheetName val="2011GHGRP-A"/>
      <sheetName val="2011NEI-325311"/>
      <sheetName val="2011NEI-325312"/>
      <sheetName val="Cement"/>
      <sheetName val="IronSteel"/>
      <sheetName val="EAF"/>
      <sheetName val="Integrated"/>
      <sheetName val="GHGData-MS"/>
      <sheetName val="2008NEI_All"/>
      <sheetName val="Baseline-Coke"/>
      <sheetName val="Aluminum"/>
      <sheetName val="Production"/>
      <sheetName val="GHGData-MA"/>
      <sheetName val="2008v2NEI"/>
      <sheetName val="2005NEI"/>
      <sheetName val="OtrIND"/>
      <sheetName val="Demand"/>
      <sheetName val="Filters"/>
      <sheetName val="Appendi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datory GHG Reporting Rule"/>
      <sheetName val="References"/>
      <sheetName val="from 2008NEI and Calcs tabs"/>
      <sheetName val="conversion factors"/>
      <sheetName val="Sheet1"/>
    </sheetNames>
    <sheetDataSet>
      <sheetData sheetId="0"/>
      <sheetData sheetId="1"/>
      <sheetData sheetId="2"/>
      <sheetData sheetId="3"/>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Microsoft Excel Worksheet"/>
      <sheetName val="AGR_Fuels"/>
      <sheetName val="TechRep-Doc"/>
    </sheetNames>
    <sheetDataSet>
      <sheetData sheetId="0" refreshError="1"/>
      <sheetData sheetId="1" refreshError="1"/>
      <sheetData sheetId="2" refreshError="1"/>
    </sheetDataSet>
  </externalBook>
</externalLink>
</file>

<file path=xl/persons/person.xml><?xml version="1.0" encoding="utf-8"?>
<personList xmlns="http://schemas.microsoft.com/office/spreadsheetml/2018/threadedcomments" xmlns:x="http://schemas.openxmlformats.org/spreadsheetml/2006/main">
  <person displayName="Farhat, Samir" id="{C7FA4568-DDC2-41AA-B103-1577CC9C7A77}" userId="FarhatS@omb.nyc.gov" providerId="PeoplePicker"/>
  <person displayName="Vilgalys, Max" id="{F5796EC7-B832-4AC8-A715-B1FDDF622CD2}" userId="VilgalysM@omb.nyc.gov" providerId="PeoplePicker"/>
  <person displayName="Vilgalys, Max" id="{6117A608-DED2-4746-9637-D19259D93556}" userId="S::vilgalysm@omb.nyc.gov::2f772ca1-1042-4197-962a-1b495cdaaa71" providerId="AD"/>
  <person displayName="Robertson, Aurora" id="{0B527054-4CE6-4CCA-B547-DDADE57DFBF2}" userId="S::RobertsonA@omb.nyc.gov::64748c27-f566-469f-bc0b-104e9214689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at, Samir" refreshedDate="45643.696652199076" createdVersion="8" refreshedVersion="8" minRefreshableVersion="3" recordCount="105" xr:uid="{D8C59F9E-90CE-4033-BF8E-3FA6B954107B}">
  <cacheSource type="worksheet">
    <worksheetSource ref="B3:I108" sheet="Rooftop Calc"/>
  </cacheSource>
  <cacheFields count="8">
    <cacheField name="Borough" numFmtId="2">
      <sharedItems containsBlank="1" count="6">
        <s v="Bronx"/>
        <s v="Brooklyn"/>
        <s v="Manhattan"/>
        <s v="Queens"/>
        <s v="Staten Island"/>
        <m u="1"/>
      </sharedItems>
    </cacheField>
    <cacheField name="Customer Class" numFmtId="2">
      <sharedItems containsBlank="1" count="8">
        <s v="Residential"/>
        <s v="Transportation"/>
        <s v="Commercial"/>
        <s v="Government"/>
        <s v="Industrial"/>
        <s v="N/A"/>
        <s v="Cust. Class" u="1"/>
        <m u="1"/>
      </sharedItems>
    </cacheField>
    <cacheField name="General Classification" numFmtId="2">
      <sharedItems/>
    </cacheField>
    <cacheField name="No Green Roof" numFmtId="43">
      <sharedItems containsSemiMixedTypes="0" containsString="0" containsNumber="1" minValue="0" maxValue="2704993.8573539141"/>
    </cacheField>
    <cacheField name="PV KW (75%)" numFmtId="43">
      <sharedItems containsSemiMixedTypes="0" containsString="0" containsNumber="1" minValue="0" maxValue="2028745.3930154911"/>
    </cacheField>
    <cacheField name="PV KW (50%)" numFmtId="43">
      <sharedItems containsSemiMixedTypes="0" containsString="0" containsNumber="1" minValue="0" maxValue="1352496.928676957"/>
    </cacheField>
    <cacheField name="PV KW (25%)" numFmtId="43">
      <sharedItems containsSemiMixedTypes="0" containsString="0" containsNumber="1" minValue="0" maxValue="676248.46433847852"/>
    </cacheField>
    <cacheField name="PV KW (10%)" numFmtId="43">
      <sharedItems containsSemiMixedTypes="0" containsString="0" containsNumber="1" minValue="0" maxValue="270499.385735399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x v="0"/>
    <x v="0"/>
    <s v="1-2 Family Dwelling"/>
    <n v="540775.87804322469"/>
    <n v="405581.90853245434"/>
    <n v="270387.93902161234"/>
    <n v="135193.96951080617"/>
    <n v="54077.58780432785"/>
  </r>
  <r>
    <x v="0"/>
    <x v="1"/>
    <s v="Airport"/>
    <n v="0"/>
    <n v="0"/>
    <n v="0"/>
    <n v="0"/>
    <n v="0"/>
  </r>
  <r>
    <x v="0"/>
    <x v="2"/>
    <s v="Auto Services"/>
    <n v="77690.061166666681"/>
    <n v="58267.545874999953"/>
    <n v="38845.03058333334"/>
    <n v="19422.51529166667"/>
    <n v="7769.0061166666692"/>
  </r>
  <r>
    <x v="0"/>
    <x v="2"/>
    <s v="Church/Mission/Asylum"/>
    <n v="51817.496197691216"/>
    <n v="38863.122148268318"/>
    <n v="25908.748098845608"/>
    <n v="12954.374049422804"/>
    <n v="5181.7496197691207"/>
  </r>
  <r>
    <x v="0"/>
    <x v="2"/>
    <s v="Education College/University"/>
    <n v="29964.876491342002"/>
    <n v="22473.657368506501"/>
    <n v="14982.438245671001"/>
    <n v="7491.2191228355005"/>
    <n v="2996.4876491341997"/>
  </r>
  <r>
    <x v="0"/>
    <x v="2"/>
    <s v="Education K12"/>
    <n v="93476.642833333332"/>
    <n v="70107.48212500001"/>
    <n v="46738.321416666666"/>
    <n v="23369.160708333333"/>
    <n v="9347.6642833333353"/>
  </r>
  <r>
    <x v="0"/>
    <x v="3"/>
    <s v="Government"/>
    <n v="39459.57538888885"/>
    <n v="29594.681541666672"/>
    <n v="19729.787694444425"/>
    <n v="9864.8938472222126"/>
    <n v="3945.9575388888884"/>
  </r>
  <r>
    <x v="0"/>
    <x v="2"/>
    <s v="Hospital/Clinic"/>
    <n v="87.815000000000012"/>
    <n v="65.861249999999998"/>
    <n v="43.907500000000006"/>
    <n v="21.953750000000003"/>
    <n v="8.7814999999999994"/>
  </r>
  <r>
    <x v="0"/>
    <x v="4"/>
    <s v="Industrial"/>
    <n v="67240.060571428534"/>
    <n v="50430.045428571451"/>
    <n v="33620.030285714267"/>
    <n v="16810.015142857133"/>
    <n v="6724.0060571428512"/>
  </r>
  <r>
    <x v="0"/>
    <x v="0"/>
    <s v="Large Apartment/Hotel"/>
    <n v="309335.15236562811"/>
    <n v="232001.36427422159"/>
    <n v="154667.57618281405"/>
    <n v="77333.788091407027"/>
    <n v="30933.515236562846"/>
  </r>
  <r>
    <x v="0"/>
    <x v="2"/>
    <s v="Large Retail/Office"/>
    <n v="83207.477619047597"/>
    <n v="62405.608214285727"/>
    <n v="41603.738809523798"/>
    <n v="20801.869404761899"/>
    <n v="8320.747761904755"/>
  </r>
  <r>
    <x v="0"/>
    <x v="5"/>
    <s v="Other"/>
    <n v="12106.057500000004"/>
    <n v="9079.5431249999929"/>
    <n v="6053.0287500000022"/>
    <n v="3026.5143750000011"/>
    <n v="1210.6057500000002"/>
  </r>
  <r>
    <x v="0"/>
    <x v="5"/>
    <s v="Parking Area Outdoor"/>
    <n v="0"/>
    <n v="0"/>
    <n v="0"/>
    <n v="0"/>
    <n v="0"/>
  </r>
  <r>
    <x v="0"/>
    <x v="2"/>
    <s v="Parking Structure"/>
    <n v="4538.383333333335"/>
    <n v="3403.7874999999999"/>
    <n v="2269.1916666666675"/>
    <n v="1134.5958333333338"/>
    <n v="453.83833333333337"/>
  </r>
  <r>
    <x v="0"/>
    <x v="1"/>
    <s v="Port or Shipping"/>
    <n v="2935.0899999999997"/>
    <n v="2201.3174999999997"/>
    <n v="1467.5449999999998"/>
    <n v="733.77249999999992"/>
    <n v="293.50900000000007"/>
  </r>
  <r>
    <x v="0"/>
    <x v="0"/>
    <s v="Small Apartment or Condo"/>
    <n v="467074.56398411881"/>
    <n v="350305.92298808118"/>
    <n v="233537.2819920594"/>
    <n v="116768.6409960297"/>
    <n v="46707.456398411559"/>
  </r>
  <r>
    <x v="0"/>
    <x v="2"/>
    <s v="Small Retail/Office"/>
    <n v="152929.31454387298"/>
    <n v="114696.98590790445"/>
    <n v="76464.657271936492"/>
    <n v="38232.328635968246"/>
    <n v="15292.931454387273"/>
  </r>
  <r>
    <x v="0"/>
    <x v="2"/>
    <s v="Theater/Public Assembly"/>
    <n v="51941.221155844156"/>
    <n v="38955.91586688313"/>
    <n v="25970.610577922078"/>
    <n v="12985.305288961039"/>
    <n v="5194.1221155844141"/>
  </r>
  <r>
    <x v="0"/>
    <x v="2"/>
    <s v="Utility Electric/Gas"/>
    <n v="0"/>
    <n v="0"/>
    <n v="0"/>
    <n v="0"/>
    <n v="0"/>
  </r>
  <r>
    <x v="0"/>
    <x v="2"/>
    <s v="Utility Other"/>
    <n v="0"/>
    <n v="0"/>
    <n v="0"/>
    <n v="0"/>
    <n v="0"/>
  </r>
  <r>
    <x v="0"/>
    <x v="2"/>
    <s v="Warehouse"/>
    <n v="117686.92100000002"/>
    <n v="88265.190750000023"/>
    <n v="58843.460500000008"/>
    <n v="29421.730250000004"/>
    <n v="11768.692100000022"/>
  </r>
  <r>
    <x v="1"/>
    <x v="0"/>
    <s v="1-2 Family Dwelling"/>
    <n v="1681893.1854580806"/>
    <n v="1261419.889093691"/>
    <n v="840946.59272904031"/>
    <n v="420473.29636452015"/>
    <n v="168189.31854582977"/>
  </r>
  <r>
    <x v="1"/>
    <x v="1"/>
    <s v="Airport"/>
    <n v="35.07"/>
    <n v="26.302499999999998"/>
    <n v="17.535"/>
    <n v="8.7675000000000001"/>
    <n v="3.5070000000000006"/>
  </r>
  <r>
    <x v="1"/>
    <x v="2"/>
    <s v="Auto Services"/>
    <n v="51774.064166666642"/>
    <n v="38830.548124999943"/>
    <n v="25887.032083333321"/>
    <n v="12943.51604166666"/>
    <n v="5177.4064166666649"/>
  </r>
  <r>
    <x v="1"/>
    <x v="2"/>
    <s v="Church/Mission/Asylum"/>
    <n v="111602.51194465274"/>
    <n v="83701.883958489547"/>
    <n v="55801.255972326369"/>
    <n v="27900.627986163185"/>
    <n v="11160.251194465271"/>
  </r>
  <r>
    <x v="1"/>
    <x v="2"/>
    <s v="Education College/University"/>
    <n v="33625.304278860029"/>
    <n v="25218.978209145025"/>
    <n v="16812.652139430014"/>
    <n v="8406.3260697150072"/>
    <n v="3362.5304278860035"/>
  </r>
  <r>
    <x v="1"/>
    <x v="2"/>
    <s v="Education K12"/>
    <n v="155625.43434711071"/>
    <n v="116719.07576033314"/>
    <n v="77812.717173555357"/>
    <n v="38906.358586777678"/>
    <n v="15562.543434711077"/>
  </r>
  <r>
    <x v="1"/>
    <x v="3"/>
    <s v="Government"/>
    <n v="287346.82096103899"/>
    <n v="215510.11572077926"/>
    <n v="143673.41048051949"/>
    <n v="71836.705240259747"/>
    <n v="28734.682096103897"/>
  </r>
  <r>
    <x v="1"/>
    <x v="2"/>
    <s v="Hospital/Clinic"/>
    <n v="47130.734421384201"/>
    <n v="35348.0508160381"/>
    <n v="23565.3672106921"/>
    <n v="11782.68360534605"/>
    <n v="4713.0734421384122"/>
  </r>
  <r>
    <x v="1"/>
    <x v="4"/>
    <s v="Industrial"/>
    <n v="168218.0265800865"/>
    <n v="126163.51993506502"/>
    <n v="84109.013290043251"/>
    <n v="42054.506645021625"/>
    <n v="16821.802658008633"/>
  </r>
  <r>
    <x v="1"/>
    <x v="0"/>
    <s v="Large Apartment/Hotel"/>
    <n v="414618.08359172504"/>
    <n v="310963.56269379344"/>
    <n v="207309.04179586252"/>
    <n v="103654.52089793126"/>
    <n v="41461.808359172363"/>
  </r>
  <r>
    <x v="1"/>
    <x v="2"/>
    <s v="Large Retail/Office"/>
    <n v="85942.197560051209"/>
    <n v="64456.648170038359"/>
    <n v="42971.098780025604"/>
    <n v="21485.549390012802"/>
    <n v="8594.2197560051263"/>
  </r>
  <r>
    <x v="1"/>
    <x v="5"/>
    <s v="Other"/>
    <n v="7209.654166666669"/>
    <n v="5407.2406249999995"/>
    <n v="3604.8270833333345"/>
    <n v="1802.4135416666672"/>
    <n v="720.9654166666669"/>
  </r>
  <r>
    <x v="1"/>
    <x v="5"/>
    <s v="Parking Area Outdoor"/>
    <n v="0"/>
    <n v="0"/>
    <n v="0"/>
    <n v="0"/>
    <n v="0"/>
  </r>
  <r>
    <x v="1"/>
    <x v="2"/>
    <s v="Parking Structure"/>
    <n v="59252.812333333386"/>
    <n v="44439.609249999863"/>
    <n v="29626.406166666693"/>
    <n v="14813.203083333347"/>
    <n v="5925.2812333333222"/>
  </r>
  <r>
    <x v="1"/>
    <x v="1"/>
    <s v="Port or Shipping"/>
    <n v="80651.795833333337"/>
    <n v="60488.84687500001"/>
    <n v="40325.897916666669"/>
    <n v="20162.948958333334"/>
    <n v="8065.1795833333317"/>
  </r>
  <r>
    <x v="1"/>
    <x v="0"/>
    <s v="Small Apartment or Condo"/>
    <n v="1400223.2716090381"/>
    <n v="1050167.4537068873"/>
    <n v="700111.63580451906"/>
    <n v="350055.81790225953"/>
    <n v="140022.32716091725"/>
  </r>
  <r>
    <x v="1"/>
    <x v="2"/>
    <s v="Small Retail/Office"/>
    <n v="274395.13417376974"/>
    <n v="205796.35063032576"/>
    <n v="137197.56708688487"/>
    <n v="68598.783543442434"/>
    <n v="27439.513417376882"/>
  </r>
  <r>
    <x v="1"/>
    <x v="2"/>
    <s v="Theater/Public Assembly"/>
    <n v="33974.147377289337"/>
    <n v="25480.610532967043"/>
    <n v="16987.073688644668"/>
    <n v="8493.5368443223342"/>
    <n v="3397.4147377289401"/>
  </r>
  <r>
    <x v="1"/>
    <x v="2"/>
    <s v="Utility Electric/Gas"/>
    <n v="0"/>
    <n v="0"/>
    <n v="0"/>
    <n v="0"/>
    <n v="0"/>
  </r>
  <r>
    <x v="1"/>
    <x v="2"/>
    <s v="Utility Other"/>
    <n v="3629.09"/>
    <n v="2721.8175000000001"/>
    <n v="1814.5450000000001"/>
    <n v="907.27250000000004"/>
    <n v="362.90899999999999"/>
  </r>
  <r>
    <x v="1"/>
    <x v="2"/>
    <s v="Warehouse"/>
    <n v="308457.74409523874"/>
    <n v="231343.30807142862"/>
    <n v="154228.87204761937"/>
    <n v="77114.436023809685"/>
    <n v="30845.774409523903"/>
  </r>
  <r>
    <x v="2"/>
    <x v="0"/>
    <s v="1-2 Family Dwelling"/>
    <n v="83712.548231412933"/>
    <n v="62784.411173559041"/>
    <n v="41856.274115706467"/>
    <n v="20928.137057853233"/>
    <n v="8371.2548231411911"/>
  </r>
  <r>
    <x v="2"/>
    <x v="1"/>
    <s v="Airport"/>
    <n v="742.375"/>
    <n v="556.78125"/>
    <n v="371.1875"/>
    <n v="185.59375"/>
    <n v="74.237499999999997"/>
  </r>
  <r>
    <x v="2"/>
    <x v="2"/>
    <s v="Auto Services"/>
    <n v="24407.755269841244"/>
    <n v="18305.816452380943"/>
    <n v="12203.877634920622"/>
    <n v="6101.9388174603109"/>
    <n v="2440.7755269841286"/>
  </r>
  <r>
    <x v="2"/>
    <x v="2"/>
    <s v="Church/Mission/Asylum"/>
    <n v="55244.09661806401"/>
    <n v="41433.072463548029"/>
    <n v="27622.048309032005"/>
    <n v="13811.024154516002"/>
    <n v="5524.4096618064059"/>
  </r>
  <r>
    <x v="2"/>
    <x v="2"/>
    <s v="Education College/University"/>
    <n v="40963.149280698148"/>
    <n v="30722.361960523558"/>
    <n v="20481.574640349074"/>
    <n v="10240.787320174537"/>
    <n v="4096.314928069809"/>
  </r>
  <r>
    <x v="2"/>
    <x v="2"/>
    <s v="Education K12"/>
    <n v="65418.312664141427"/>
    <n v="49063.734498106089"/>
    <n v="32709.156332070714"/>
    <n v="16354.578166035357"/>
    <n v="6541.8312664141404"/>
  </r>
  <r>
    <x v="2"/>
    <x v="3"/>
    <s v="Government"/>
    <n v="58717.920749205136"/>
    <n v="44038.440561903888"/>
    <n v="29358.960374602568"/>
    <n v="14679.480187301284"/>
    <n v="5871.7920749205141"/>
  </r>
  <r>
    <x v="2"/>
    <x v="2"/>
    <s v="Hospital/Clinic"/>
    <n v="43393.473510795484"/>
    <n v="32545.105133096604"/>
    <n v="21696.736755397742"/>
    <n v="10848.368377698871"/>
    <n v="4339.347351079552"/>
  </r>
  <r>
    <x v="2"/>
    <x v="4"/>
    <s v="Industrial"/>
    <n v="12805.999178571425"/>
    <n v="9604.4993839285798"/>
    <n v="6402.9995892857123"/>
    <n v="3201.4997946428562"/>
    <n v="1280.5999178571428"/>
  </r>
  <r>
    <x v="2"/>
    <x v="0"/>
    <s v="Large Apartment/Hotel"/>
    <n v="556484.98174975382"/>
    <n v="417363.73631231586"/>
    <n v="278242.49087487691"/>
    <n v="139121.24543743845"/>
    <n v="55648.498174975641"/>
  </r>
  <r>
    <x v="2"/>
    <x v="2"/>
    <s v="Large Retail/Office"/>
    <n v="197577.75750341895"/>
    <n v="148183.31812756366"/>
    <n v="98788.878751709475"/>
    <n v="49394.439375854738"/>
    <n v="19757.775750341927"/>
  </r>
  <r>
    <x v="2"/>
    <x v="5"/>
    <s v="Other"/>
    <n v="7546.2655777777754"/>
    <n v="5659.699183333335"/>
    <n v="3773.1327888888877"/>
    <n v="1886.5663944444439"/>
    <n v="754.62655777777798"/>
  </r>
  <r>
    <x v="2"/>
    <x v="5"/>
    <s v="Parking Area Outdoor"/>
    <n v="0"/>
    <n v="0"/>
    <n v="0"/>
    <n v="0"/>
    <n v="0"/>
  </r>
  <r>
    <x v="2"/>
    <x v="2"/>
    <s v="Parking Structure"/>
    <n v="14277.777166666672"/>
    <n v="10708.332875"/>
    <n v="7138.8885833333361"/>
    <n v="3569.4442916666681"/>
    <n v="1427.7777166666656"/>
  </r>
  <r>
    <x v="2"/>
    <x v="1"/>
    <s v="Port or Shipping"/>
    <n v="37478.82"/>
    <n v="28109.114999999998"/>
    <n v="18739.41"/>
    <n v="9369.7049999999999"/>
    <n v="3747.8820000000001"/>
  </r>
  <r>
    <x v="2"/>
    <x v="0"/>
    <s v="Small Apartment or Condo"/>
    <n v="506319.62569490843"/>
    <n v="379739.71927118872"/>
    <n v="253159.81284745422"/>
    <n v="126579.90642372711"/>
    <n v="50631.962569491356"/>
  </r>
  <r>
    <x v="2"/>
    <x v="2"/>
    <s v="Small Retail/Office"/>
    <n v="130673.33220296477"/>
    <n v="98004.999152223885"/>
    <n v="65336.666101482384"/>
    <n v="32668.333050741192"/>
    <n v="13067.333220296436"/>
  </r>
  <r>
    <x v="2"/>
    <x v="2"/>
    <s v="Theater/Public Assembly"/>
    <n v="52058.030626585372"/>
    <n v="39043.522969939033"/>
    <n v="26029.015313292686"/>
    <n v="13014.507656646343"/>
    <n v="5205.803062658536"/>
  </r>
  <r>
    <x v="2"/>
    <x v="2"/>
    <s v="Utility Electric/Gas"/>
    <n v="228.85"/>
    <n v="171.63749999999999"/>
    <n v="114.425"/>
    <n v="57.212499999999999"/>
    <n v="22.885000000000002"/>
  </r>
  <r>
    <x v="2"/>
    <x v="2"/>
    <s v="Utility Other"/>
    <n v="780"/>
    <n v="585"/>
    <n v="390"/>
    <n v="195"/>
    <n v="78"/>
  </r>
  <r>
    <x v="2"/>
    <x v="2"/>
    <s v="Warehouse"/>
    <n v="19433.367505952367"/>
    <n v="14575.025629464288"/>
    <n v="9716.6837529761833"/>
    <n v="4858.3418764880917"/>
    <n v="1943.3367505952367"/>
  </r>
  <r>
    <x v="3"/>
    <x v="0"/>
    <s v="1-2 Family Dwelling"/>
    <n v="1931631.2762088855"/>
    <n v="1448723.4571564887"/>
    <n v="965815.63810444274"/>
    <n v="482907.81905222137"/>
    <n v="193163.12762083518"/>
  </r>
  <r>
    <x v="3"/>
    <x v="1"/>
    <s v="Airport"/>
    <n v="981.35047908000979"/>
    <n v="736.01285931000734"/>
    <n v="490.6752395400049"/>
    <n v="245.33761977000245"/>
    <n v="98.135047908000985"/>
  </r>
  <r>
    <x v="3"/>
    <x v="2"/>
    <s v="Auto Services"/>
    <n v="49818.244019607831"/>
    <n v="37363.683014705879"/>
    <n v="24909.122009803916"/>
    <n v="12454.561004901958"/>
    <n v="4981.8244019607828"/>
  </r>
  <r>
    <x v="3"/>
    <x v="2"/>
    <s v="Church/Mission/Asylum"/>
    <n v="104340.15744047621"/>
    <n v="78255.118080357162"/>
    <n v="52170.078720238103"/>
    <n v="26085.039360119052"/>
    <n v="10434.015744047627"/>
  </r>
  <r>
    <x v="3"/>
    <x v="2"/>
    <s v="Education College/University"/>
    <n v="23131.250277663512"/>
    <n v="17348.437708247649"/>
    <n v="11565.625138831756"/>
    <n v="5782.812569415878"/>
    <n v="2313.1250277663512"/>
  </r>
  <r>
    <x v="3"/>
    <x v="2"/>
    <s v="Education K12"/>
    <n v="210381.74083333346"/>
    <n v="157786.30562500015"/>
    <n v="105190.87041666673"/>
    <n v="52595.435208333365"/>
    <n v="21038.17408333331"/>
  </r>
  <r>
    <x v="3"/>
    <x v="3"/>
    <s v="Government"/>
    <n v="30880.623918187219"/>
    <n v="23160.467938640406"/>
    <n v="15440.311959093609"/>
    <n v="7720.1559795468047"/>
    <n v="3088.0623918187216"/>
  </r>
  <r>
    <x v="3"/>
    <x v="2"/>
    <s v="Hospital/Clinic"/>
    <n v="60464.318236020939"/>
    <n v="45348.23867701571"/>
    <n v="30232.15911801047"/>
    <n v="15116.079559005235"/>
    <n v="6046.4318236020972"/>
  </r>
  <r>
    <x v="3"/>
    <x v="4"/>
    <s v="Industrial"/>
    <n v="195524.60310597697"/>
    <n v="146643.45232948291"/>
    <n v="97762.301552988487"/>
    <n v="48881.150776494243"/>
    <n v="19552.460310597718"/>
  </r>
  <r>
    <x v="3"/>
    <x v="0"/>
    <s v="Large Apartment/Hotel"/>
    <n v="582733.87323352217"/>
    <n v="437050.40492514183"/>
    <n v="291366.93661676109"/>
    <n v="145683.46830838054"/>
    <n v="58273.387323352123"/>
  </r>
  <r>
    <x v="3"/>
    <x v="2"/>
    <s v="Large Retail/Office"/>
    <n v="110846.76869047619"/>
    <n v="83135.076517856985"/>
    <n v="55423.384345238097"/>
    <n v="27711.692172619049"/>
    <n v="11084.6768690476"/>
  </r>
  <r>
    <x v="3"/>
    <x v="5"/>
    <s v="Other"/>
    <n v="3447.3466666666664"/>
    <n v="2585.5099999999998"/>
    <n v="1723.6733333333332"/>
    <n v="861.83666666666659"/>
    <n v="344.73466666666667"/>
  </r>
  <r>
    <x v="3"/>
    <x v="5"/>
    <s v="Parking Area Outdoor"/>
    <n v="0"/>
    <n v="0"/>
    <n v="0"/>
    <n v="0"/>
    <n v="0"/>
  </r>
  <r>
    <x v="3"/>
    <x v="2"/>
    <s v="Parking Structure"/>
    <n v="50020.702203943132"/>
    <n v="37515.526652957313"/>
    <n v="25010.351101971566"/>
    <n v="12505.175550985783"/>
    <n v="5002.0702203943047"/>
  </r>
  <r>
    <x v="3"/>
    <x v="1"/>
    <s v="Port or Shipping"/>
    <n v="20"/>
    <n v="15"/>
    <n v="10"/>
    <n v="5"/>
    <n v="2"/>
  </r>
  <r>
    <x v="3"/>
    <x v="0"/>
    <s v="Small Apartment or Condo"/>
    <n v="2704993.8573539141"/>
    <n v="2028745.3930154911"/>
    <n v="1352496.928676957"/>
    <n v="676248.46433847852"/>
    <n v="270499.38573539938"/>
  </r>
  <r>
    <x v="3"/>
    <x v="2"/>
    <s v="Small Retail/Office"/>
    <n v="339577.83155952417"/>
    <n v="254683.37366964272"/>
    <n v="169788.91577976209"/>
    <n v="84894.457889881043"/>
    <n v="33957.783155952413"/>
  </r>
  <r>
    <x v="3"/>
    <x v="2"/>
    <s v="Theater/Public Assembly"/>
    <n v="30811.338857142837"/>
    <n v="23108.504142857135"/>
    <n v="15405.669428571418"/>
    <n v="7702.8347142857092"/>
    <n v="3081.1338857142873"/>
  </r>
  <r>
    <x v="3"/>
    <x v="2"/>
    <s v="Utility Electric/Gas"/>
    <n v="73.099999999999994"/>
    <n v="54.825000000000003"/>
    <n v="36.549999999999997"/>
    <n v="18.274999999999999"/>
    <n v="7.31"/>
  </r>
  <r>
    <x v="3"/>
    <x v="2"/>
    <s v="Utility Other"/>
    <n v="30.4"/>
    <n v="22.8"/>
    <n v="15.2"/>
    <n v="7.6"/>
    <n v="3.04"/>
  </r>
  <r>
    <x v="3"/>
    <x v="2"/>
    <s v="Warehouse"/>
    <n v="306462.27830835659"/>
    <n v="229846.70873126734"/>
    <n v="153231.13915417829"/>
    <n v="76615.569577089147"/>
    <n v="30646.227830835705"/>
  </r>
  <r>
    <x v="4"/>
    <x v="0"/>
    <s v="1-2 Family Dwelling"/>
    <n v="1127864.3667357678"/>
    <n v="845898.27505175781"/>
    <n v="563932.1833678839"/>
    <n v="281966.09168394195"/>
    <n v="112786.43667358205"/>
  </r>
  <r>
    <x v="4"/>
    <x v="1"/>
    <s v="Airport"/>
    <n v="1279.4000000000001"/>
    <n v="959.55"/>
    <n v="639.70000000000005"/>
    <n v="319.85000000000002"/>
    <n v="127.94"/>
  </r>
  <r>
    <x v="4"/>
    <x v="2"/>
    <s v="Auto Services"/>
    <n v="9289.7997101449255"/>
    <n v="6967.3497826086959"/>
    <n v="4644.8998550724627"/>
    <n v="2322.4499275362314"/>
    <n v="928.97997101449255"/>
  </r>
  <r>
    <x v="4"/>
    <x v="2"/>
    <s v="Church/Mission/Asylum"/>
    <n v="4427.0232222222239"/>
    <n v="3320.2674166666652"/>
    <n v="2213.511611111112"/>
    <n v="1106.755805555556"/>
    <n v="442.70232222222211"/>
  </r>
  <r>
    <x v="4"/>
    <x v="2"/>
    <s v="Education College/University"/>
    <n v="530.39333333333332"/>
    <n v="397.79500000000007"/>
    <n v="265.19666666666666"/>
    <n v="132.59833333333333"/>
    <n v="53.03933333333331"/>
  </r>
  <r>
    <x v="4"/>
    <x v="2"/>
    <s v="Education K12"/>
    <n v="10125.106166666672"/>
    <n v="7593.8296250000003"/>
    <n v="5062.553083333336"/>
    <n v="2531.276541666668"/>
    <n v="1012.5106166666665"/>
  </r>
  <r>
    <x v="4"/>
    <x v="3"/>
    <s v="Government"/>
    <n v="2650.5075975975974"/>
    <n v="1987.8806981981984"/>
    <n v="1325.2537987987987"/>
    <n v="662.62689939939935"/>
    <n v="265.05075975975973"/>
  </r>
  <r>
    <x v="4"/>
    <x v="2"/>
    <s v="Hospital/Clinic"/>
    <n v="3987.8966666666661"/>
    <n v="2990.9225000000006"/>
    <n v="1993.948333333333"/>
    <n v="996.97416666666652"/>
    <n v="398.78966666666668"/>
  </r>
  <r>
    <x v="4"/>
    <x v="4"/>
    <s v="Industrial"/>
    <n v="1318.0650000000003"/>
    <n v="988.54874999999981"/>
    <n v="659.03250000000014"/>
    <n v="329.51625000000007"/>
    <n v="131.8065"/>
  </r>
  <r>
    <x v="4"/>
    <x v="0"/>
    <s v="Large Apartment/Hotel"/>
    <n v="4927.3863043478259"/>
    <n v="3695.5397282608697"/>
    <n v="2463.6931521739129"/>
    <n v="1231.8465760869565"/>
    <n v="492.73863043478258"/>
  </r>
  <r>
    <x v="4"/>
    <x v="2"/>
    <s v="Large Retail/Office"/>
    <n v="18711.78255854288"/>
    <n v="14033.836918907184"/>
    <n v="9355.89127927144"/>
    <n v="4677.94563963572"/>
    <n v="1871.178255854288"/>
  </r>
  <r>
    <x v="4"/>
    <x v="5"/>
    <s v="Other"/>
    <n v="1607.6101428571433"/>
    <n v="1205.7076071428571"/>
    <n v="803.80507142857164"/>
    <n v="401.90253571428582"/>
    <n v="160.76101428571428"/>
  </r>
  <r>
    <x v="4"/>
    <x v="5"/>
    <s v="Parking Area Outdoor"/>
    <n v="0"/>
    <n v="0"/>
    <n v="0"/>
    <n v="0"/>
    <n v="0"/>
  </r>
  <r>
    <x v="4"/>
    <x v="2"/>
    <s v="Parking Structure"/>
    <n v="2953.8283333333334"/>
    <n v="2215.3712500000006"/>
    <n v="1476.9141666666667"/>
    <n v="738.45708333333334"/>
    <n v="295.38283333333317"/>
  </r>
  <r>
    <x v="4"/>
    <x v="1"/>
    <s v="Port or Shipping"/>
    <n v="2335.6802105263159"/>
    <n v="1751.7601578947369"/>
    <n v="1167.840105263158"/>
    <n v="583.92005263157898"/>
    <n v="233.56802105263154"/>
  </r>
  <r>
    <x v="4"/>
    <x v="0"/>
    <s v="Small Apartment or Condo"/>
    <n v="36302.729945828862"/>
    <n v="27227.047459371628"/>
    <n v="18151.364972914431"/>
    <n v="9075.6824864572154"/>
    <n v="3630.2729945828814"/>
  </r>
  <r>
    <x v="4"/>
    <x v="2"/>
    <s v="Small Retail/Office"/>
    <n v="16379.230530303037"/>
    <n v="12284.422897727265"/>
    <n v="8189.6152651515185"/>
    <n v="4094.8076325757593"/>
    <n v="1637.9230530303028"/>
  </r>
  <r>
    <x v="4"/>
    <x v="2"/>
    <s v="Theater/Public Assembly"/>
    <n v="5965.1333333333332"/>
    <n v="4473.8500000000004"/>
    <n v="2982.5666666666666"/>
    <n v="1491.2833333333333"/>
    <n v="596.51333333333332"/>
  </r>
  <r>
    <x v="4"/>
    <x v="2"/>
    <s v="Utility Electric/Gas"/>
    <n v="364.78000000000003"/>
    <n v="273.58499999999998"/>
    <n v="182.39000000000001"/>
    <n v="91.195000000000007"/>
    <n v="36.478000000000002"/>
  </r>
  <r>
    <x v="4"/>
    <x v="2"/>
    <s v="Utility Other"/>
    <n v="3069.2849029126214"/>
    <n v="2301.9636771844666"/>
    <n v="1534.6424514563107"/>
    <n v="767.32122572815535"/>
    <n v="306.92849029126211"/>
  </r>
  <r>
    <x v="4"/>
    <x v="2"/>
    <s v="Warehouse"/>
    <n v="4252.0611446886451"/>
    <n v="3189.0458585164806"/>
    <n v="2126.0305723443225"/>
    <n v="1063.0152861721613"/>
    <n v="425.206114468864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DD0A19-AD73-4018-8BAE-494996A27AD5}"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L2:R10" firstHeaderRow="1" firstDataRow="2" firstDataCol="1"/>
  <pivotFields count="8">
    <pivotField axis="axisCol" subtotalTop="0" showAll="0">
      <items count="7">
        <item x="0"/>
        <item x="1"/>
        <item x="2"/>
        <item x="3"/>
        <item x="4"/>
        <item m="1" x="5"/>
        <item t="default"/>
      </items>
    </pivotField>
    <pivotField axis="axisRow" subtotalTop="0" showAll="0">
      <items count="9">
        <item x="2"/>
        <item m="1" x="6"/>
        <item x="3"/>
        <item x="4"/>
        <item x="5"/>
        <item x="0"/>
        <item x="1"/>
        <item m="1" x="7"/>
        <item t="default"/>
      </items>
    </pivotField>
    <pivotField subtotalTop="0" showAll="0"/>
    <pivotField subtotalTop="0" showAll="0"/>
    <pivotField subtotalTop="0" showAll="0"/>
    <pivotField dataField="1" subtotalTop="0" showAll="0"/>
    <pivotField subtotalTop="0" showAll="0"/>
    <pivotField subtotalTop="0" showAll="0"/>
  </pivotFields>
  <rowFields count="1">
    <field x="1"/>
  </rowFields>
  <rowItems count="7">
    <i>
      <x/>
    </i>
    <i>
      <x v="2"/>
    </i>
    <i>
      <x v="3"/>
    </i>
    <i>
      <x v="4"/>
    </i>
    <i>
      <x v="5"/>
    </i>
    <i>
      <x v="6"/>
    </i>
    <i t="grand">
      <x/>
    </i>
  </rowItems>
  <colFields count="1">
    <field x="0"/>
  </colFields>
  <colItems count="6">
    <i>
      <x/>
    </i>
    <i>
      <x v="1"/>
    </i>
    <i>
      <x v="2"/>
    </i>
    <i>
      <x v="3"/>
    </i>
    <i>
      <x v="4"/>
    </i>
    <i t="grand">
      <x/>
    </i>
  </colItems>
  <dataFields count="1">
    <dataField name="Sum of PV KW (50%)" fld="5" baseField="1" baseItem="0" numFmtId="174"/>
  </dataFields>
  <formats count="81">
    <format dxfId="82">
      <pivotArea type="all" dataOnly="0" outline="0" fieldPosition="0"/>
    </format>
    <format dxfId="81">
      <pivotArea outline="0" collapsedLevelsAreSubtotals="1" fieldPosition="0"/>
    </format>
    <format dxfId="80">
      <pivotArea type="origin" dataOnly="0" labelOnly="1" outline="0" fieldPosition="0"/>
    </format>
    <format dxfId="79">
      <pivotArea field="0" type="button" dataOnly="0" labelOnly="1" outline="0" axis="axisCol" fieldPosition="0"/>
    </format>
    <format dxfId="78">
      <pivotArea type="topRight" dataOnly="0" labelOnly="1" outline="0" fieldPosition="0"/>
    </format>
    <format dxfId="77">
      <pivotArea field="1" type="button" dataOnly="0" labelOnly="1" outline="0" axis="axisRow" fieldPosition="0"/>
    </format>
    <format dxfId="76">
      <pivotArea dataOnly="0" labelOnly="1" fieldPosition="0">
        <references count="1">
          <reference field="1" count="0"/>
        </references>
      </pivotArea>
    </format>
    <format dxfId="75">
      <pivotArea dataOnly="0" labelOnly="1" grandRow="1" outline="0" fieldPosition="0"/>
    </format>
    <format dxfId="74">
      <pivotArea dataOnly="0" labelOnly="1" fieldPosition="0">
        <references count="1">
          <reference field="0" count="0"/>
        </references>
      </pivotArea>
    </format>
    <format dxfId="73">
      <pivotArea dataOnly="0" labelOnly="1" grandCol="1" outline="0" fieldPosition="0"/>
    </format>
    <format dxfId="72">
      <pivotArea type="all" dataOnly="0" outline="0" fieldPosition="0"/>
    </format>
    <format dxfId="71">
      <pivotArea outline="0" collapsedLevelsAreSubtotals="1" fieldPosition="0"/>
    </format>
    <format dxfId="70">
      <pivotArea type="origin" dataOnly="0" labelOnly="1" outline="0" fieldPosition="0"/>
    </format>
    <format dxfId="69">
      <pivotArea field="0" type="button" dataOnly="0" labelOnly="1" outline="0" axis="axisCol" fieldPosition="0"/>
    </format>
    <format dxfId="68">
      <pivotArea type="topRight" dataOnly="0" labelOnly="1" outline="0" fieldPosition="0"/>
    </format>
    <format dxfId="67">
      <pivotArea field="1" type="button" dataOnly="0" labelOnly="1" outline="0" axis="axisRow" fieldPosition="0"/>
    </format>
    <format dxfId="66">
      <pivotArea dataOnly="0" labelOnly="1" fieldPosition="0">
        <references count="1">
          <reference field="1" count="0"/>
        </references>
      </pivotArea>
    </format>
    <format dxfId="65">
      <pivotArea dataOnly="0" labelOnly="1" grandRow="1" outline="0" fieldPosition="0"/>
    </format>
    <format dxfId="64">
      <pivotArea dataOnly="0" labelOnly="1" fieldPosition="0">
        <references count="1">
          <reference field="0" count="0"/>
        </references>
      </pivotArea>
    </format>
    <format dxfId="63">
      <pivotArea dataOnly="0" labelOnly="1" grandCol="1" outline="0" fieldPosition="0"/>
    </format>
    <format dxfId="62">
      <pivotArea type="all" dataOnly="0" outline="0" fieldPosition="0"/>
    </format>
    <format dxfId="61">
      <pivotArea outline="0" collapsedLevelsAreSubtotals="1" fieldPosition="0"/>
    </format>
    <format dxfId="60">
      <pivotArea type="origin" dataOnly="0" labelOnly="1" outline="0" fieldPosition="0"/>
    </format>
    <format dxfId="59">
      <pivotArea field="0" type="button" dataOnly="0" labelOnly="1" outline="0" axis="axisCol" fieldPosition="0"/>
    </format>
    <format dxfId="58">
      <pivotArea type="topRight" dataOnly="0" labelOnly="1" outline="0" fieldPosition="0"/>
    </format>
    <format dxfId="57">
      <pivotArea field="1" type="button" dataOnly="0" labelOnly="1" outline="0" axis="axisRow" fieldPosition="0"/>
    </format>
    <format dxfId="56">
      <pivotArea dataOnly="0" labelOnly="1" fieldPosition="0">
        <references count="1">
          <reference field="1" count="0"/>
        </references>
      </pivotArea>
    </format>
    <format dxfId="55">
      <pivotArea dataOnly="0" labelOnly="1" grandRow="1" outline="0" fieldPosition="0"/>
    </format>
    <format dxfId="54">
      <pivotArea dataOnly="0" labelOnly="1" fieldPosition="0">
        <references count="1">
          <reference field="0" count="0"/>
        </references>
      </pivotArea>
    </format>
    <format dxfId="53">
      <pivotArea dataOnly="0" labelOnly="1" grandCol="1" outline="0" fieldPosition="0"/>
    </format>
    <format dxfId="52">
      <pivotArea type="all" dataOnly="0" outline="0" fieldPosition="0"/>
    </format>
    <format dxfId="51">
      <pivotArea outline="0" collapsedLevelsAreSubtotals="1" fieldPosition="0"/>
    </format>
    <format dxfId="50">
      <pivotArea type="origin" dataOnly="0" labelOnly="1" outline="0" fieldPosition="0"/>
    </format>
    <format dxfId="49">
      <pivotArea field="0" type="button" dataOnly="0" labelOnly="1" outline="0" axis="axisCol" fieldPosition="0"/>
    </format>
    <format dxfId="48">
      <pivotArea type="topRight" dataOnly="0" labelOnly="1" outline="0" fieldPosition="0"/>
    </format>
    <format dxfId="47">
      <pivotArea field="1" type="button" dataOnly="0" labelOnly="1" outline="0" axis="axisRow" fieldPosition="0"/>
    </format>
    <format dxfId="46">
      <pivotArea dataOnly="0" labelOnly="1" fieldPosition="0">
        <references count="1">
          <reference field="1" count="0"/>
        </references>
      </pivotArea>
    </format>
    <format dxfId="45">
      <pivotArea dataOnly="0" labelOnly="1" grandRow="1" outline="0" fieldPosition="0"/>
    </format>
    <format dxfId="44">
      <pivotArea dataOnly="0" labelOnly="1" fieldPosition="0">
        <references count="1">
          <reference field="0" count="0"/>
        </references>
      </pivotArea>
    </format>
    <format dxfId="43">
      <pivotArea dataOnly="0" labelOnly="1" grandCol="1" outline="0" fieldPosition="0"/>
    </format>
    <format dxfId="42">
      <pivotArea type="all" dataOnly="0" outline="0" fieldPosition="0"/>
    </format>
    <format dxfId="41">
      <pivotArea outline="0" collapsedLevelsAreSubtotals="1" fieldPosition="0"/>
    </format>
    <format dxfId="40">
      <pivotArea type="origin" dataOnly="0" labelOnly="1" outline="0" fieldPosition="0"/>
    </format>
    <format dxfId="39">
      <pivotArea field="0" type="button" dataOnly="0" labelOnly="1" outline="0" axis="axisCol" fieldPosition="0"/>
    </format>
    <format dxfId="38">
      <pivotArea type="topRight" dataOnly="0" labelOnly="1" outline="0"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 dxfId="34">
      <pivotArea dataOnly="0" labelOnly="1" fieldPosition="0">
        <references count="1">
          <reference field="0" count="0"/>
        </references>
      </pivotArea>
    </format>
    <format dxfId="33">
      <pivotArea dataOnly="0" labelOnly="1" grandCol="1" outline="0" fieldPosition="0"/>
    </format>
    <format dxfId="32">
      <pivotArea type="all" dataOnly="0" outline="0" fieldPosition="0"/>
    </format>
    <format dxfId="31">
      <pivotArea outline="0" collapsedLevelsAreSubtotals="1" fieldPosition="0"/>
    </format>
    <format dxfId="30">
      <pivotArea type="origin" dataOnly="0" labelOnly="1" outline="0" fieldPosition="0"/>
    </format>
    <format dxfId="29">
      <pivotArea field="0" type="button" dataOnly="0" labelOnly="1" outline="0" axis="axisCol" fieldPosition="0"/>
    </format>
    <format dxfId="28">
      <pivotArea type="topRight" dataOnly="0" labelOnly="1" outline="0" fieldPosition="0"/>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grandRow="1" outline="0" fieldPosition="0"/>
    </format>
    <format dxfId="24">
      <pivotArea dataOnly="0" labelOnly="1" fieldPosition="0">
        <references count="1">
          <reference field="0" count="0"/>
        </references>
      </pivotArea>
    </format>
    <format dxfId="23">
      <pivotArea dataOnly="0" labelOnly="1" grandCol="1" outline="0" fieldPosition="0"/>
    </format>
    <format dxfId="22">
      <pivotArea type="all" dataOnly="0" outline="0" fieldPosition="0"/>
    </format>
    <format dxfId="21">
      <pivotArea outline="0" collapsedLevelsAreSubtotals="1" fieldPosition="0"/>
    </format>
    <format dxfId="20">
      <pivotArea type="origin" dataOnly="0" labelOnly="1" outline="0" fieldPosition="0"/>
    </format>
    <format dxfId="19">
      <pivotArea field="0" type="button" dataOnly="0" labelOnly="1" outline="0" axis="axisCol" fieldPosition="0"/>
    </format>
    <format dxfId="18">
      <pivotArea type="topRight" dataOnly="0" labelOnly="1" outline="0"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fieldPosition="0">
        <references count="1">
          <reference field="0" count="0"/>
        </references>
      </pivotArea>
    </format>
    <format dxfId="13">
      <pivotArea dataOnly="0" labelOnly="1" grandCol="1" outline="0" fieldPosition="0"/>
    </format>
    <format dxfId="12">
      <pivotArea type="all" dataOnly="0" outline="0" fieldPosition="0"/>
    </format>
    <format dxfId="11">
      <pivotArea outline="0" collapsedLevelsAreSubtotals="1" fieldPosition="0"/>
    </format>
    <format dxfId="10">
      <pivotArea type="origin" dataOnly="0" labelOnly="1" outline="0" fieldPosition="0"/>
    </format>
    <format dxfId="9">
      <pivotArea field="0" type="button" dataOnly="0" labelOnly="1" outline="0" axis="axisCol" fieldPosition="0"/>
    </format>
    <format dxfId="8">
      <pivotArea type="topRight" dataOnly="0" labelOnly="1" outline="0" fieldPosition="0"/>
    </format>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grandRow="1" outline="0" fieldPosition="0"/>
    </format>
    <format dxfId="4">
      <pivotArea dataOnly="0" labelOnly="1" fieldPosition="0">
        <references count="1">
          <reference field="0" count="0"/>
        </references>
      </pivotArea>
    </format>
    <format dxfId="3">
      <pivotArea dataOnly="0" labelOnly="1" grandCol="1" outline="0" fieldPosition="0"/>
    </format>
    <format dxfId="2">
      <pivotArea outline="0" collapsedLevelsAreSubtotals="1"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94F78D-E770-472E-B9DB-6314CDABD353}" name="GHG_INV" displayName="GHG_INV" ref="B2:M58" totalsRowShown="0" headerRowDxfId="96" dataDxfId="95" dataCellStyle="Comma">
  <autoFilter ref="B2:M58" xr:uid="{1B94F78D-E770-472E-B9DB-6314CDABD353}"/>
  <tableColumns count="12">
    <tableColumn id="1" xr3:uid="{CD853E11-0BB9-4902-B89B-213AF341BD84}" name="Sector" dataDxfId="94"/>
    <tableColumn id="2" xr3:uid="{9895E47A-A664-46F2-8EAE-E9B3F1BA9649}" name="Category" dataDxfId="93"/>
    <tableColumn id="3" xr3:uid="{2804EBAE-68D9-4F7F-A40B-F9523DE366E6}" name="Source" dataDxfId="92"/>
    <tableColumn id="4" xr3:uid="{0F2BB149-7BE1-473C-B2D5-F1D2CC9CDB2D}" name="Source Units" dataDxfId="91"/>
    <tableColumn id="5" xr3:uid="{B2A3185E-3A6A-4121-8CEE-A8312D09A5ED}" name="CY 2005 Consumed" dataDxfId="90" dataCellStyle="Comma"/>
    <tableColumn id="6" xr3:uid="{6D6127AC-72CB-4553-9638-AC4E4A1F0D00}" name="CY 2005 Source MMBtu" dataDxfId="89" dataCellStyle="Comma"/>
    <tableColumn id="7" xr3:uid="{D32CA84C-D094-4C5D-9643-5ADA414703A5}" name="CY 2010 Consumed" dataDxfId="88" dataCellStyle="Comma"/>
    <tableColumn id="8" xr3:uid="{AD3D3923-3BBA-4663-8121-1B3A27CFD2E5}" name="CY 2010 Source MMBtu" dataDxfId="87" dataCellStyle="Comma"/>
    <tableColumn id="9" xr3:uid="{C641F263-F7A6-4AF5-8FE4-B3667F632901}" name="CY 2015 Consumed" dataDxfId="86" dataCellStyle="Comma"/>
    <tableColumn id="10" xr3:uid="{95C6D20C-E54D-4680-8F9A-AB47E2E29578}" name="CY 2015 Source MMBtu" dataDxfId="85" dataCellStyle="Comma"/>
    <tableColumn id="11" xr3:uid="{A4A103EA-B973-4299-828F-A5099FF02E1C}" name="CY 2020 Consumed" dataDxfId="84" dataCellStyle="Comma"/>
    <tableColumn id="12" xr3:uid="{04F4F8F0-7A93-484A-A464-7C92028E2C58}" name="CY 2020 Source MMBtu" dataDxfId="83" dataCellStyle="Comma"/>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1" dT="2025-01-14T20:54:52.21" personId="{0B527054-4CE6-4CCA-B547-DDADE57DFBF2}" id="{8AEDAEB2-C910-424B-BA0C-356F73C12B6D}">
    <text>@Farhat, Samir typo, this should be coal (not natural gas)</text>
    <mentions>
      <mention mentionpersonId="{C7FA4568-DDC2-41AA-B103-1577CC9C7A77}" mentionId="{2E7F10E5-3699-466E-8530-E2F7ADF9B4C4}" startIndex="0" length="1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H30" dT="2025-02-18T15:59:02.84" personId="{6117A608-DED2-4746-9637-D19259D93556}" id="{5B4AD980-06FE-4D49-A957-62921F80A052}">
    <text xml:space="preserve">@Vilgalys, Max : consider fixing old buildings at 2025 level, modeling energy use from new buildings in New Construction Workbook </text>
    <mentions>
      <mention mentionpersonId="{F5796EC7-B832-4AC8-A715-B1FDDF622CD2}" mentionId="{B6D086B5-277F-4A89-96FD-37667F747D7D}" startIndex="0" length="14"/>
    </mentions>
  </threadedComment>
  <threadedComment ref="H30" dT="2025-02-18T16:00:03.34" personId="{6117A608-DED2-4746-9637-D19259D93556}" id="{3BA2BFDA-B163-4050-A87B-9187DE71ECE9}" parentId="{5B4AD980-06FE-4D49-A957-62921F80A052}">
    <text xml:space="preserve">Use projected value from 2027 (when law fully takes effect for most buildings) </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 dockstate="right" visibility="0" width="350"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DE02BA7-FF54-4B0C-A49F-E67DFD0613D7}">
  <we:reference id="cec2c794-cfc7-4347-a54b-1ced872b6768" version="1.0.0.11" store="EXCatalog" storeType="EXCatalog"/>
  <we:alternateReferences>
    <we:reference id="WA200005502" version="1.0.0.11" store="en-US" storeType="OMEX"/>
  </we:alternateReferences>
  <we:properties>
    <we:property name="docId" value="&quot;VjiS9gHyhvLQ9a4XDq5ZP&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4DA4494F-1448-4DBB-9162-A871A4FF945A}">
  <we:reference id="44446093-b465-4d6c-a6dc-5faf6de98677" version="2.5.5.0" store="EXCatalog" storeType="EXCatalog"/>
  <we:alternateReferences>
    <we:reference id="WA200005271" version="2.5.5.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11.xml"/><Relationship Id="rId13" Type="http://schemas.openxmlformats.org/officeDocument/2006/relationships/image" Target="../media/image13.emf"/><Relationship Id="rId3" Type="http://schemas.openxmlformats.org/officeDocument/2006/relationships/vmlDrawing" Target="../drawings/vmlDrawing2.vml"/><Relationship Id="rId7" Type="http://schemas.openxmlformats.org/officeDocument/2006/relationships/image" Target="../media/image10.emf"/><Relationship Id="rId12" Type="http://schemas.openxmlformats.org/officeDocument/2006/relationships/control" Target="../activeX/activeX13.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ntrol" Target="../activeX/activeX10.xml"/><Relationship Id="rId11" Type="http://schemas.openxmlformats.org/officeDocument/2006/relationships/image" Target="../media/image12.emf"/><Relationship Id="rId5" Type="http://schemas.openxmlformats.org/officeDocument/2006/relationships/image" Target="../media/image9.emf"/><Relationship Id="rId10" Type="http://schemas.openxmlformats.org/officeDocument/2006/relationships/control" Target="../activeX/activeX12.xml"/><Relationship Id="rId4" Type="http://schemas.openxmlformats.org/officeDocument/2006/relationships/control" Target="../activeX/activeX9.xml"/><Relationship Id="rId9" Type="http://schemas.openxmlformats.org/officeDocument/2006/relationships/image" Target="../media/image11.emf"/></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hyperlink" Target="https://usepa.sharepoint.com/sites/COMETSupport-EPAUNCAbt/Shared%20Documents/COMET-NYC/EGU/2021%20ConEd%20Steam%20Electric%20Production_a.xlsx"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https://www.nyserda.ny.gov/About/Publications/Energy-Analysis-Reports-and-Studies/Weather-Data/Monthly-Cooling-and-Heating-Degree-Day-Data" TargetMode="External"/><Relationship Id="rId7" Type="http://schemas.openxmlformats.org/officeDocument/2006/relationships/comments" Target="../comments4.xml"/><Relationship Id="rId2" Type="http://schemas.openxmlformats.org/officeDocument/2006/relationships/hyperlink" Target="https://www.eia.gov/consumption/residential/data/2020/" TargetMode="External"/><Relationship Id="rId1" Type="http://schemas.openxmlformats.org/officeDocument/2006/relationships/hyperlink" Target="https://data.census.gov/table/ACSDT5Y2020.B25010?q=B25010:%20Average%20Household%20Size%20of%20Occupied%20Housing%20Units%20by%20Tenure&amp;g=050XX00US36005,36047,36061,36081,36085_160XX00US3651000&amp;y=2020&amp;d=ACS%205-Year%20Estimates%20Detailed%20Tables&amp;tp=true" TargetMode="External"/><Relationship Id="rId6" Type="http://schemas.openxmlformats.org/officeDocument/2006/relationships/vmlDrawing" Target="../drawings/vmlDrawing6.vml"/><Relationship Id="rId5" Type="http://schemas.openxmlformats.org/officeDocument/2006/relationships/printerSettings" Target="../printerSettings/printerSettings12.bin"/><Relationship Id="rId4" Type="http://schemas.openxmlformats.org/officeDocument/2006/relationships/hyperlink" Target="https://nysclimateimpacts.org/wp-content/uploads/2023/09/Appendix-Projections_Tables.pdf" TargetMode="External"/></Relationships>
</file>

<file path=xl/worksheets/_rels/sheet18.xml.rels><?xml version="1.0" encoding="UTF-8" standalone="yes"?>
<Relationships xmlns="http://schemas.openxmlformats.org/package/2006/relationships"><Relationship Id="rId8" Type="http://schemas.openxmlformats.org/officeDocument/2006/relationships/control" Target="../activeX/activeX16.xml"/><Relationship Id="rId3" Type="http://schemas.openxmlformats.org/officeDocument/2006/relationships/vmlDrawing" Target="../drawings/vmlDrawing7.vml"/><Relationship Id="rId7" Type="http://schemas.openxmlformats.org/officeDocument/2006/relationships/image" Target="../media/image15.emf"/><Relationship Id="rId2" Type="http://schemas.openxmlformats.org/officeDocument/2006/relationships/drawing" Target="../drawings/drawing3.xml"/><Relationship Id="rId1" Type="http://schemas.openxmlformats.org/officeDocument/2006/relationships/printerSettings" Target="../printerSettings/printerSettings13.bin"/><Relationship Id="rId6" Type="http://schemas.openxmlformats.org/officeDocument/2006/relationships/control" Target="../activeX/activeX15.xml"/><Relationship Id="rId11" Type="http://schemas.openxmlformats.org/officeDocument/2006/relationships/image" Target="../media/image17.emf"/><Relationship Id="rId5" Type="http://schemas.openxmlformats.org/officeDocument/2006/relationships/image" Target="../media/image14.emf"/><Relationship Id="rId10" Type="http://schemas.openxmlformats.org/officeDocument/2006/relationships/control" Target="../activeX/activeX17.xml"/><Relationship Id="rId4" Type="http://schemas.openxmlformats.org/officeDocument/2006/relationships/control" Target="../activeX/activeX14.xml"/><Relationship Id="rId9" Type="http://schemas.openxmlformats.org/officeDocument/2006/relationships/image" Target="../media/image16.emf"/></Relationships>
</file>

<file path=xl/worksheets/_rels/sheet19.xml.rels><?xml version="1.0" encoding="UTF-8" standalone="yes"?>
<Relationships xmlns="http://schemas.openxmlformats.org/package/2006/relationships"><Relationship Id="rId8" Type="http://schemas.openxmlformats.org/officeDocument/2006/relationships/control" Target="../activeX/activeX20.xml"/><Relationship Id="rId13" Type="http://schemas.openxmlformats.org/officeDocument/2006/relationships/image" Target="../media/image22.emf"/><Relationship Id="rId3" Type="http://schemas.openxmlformats.org/officeDocument/2006/relationships/vmlDrawing" Target="../drawings/vmlDrawing8.vml"/><Relationship Id="rId7" Type="http://schemas.openxmlformats.org/officeDocument/2006/relationships/image" Target="../media/image19.emf"/><Relationship Id="rId12" Type="http://schemas.openxmlformats.org/officeDocument/2006/relationships/control" Target="../activeX/activeX22.xml"/><Relationship Id="rId2" Type="http://schemas.openxmlformats.org/officeDocument/2006/relationships/drawing" Target="../drawings/drawing4.xml"/><Relationship Id="rId1" Type="http://schemas.openxmlformats.org/officeDocument/2006/relationships/printerSettings" Target="../printerSettings/printerSettings14.bin"/><Relationship Id="rId6" Type="http://schemas.openxmlformats.org/officeDocument/2006/relationships/control" Target="../activeX/activeX19.xml"/><Relationship Id="rId11" Type="http://schemas.openxmlformats.org/officeDocument/2006/relationships/image" Target="../media/image21.emf"/><Relationship Id="rId5" Type="http://schemas.openxmlformats.org/officeDocument/2006/relationships/image" Target="../media/image18.emf"/><Relationship Id="rId10" Type="http://schemas.openxmlformats.org/officeDocument/2006/relationships/control" Target="../activeX/activeX21.xml"/><Relationship Id="rId4" Type="http://schemas.openxmlformats.org/officeDocument/2006/relationships/control" Target="../activeX/activeX18.xml"/><Relationship Id="rId9" Type="http://schemas.openxmlformats.org/officeDocument/2006/relationships/image" Target="../media/image20.emf"/></Relationships>
</file>

<file path=xl/worksheets/_rels/sheet20.xml.rels><?xml version="1.0" encoding="UTF-8" standalone="yes"?>
<Relationships xmlns="http://schemas.openxmlformats.org/package/2006/relationships"><Relationship Id="rId8" Type="http://schemas.openxmlformats.org/officeDocument/2006/relationships/control" Target="../activeX/activeX25.xml"/><Relationship Id="rId13" Type="http://schemas.openxmlformats.org/officeDocument/2006/relationships/image" Target="../media/image27.emf"/><Relationship Id="rId3" Type="http://schemas.openxmlformats.org/officeDocument/2006/relationships/vmlDrawing" Target="../drawings/vmlDrawing9.vml"/><Relationship Id="rId7" Type="http://schemas.openxmlformats.org/officeDocument/2006/relationships/image" Target="../media/image24.emf"/><Relationship Id="rId12" Type="http://schemas.openxmlformats.org/officeDocument/2006/relationships/control" Target="../activeX/activeX27.xml"/><Relationship Id="rId17" Type="http://schemas.openxmlformats.org/officeDocument/2006/relationships/image" Target="../media/image29.emf"/><Relationship Id="rId2" Type="http://schemas.openxmlformats.org/officeDocument/2006/relationships/drawing" Target="../drawings/drawing5.xml"/><Relationship Id="rId16" Type="http://schemas.openxmlformats.org/officeDocument/2006/relationships/control" Target="../activeX/activeX29.xml"/><Relationship Id="rId1" Type="http://schemas.openxmlformats.org/officeDocument/2006/relationships/printerSettings" Target="../printerSettings/printerSettings15.bin"/><Relationship Id="rId6" Type="http://schemas.openxmlformats.org/officeDocument/2006/relationships/control" Target="../activeX/activeX24.xml"/><Relationship Id="rId11" Type="http://schemas.openxmlformats.org/officeDocument/2006/relationships/image" Target="../media/image26.emf"/><Relationship Id="rId5" Type="http://schemas.openxmlformats.org/officeDocument/2006/relationships/image" Target="../media/image23.emf"/><Relationship Id="rId15" Type="http://schemas.openxmlformats.org/officeDocument/2006/relationships/image" Target="../media/image28.emf"/><Relationship Id="rId10" Type="http://schemas.openxmlformats.org/officeDocument/2006/relationships/control" Target="../activeX/activeX26.xml"/><Relationship Id="rId4" Type="http://schemas.openxmlformats.org/officeDocument/2006/relationships/control" Target="../activeX/activeX23.xml"/><Relationship Id="rId9" Type="http://schemas.openxmlformats.org/officeDocument/2006/relationships/image" Target="../media/image25.emf"/><Relationship Id="rId14" Type="http://schemas.openxmlformats.org/officeDocument/2006/relationships/control" Target="../activeX/activeX28.xml"/></Relationships>
</file>

<file path=xl/worksheets/_rels/sheet21.xml.rels><?xml version="1.0" encoding="UTF-8" standalone="yes"?>
<Relationships xmlns="http://schemas.openxmlformats.org/package/2006/relationships"><Relationship Id="rId8" Type="http://schemas.openxmlformats.org/officeDocument/2006/relationships/control" Target="../activeX/activeX32.xml"/><Relationship Id="rId13" Type="http://schemas.openxmlformats.org/officeDocument/2006/relationships/image" Target="../media/image34.emf"/><Relationship Id="rId3" Type="http://schemas.openxmlformats.org/officeDocument/2006/relationships/vmlDrawing" Target="../drawings/vmlDrawing10.vml"/><Relationship Id="rId7" Type="http://schemas.openxmlformats.org/officeDocument/2006/relationships/image" Target="../media/image31.emf"/><Relationship Id="rId12" Type="http://schemas.openxmlformats.org/officeDocument/2006/relationships/control" Target="../activeX/activeX34.xml"/><Relationship Id="rId2" Type="http://schemas.openxmlformats.org/officeDocument/2006/relationships/drawing" Target="../drawings/drawing6.xml"/><Relationship Id="rId1" Type="http://schemas.openxmlformats.org/officeDocument/2006/relationships/printerSettings" Target="../printerSettings/printerSettings16.bin"/><Relationship Id="rId6" Type="http://schemas.openxmlformats.org/officeDocument/2006/relationships/control" Target="../activeX/activeX31.xml"/><Relationship Id="rId11" Type="http://schemas.openxmlformats.org/officeDocument/2006/relationships/image" Target="../media/image33.emf"/><Relationship Id="rId5" Type="http://schemas.openxmlformats.org/officeDocument/2006/relationships/image" Target="../media/image30.emf"/><Relationship Id="rId15" Type="http://schemas.openxmlformats.org/officeDocument/2006/relationships/image" Target="../media/image35.emf"/><Relationship Id="rId10" Type="http://schemas.openxmlformats.org/officeDocument/2006/relationships/control" Target="../activeX/activeX33.xml"/><Relationship Id="rId4" Type="http://schemas.openxmlformats.org/officeDocument/2006/relationships/control" Target="../activeX/activeX30.xml"/><Relationship Id="rId9" Type="http://schemas.openxmlformats.org/officeDocument/2006/relationships/image" Target="../media/image32.emf"/><Relationship Id="rId14" Type="http://schemas.openxmlformats.org/officeDocument/2006/relationships/control" Target="../activeX/activeX3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www.eia.gov/todayinenergy/detail.php?id=51858" TargetMode="External"/><Relationship Id="rId1" Type="http://schemas.openxmlformats.org/officeDocument/2006/relationships/hyperlink" Target="https://www.eia.gov/todayinenergy/detail.php?id=51858" TargetMode="External"/><Relationship Id="rId4"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3" Type="http://schemas.openxmlformats.org/officeDocument/2006/relationships/hyperlink" Target="https://www.nrel.gov/docs/fy12osti/50198.pdf" TargetMode="External"/><Relationship Id="rId7" Type="http://schemas.openxmlformats.org/officeDocument/2006/relationships/comments" Target="../comments5.xml"/><Relationship Id="rId2" Type="http://schemas.openxmlformats.org/officeDocument/2006/relationships/hyperlink" Target="https://nysolarmap.com/" TargetMode="External"/><Relationship Id="rId1" Type="http://schemas.openxmlformats.org/officeDocument/2006/relationships/pivotTable" Target="../pivotTables/pivotTable1.xml"/><Relationship Id="rId6" Type="http://schemas.openxmlformats.org/officeDocument/2006/relationships/vmlDrawing" Target="../drawings/vmlDrawing11.vml"/><Relationship Id="rId5" Type="http://schemas.openxmlformats.org/officeDocument/2006/relationships/drawing" Target="../drawings/drawing8.xml"/><Relationship Id="rId4" Type="http://schemas.openxmlformats.org/officeDocument/2006/relationships/hyperlink" Target="http://www.nyc.gov/html/dem/downloads/pdf/Solar%20100%20Local%20Law%2024%202016.pdf" TargetMode="External"/></Relationships>
</file>

<file path=xl/worksheets/_rels/sheet26.xml.rels><?xml version="1.0" encoding="UTF-8" standalone="yes"?>
<Relationships xmlns="http://schemas.openxmlformats.org/package/2006/relationships"><Relationship Id="rId8" Type="http://schemas.openxmlformats.org/officeDocument/2006/relationships/control" Target="../activeX/activeX38.xml"/><Relationship Id="rId13" Type="http://schemas.openxmlformats.org/officeDocument/2006/relationships/image" Target="../media/image43.emf"/><Relationship Id="rId3" Type="http://schemas.openxmlformats.org/officeDocument/2006/relationships/vmlDrawing" Target="../drawings/vmlDrawing12.vml"/><Relationship Id="rId7" Type="http://schemas.openxmlformats.org/officeDocument/2006/relationships/image" Target="../media/image40.emf"/><Relationship Id="rId12" Type="http://schemas.openxmlformats.org/officeDocument/2006/relationships/control" Target="../activeX/activeX40.xml"/><Relationship Id="rId2" Type="http://schemas.openxmlformats.org/officeDocument/2006/relationships/drawing" Target="../drawings/drawing9.xml"/><Relationship Id="rId1" Type="http://schemas.openxmlformats.org/officeDocument/2006/relationships/printerSettings" Target="../printerSettings/printerSettings18.bin"/><Relationship Id="rId6" Type="http://schemas.openxmlformats.org/officeDocument/2006/relationships/control" Target="../activeX/activeX37.xml"/><Relationship Id="rId11" Type="http://schemas.openxmlformats.org/officeDocument/2006/relationships/image" Target="../media/image42.emf"/><Relationship Id="rId5" Type="http://schemas.openxmlformats.org/officeDocument/2006/relationships/image" Target="../media/image39.emf"/><Relationship Id="rId15" Type="http://schemas.openxmlformats.org/officeDocument/2006/relationships/image" Target="../media/image44.emf"/><Relationship Id="rId10" Type="http://schemas.openxmlformats.org/officeDocument/2006/relationships/control" Target="../activeX/activeX39.xml"/><Relationship Id="rId4" Type="http://schemas.openxmlformats.org/officeDocument/2006/relationships/control" Target="../activeX/activeX36.xml"/><Relationship Id="rId9" Type="http://schemas.openxmlformats.org/officeDocument/2006/relationships/image" Target="../media/image41.emf"/><Relationship Id="rId14" Type="http://schemas.openxmlformats.org/officeDocument/2006/relationships/control" Target="../activeX/activeX41.xml"/></Relationships>
</file>

<file path=xl/worksheets/_rels/sheet27.xml.rels><?xml version="1.0" encoding="UTF-8" standalone="yes"?>
<Relationships xmlns="http://schemas.openxmlformats.org/package/2006/relationships"><Relationship Id="rId8" Type="http://schemas.openxmlformats.org/officeDocument/2006/relationships/control" Target="../activeX/activeX44.xml"/><Relationship Id="rId13" Type="http://schemas.openxmlformats.org/officeDocument/2006/relationships/image" Target="../media/image49.emf"/><Relationship Id="rId3" Type="http://schemas.openxmlformats.org/officeDocument/2006/relationships/vmlDrawing" Target="../drawings/vmlDrawing13.vml"/><Relationship Id="rId7" Type="http://schemas.openxmlformats.org/officeDocument/2006/relationships/image" Target="../media/image46.emf"/><Relationship Id="rId12" Type="http://schemas.openxmlformats.org/officeDocument/2006/relationships/control" Target="../activeX/activeX46.xml"/><Relationship Id="rId17" Type="http://schemas.openxmlformats.org/officeDocument/2006/relationships/image" Target="../media/image51.emf"/><Relationship Id="rId2" Type="http://schemas.openxmlformats.org/officeDocument/2006/relationships/drawing" Target="../drawings/drawing10.xml"/><Relationship Id="rId16" Type="http://schemas.openxmlformats.org/officeDocument/2006/relationships/control" Target="../activeX/activeX48.xml"/><Relationship Id="rId1" Type="http://schemas.openxmlformats.org/officeDocument/2006/relationships/printerSettings" Target="../printerSettings/printerSettings19.bin"/><Relationship Id="rId6" Type="http://schemas.openxmlformats.org/officeDocument/2006/relationships/control" Target="../activeX/activeX43.xml"/><Relationship Id="rId11" Type="http://schemas.openxmlformats.org/officeDocument/2006/relationships/image" Target="../media/image48.emf"/><Relationship Id="rId5" Type="http://schemas.openxmlformats.org/officeDocument/2006/relationships/image" Target="../media/image45.emf"/><Relationship Id="rId15" Type="http://schemas.openxmlformats.org/officeDocument/2006/relationships/image" Target="../media/image50.emf"/><Relationship Id="rId10" Type="http://schemas.openxmlformats.org/officeDocument/2006/relationships/control" Target="../activeX/activeX45.xml"/><Relationship Id="rId4" Type="http://schemas.openxmlformats.org/officeDocument/2006/relationships/control" Target="../activeX/activeX42.xml"/><Relationship Id="rId9" Type="http://schemas.openxmlformats.org/officeDocument/2006/relationships/image" Target="../media/image47.emf"/><Relationship Id="rId14" Type="http://schemas.openxmlformats.org/officeDocument/2006/relationships/control" Target="../activeX/activeX47.xml"/></Relationships>
</file>

<file path=xl/worksheets/_rels/sheet28.xml.rels><?xml version="1.0" encoding="UTF-8" standalone="yes"?>
<Relationships xmlns="http://schemas.openxmlformats.org/package/2006/relationships"><Relationship Id="rId8" Type="http://schemas.openxmlformats.org/officeDocument/2006/relationships/control" Target="../activeX/activeX51.xml"/><Relationship Id="rId13" Type="http://schemas.openxmlformats.org/officeDocument/2006/relationships/image" Target="../media/image56.emf"/><Relationship Id="rId3" Type="http://schemas.openxmlformats.org/officeDocument/2006/relationships/vmlDrawing" Target="../drawings/vmlDrawing14.vml"/><Relationship Id="rId7" Type="http://schemas.openxmlformats.org/officeDocument/2006/relationships/image" Target="../media/image53.emf"/><Relationship Id="rId12" Type="http://schemas.openxmlformats.org/officeDocument/2006/relationships/control" Target="../activeX/activeX53.xml"/><Relationship Id="rId2" Type="http://schemas.openxmlformats.org/officeDocument/2006/relationships/drawing" Target="../drawings/drawing11.xml"/><Relationship Id="rId1" Type="http://schemas.openxmlformats.org/officeDocument/2006/relationships/printerSettings" Target="../printerSettings/printerSettings20.bin"/><Relationship Id="rId6" Type="http://schemas.openxmlformats.org/officeDocument/2006/relationships/control" Target="../activeX/activeX50.xml"/><Relationship Id="rId11" Type="http://schemas.openxmlformats.org/officeDocument/2006/relationships/image" Target="../media/image55.emf"/><Relationship Id="rId5" Type="http://schemas.openxmlformats.org/officeDocument/2006/relationships/image" Target="../media/image52.emf"/><Relationship Id="rId10" Type="http://schemas.openxmlformats.org/officeDocument/2006/relationships/control" Target="../activeX/activeX52.xml"/><Relationship Id="rId4" Type="http://schemas.openxmlformats.org/officeDocument/2006/relationships/control" Target="../activeX/activeX49.xml"/><Relationship Id="rId9" Type="http://schemas.openxmlformats.org/officeDocument/2006/relationships/image" Target="../media/image54.emf"/></Relationships>
</file>

<file path=xl/worksheets/_rels/sheet29.xml.rels><?xml version="1.0" encoding="UTF-8" standalone="yes"?>
<Relationships xmlns="http://schemas.openxmlformats.org/package/2006/relationships"><Relationship Id="rId8" Type="http://schemas.openxmlformats.org/officeDocument/2006/relationships/control" Target="../activeX/activeX56.xml"/><Relationship Id="rId3" Type="http://schemas.openxmlformats.org/officeDocument/2006/relationships/vmlDrawing" Target="../drawings/vmlDrawing15.vml"/><Relationship Id="rId7" Type="http://schemas.openxmlformats.org/officeDocument/2006/relationships/image" Target="../media/image58.emf"/><Relationship Id="rId2" Type="http://schemas.openxmlformats.org/officeDocument/2006/relationships/drawing" Target="../drawings/drawing12.xml"/><Relationship Id="rId1" Type="http://schemas.openxmlformats.org/officeDocument/2006/relationships/printerSettings" Target="../printerSettings/printerSettings21.bin"/><Relationship Id="rId6" Type="http://schemas.openxmlformats.org/officeDocument/2006/relationships/control" Target="../activeX/activeX55.xml"/><Relationship Id="rId11" Type="http://schemas.openxmlformats.org/officeDocument/2006/relationships/image" Target="../media/image60.emf"/><Relationship Id="rId5" Type="http://schemas.openxmlformats.org/officeDocument/2006/relationships/image" Target="../media/image57.emf"/><Relationship Id="rId10" Type="http://schemas.openxmlformats.org/officeDocument/2006/relationships/control" Target="../activeX/activeX57.xml"/><Relationship Id="rId4" Type="http://schemas.openxmlformats.org/officeDocument/2006/relationships/control" Target="../activeX/activeX54.xml"/><Relationship Id="rId9" Type="http://schemas.openxmlformats.org/officeDocument/2006/relationships/image" Target="../media/image59.emf"/></Relationships>
</file>

<file path=xl/worksheets/_rels/sheet30.xml.rels><?xml version="1.0" encoding="UTF-8" standalone="yes"?>
<Relationships xmlns="http://schemas.openxmlformats.org/package/2006/relationships"><Relationship Id="rId8" Type="http://schemas.openxmlformats.org/officeDocument/2006/relationships/control" Target="../activeX/activeX60.xml"/><Relationship Id="rId13" Type="http://schemas.openxmlformats.org/officeDocument/2006/relationships/image" Target="../media/image65.emf"/><Relationship Id="rId3" Type="http://schemas.openxmlformats.org/officeDocument/2006/relationships/vmlDrawing" Target="../drawings/vmlDrawing16.vml"/><Relationship Id="rId7" Type="http://schemas.openxmlformats.org/officeDocument/2006/relationships/image" Target="../media/image62.emf"/><Relationship Id="rId12" Type="http://schemas.openxmlformats.org/officeDocument/2006/relationships/control" Target="../activeX/activeX62.xml"/><Relationship Id="rId2" Type="http://schemas.openxmlformats.org/officeDocument/2006/relationships/drawing" Target="../drawings/drawing13.xml"/><Relationship Id="rId1" Type="http://schemas.openxmlformats.org/officeDocument/2006/relationships/printerSettings" Target="../printerSettings/printerSettings22.bin"/><Relationship Id="rId6" Type="http://schemas.openxmlformats.org/officeDocument/2006/relationships/control" Target="../activeX/activeX59.xml"/><Relationship Id="rId11" Type="http://schemas.openxmlformats.org/officeDocument/2006/relationships/image" Target="../media/image64.emf"/><Relationship Id="rId5" Type="http://schemas.openxmlformats.org/officeDocument/2006/relationships/image" Target="../media/image61.emf"/><Relationship Id="rId10" Type="http://schemas.openxmlformats.org/officeDocument/2006/relationships/control" Target="../activeX/activeX61.xml"/><Relationship Id="rId4" Type="http://schemas.openxmlformats.org/officeDocument/2006/relationships/control" Target="../activeX/activeX58.xml"/><Relationship Id="rId9" Type="http://schemas.openxmlformats.org/officeDocument/2006/relationships/image" Target="../media/image63.emf"/></Relationships>
</file>

<file path=xl/worksheets/_rels/sheet31.xml.rels><?xml version="1.0" encoding="UTF-8" standalone="yes"?>
<Relationships xmlns="http://schemas.openxmlformats.org/package/2006/relationships"><Relationship Id="rId8" Type="http://schemas.openxmlformats.org/officeDocument/2006/relationships/control" Target="../activeX/activeX65.xml"/><Relationship Id="rId13" Type="http://schemas.openxmlformats.org/officeDocument/2006/relationships/image" Target="../media/image70.emf"/><Relationship Id="rId3" Type="http://schemas.openxmlformats.org/officeDocument/2006/relationships/vmlDrawing" Target="../drawings/vmlDrawing17.vml"/><Relationship Id="rId7" Type="http://schemas.openxmlformats.org/officeDocument/2006/relationships/image" Target="../media/image67.emf"/><Relationship Id="rId12" Type="http://schemas.openxmlformats.org/officeDocument/2006/relationships/control" Target="../activeX/activeX67.xml"/><Relationship Id="rId17" Type="http://schemas.openxmlformats.org/officeDocument/2006/relationships/image" Target="../media/image72.emf"/><Relationship Id="rId2" Type="http://schemas.openxmlformats.org/officeDocument/2006/relationships/drawing" Target="../drawings/drawing14.xml"/><Relationship Id="rId16" Type="http://schemas.openxmlformats.org/officeDocument/2006/relationships/control" Target="../activeX/activeX69.xml"/><Relationship Id="rId1" Type="http://schemas.openxmlformats.org/officeDocument/2006/relationships/printerSettings" Target="../printerSettings/printerSettings23.bin"/><Relationship Id="rId6" Type="http://schemas.openxmlformats.org/officeDocument/2006/relationships/control" Target="../activeX/activeX64.xml"/><Relationship Id="rId11" Type="http://schemas.openxmlformats.org/officeDocument/2006/relationships/image" Target="../media/image69.emf"/><Relationship Id="rId5" Type="http://schemas.openxmlformats.org/officeDocument/2006/relationships/image" Target="../media/image66.emf"/><Relationship Id="rId15" Type="http://schemas.openxmlformats.org/officeDocument/2006/relationships/image" Target="../media/image71.emf"/><Relationship Id="rId10" Type="http://schemas.openxmlformats.org/officeDocument/2006/relationships/control" Target="../activeX/activeX66.xml"/><Relationship Id="rId4" Type="http://schemas.openxmlformats.org/officeDocument/2006/relationships/control" Target="../activeX/activeX63.xml"/><Relationship Id="rId9" Type="http://schemas.openxmlformats.org/officeDocument/2006/relationships/image" Target="../media/image68.emf"/><Relationship Id="rId14" Type="http://schemas.openxmlformats.org/officeDocument/2006/relationships/control" Target="../activeX/activeX68.xml"/></Relationships>
</file>

<file path=xl/worksheets/_rels/sheet33.xml.rels><?xml version="1.0" encoding="UTF-8" standalone="yes"?>
<Relationships xmlns="http://schemas.openxmlformats.org/package/2006/relationships"><Relationship Id="rId8" Type="http://schemas.openxmlformats.org/officeDocument/2006/relationships/hyperlink" Target="http://bioenergy.ornl.gov/papers/misc/energy_conv.html" TargetMode="External"/><Relationship Id="rId3" Type="http://schemas.openxmlformats.org/officeDocument/2006/relationships/hyperlink" Target="http://www.fpl.fs.fed.us/documnts/techline/fuel-value-calculator.pdf" TargetMode="External"/><Relationship Id="rId7" Type="http://schemas.openxmlformats.org/officeDocument/2006/relationships/hyperlink" Target="http://bioenergy.ornl.gov/papers/misc/energy_conv.html" TargetMode="External"/><Relationship Id="rId2" Type="http://schemas.openxmlformats.org/officeDocument/2006/relationships/hyperlink" Target="http://bioenergy.ornl.gov/papers/misc/energy_conv.html" TargetMode="External"/><Relationship Id="rId1" Type="http://schemas.openxmlformats.org/officeDocument/2006/relationships/hyperlink" Target="https://www.eia.gov/environment/emissions/co2_vol_mass.php" TargetMode="External"/><Relationship Id="rId6" Type="http://schemas.openxmlformats.org/officeDocument/2006/relationships/hyperlink" Target="http://www.biodiesel.org/pdf_files/fuelfactsheets/BTU_Content_Final_Oct2005.pdf" TargetMode="External"/><Relationship Id="rId5" Type="http://schemas.openxmlformats.org/officeDocument/2006/relationships/hyperlink" Target="http://www.eere.energy.gov/afdc/fuels/properties_notes.html" TargetMode="External"/><Relationship Id="rId10" Type="http://schemas.openxmlformats.org/officeDocument/2006/relationships/comments" Target="../comments6.xml"/><Relationship Id="rId4" Type="http://schemas.openxmlformats.org/officeDocument/2006/relationships/hyperlink" Target="http://www.eere.energy.gov/afdc/progs/fuel_compare.php" TargetMode="External"/><Relationship Id="rId9" Type="http://schemas.openxmlformats.org/officeDocument/2006/relationships/vmlDrawing" Target="../drawings/vmlDrawing18.vm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bea.gov/national/nipaweb/SelectTable.asp?Selected=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F32"/>
  <sheetViews>
    <sheetView workbookViewId="0">
      <pane xSplit="3" ySplit="7" topLeftCell="D8" activePane="bottomRight" state="frozen"/>
      <selection pane="topRight" activeCell="D1" sqref="D1"/>
      <selection pane="bottomLeft" activeCell="A8" sqref="A8"/>
      <selection pane="bottomRight" activeCell="A2" sqref="A2"/>
    </sheetView>
  </sheetViews>
  <sheetFormatPr defaultRowHeight="12.75" x14ac:dyDescent="0.2"/>
  <cols>
    <col min="1" max="1" width="12.5703125" customWidth="1"/>
    <col min="2" max="2" width="12.140625" customWidth="1"/>
    <col min="3" max="3" width="29.85546875" customWidth="1"/>
    <col min="4" max="4" width="10.140625" customWidth="1"/>
    <col min="5" max="5" width="29.85546875" customWidth="1"/>
    <col min="6" max="6" width="10.140625" customWidth="1"/>
  </cols>
  <sheetData>
    <row r="1" spans="1:6" x14ac:dyDescent="0.2">
      <c r="A1" s="1" t="s">
        <v>0</v>
      </c>
      <c r="B1" s="12"/>
    </row>
    <row r="4" spans="1:6" ht="17.25" customHeight="1" x14ac:dyDescent="0.2"/>
    <row r="5" spans="1:6" ht="17.25" customHeight="1" x14ac:dyDescent="0.2">
      <c r="C5" s="2"/>
    </row>
    <row r="6" spans="1:6" ht="15.75" customHeight="1" x14ac:dyDescent="0.2"/>
    <row r="7" spans="1:6" x14ac:dyDescent="0.2">
      <c r="B7" s="3" t="s">
        <v>1</v>
      </c>
      <c r="C7" s="1" t="s">
        <v>2</v>
      </c>
      <c r="D7" s="1" t="s">
        <v>3</v>
      </c>
      <c r="E7" s="1" t="s">
        <v>4</v>
      </c>
      <c r="F7" s="1" t="s">
        <v>5</v>
      </c>
    </row>
    <row r="8" spans="1:6" x14ac:dyDescent="0.2">
      <c r="B8" s="1"/>
      <c r="C8" s="1"/>
      <c r="D8" s="1"/>
      <c r="E8" s="2"/>
      <c r="F8" s="1"/>
    </row>
    <row r="9" spans="1:6" x14ac:dyDescent="0.2">
      <c r="D9" s="2"/>
      <c r="E9" s="2"/>
    </row>
    <row r="11" spans="1:6" x14ac:dyDescent="0.2">
      <c r="B11" s="2"/>
      <c r="C11" s="2"/>
      <c r="D11" s="11"/>
      <c r="E11" s="11"/>
    </row>
    <row r="12" spans="1:6" x14ac:dyDescent="0.2">
      <c r="B12" s="2"/>
      <c r="C12" s="2"/>
      <c r="E12" s="2"/>
    </row>
    <row r="13" spans="1:6" x14ac:dyDescent="0.2">
      <c r="B13" s="2"/>
      <c r="C13" s="2"/>
    </row>
    <row r="14" spans="1:6" x14ac:dyDescent="0.2">
      <c r="B14" s="2"/>
      <c r="C14" s="2"/>
      <c r="D14" s="5"/>
    </row>
    <row r="15" spans="1:6" x14ac:dyDescent="0.2">
      <c r="B15" s="2"/>
      <c r="C15" s="2"/>
      <c r="E15" s="2"/>
    </row>
    <row r="16" spans="1:6" x14ac:dyDescent="0.2">
      <c r="B16" s="2"/>
      <c r="C16" s="2"/>
      <c r="E16" s="2"/>
    </row>
    <row r="17" spans="2:5" x14ac:dyDescent="0.2">
      <c r="B17" s="2"/>
      <c r="C17" s="2"/>
      <c r="E17" s="2"/>
    </row>
    <row r="18" spans="2:5" x14ac:dyDescent="0.2">
      <c r="B18" s="2"/>
      <c r="C18" s="2"/>
      <c r="E18" s="2"/>
    </row>
    <row r="19" spans="2:5" x14ac:dyDescent="0.2">
      <c r="B19" s="2"/>
      <c r="C19" s="2"/>
      <c r="E19" s="2"/>
    </row>
    <row r="20" spans="2:5" x14ac:dyDescent="0.2">
      <c r="D20" s="5"/>
    </row>
    <row r="21" spans="2:5" x14ac:dyDescent="0.2">
      <c r="E21" s="2"/>
    </row>
    <row r="23" spans="2:5" x14ac:dyDescent="0.2">
      <c r="B23" s="2"/>
      <c r="C23" s="2"/>
      <c r="D23" s="2"/>
      <c r="E23" s="2"/>
    </row>
    <row r="24" spans="2:5" x14ac:dyDescent="0.2">
      <c r="B24" s="2"/>
      <c r="C24" s="2"/>
    </row>
    <row r="25" spans="2:5" x14ac:dyDescent="0.2">
      <c r="B25" s="2"/>
      <c r="C25" s="2"/>
      <c r="D25" s="5"/>
      <c r="E25" s="2"/>
    </row>
    <row r="26" spans="2:5" x14ac:dyDescent="0.2">
      <c r="B26" s="3"/>
      <c r="C26" s="2"/>
      <c r="E26" s="2"/>
    </row>
    <row r="27" spans="2:5" x14ac:dyDescent="0.2">
      <c r="E27" s="2"/>
    </row>
    <row r="29" spans="2:5" x14ac:dyDescent="0.2">
      <c r="B29" s="2"/>
      <c r="C29" s="2"/>
      <c r="D29" s="2"/>
      <c r="E29" s="2"/>
    </row>
    <row r="30" spans="2:5" x14ac:dyDescent="0.2">
      <c r="B30" s="2"/>
      <c r="C30" s="2"/>
    </row>
    <row r="31" spans="2:5" x14ac:dyDescent="0.2">
      <c r="B31" s="2"/>
      <c r="C31" s="2"/>
      <c r="E31" s="2"/>
    </row>
    <row r="32" spans="2:5" x14ac:dyDescent="0.2">
      <c r="B32" s="2"/>
      <c r="C32" s="2"/>
      <c r="E32"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2074" r:id="rId4" name="cmdTaxSubSets">
          <controlPr defaultSize="0" autoLine="0" r:id="rId5">
            <anchor moveWithCells="1">
              <from>
                <xdr:col>4</xdr:col>
                <xdr:colOff>561975</xdr:colOff>
                <xdr:row>2</xdr:row>
                <xdr:rowOff>0</xdr:rowOff>
              </from>
              <to>
                <xdr:col>4</xdr:col>
                <xdr:colOff>1533525</xdr:colOff>
                <xdr:row>3</xdr:row>
                <xdr:rowOff>76200</xdr:rowOff>
              </to>
            </anchor>
          </controlPr>
        </control>
      </mc:Choice>
      <mc:Fallback>
        <control shapeId="2074" r:id="rId4" name="cmdTaxSubSets"/>
      </mc:Fallback>
    </mc:AlternateContent>
    <mc:AlternateContent xmlns:mc="http://schemas.openxmlformats.org/markup-compatibility/2006">
      <mc:Choice Requires="x14">
        <control shapeId="2073" r:id="rId6" name="cmdRefreshUnits">
          <controlPr defaultSize="0" autoLine="0" r:id="rId7">
            <anchor moveWithCells="1">
              <from>
                <xdr:col>3</xdr:col>
                <xdr:colOff>66675</xdr:colOff>
                <xdr:row>2</xdr:row>
                <xdr:rowOff>114300</xdr:rowOff>
              </from>
              <to>
                <xdr:col>3</xdr:col>
                <xdr:colOff>619125</xdr:colOff>
                <xdr:row>4</xdr:row>
                <xdr:rowOff>104775</xdr:rowOff>
              </to>
            </anchor>
          </controlPr>
        </control>
      </mc:Choice>
      <mc:Fallback>
        <control shapeId="2073" r:id="rId6" name="cmdRefreshUnits"/>
      </mc:Fallback>
    </mc:AlternateContent>
    <mc:AlternateContent xmlns:mc="http://schemas.openxmlformats.org/markup-compatibility/2006">
      <mc:Choice Requires="x14">
        <control shapeId="2063" r:id="rId8" name="cmdCommUnit">
          <controlPr defaultSize="0" autoLine="0" r:id="rId9">
            <anchor moveWithCells="1">
              <from>
                <xdr:col>3</xdr:col>
                <xdr:colOff>28575</xdr:colOff>
                <xdr:row>4</xdr:row>
                <xdr:rowOff>180975</xdr:rowOff>
              </from>
              <to>
                <xdr:col>4</xdr:col>
                <xdr:colOff>19050</xdr:colOff>
                <xdr:row>6</xdr:row>
                <xdr:rowOff>0</xdr:rowOff>
              </to>
            </anchor>
          </controlPr>
        </control>
      </mc:Choice>
      <mc:Fallback>
        <control shapeId="2063" r:id="rId8" name="cmdCommUnit"/>
      </mc:Fallback>
    </mc:AlternateContent>
    <mc:AlternateContent xmlns:mc="http://schemas.openxmlformats.org/markup-compatibility/2006">
      <mc:Choice Requires="x14">
        <control shapeId="2061" r:id="rId10" name="cmdCheckCommoditiesSheet">
          <controlPr defaultSize="0" autoLine="0" autoPict="0" r:id="rId11">
            <anchor moveWithCells="1">
              <from>
                <xdr:col>0</xdr:col>
                <xdr:colOff>28575</xdr:colOff>
                <xdr:row>2</xdr:row>
                <xdr:rowOff>142875</xdr:rowOff>
              </from>
              <to>
                <xdr:col>0</xdr:col>
                <xdr:colOff>828675</xdr:colOff>
                <xdr:row>4</xdr:row>
                <xdr:rowOff>0</xdr:rowOff>
              </to>
            </anchor>
          </controlPr>
        </control>
      </mc:Choice>
      <mc:Fallback>
        <control shapeId="2061" r:id="rId10" name="cmdCheckCommoditiesSheet"/>
      </mc:Fallback>
    </mc:AlternateContent>
    <mc:AlternateContent xmlns:mc="http://schemas.openxmlformats.org/markup-compatibility/2006">
      <mc:Choice Requires="x14">
        <control shapeId="2053" r:id="rId12" name="cmdMaterialSets">
          <controlPr defaultSize="0" autoLine="0" r:id="rId13">
            <anchor moveWithCells="1">
              <from>
                <xdr:col>4</xdr:col>
                <xdr:colOff>1019175</xdr:colOff>
                <xdr:row>3</xdr:row>
                <xdr:rowOff>104775</xdr:rowOff>
              </from>
              <to>
                <xdr:col>5</xdr:col>
                <xdr:colOff>0</xdr:colOff>
                <xdr:row>4</xdr:row>
                <xdr:rowOff>123825</xdr:rowOff>
              </to>
            </anchor>
          </controlPr>
        </control>
      </mc:Choice>
      <mc:Fallback>
        <control shapeId="2053" r:id="rId12" name="cmdMaterialSets"/>
      </mc:Fallback>
    </mc:AlternateContent>
    <mc:AlternateContent xmlns:mc="http://schemas.openxmlformats.org/markup-compatibility/2006">
      <mc:Choice Requires="x14">
        <control shapeId="2052" r:id="rId14" name="cmdEmissionSets">
          <controlPr defaultSize="0" autoLine="0" r:id="rId15">
            <anchor moveWithCells="1">
              <from>
                <xdr:col>4</xdr:col>
                <xdr:colOff>1019175</xdr:colOff>
                <xdr:row>4</xdr:row>
                <xdr:rowOff>180975</xdr:rowOff>
              </from>
              <to>
                <xdr:col>5</xdr:col>
                <xdr:colOff>0</xdr:colOff>
                <xdr:row>6</xdr:row>
                <xdr:rowOff>0</xdr:rowOff>
              </to>
            </anchor>
          </controlPr>
        </control>
      </mc:Choice>
      <mc:Fallback>
        <control shapeId="2052" r:id="rId14" name="cmdEmissionSets"/>
      </mc:Fallback>
    </mc:AlternateContent>
    <mc:AlternateContent xmlns:mc="http://schemas.openxmlformats.org/markup-compatibility/2006">
      <mc:Choice Requires="x14">
        <control shapeId="2051" r:id="rId16" name="cmdDemandSets">
          <controlPr defaultSize="0" autoLine="0" r:id="rId17">
            <anchor moveWithCells="1">
              <from>
                <xdr:col>4</xdr:col>
                <xdr:colOff>28575</xdr:colOff>
                <xdr:row>4</xdr:row>
                <xdr:rowOff>180975</xdr:rowOff>
              </from>
              <to>
                <xdr:col>4</xdr:col>
                <xdr:colOff>1000125</xdr:colOff>
                <xdr:row>6</xdr:row>
                <xdr:rowOff>0</xdr:rowOff>
              </to>
            </anchor>
          </controlPr>
        </control>
      </mc:Choice>
      <mc:Fallback>
        <control shapeId="2051" r:id="rId16" name="cmdDemandSets"/>
      </mc:Fallback>
    </mc:AlternateContent>
    <mc:AlternateContent xmlns:mc="http://schemas.openxmlformats.org/markup-compatibility/2006">
      <mc:Choice Requires="x14">
        <control shapeId="2049" r:id="rId18" name="cmdEnergySets">
          <controlPr defaultSize="0" autoLine="0" r:id="rId19">
            <anchor moveWithCells="1">
              <from>
                <xdr:col>4</xdr:col>
                <xdr:colOff>28575</xdr:colOff>
                <xdr:row>3</xdr:row>
                <xdr:rowOff>104775</xdr:rowOff>
              </from>
              <to>
                <xdr:col>4</xdr:col>
                <xdr:colOff>1000125</xdr:colOff>
                <xdr:row>4</xdr:row>
                <xdr:rowOff>123825</xdr:rowOff>
              </to>
            </anchor>
          </controlPr>
        </control>
      </mc:Choice>
      <mc:Fallback>
        <control shapeId="2049" r:id="rId18" name="cmdEnergySets"/>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140625" customWidth="1"/>
    <col min="3" max="3" width="27.140625" customWidth="1"/>
    <col min="4" max="5" width="9.85546875" customWidth="1"/>
    <col min="6" max="6" width="30.42578125" customWidth="1"/>
    <col min="7" max="7" width="10.42578125" customWidth="1"/>
  </cols>
  <sheetData>
    <row r="1" spans="1:12" x14ac:dyDescent="0.2">
      <c r="A1" s="1" t="s">
        <v>6</v>
      </c>
      <c r="B1" s="12"/>
    </row>
    <row r="4" spans="1:12" ht="18" customHeight="1" x14ac:dyDescent="0.2"/>
    <row r="7" spans="1:12" x14ac:dyDescent="0.2">
      <c r="B7" s="1" t="s">
        <v>7</v>
      </c>
      <c r="C7" s="1" t="s">
        <v>8</v>
      </c>
      <c r="D7" s="1" t="s">
        <v>9</v>
      </c>
      <c r="E7" s="1" t="s">
        <v>10</v>
      </c>
      <c r="F7" s="1" t="s">
        <v>4</v>
      </c>
      <c r="G7" s="1" t="s">
        <v>5</v>
      </c>
    </row>
    <row r="8" spans="1:12" x14ac:dyDescent="0.2">
      <c r="B8" s="1"/>
      <c r="C8" s="1"/>
      <c r="D8" s="1"/>
      <c r="E8" s="1"/>
      <c r="F8" s="1"/>
      <c r="G8" s="1"/>
    </row>
    <row r="9" spans="1:12" x14ac:dyDescent="0.2">
      <c r="D9" s="2"/>
      <c r="E9" s="2"/>
      <c r="F9" s="2"/>
    </row>
    <row r="10" spans="1:12" x14ac:dyDescent="0.2">
      <c r="F10" s="2"/>
    </row>
    <row r="11" spans="1:12" x14ac:dyDescent="0.2">
      <c r="B11" s="1"/>
      <c r="C11" s="1"/>
      <c r="D11" s="11"/>
      <c r="E11" s="11"/>
    </row>
    <row r="12" spans="1:12" x14ac:dyDescent="0.2">
      <c r="B12" s="7"/>
      <c r="C12" s="2"/>
      <c r="F12" s="11"/>
    </row>
    <row r="13" spans="1:12" x14ac:dyDescent="0.2">
      <c r="B13" s="2"/>
      <c r="C13" s="2"/>
    </row>
    <row r="14" spans="1:12" x14ac:dyDescent="0.2">
      <c r="B14" s="2"/>
      <c r="C14" s="2"/>
      <c r="D14" s="5"/>
      <c r="F14" s="2"/>
      <c r="L14" s="4"/>
    </row>
    <row r="15" spans="1:12" x14ac:dyDescent="0.2">
      <c r="B15" s="2"/>
      <c r="C15" s="2"/>
      <c r="E15" s="5"/>
      <c r="F15" s="2"/>
    </row>
    <row r="16" spans="1:12" x14ac:dyDescent="0.2">
      <c r="B16" s="2"/>
      <c r="C16" s="2"/>
      <c r="F16" s="2"/>
    </row>
    <row r="17" spans="2:6" x14ac:dyDescent="0.2">
      <c r="D17" s="5"/>
    </row>
    <row r="18" spans="2:6" x14ac:dyDescent="0.2">
      <c r="E18" s="5"/>
    </row>
    <row r="20" spans="2:6" x14ac:dyDescent="0.2">
      <c r="B20" s="2"/>
      <c r="C20" s="2"/>
      <c r="F20" s="8"/>
    </row>
    <row r="21" spans="2:6" x14ac:dyDescent="0.2">
      <c r="B21" s="2"/>
      <c r="C21" s="2"/>
    </row>
    <row r="22" spans="2:6" x14ac:dyDescent="0.2">
      <c r="B22" s="2"/>
      <c r="C22" s="2"/>
      <c r="D22" s="2"/>
      <c r="E22" s="2"/>
      <c r="F22" s="2"/>
    </row>
    <row r="23" spans="2:6" x14ac:dyDescent="0.2">
      <c r="B23" s="2"/>
      <c r="C23" s="2"/>
    </row>
    <row r="24" spans="2:6" x14ac:dyDescent="0.2">
      <c r="B24" s="2"/>
      <c r="C24" s="2"/>
    </row>
    <row r="25" spans="2:6" x14ac:dyDescent="0.2">
      <c r="D25" s="5"/>
      <c r="E25" s="5"/>
    </row>
    <row r="26" spans="2:6" x14ac:dyDescent="0.2">
      <c r="F26" s="2"/>
    </row>
    <row r="27" spans="2:6" x14ac:dyDescent="0.2">
      <c r="B27" s="3"/>
      <c r="C27" s="2"/>
      <c r="D27" s="5"/>
      <c r="E27" s="5"/>
    </row>
    <row r="28" spans="2:6" x14ac:dyDescent="0.2">
      <c r="B28" s="2"/>
      <c r="C28" s="2"/>
      <c r="D28" s="8"/>
      <c r="E28" s="2"/>
      <c r="F28" s="2"/>
    </row>
    <row r="29" spans="2:6" x14ac:dyDescent="0.2">
      <c r="B29" s="2"/>
      <c r="C29" s="2"/>
    </row>
    <row r="30" spans="2:6" x14ac:dyDescent="0.2">
      <c r="B30" s="2"/>
      <c r="C30" s="2"/>
    </row>
    <row r="31" spans="2:6" x14ac:dyDescent="0.2">
      <c r="B31" s="2"/>
      <c r="C31" s="2"/>
    </row>
    <row r="32" spans="2:6" x14ac:dyDescent="0.2">
      <c r="B32" s="2"/>
      <c r="C32" s="2"/>
    </row>
    <row r="33" spans="2:6" x14ac:dyDescent="0.2">
      <c r="B33" s="2"/>
      <c r="C33" s="2"/>
    </row>
    <row r="37" spans="2:6" x14ac:dyDescent="0.2">
      <c r="B37" s="2"/>
      <c r="C37" s="2"/>
      <c r="F37" s="2"/>
    </row>
    <row r="38" spans="2:6" x14ac:dyDescent="0.2">
      <c r="B38" s="3"/>
      <c r="C38"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135" r:id="rId4" name="cmdRefreshUnits">
          <controlPr defaultSize="0" autoLine="0" r:id="rId5">
            <anchor moveWithCells="1">
              <from>
                <xdr:col>3</xdr:col>
                <xdr:colOff>381000</xdr:colOff>
                <xdr:row>1</xdr:row>
                <xdr:rowOff>152400</xdr:rowOff>
              </from>
              <to>
                <xdr:col>4</xdr:col>
                <xdr:colOff>276225</xdr:colOff>
                <xdr:row>3</xdr:row>
                <xdr:rowOff>200025</xdr:rowOff>
              </to>
            </anchor>
          </controlPr>
        </control>
      </mc:Choice>
      <mc:Fallback>
        <control shapeId="1135" r:id="rId4" name="cmdRefreshUnits"/>
      </mc:Fallback>
    </mc:AlternateContent>
    <mc:AlternateContent xmlns:mc="http://schemas.openxmlformats.org/markup-compatibility/2006">
      <mc:Choice Requires="x14">
        <control shapeId="1036" r:id="rId6" name="cmdTCAPUnit">
          <controlPr defaultSize="0" autoLine="0" r:id="rId7">
            <anchor moveWithCells="1">
              <from>
                <xdr:col>4</xdr:col>
                <xdr:colOff>28575</xdr:colOff>
                <xdr:row>4</xdr:row>
                <xdr:rowOff>28575</xdr:rowOff>
              </from>
              <to>
                <xdr:col>5</xdr:col>
                <xdr:colOff>9525</xdr:colOff>
                <xdr:row>5</xdr:row>
                <xdr:rowOff>104775</xdr:rowOff>
              </to>
            </anchor>
          </controlPr>
        </control>
      </mc:Choice>
      <mc:Fallback>
        <control shapeId="1036" r:id="rId6" name="cmdTCAPUnit"/>
      </mc:Fallback>
    </mc:AlternateContent>
    <mc:AlternateContent xmlns:mc="http://schemas.openxmlformats.org/markup-compatibility/2006">
      <mc:Choice Requires="x14">
        <control shapeId="1035" r:id="rId8" name="cmdTACTUnit">
          <controlPr defaultSize="0" autoLine="0" r:id="rId9">
            <anchor moveWithCells="1">
              <from>
                <xdr:col>3</xdr:col>
                <xdr:colOff>28575</xdr:colOff>
                <xdr:row>4</xdr:row>
                <xdr:rowOff>28575</xdr:rowOff>
              </from>
              <to>
                <xdr:col>4</xdr:col>
                <xdr:colOff>9525</xdr:colOff>
                <xdr:row>5</xdr:row>
                <xdr:rowOff>104775</xdr:rowOff>
              </to>
            </anchor>
          </controlPr>
        </control>
      </mc:Choice>
      <mc:Fallback>
        <control shapeId="1035" r:id="rId8" name="cmdTACTUnit"/>
      </mc:Fallback>
    </mc:AlternateContent>
    <mc:AlternateContent xmlns:mc="http://schemas.openxmlformats.org/markup-compatibility/2006">
      <mc:Choice Requires="x14">
        <control shapeId="1034" r:id="rId10" name="cmdCheckTechnologiesSheet">
          <controlPr defaultSize="0" autoLine="0" autoPict="0" r:id="rId11">
            <anchor moveWithCells="1">
              <from>
                <xdr:col>0</xdr:col>
                <xdr:colOff>28575</xdr:colOff>
                <xdr:row>2</xdr:row>
                <xdr:rowOff>152400</xdr:rowOff>
              </from>
              <to>
                <xdr:col>1</xdr:col>
                <xdr:colOff>0</xdr:colOff>
                <xdr:row>4</xdr:row>
                <xdr:rowOff>0</xdr:rowOff>
              </to>
            </anchor>
          </controlPr>
        </control>
      </mc:Choice>
      <mc:Fallback>
        <control shapeId="1034" r:id="rId10" name="cmdCheckTechnologiesSheet"/>
      </mc:Fallback>
    </mc:AlternateContent>
    <mc:AlternateContent xmlns:mc="http://schemas.openxmlformats.org/markup-compatibility/2006">
      <mc:Choice Requires="x14">
        <control shapeId="1025" r:id="rId12" name="cmdTechnologySets">
          <controlPr defaultSize="0" autoLine="0" r:id="rId13">
            <anchor moveWithCells="1">
              <from>
                <xdr:col>5</xdr:col>
                <xdr:colOff>28575</xdr:colOff>
                <xdr:row>4</xdr:row>
                <xdr:rowOff>28575</xdr:rowOff>
              </from>
              <to>
                <xdr:col>5</xdr:col>
                <xdr:colOff>1828800</xdr:colOff>
                <xdr:row>5</xdr:row>
                <xdr:rowOff>104775</xdr:rowOff>
              </to>
            </anchor>
          </controlPr>
        </control>
      </mc:Choice>
      <mc:Fallback>
        <control shapeId="1025" r:id="rId12" name="cmdTechnologySets"/>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FFC000"/>
  </sheetPr>
  <dimension ref="B1:J246"/>
  <sheetViews>
    <sheetView zoomScale="80" zoomScaleNormal="80" workbookViewId="0">
      <pane xSplit="5" ySplit="7" topLeftCell="F9" activePane="bottomRight" state="frozen"/>
      <selection pane="topRight" activeCell="C33" sqref="C33"/>
      <selection pane="bottomLeft" activeCell="C33" sqref="C33"/>
      <selection pane="bottomRight" activeCell="G39" sqref="G39"/>
    </sheetView>
  </sheetViews>
  <sheetFormatPr defaultColWidth="9.140625" defaultRowHeight="12.75" x14ac:dyDescent="0.2"/>
  <cols>
    <col min="1" max="1" width="3.7109375" style="12" customWidth="1"/>
    <col min="2" max="2" width="25.5703125" style="12" customWidth="1"/>
    <col min="3" max="3" width="29.85546875" style="12" customWidth="1"/>
    <col min="4" max="4" width="29" style="12" bestFit="1" customWidth="1"/>
    <col min="5" max="5" width="55" style="12" bestFit="1" customWidth="1"/>
    <col min="6" max="7" width="10.140625" style="12" customWidth="1"/>
    <col min="8" max="13" width="9.140625" style="12"/>
    <col min="14" max="14" width="19.42578125" style="12" customWidth="1"/>
    <col min="15" max="16384" width="9.140625" style="12"/>
  </cols>
  <sheetData>
    <row r="1" spans="2:10" x14ac:dyDescent="0.2">
      <c r="B1" s="1" t="s">
        <v>11</v>
      </c>
      <c r="D1" s="178" t="s">
        <v>12</v>
      </c>
    </row>
    <row r="4" spans="2:10" ht="17.25" customHeight="1" x14ac:dyDescent="0.2"/>
    <row r="5" spans="2:10" ht="17.25" customHeight="1" x14ac:dyDescent="0.2">
      <c r="E5" s="2"/>
    </row>
    <row r="6" spans="2:10" s="179" customFormat="1" ht="15.75" customHeight="1" x14ac:dyDescent="0.2">
      <c r="B6" s="180" t="s">
        <v>13</v>
      </c>
      <c r="C6" s="12"/>
      <c r="D6"/>
      <c r="E6"/>
      <c r="F6" s="12"/>
      <c r="G6"/>
      <c r="H6"/>
      <c r="I6"/>
      <c r="J6"/>
    </row>
    <row r="7" spans="2:10" s="179" customFormat="1" x14ac:dyDescent="0.2">
      <c r="B7" s="181" t="s">
        <v>14</v>
      </c>
      <c r="C7" s="181" t="s">
        <v>15</v>
      </c>
      <c r="D7" s="181" t="s">
        <v>1</v>
      </c>
      <c r="E7" s="181" t="s">
        <v>2</v>
      </c>
      <c r="F7" s="181" t="s">
        <v>16</v>
      </c>
      <c r="G7" s="181" t="s">
        <v>17</v>
      </c>
      <c r="H7" s="181" t="s">
        <v>18</v>
      </c>
      <c r="I7" s="181" t="s">
        <v>19</v>
      </c>
      <c r="J7" s="181" t="s">
        <v>20</v>
      </c>
    </row>
    <row r="8" spans="2:10" x14ac:dyDescent="0.2">
      <c r="B8" s="193" t="s">
        <v>21</v>
      </c>
      <c r="C8" s="191"/>
      <c r="D8" s="191"/>
      <c r="E8" s="191"/>
      <c r="F8" s="191"/>
      <c r="G8" s="192"/>
      <c r="H8" s="192"/>
      <c r="I8" s="192"/>
      <c r="J8" s="192"/>
    </row>
    <row r="9" spans="2:10" x14ac:dyDescent="0.2">
      <c r="B9" s="184" t="s">
        <v>22</v>
      </c>
      <c r="C9" s="184" t="s">
        <v>23</v>
      </c>
      <c r="D9" s="184" t="s">
        <v>24</v>
      </c>
      <c r="E9" s="184" t="s">
        <v>25</v>
      </c>
      <c r="F9" s="185" t="s">
        <v>26</v>
      </c>
      <c r="G9" s="184"/>
      <c r="H9" s="184"/>
      <c r="I9" s="184"/>
      <c r="J9" s="184"/>
    </row>
    <row r="10" spans="2:10" x14ac:dyDescent="0.2">
      <c r="B10" s="187" t="s">
        <v>27</v>
      </c>
      <c r="C10" s="184" t="s">
        <v>23</v>
      </c>
      <c r="D10" s="184" t="s">
        <v>28</v>
      </c>
      <c r="E10" s="184" t="s">
        <v>29</v>
      </c>
      <c r="F10" s="185" t="s">
        <v>26</v>
      </c>
      <c r="G10" s="184"/>
      <c r="H10" s="184"/>
      <c r="I10" s="184"/>
      <c r="J10" s="184"/>
    </row>
    <row r="11" spans="2:10" x14ac:dyDescent="0.2">
      <c r="B11" s="184" t="s">
        <v>22</v>
      </c>
      <c r="C11" s="184" t="s">
        <v>23</v>
      </c>
      <c r="D11" s="184" t="s">
        <v>30</v>
      </c>
      <c r="E11" s="184" t="s">
        <v>31</v>
      </c>
      <c r="F11" s="185" t="s">
        <v>26</v>
      </c>
      <c r="G11" s="184"/>
      <c r="H11" s="184"/>
      <c r="I11" s="184"/>
      <c r="J11" s="184"/>
    </row>
    <row r="12" spans="2:10" x14ac:dyDescent="0.2">
      <c r="B12" s="184" t="s">
        <v>22</v>
      </c>
      <c r="C12" s="184" t="s">
        <v>23</v>
      </c>
      <c r="D12" s="184" t="s">
        <v>32</v>
      </c>
      <c r="E12" s="184" t="s">
        <v>33</v>
      </c>
      <c r="F12" s="185" t="s">
        <v>34</v>
      </c>
      <c r="G12" s="184"/>
      <c r="H12" s="184"/>
      <c r="I12" s="184"/>
      <c r="J12" s="184"/>
    </row>
    <row r="13" spans="2:10" x14ac:dyDescent="0.2">
      <c r="B13" s="184" t="s">
        <v>22</v>
      </c>
      <c r="C13" s="184" t="s">
        <v>23</v>
      </c>
      <c r="D13" s="184" t="s">
        <v>35</v>
      </c>
      <c r="E13" s="184" t="s">
        <v>36</v>
      </c>
      <c r="F13" s="185" t="s">
        <v>26</v>
      </c>
      <c r="G13" s="184"/>
      <c r="H13" s="184"/>
      <c r="I13" s="184"/>
      <c r="J13" s="184"/>
    </row>
    <row r="14" spans="2:10" x14ac:dyDescent="0.2">
      <c r="B14" s="184" t="s">
        <v>22</v>
      </c>
      <c r="C14" s="184" t="s">
        <v>23</v>
      </c>
      <c r="D14" s="184" t="s">
        <v>37</v>
      </c>
      <c r="E14" s="184" t="s">
        <v>38</v>
      </c>
      <c r="F14" s="185" t="s">
        <v>26</v>
      </c>
      <c r="G14" s="184"/>
      <c r="H14" s="184"/>
      <c r="I14" s="184"/>
      <c r="J14" s="184"/>
    </row>
    <row r="15" spans="2:10" x14ac:dyDescent="0.2">
      <c r="B15" s="184" t="s">
        <v>27</v>
      </c>
      <c r="C15" s="184" t="s">
        <v>23</v>
      </c>
      <c r="D15" s="184" t="s">
        <v>39</v>
      </c>
      <c r="E15" s="184" t="s">
        <v>40</v>
      </c>
      <c r="F15" s="185" t="s">
        <v>26</v>
      </c>
      <c r="G15" s="184"/>
      <c r="H15" s="184"/>
      <c r="I15" s="184"/>
      <c r="J15" s="184"/>
    </row>
    <row r="16" spans="2:10" x14ac:dyDescent="0.2">
      <c r="B16" s="187" t="s">
        <v>27</v>
      </c>
      <c r="C16" s="184" t="s">
        <v>23</v>
      </c>
      <c r="D16" s="184" t="s">
        <v>41</v>
      </c>
      <c r="E16" s="184" t="s">
        <v>42</v>
      </c>
      <c r="F16" s="185" t="s">
        <v>26</v>
      </c>
      <c r="G16" s="184"/>
      <c r="H16" s="184"/>
      <c r="I16" s="184"/>
      <c r="J16" s="184"/>
    </row>
    <row r="17" spans="2:10" x14ac:dyDescent="0.2">
      <c r="B17" s="184" t="s">
        <v>22</v>
      </c>
      <c r="C17" s="184" t="s">
        <v>23</v>
      </c>
      <c r="D17" s="184" t="s">
        <v>43</v>
      </c>
      <c r="E17" s="184" t="s">
        <v>44</v>
      </c>
      <c r="F17" s="185" t="s">
        <v>26</v>
      </c>
      <c r="G17" s="184"/>
      <c r="H17" s="184"/>
      <c r="I17" s="184"/>
      <c r="J17" s="184"/>
    </row>
    <row r="18" spans="2:10" x14ac:dyDescent="0.2">
      <c r="B18" s="193" t="s">
        <v>45</v>
      </c>
      <c r="C18" s="191"/>
      <c r="D18" s="191"/>
      <c r="E18" s="191"/>
      <c r="F18" s="191"/>
      <c r="G18" s="192"/>
      <c r="H18" s="192"/>
      <c r="I18" s="192"/>
      <c r="J18" s="192"/>
    </row>
    <row r="19" spans="2:10" x14ac:dyDescent="0.2">
      <c r="B19" s="184" t="s">
        <v>22</v>
      </c>
      <c r="C19" s="184" t="s">
        <v>46</v>
      </c>
      <c r="D19" s="184" t="s">
        <v>47</v>
      </c>
      <c r="E19" s="184" t="s">
        <v>48</v>
      </c>
      <c r="F19" s="185" t="s">
        <v>26</v>
      </c>
      <c r="G19" s="184"/>
      <c r="H19" s="244" t="s">
        <v>49</v>
      </c>
      <c r="I19" s="244" t="s">
        <v>50</v>
      </c>
      <c r="J19" s="244" t="s">
        <v>51</v>
      </c>
    </row>
    <row r="20" spans="2:10" x14ac:dyDescent="0.2">
      <c r="B20" s="184" t="s">
        <v>22</v>
      </c>
      <c r="C20" s="184" t="s">
        <v>46</v>
      </c>
      <c r="D20" s="184" t="s">
        <v>52</v>
      </c>
      <c r="E20" s="184" t="s">
        <v>53</v>
      </c>
      <c r="F20" s="185" t="s">
        <v>26</v>
      </c>
      <c r="G20" s="184"/>
      <c r="H20" s="184"/>
      <c r="I20" s="184"/>
      <c r="J20" s="184"/>
    </row>
    <row r="21" spans="2:10" x14ac:dyDescent="0.2">
      <c r="B21" s="184" t="s">
        <v>22</v>
      </c>
      <c r="C21" s="184" t="s">
        <v>46</v>
      </c>
      <c r="D21" s="184" t="s">
        <v>54</v>
      </c>
      <c r="E21" s="184" t="s">
        <v>55</v>
      </c>
      <c r="F21" s="185" t="s">
        <v>26</v>
      </c>
      <c r="G21" s="184"/>
      <c r="H21" s="184"/>
      <c r="I21" s="184"/>
      <c r="J21" s="184"/>
    </row>
    <row r="22" spans="2:10" x14ac:dyDescent="0.2">
      <c r="B22" s="184" t="s">
        <v>22</v>
      </c>
      <c r="C22" s="184" t="s">
        <v>46</v>
      </c>
      <c r="D22" s="184" t="s">
        <v>56</v>
      </c>
      <c r="E22" s="184" t="s">
        <v>57</v>
      </c>
      <c r="F22" s="185" t="s">
        <v>26</v>
      </c>
      <c r="G22" s="184"/>
      <c r="H22" s="184"/>
      <c r="I22" s="184"/>
      <c r="J22" s="184"/>
    </row>
    <row r="23" spans="2:10" x14ac:dyDescent="0.2">
      <c r="B23" s="187" t="s">
        <v>58</v>
      </c>
      <c r="C23" s="184" t="s">
        <v>46</v>
      </c>
      <c r="D23" s="184" t="s">
        <v>59</v>
      </c>
      <c r="E23" s="184" t="s">
        <v>60</v>
      </c>
      <c r="F23" s="185" t="s">
        <v>26</v>
      </c>
      <c r="G23" s="184"/>
      <c r="H23" s="184"/>
      <c r="I23" s="184"/>
      <c r="J23" s="184"/>
    </row>
    <row r="24" spans="2:10" x14ac:dyDescent="0.2">
      <c r="B24" s="187" t="s">
        <v>58</v>
      </c>
      <c r="C24" s="184" t="s">
        <v>46</v>
      </c>
      <c r="D24" s="184" t="s">
        <v>61</v>
      </c>
      <c r="E24" s="184" t="s">
        <v>62</v>
      </c>
      <c r="F24" s="185" t="s">
        <v>26</v>
      </c>
      <c r="G24" s="184"/>
      <c r="H24" s="184"/>
      <c r="I24" s="184"/>
      <c r="J24" s="184"/>
    </row>
    <row r="25" spans="2:10" x14ac:dyDescent="0.2">
      <c r="B25" s="187" t="s">
        <v>58</v>
      </c>
      <c r="C25" s="184" t="s">
        <v>46</v>
      </c>
      <c r="D25" s="184" t="s">
        <v>63</v>
      </c>
      <c r="E25" s="184" t="s">
        <v>64</v>
      </c>
      <c r="F25" s="185" t="s">
        <v>26</v>
      </c>
      <c r="G25" s="184"/>
      <c r="H25" s="184"/>
      <c r="I25" s="184"/>
      <c r="J25" s="184"/>
    </row>
    <row r="26" spans="2:10" s="249" customFormat="1" x14ac:dyDescent="0.2">
      <c r="B26" s="250" t="s">
        <v>65</v>
      </c>
      <c r="C26" s="250"/>
      <c r="D26" s="251"/>
      <c r="E26" s="251"/>
      <c r="F26" s="251"/>
      <c r="G26" s="251"/>
      <c r="H26" s="251"/>
      <c r="I26" s="251"/>
      <c r="J26" s="251"/>
    </row>
    <row r="27" spans="2:10" s="249" customFormat="1" x14ac:dyDescent="0.2">
      <c r="B27" s="187" t="s">
        <v>66</v>
      </c>
      <c r="C27" s="184" t="s">
        <v>46</v>
      </c>
      <c r="D27" s="252" t="s">
        <v>67</v>
      </c>
      <c r="E27" s="252" t="s">
        <v>68</v>
      </c>
      <c r="F27" s="187" t="s">
        <v>26</v>
      </c>
      <c r="G27" s="252"/>
      <c r="H27" s="252"/>
      <c r="I27" s="252"/>
      <c r="J27" s="252"/>
    </row>
    <row r="28" spans="2:10" s="249" customFormat="1" x14ac:dyDescent="0.2">
      <c r="B28" s="187" t="s">
        <v>66</v>
      </c>
      <c r="C28" s="184" t="s">
        <v>46</v>
      </c>
      <c r="D28" s="252" t="s">
        <v>69</v>
      </c>
      <c r="E28" s="252" t="s">
        <v>70</v>
      </c>
      <c r="F28" s="187" t="s">
        <v>26</v>
      </c>
      <c r="G28" s="252"/>
      <c r="H28" s="252"/>
      <c r="I28" s="252"/>
      <c r="J28" s="252"/>
    </row>
    <row r="29" spans="2:10" s="249" customFormat="1" x14ac:dyDescent="0.2">
      <c r="B29" s="187" t="s">
        <v>22</v>
      </c>
      <c r="C29" s="184" t="s">
        <v>46</v>
      </c>
      <c r="D29" s="252" t="s">
        <v>71</v>
      </c>
      <c r="E29" s="252" t="s">
        <v>72</v>
      </c>
      <c r="F29" s="187" t="s">
        <v>26</v>
      </c>
      <c r="G29" s="252"/>
      <c r="H29" s="252"/>
      <c r="I29" s="252"/>
      <c r="J29" s="252"/>
    </row>
    <row r="30" spans="2:10" s="249" customFormat="1" x14ac:dyDescent="0.2">
      <c r="B30" s="187" t="s">
        <v>22</v>
      </c>
      <c r="C30" s="184" t="s">
        <v>46</v>
      </c>
      <c r="D30" s="252" t="s">
        <v>73</v>
      </c>
      <c r="E30" s="252" t="s">
        <v>74</v>
      </c>
      <c r="F30" s="187" t="s">
        <v>26</v>
      </c>
      <c r="G30" s="252"/>
      <c r="H30" s="252"/>
      <c r="I30" s="252"/>
      <c r="J30" s="252"/>
    </row>
    <row r="31" spans="2:10" x14ac:dyDescent="0.2">
      <c r="B31" s="193" t="s">
        <v>75</v>
      </c>
      <c r="C31" s="191"/>
      <c r="D31" s="191"/>
      <c r="E31" s="191"/>
      <c r="F31" s="191"/>
      <c r="G31" s="192"/>
      <c r="H31" s="192"/>
      <c r="I31" s="192"/>
      <c r="J31" s="192"/>
    </row>
    <row r="32" spans="2:10" x14ac:dyDescent="0.2">
      <c r="B32" s="187" t="s">
        <v>22</v>
      </c>
      <c r="C32" s="187" t="s">
        <v>76</v>
      </c>
      <c r="D32" s="187" t="s">
        <v>77</v>
      </c>
      <c r="E32" s="187" t="s">
        <v>78</v>
      </c>
      <c r="F32" s="187" t="s">
        <v>79</v>
      </c>
      <c r="G32" s="184"/>
      <c r="H32" s="184"/>
      <c r="I32" s="184"/>
      <c r="J32" s="184"/>
    </row>
    <row r="33" spans="2:10" x14ac:dyDescent="0.2">
      <c r="B33" s="187" t="s">
        <v>58</v>
      </c>
      <c r="C33" s="187" t="s">
        <v>76</v>
      </c>
      <c r="D33" s="187" t="s">
        <v>80</v>
      </c>
      <c r="E33" s="187" t="s">
        <v>81</v>
      </c>
      <c r="F33" s="187" t="s">
        <v>79</v>
      </c>
      <c r="G33" s="184"/>
      <c r="H33" s="184"/>
      <c r="I33" s="184"/>
      <c r="J33" s="184"/>
    </row>
    <row r="34" spans="2:10" x14ac:dyDescent="0.2">
      <c r="B34" s="187" t="s">
        <v>22</v>
      </c>
      <c r="C34" s="187" t="s">
        <v>76</v>
      </c>
      <c r="D34" s="187" t="s">
        <v>82</v>
      </c>
      <c r="E34" s="187" t="s">
        <v>83</v>
      </c>
      <c r="F34" s="187" t="s">
        <v>79</v>
      </c>
      <c r="G34" s="184"/>
      <c r="H34" s="184"/>
      <c r="I34" s="184"/>
      <c r="J34" s="184"/>
    </row>
    <row r="35" spans="2:10" x14ac:dyDescent="0.2">
      <c r="B35" s="187" t="s">
        <v>22</v>
      </c>
      <c r="C35" s="187" t="s">
        <v>76</v>
      </c>
      <c r="D35" s="187" t="s">
        <v>84</v>
      </c>
      <c r="E35" s="187" t="s">
        <v>85</v>
      </c>
      <c r="F35" s="187" t="s">
        <v>79</v>
      </c>
      <c r="G35" s="184"/>
      <c r="H35" s="184"/>
      <c r="I35" s="184"/>
      <c r="J35" s="184"/>
    </row>
    <row r="36" spans="2:10" x14ac:dyDescent="0.2">
      <c r="B36" s="187" t="s">
        <v>22</v>
      </c>
      <c r="C36" s="187" t="s">
        <v>76</v>
      </c>
      <c r="D36" s="187" t="s">
        <v>86</v>
      </c>
      <c r="E36" s="187" t="s">
        <v>87</v>
      </c>
      <c r="F36" s="187" t="s">
        <v>79</v>
      </c>
      <c r="G36" s="184"/>
      <c r="H36" s="184"/>
      <c r="I36" s="184"/>
      <c r="J36" s="184"/>
    </row>
    <row r="37" spans="2:10" x14ac:dyDescent="0.2">
      <c r="B37" s="187" t="s">
        <v>22</v>
      </c>
      <c r="C37" s="187" t="s">
        <v>76</v>
      </c>
      <c r="D37" s="187" t="s">
        <v>88</v>
      </c>
      <c r="E37" s="187" t="s">
        <v>89</v>
      </c>
      <c r="F37" s="187" t="s">
        <v>79</v>
      </c>
      <c r="G37" s="184"/>
      <c r="H37" s="184"/>
      <c r="I37" s="184"/>
      <c r="J37" s="184"/>
    </row>
    <row r="38" spans="2:10" x14ac:dyDescent="0.2">
      <c r="B38" s="187" t="s">
        <v>22</v>
      </c>
      <c r="C38" s="187" t="s">
        <v>76</v>
      </c>
      <c r="D38" s="187" t="s">
        <v>90</v>
      </c>
      <c r="E38" s="187" t="s">
        <v>89</v>
      </c>
      <c r="F38" s="187" t="s">
        <v>79</v>
      </c>
      <c r="G38" s="184"/>
      <c r="H38" s="184"/>
      <c r="I38" s="184"/>
      <c r="J38" s="184"/>
    </row>
    <row r="39" spans="2:10" x14ac:dyDescent="0.2">
      <c r="B39" s="193" t="s">
        <v>91</v>
      </c>
      <c r="C39" s="191"/>
      <c r="D39" s="191"/>
      <c r="E39" s="191"/>
      <c r="F39" s="191"/>
      <c r="G39" s="192"/>
      <c r="H39" s="192"/>
      <c r="I39" s="192"/>
      <c r="J39" s="192"/>
    </row>
    <row r="40" spans="2:10" x14ac:dyDescent="0.2">
      <c r="B40" s="187" t="s">
        <v>58</v>
      </c>
      <c r="C40" s="187" t="s">
        <v>46</v>
      </c>
      <c r="D40" s="187" t="s">
        <v>92</v>
      </c>
      <c r="E40" s="187" t="s">
        <v>93</v>
      </c>
      <c r="F40" s="187" t="s">
        <v>26</v>
      </c>
      <c r="G40" s="184"/>
      <c r="H40" s="184"/>
      <c r="I40" s="184"/>
      <c r="J40" s="184"/>
    </row>
    <row r="41" spans="2:10" x14ac:dyDescent="0.2">
      <c r="B41" s="187" t="s">
        <v>58</v>
      </c>
      <c r="C41" s="187" t="s">
        <v>46</v>
      </c>
      <c r="D41" s="187" t="s">
        <v>94</v>
      </c>
      <c r="E41" s="187" t="s">
        <v>95</v>
      </c>
      <c r="F41" s="187" t="s">
        <v>26</v>
      </c>
      <c r="G41" s="184"/>
      <c r="H41" s="184"/>
      <c r="I41" s="184"/>
      <c r="J41" s="184"/>
    </row>
    <row r="42" spans="2:10" x14ac:dyDescent="0.2">
      <c r="B42" s="187" t="s">
        <v>58</v>
      </c>
      <c r="C42" s="187" t="s">
        <v>46</v>
      </c>
      <c r="D42" s="187" t="s">
        <v>96</v>
      </c>
      <c r="E42" s="187" t="s">
        <v>97</v>
      </c>
      <c r="F42" s="187" t="s">
        <v>26</v>
      </c>
      <c r="G42" s="184"/>
      <c r="H42" s="184"/>
      <c r="I42" s="184"/>
      <c r="J42" s="184"/>
    </row>
    <row r="43" spans="2:10" x14ac:dyDescent="0.2">
      <c r="B43" s="187" t="s">
        <v>58</v>
      </c>
      <c r="C43" s="187" t="s">
        <v>46</v>
      </c>
      <c r="D43" s="187" t="s">
        <v>98</v>
      </c>
      <c r="E43" s="187" t="s">
        <v>99</v>
      </c>
      <c r="F43" s="187" t="s">
        <v>26</v>
      </c>
      <c r="G43" s="184"/>
      <c r="H43" s="184"/>
      <c r="I43" s="184"/>
      <c r="J43" s="184"/>
    </row>
    <row r="44" spans="2:10" x14ac:dyDescent="0.2">
      <c r="B44" s="193" t="s">
        <v>100</v>
      </c>
      <c r="C44" s="191"/>
      <c r="D44" s="191"/>
      <c r="E44" s="191"/>
      <c r="F44" s="191"/>
      <c r="G44" s="192"/>
      <c r="H44" s="192"/>
      <c r="I44" s="192"/>
      <c r="J44" s="192"/>
    </row>
    <row r="45" spans="2:10" x14ac:dyDescent="0.2">
      <c r="B45" s="187" t="s">
        <v>27</v>
      </c>
      <c r="C45" s="187"/>
      <c r="D45" s="187"/>
      <c r="E45" s="187"/>
      <c r="F45" s="187"/>
      <c r="G45" s="184"/>
      <c r="H45" s="184"/>
      <c r="I45" s="184"/>
      <c r="J45" s="184"/>
    </row>
    <row r="46" spans="2:10" x14ac:dyDescent="0.2">
      <c r="B46" s="187" t="s">
        <v>22</v>
      </c>
      <c r="C46" s="187" t="s">
        <v>23</v>
      </c>
      <c r="D46" s="187" t="s">
        <v>101</v>
      </c>
      <c r="E46" s="187" t="s">
        <v>102</v>
      </c>
      <c r="F46" s="187" t="s">
        <v>79</v>
      </c>
      <c r="G46" s="184"/>
      <c r="H46" s="184"/>
      <c r="I46" s="184"/>
      <c r="J46" s="184"/>
    </row>
    <row r="47" spans="2:10" x14ac:dyDescent="0.2">
      <c r="B47" s="187" t="s">
        <v>58</v>
      </c>
      <c r="C47" s="187" t="s">
        <v>23</v>
      </c>
      <c r="D47" s="187" t="s">
        <v>103</v>
      </c>
      <c r="E47" s="187" t="s">
        <v>104</v>
      </c>
      <c r="F47" s="187" t="s">
        <v>79</v>
      </c>
      <c r="G47" s="184"/>
      <c r="H47" s="184"/>
      <c r="I47" s="184"/>
      <c r="J47" s="184"/>
    </row>
    <row r="48" spans="2:10" x14ac:dyDescent="0.2">
      <c r="B48" s="187" t="s">
        <v>58</v>
      </c>
      <c r="C48" s="187" t="s">
        <v>23</v>
      </c>
      <c r="D48" s="187" t="s">
        <v>105</v>
      </c>
      <c r="E48" s="187" t="s">
        <v>106</v>
      </c>
      <c r="F48" s="187" t="s">
        <v>79</v>
      </c>
      <c r="G48" s="184"/>
      <c r="H48" s="184"/>
      <c r="I48" s="184"/>
      <c r="J48" s="184"/>
    </row>
    <row r="49" spans="2:10" x14ac:dyDescent="0.2">
      <c r="B49" s="187" t="s">
        <v>58</v>
      </c>
      <c r="C49" s="187" t="s">
        <v>23</v>
      </c>
      <c r="D49" s="187" t="s">
        <v>107</v>
      </c>
      <c r="E49" s="187" t="s">
        <v>108</v>
      </c>
      <c r="F49" s="187" t="s">
        <v>79</v>
      </c>
      <c r="G49" s="184"/>
      <c r="H49" s="184"/>
      <c r="I49" s="184"/>
      <c r="J49" s="184"/>
    </row>
    <row r="50" spans="2:10" x14ac:dyDescent="0.2">
      <c r="B50" s="187" t="s">
        <v>58</v>
      </c>
      <c r="C50" s="187" t="s">
        <v>23</v>
      </c>
      <c r="D50" s="187" t="s">
        <v>109</v>
      </c>
      <c r="E50" s="187" t="s">
        <v>110</v>
      </c>
      <c r="F50" s="187" t="s">
        <v>79</v>
      </c>
      <c r="G50" s="184"/>
      <c r="H50" s="184"/>
      <c r="I50" s="184"/>
      <c r="J50" s="184"/>
    </row>
    <row r="51" spans="2:10" x14ac:dyDescent="0.2">
      <c r="B51" s="187" t="s">
        <v>58</v>
      </c>
      <c r="C51" s="187" t="s">
        <v>23</v>
      </c>
      <c r="D51" s="187" t="s">
        <v>111</v>
      </c>
      <c r="E51" s="187" t="s">
        <v>112</v>
      </c>
      <c r="F51" s="187" t="s">
        <v>79</v>
      </c>
      <c r="G51" s="184"/>
      <c r="H51" s="184"/>
      <c r="I51" s="184"/>
      <c r="J51" s="184"/>
    </row>
    <row r="52" spans="2:10" x14ac:dyDescent="0.2">
      <c r="B52" s="187" t="s">
        <v>27</v>
      </c>
      <c r="C52" s="187"/>
      <c r="D52" s="187"/>
      <c r="E52" s="187"/>
      <c r="F52" s="187"/>
      <c r="G52" s="184"/>
      <c r="H52" s="184"/>
      <c r="I52" s="184"/>
      <c r="J52" s="184"/>
    </row>
    <row r="53" spans="2:10" x14ac:dyDescent="0.2">
      <c r="B53" s="193" t="s">
        <v>113</v>
      </c>
      <c r="C53" s="191"/>
      <c r="D53" s="191"/>
      <c r="E53" s="191"/>
      <c r="F53" s="191"/>
      <c r="G53" s="192"/>
      <c r="H53" s="192"/>
      <c r="I53" s="192"/>
      <c r="J53" s="192"/>
    </row>
    <row r="54" spans="2:10" x14ac:dyDescent="0.2">
      <c r="B54" s="184" t="s">
        <v>22</v>
      </c>
      <c r="C54" s="184" t="s">
        <v>114</v>
      </c>
      <c r="D54" s="184" t="s">
        <v>115</v>
      </c>
      <c r="E54" s="184" t="s">
        <v>116</v>
      </c>
      <c r="F54" s="185" t="s">
        <v>117</v>
      </c>
      <c r="G54" s="184"/>
      <c r="H54" s="184"/>
      <c r="I54" s="184"/>
      <c r="J54" s="184"/>
    </row>
    <row r="55" spans="2:10" x14ac:dyDescent="0.2">
      <c r="B55" s="184" t="s">
        <v>22</v>
      </c>
      <c r="C55" s="184" t="s">
        <v>114</v>
      </c>
      <c r="D55" s="184" t="s">
        <v>118</v>
      </c>
      <c r="E55" s="184" t="s">
        <v>119</v>
      </c>
      <c r="F55" s="185" t="s">
        <v>117</v>
      </c>
      <c r="G55" s="184"/>
      <c r="H55" s="184"/>
      <c r="I55" s="184"/>
      <c r="J55" s="184"/>
    </row>
    <row r="56" spans="2:10" x14ac:dyDescent="0.2">
      <c r="B56" s="184" t="s">
        <v>22</v>
      </c>
      <c r="C56" s="184" t="s">
        <v>114</v>
      </c>
      <c r="D56" s="184" t="s">
        <v>120</v>
      </c>
      <c r="E56" s="184" t="s">
        <v>121</v>
      </c>
      <c r="F56" s="185" t="s">
        <v>117</v>
      </c>
      <c r="G56" s="184"/>
      <c r="H56" s="184"/>
      <c r="I56" s="184"/>
      <c r="J56" s="184"/>
    </row>
    <row r="57" spans="2:10" x14ac:dyDescent="0.2">
      <c r="B57" s="184" t="s">
        <v>22</v>
      </c>
      <c r="C57" s="184" t="s">
        <v>114</v>
      </c>
      <c r="D57" s="184" t="s">
        <v>122</v>
      </c>
      <c r="E57" s="184" t="s">
        <v>123</v>
      </c>
      <c r="F57" s="185" t="s">
        <v>117</v>
      </c>
      <c r="G57" s="184"/>
      <c r="H57" s="184"/>
      <c r="I57" s="184"/>
      <c r="J57" s="184"/>
    </row>
    <row r="58" spans="2:10" x14ac:dyDescent="0.2">
      <c r="B58" s="184" t="s">
        <v>22</v>
      </c>
      <c r="C58" s="184" t="s">
        <v>114</v>
      </c>
      <c r="D58" s="184" t="s">
        <v>124</v>
      </c>
      <c r="E58" s="184" t="s">
        <v>125</v>
      </c>
      <c r="F58" s="185" t="s">
        <v>117</v>
      </c>
      <c r="G58" s="184"/>
      <c r="H58" s="184"/>
      <c r="I58" s="184"/>
      <c r="J58" s="184"/>
    </row>
    <row r="59" spans="2:10" x14ac:dyDescent="0.2">
      <c r="B59" s="184" t="s">
        <v>22</v>
      </c>
      <c r="C59" s="184" t="s">
        <v>46</v>
      </c>
      <c r="D59" s="184" t="s">
        <v>126</v>
      </c>
      <c r="E59" s="184" t="s">
        <v>53</v>
      </c>
      <c r="F59" s="185" t="s">
        <v>26</v>
      </c>
    </row>
    <row r="60" spans="2:10" x14ac:dyDescent="0.2">
      <c r="B60" s="184" t="s">
        <v>22</v>
      </c>
      <c r="C60" s="184" t="s">
        <v>46</v>
      </c>
      <c r="D60" s="186" t="s">
        <v>127</v>
      </c>
      <c r="E60" s="184" t="s">
        <v>128</v>
      </c>
      <c r="F60" s="185" t="s">
        <v>26</v>
      </c>
    </row>
    <row r="61" spans="2:10" x14ac:dyDescent="0.2">
      <c r="B61" s="187" t="s">
        <v>58</v>
      </c>
      <c r="C61" s="184" t="s">
        <v>46</v>
      </c>
      <c r="D61" s="184" t="s">
        <v>129</v>
      </c>
      <c r="E61" s="184" t="s">
        <v>55</v>
      </c>
      <c r="F61" s="185" t="s">
        <v>26</v>
      </c>
    </row>
    <row r="62" spans="2:10" x14ac:dyDescent="0.2">
      <c r="B62" s="187" t="s">
        <v>58</v>
      </c>
      <c r="C62" s="184" t="s">
        <v>46</v>
      </c>
      <c r="D62" s="184" t="s">
        <v>130</v>
      </c>
      <c r="E62" s="190" t="s">
        <v>131</v>
      </c>
      <c r="F62" s="185" t="s">
        <v>26</v>
      </c>
    </row>
    <row r="63" spans="2:10" x14ac:dyDescent="0.2">
      <c r="B63" s="187" t="s">
        <v>58</v>
      </c>
      <c r="C63" s="184" t="s">
        <v>46</v>
      </c>
      <c r="D63" s="186" t="s">
        <v>132</v>
      </c>
      <c r="E63" s="184" t="s">
        <v>133</v>
      </c>
      <c r="F63" s="185" t="s">
        <v>26</v>
      </c>
    </row>
    <row r="64" spans="2:10" x14ac:dyDescent="0.2">
      <c r="B64" s="187" t="s">
        <v>58</v>
      </c>
      <c r="C64" s="184" t="s">
        <v>46</v>
      </c>
      <c r="D64" s="186" t="s">
        <v>134</v>
      </c>
      <c r="E64" s="184" t="s">
        <v>135</v>
      </c>
      <c r="F64" s="185" t="s">
        <v>26</v>
      </c>
    </row>
    <row r="65" spans="2:6" x14ac:dyDescent="0.2">
      <c r="B65" s="184" t="s">
        <v>22</v>
      </c>
      <c r="C65" s="184" t="s">
        <v>46</v>
      </c>
      <c r="D65" s="184" t="s">
        <v>136</v>
      </c>
      <c r="E65" s="184" t="s">
        <v>137</v>
      </c>
      <c r="F65" s="185" t="s">
        <v>26</v>
      </c>
    </row>
    <row r="66" spans="2:6" x14ac:dyDescent="0.2">
      <c r="B66" s="193" t="s">
        <v>45</v>
      </c>
      <c r="C66" s="191"/>
      <c r="D66" s="191"/>
      <c r="E66" s="191"/>
      <c r="F66" s="191"/>
    </row>
    <row r="67" spans="2:6" x14ac:dyDescent="0.2">
      <c r="B67" s="184" t="s">
        <v>22</v>
      </c>
      <c r="C67" s="185" t="s">
        <v>46</v>
      </c>
      <c r="D67" s="184" t="s">
        <v>51</v>
      </c>
      <c r="E67" s="184" t="s">
        <v>138</v>
      </c>
      <c r="F67" s="185" t="s">
        <v>26</v>
      </c>
    </row>
    <row r="68" spans="2:6" x14ac:dyDescent="0.2">
      <c r="B68" s="184" t="s">
        <v>22</v>
      </c>
      <c r="C68" s="185" t="s">
        <v>46</v>
      </c>
      <c r="D68" s="184" t="s">
        <v>139</v>
      </c>
      <c r="E68" s="184" t="s">
        <v>140</v>
      </c>
      <c r="F68" s="185" t="s">
        <v>26</v>
      </c>
    </row>
    <row r="69" spans="2:6" x14ac:dyDescent="0.2">
      <c r="B69" s="193" t="s">
        <v>141</v>
      </c>
      <c r="C69" s="191"/>
      <c r="D69" s="191"/>
      <c r="E69" s="191"/>
      <c r="F69" s="191"/>
    </row>
    <row r="70" spans="2:6" x14ac:dyDescent="0.2">
      <c r="B70" s="184" t="s">
        <v>22</v>
      </c>
      <c r="C70" s="185" t="s">
        <v>46</v>
      </c>
      <c r="D70" s="184" t="s">
        <v>142</v>
      </c>
      <c r="E70" s="184" t="s">
        <v>143</v>
      </c>
      <c r="F70" s="185" t="s">
        <v>26</v>
      </c>
    </row>
    <row r="71" spans="2:6" x14ac:dyDescent="0.2">
      <c r="B71" s="193" t="s">
        <v>113</v>
      </c>
      <c r="C71" s="191"/>
      <c r="D71" s="191"/>
      <c r="E71" s="191"/>
      <c r="F71" s="191"/>
    </row>
    <row r="72" spans="2:6" x14ac:dyDescent="0.2">
      <c r="B72" s="184" t="s">
        <v>22</v>
      </c>
      <c r="C72" s="189" t="s">
        <v>114</v>
      </c>
      <c r="D72" s="184" t="s">
        <v>144</v>
      </c>
      <c r="E72" s="184" t="s">
        <v>145</v>
      </c>
      <c r="F72" s="188" t="s">
        <v>79</v>
      </c>
    </row>
    <row r="73" spans="2:6" x14ac:dyDescent="0.2">
      <c r="B73" s="184" t="s">
        <v>22</v>
      </c>
      <c r="C73" s="189" t="s">
        <v>114</v>
      </c>
      <c r="D73" s="184" t="s">
        <v>146</v>
      </c>
      <c r="E73" s="184" t="s">
        <v>147</v>
      </c>
      <c r="F73" s="185" t="s">
        <v>117</v>
      </c>
    </row>
    <row r="74" spans="2:6" x14ac:dyDescent="0.2">
      <c r="B74" s="184" t="s">
        <v>22</v>
      </c>
      <c r="C74" s="189" t="s">
        <v>114</v>
      </c>
      <c r="D74" s="184" t="s">
        <v>148</v>
      </c>
      <c r="E74" s="184" t="s">
        <v>149</v>
      </c>
      <c r="F74" s="185" t="s">
        <v>117</v>
      </c>
    </row>
    <row r="75" spans="2:6" x14ac:dyDescent="0.2">
      <c r="B75" s="184" t="s">
        <v>22</v>
      </c>
      <c r="C75" s="189" t="s">
        <v>114</v>
      </c>
      <c r="D75" s="184" t="s">
        <v>150</v>
      </c>
      <c r="E75" s="184" t="s">
        <v>151</v>
      </c>
      <c r="F75" s="185" t="s">
        <v>117</v>
      </c>
    </row>
    <row r="76" spans="2:6" x14ac:dyDescent="0.2">
      <c r="B76" s="184" t="s">
        <v>22</v>
      </c>
      <c r="C76" s="189" t="s">
        <v>114</v>
      </c>
      <c r="D76" s="184" t="s">
        <v>152</v>
      </c>
      <c r="E76" s="184" t="s">
        <v>153</v>
      </c>
      <c r="F76" s="185" t="s">
        <v>117</v>
      </c>
    </row>
    <row r="77" spans="2:6" x14ac:dyDescent="0.2">
      <c r="B77" s="184" t="s">
        <v>22</v>
      </c>
      <c r="C77" s="189" t="s">
        <v>114</v>
      </c>
      <c r="D77" s="184" t="s">
        <v>154</v>
      </c>
      <c r="E77" s="184" t="s">
        <v>155</v>
      </c>
      <c r="F77" s="185" t="s">
        <v>117</v>
      </c>
    </row>
    <row r="78" spans="2:6" x14ac:dyDescent="0.2">
      <c r="B78" s="184" t="s">
        <v>22</v>
      </c>
      <c r="C78" s="189" t="s">
        <v>114</v>
      </c>
      <c r="D78" s="184" t="s">
        <v>156</v>
      </c>
      <c r="E78" s="184" t="s">
        <v>157</v>
      </c>
      <c r="F78" s="185" t="s">
        <v>117</v>
      </c>
    </row>
    <row r="79" spans="2:6" x14ac:dyDescent="0.2">
      <c r="B79" s="184" t="s">
        <v>22</v>
      </c>
      <c r="C79" s="189" t="s">
        <v>114</v>
      </c>
      <c r="D79" s="184" t="s">
        <v>158</v>
      </c>
      <c r="E79" s="184" t="s">
        <v>158</v>
      </c>
      <c r="F79" s="185" t="s">
        <v>117</v>
      </c>
    </row>
    <row r="80" spans="2:6" x14ac:dyDescent="0.2">
      <c r="B80" s="184" t="s">
        <v>22</v>
      </c>
      <c r="C80" s="189" t="s">
        <v>114</v>
      </c>
      <c r="D80" s="184" t="s">
        <v>159</v>
      </c>
      <c r="E80" s="184" t="s">
        <v>160</v>
      </c>
      <c r="F80" s="185" t="s">
        <v>117</v>
      </c>
    </row>
    <row r="81" spans="2:6" x14ac:dyDescent="0.2">
      <c r="B81" s="184" t="s">
        <v>22</v>
      </c>
      <c r="C81" s="189" t="s">
        <v>114</v>
      </c>
      <c r="D81" s="184" t="s">
        <v>161</v>
      </c>
      <c r="E81" s="184" t="s">
        <v>162</v>
      </c>
      <c r="F81" s="185" t="s">
        <v>117</v>
      </c>
    </row>
    <row r="82" spans="2:6" x14ac:dyDescent="0.2">
      <c r="B82" s="184" t="s">
        <v>22</v>
      </c>
      <c r="C82" s="189" t="s">
        <v>114</v>
      </c>
      <c r="D82" s="184" t="s">
        <v>163</v>
      </c>
      <c r="E82" s="184" t="s">
        <v>164</v>
      </c>
      <c r="F82" s="185" t="s">
        <v>117</v>
      </c>
    </row>
    <row r="83" spans="2:6" x14ac:dyDescent="0.2">
      <c r="B83" s="183" t="s">
        <v>27</v>
      </c>
      <c r="C83" s="188"/>
      <c r="D83" s="184"/>
      <c r="E83" s="184"/>
      <c r="F83" s="188"/>
    </row>
    <row r="84" spans="2:6" x14ac:dyDescent="0.2">
      <c r="B84" s="187" t="s">
        <v>58</v>
      </c>
      <c r="C84" s="187" t="s">
        <v>76</v>
      </c>
      <c r="D84" s="187" t="s">
        <v>165</v>
      </c>
      <c r="E84" s="187" t="s">
        <v>166</v>
      </c>
      <c r="F84" s="187" t="s">
        <v>79</v>
      </c>
    </row>
    <row r="85" spans="2:6" x14ac:dyDescent="0.2">
      <c r="B85" s="187" t="s">
        <v>58</v>
      </c>
      <c r="C85" s="187" t="s">
        <v>76</v>
      </c>
      <c r="D85" s="187" t="s">
        <v>167</v>
      </c>
      <c r="E85" s="187" t="s">
        <v>168</v>
      </c>
      <c r="F85" s="187" t="s">
        <v>79</v>
      </c>
    </row>
    <row r="86" spans="2:6" x14ac:dyDescent="0.2">
      <c r="B86" s="187" t="s">
        <v>58</v>
      </c>
      <c r="C86" s="187" t="s">
        <v>76</v>
      </c>
      <c r="D86" s="187" t="s">
        <v>169</v>
      </c>
      <c r="E86" s="187" t="s">
        <v>170</v>
      </c>
      <c r="F86" s="187" t="s">
        <v>79</v>
      </c>
    </row>
    <row r="87" spans="2:6" x14ac:dyDescent="0.2">
      <c r="B87" s="187" t="s">
        <v>58</v>
      </c>
      <c r="C87" s="187" t="s">
        <v>76</v>
      </c>
      <c r="D87" s="187" t="s">
        <v>171</v>
      </c>
      <c r="E87" s="187" t="s">
        <v>172</v>
      </c>
      <c r="F87" s="187" t="s">
        <v>79</v>
      </c>
    </row>
    <row r="88" spans="2:6" x14ac:dyDescent="0.2">
      <c r="B88" s="187" t="s">
        <v>22</v>
      </c>
      <c r="C88" s="187" t="s">
        <v>76</v>
      </c>
      <c r="D88" s="187" t="s">
        <v>173</v>
      </c>
      <c r="E88" s="187" t="s">
        <v>174</v>
      </c>
      <c r="F88" s="187" t="s">
        <v>79</v>
      </c>
    </row>
    <row r="89" spans="2:6" x14ac:dyDescent="0.2">
      <c r="B89" s="187" t="s">
        <v>58</v>
      </c>
      <c r="C89" s="187" t="s">
        <v>76</v>
      </c>
      <c r="D89" s="187" t="s">
        <v>175</v>
      </c>
      <c r="E89" s="187" t="s">
        <v>176</v>
      </c>
      <c r="F89" s="187" t="s">
        <v>79</v>
      </c>
    </row>
    <row r="90" spans="2:6" x14ac:dyDescent="0.2">
      <c r="B90" s="187" t="s">
        <v>22</v>
      </c>
      <c r="C90" s="187" t="s">
        <v>76</v>
      </c>
      <c r="D90" s="187" t="s">
        <v>177</v>
      </c>
      <c r="E90" s="187" t="s">
        <v>178</v>
      </c>
      <c r="F90" s="187" t="s">
        <v>79</v>
      </c>
    </row>
    <row r="91" spans="2:6" x14ac:dyDescent="0.2">
      <c r="B91" s="187" t="s">
        <v>58</v>
      </c>
      <c r="C91" s="187" t="s">
        <v>76</v>
      </c>
      <c r="D91" s="187" t="s">
        <v>179</v>
      </c>
      <c r="E91" s="187" t="s">
        <v>180</v>
      </c>
      <c r="F91" s="187" t="s">
        <v>79</v>
      </c>
    </row>
    <row r="92" spans="2:6" x14ac:dyDescent="0.2">
      <c r="B92" s="187" t="s">
        <v>58</v>
      </c>
      <c r="C92" s="187" t="s">
        <v>76</v>
      </c>
      <c r="D92" s="187" t="s">
        <v>181</v>
      </c>
      <c r="E92" s="187" t="s">
        <v>182</v>
      </c>
      <c r="F92" s="187" t="s">
        <v>79</v>
      </c>
    </row>
    <row r="93" spans="2:6" x14ac:dyDescent="0.2">
      <c r="B93" s="187" t="s">
        <v>58</v>
      </c>
      <c r="C93" s="187" t="s">
        <v>76</v>
      </c>
      <c r="D93" s="187" t="s">
        <v>183</v>
      </c>
      <c r="E93" s="187" t="s">
        <v>184</v>
      </c>
      <c r="F93" s="187" t="s">
        <v>79</v>
      </c>
    </row>
    <row r="94" spans="2:6" x14ac:dyDescent="0.2">
      <c r="B94" s="187" t="s">
        <v>58</v>
      </c>
      <c r="C94" s="187" t="s">
        <v>76</v>
      </c>
      <c r="D94" s="187" t="s">
        <v>185</v>
      </c>
      <c r="E94" s="187" t="s">
        <v>186</v>
      </c>
      <c r="F94" s="187" t="s">
        <v>79</v>
      </c>
    </row>
    <row r="95" spans="2:6" x14ac:dyDescent="0.2">
      <c r="B95" s="187" t="s">
        <v>58</v>
      </c>
      <c r="C95" s="187" t="s">
        <v>76</v>
      </c>
      <c r="D95" s="187" t="s">
        <v>187</v>
      </c>
      <c r="E95" s="187" t="s">
        <v>188</v>
      </c>
      <c r="F95" s="187" t="s">
        <v>79</v>
      </c>
    </row>
    <row r="96" spans="2:6" x14ac:dyDescent="0.2">
      <c r="B96" s="187" t="s">
        <v>58</v>
      </c>
      <c r="C96" s="187" t="s">
        <v>76</v>
      </c>
      <c r="D96" s="187" t="s">
        <v>189</v>
      </c>
      <c r="E96" s="187" t="s">
        <v>190</v>
      </c>
      <c r="F96" s="187" t="s">
        <v>79</v>
      </c>
    </row>
    <row r="97" spans="2:6" x14ac:dyDescent="0.2">
      <c r="B97" s="187" t="s">
        <v>22</v>
      </c>
      <c r="C97" s="187" t="s">
        <v>76</v>
      </c>
      <c r="D97" s="187" t="s">
        <v>191</v>
      </c>
      <c r="E97" s="187" t="s">
        <v>192</v>
      </c>
      <c r="F97" s="187" t="s">
        <v>79</v>
      </c>
    </row>
    <row r="98" spans="2:6" x14ac:dyDescent="0.2">
      <c r="B98" s="187" t="s">
        <v>27</v>
      </c>
      <c r="C98" s="187"/>
      <c r="D98" s="187"/>
      <c r="E98" s="187"/>
      <c r="F98" s="187"/>
    </row>
    <row r="99" spans="2:6" x14ac:dyDescent="0.2">
      <c r="B99" s="193" t="s">
        <v>193</v>
      </c>
      <c r="C99" s="191"/>
      <c r="D99" s="191"/>
      <c r="E99" s="191"/>
      <c r="F99" s="191"/>
    </row>
    <row r="100" spans="2:6" x14ac:dyDescent="0.2">
      <c r="B100" s="187" t="s">
        <v>27</v>
      </c>
      <c r="C100" s="187"/>
      <c r="D100" s="187"/>
      <c r="E100" s="187"/>
      <c r="F100" s="187"/>
    </row>
    <row r="101" spans="2:6" x14ac:dyDescent="0.2">
      <c r="B101" s="187" t="s">
        <v>58</v>
      </c>
      <c r="C101" s="187" t="s">
        <v>23</v>
      </c>
      <c r="D101" s="187" t="s">
        <v>194</v>
      </c>
      <c r="E101" s="187" t="s">
        <v>195</v>
      </c>
      <c r="F101" s="187" t="s">
        <v>79</v>
      </c>
    </row>
    <row r="102" spans="2:6" x14ac:dyDescent="0.2">
      <c r="B102" s="187" t="s">
        <v>58</v>
      </c>
      <c r="C102" s="187" t="s">
        <v>76</v>
      </c>
      <c r="D102" s="187" t="s">
        <v>196</v>
      </c>
      <c r="E102" s="187" t="s">
        <v>197</v>
      </c>
      <c r="F102" s="187" t="s">
        <v>79</v>
      </c>
    </row>
    <row r="103" spans="2:6" x14ac:dyDescent="0.2">
      <c r="B103" s="187" t="s">
        <v>58</v>
      </c>
      <c r="C103" s="187" t="s">
        <v>76</v>
      </c>
      <c r="D103" s="187" t="s">
        <v>198</v>
      </c>
      <c r="E103" s="187" t="s">
        <v>199</v>
      </c>
      <c r="F103" s="187" t="s">
        <v>79</v>
      </c>
    </row>
    <row r="104" spans="2:6" x14ac:dyDescent="0.2">
      <c r="B104" s="187" t="s">
        <v>58</v>
      </c>
      <c r="C104" s="187" t="s">
        <v>76</v>
      </c>
      <c r="D104" s="187" t="s">
        <v>200</v>
      </c>
      <c r="E104" s="187" t="s">
        <v>201</v>
      </c>
      <c r="F104" s="187" t="s">
        <v>79</v>
      </c>
    </row>
    <row r="105" spans="2:6" x14ac:dyDescent="0.2">
      <c r="B105" s="187" t="s">
        <v>58</v>
      </c>
      <c r="C105" s="187" t="s">
        <v>76</v>
      </c>
      <c r="D105" s="187" t="s">
        <v>202</v>
      </c>
      <c r="E105" s="187" t="s">
        <v>203</v>
      </c>
      <c r="F105" s="187" t="s">
        <v>79</v>
      </c>
    </row>
    <row r="106" spans="2:6" x14ac:dyDescent="0.2">
      <c r="B106" s="187" t="s">
        <v>58</v>
      </c>
      <c r="C106" s="187" t="s">
        <v>76</v>
      </c>
      <c r="D106" s="187" t="s">
        <v>204</v>
      </c>
      <c r="E106" s="187" t="s">
        <v>205</v>
      </c>
      <c r="F106" s="187" t="s">
        <v>79</v>
      </c>
    </row>
    <row r="107" spans="2:6" x14ac:dyDescent="0.2">
      <c r="B107" s="187" t="s">
        <v>58</v>
      </c>
      <c r="C107" s="187" t="s">
        <v>76</v>
      </c>
      <c r="D107" s="187" t="s">
        <v>206</v>
      </c>
      <c r="E107" s="187" t="s">
        <v>207</v>
      </c>
      <c r="F107" s="187" t="s">
        <v>79</v>
      </c>
    </row>
    <row r="108" spans="2:6" x14ac:dyDescent="0.2">
      <c r="B108" s="187" t="s">
        <v>58</v>
      </c>
      <c r="C108" s="187" t="s">
        <v>76</v>
      </c>
      <c r="D108" s="187" t="s">
        <v>208</v>
      </c>
      <c r="E108" s="187" t="s">
        <v>209</v>
      </c>
      <c r="F108" s="187" t="s">
        <v>79</v>
      </c>
    </row>
    <row r="109" spans="2:6" x14ac:dyDescent="0.2">
      <c r="B109" s="187" t="s">
        <v>58</v>
      </c>
      <c r="C109" s="187" t="s">
        <v>76</v>
      </c>
      <c r="D109" s="187" t="s">
        <v>210</v>
      </c>
      <c r="E109" s="187" t="s">
        <v>211</v>
      </c>
      <c r="F109" s="187" t="s">
        <v>79</v>
      </c>
    </row>
    <row r="110" spans="2:6" x14ac:dyDescent="0.2">
      <c r="B110" s="187" t="s">
        <v>58</v>
      </c>
      <c r="C110" s="187" t="s">
        <v>76</v>
      </c>
      <c r="D110" s="187" t="s">
        <v>212</v>
      </c>
      <c r="E110" s="187" t="s">
        <v>213</v>
      </c>
      <c r="F110" s="187" t="s">
        <v>79</v>
      </c>
    </row>
    <row r="111" spans="2:6" x14ac:dyDescent="0.2">
      <c r="B111" s="187" t="s">
        <v>58</v>
      </c>
      <c r="C111" s="187" t="s">
        <v>76</v>
      </c>
      <c r="D111" s="187" t="s">
        <v>214</v>
      </c>
      <c r="E111" s="187" t="s">
        <v>215</v>
      </c>
      <c r="F111" s="187" t="s">
        <v>79</v>
      </c>
    </row>
    <row r="112" spans="2:6" x14ac:dyDescent="0.2">
      <c r="B112" s="187" t="s">
        <v>58</v>
      </c>
      <c r="C112" s="187" t="s">
        <v>76</v>
      </c>
      <c r="D112" s="187" t="s">
        <v>216</v>
      </c>
      <c r="E112" s="187" t="s">
        <v>217</v>
      </c>
      <c r="F112" s="187" t="s">
        <v>79</v>
      </c>
    </row>
    <row r="113" spans="2:6" x14ac:dyDescent="0.2">
      <c r="B113" s="187" t="s">
        <v>27</v>
      </c>
      <c r="C113" s="187"/>
      <c r="D113" s="187"/>
      <c r="E113" s="187"/>
      <c r="F113" s="187"/>
    </row>
    <row r="114" spans="2:6" x14ac:dyDescent="0.2">
      <c r="B114" s="193" t="s">
        <v>218</v>
      </c>
      <c r="C114" s="191"/>
      <c r="D114" s="191"/>
      <c r="E114" s="191"/>
      <c r="F114" s="191"/>
    </row>
    <row r="115" spans="2:6" x14ac:dyDescent="0.2">
      <c r="B115" s="187" t="s">
        <v>27</v>
      </c>
      <c r="C115" s="187"/>
      <c r="D115" s="187"/>
      <c r="E115" s="187"/>
      <c r="F115" s="187"/>
    </row>
    <row r="116" spans="2:6" x14ac:dyDescent="0.2">
      <c r="B116" s="187" t="s">
        <v>58</v>
      </c>
      <c r="C116" s="187" t="s">
        <v>76</v>
      </c>
      <c r="D116" s="187" t="s">
        <v>219</v>
      </c>
      <c r="E116" s="187" t="s">
        <v>220</v>
      </c>
      <c r="F116" s="187" t="s">
        <v>79</v>
      </c>
    </row>
    <row r="117" spans="2:6" x14ac:dyDescent="0.2">
      <c r="B117" s="187" t="s">
        <v>58</v>
      </c>
      <c r="C117" s="187" t="s">
        <v>76</v>
      </c>
      <c r="D117" s="187" t="s">
        <v>221</v>
      </c>
      <c r="E117" s="187" t="s">
        <v>220</v>
      </c>
      <c r="F117" s="187" t="s">
        <v>79</v>
      </c>
    </row>
    <row r="118" spans="2:6" x14ac:dyDescent="0.2">
      <c r="B118" s="187" t="s">
        <v>58</v>
      </c>
      <c r="C118" s="187" t="s">
        <v>76</v>
      </c>
      <c r="D118" s="187" t="s">
        <v>222</v>
      </c>
      <c r="E118" s="187" t="s">
        <v>223</v>
      </c>
      <c r="F118" s="187" t="s">
        <v>79</v>
      </c>
    </row>
    <row r="119" spans="2:6" x14ac:dyDescent="0.2">
      <c r="B119" s="187" t="s">
        <v>58</v>
      </c>
      <c r="C119" s="187" t="s">
        <v>76</v>
      </c>
      <c r="D119" s="187" t="s">
        <v>224</v>
      </c>
      <c r="E119" s="187" t="s">
        <v>223</v>
      </c>
      <c r="F119" s="187" t="s">
        <v>79</v>
      </c>
    </row>
    <row r="120" spans="2:6" x14ac:dyDescent="0.2">
      <c r="B120" s="187" t="s">
        <v>58</v>
      </c>
      <c r="C120" s="187" t="s">
        <v>76</v>
      </c>
      <c r="D120" s="187" t="s">
        <v>225</v>
      </c>
      <c r="E120" s="187" t="s">
        <v>226</v>
      </c>
      <c r="F120" s="187" t="s">
        <v>79</v>
      </c>
    </row>
    <row r="121" spans="2:6" x14ac:dyDescent="0.2">
      <c r="B121" s="187" t="s">
        <v>58</v>
      </c>
      <c r="C121" s="187" t="s">
        <v>76</v>
      </c>
      <c r="D121" s="187" t="s">
        <v>227</v>
      </c>
      <c r="E121" s="187" t="s">
        <v>226</v>
      </c>
      <c r="F121" s="187" t="s">
        <v>79</v>
      </c>
    </row>
    <row r="122" spans="2:6" x14ac:dyDescent="0.2">
      <c r="B122" s="187" t="s">
        <v>58</v>
      </c>
      <c r="C122" s="187" t="s">
        <v>76</v>
      </c>
      <c r="D122" s="187" t="s">
        <v>228</v>
      </c>
      <c r="E122" s="187" t="s">
        <v>229</v>
      </c>
      <c r="F122" s="187" t="s">
        <v>79</v>
      </c>
    </row>
    <row r="123" spans="2:6" x14ac:dyDescent="0.2">
      <c r="B123" s="187" t="s">
        <v>58</v>
      </c>
      <c r="C123" s="187" t="s">
        <v>76</v>
      </c>
      <c r="D123" s="187" t="s">
        <v>230</v>
      </c>
      <c r="E123" s="187" t="s">
        <v>229</v>
      </c>
      <c r="F123" s="187" t="s">
        <v>79</v>
      </c>
    </row>
    <row r="124" spans="2:6" x14ac:dyDescent="0.2">
      <c r="B124" s="187" t="s">
        <v>58</v>
      </c>
      <c r="C124" s="187" t="s">
        <v>76</v>
      </c>
      <c r="D124" s="187" t="s">
        <v>231</v>
      </c>
      <c r="E124" s="187" t="s">
        <v>232</v>
      </c>
      <c r="F124" s="187" t="s">
        <v>79</v>
      </c>
    </row>
    <row r="125" spans="2:6" x14ac:dyDescent="0.2">
      <c r="B125" s="187" t="s">
        <v>58</v>
      </c>
      <c r="C125" s="187" t="s">
        <v>76</v>
      </c>
      <c r="D125" s="187" t="s">
        <v>233</v>
      </c>
      <c r="E125" s="187" t="s">
        <v>232</v>
      </c>
      <c r="F125" s="187" t="s">
        <v>79</v>
      </c>
    </row>
    <row r="126" spans="2:6" x14ac:dyDescent="0.2">
      <c r="B126" s="187" t="s">
        <v>58</v>
      </c>
      <c r="C126" s="187" t="s">
        <v>76</v>
      </c>
      <c r="D126" s="187" t="s">
        <v>234</v>
      </c>
      <c r="E126" s="187" t="s">
        <v>235</v>
      </c>
      <c r="F126" s="187" t="s">
        <v>79</v>
      </c>
    </row>
    <row r="127" spans="2:6" x14ac:dyDescent="0.2">
      <c r="B127" s="187" t="s">
        <v>58</v>
      </c>
      <c r="C127" s="187" t="s">
        <v>76</v>
      </c>
      <c r="D127" s="187" t="s">
        <v>236</v>
      </c>
      <c r="E127" s="187" t="s">
        <v>235</v>
      </c>
      <c r="F127" s="187" t="s">
        <v>79</v>
      </c>
    </row>
    <row r="128" spans="2:6" x14ac:dyDescent="0.2">
      <c r="B128" s="187" t="s">
        <v>58</v>
      </c>
      <c r="C128" s="187" t="s">
        <v>76</v>
      </c>
      <c r="D128" s="187" t="s">
        <v>237</v>
      </c>
      <c r="E128" s="187" t="s">
        <v>238</v>
      </c>
      <c r="F128" s="187" t="s">
        <v>79</v>
      </c>
    </row>
    <row r="129" spans="2:6" x14ac:dyDescent="0.2">
      <c r="B129" s="187" t="s">
        <v>58</v>
      </c>
      <c r="C129" s="187" t="s">
        <v>76</v>
      </c>
      <c r="D129" s="187" t="s">
        <v>239</v>
      </c>
      <c r="E129" s="187" t="s">
        <v>238</v>
      </c>
      <c r="F129" s="187" t="s">
        <v>79</v>
      </c>
    </row>
    <row r="130" spans="2:6" x14ac:dyDescent="0.2">
      <c r="B130" s="187" t="s">
        <v>58</v>
      </c>
      <c r="C130" s="187" t="s">
        <v>76</v>
      </c>
      <c r="D130" s="187" t="s">
        <v>240</v>
      </c>
      <c r="E130" s="187" t="s">
        <v>85</v>
      </c>
      <c r="F130" s="187" t="s">
        <v>79</v>
      </c>
    </row>
    <row r="131" spans="2:6" x14ac:dyDescent="0.2">
      <c r="B131" s="187" t="s">
        <v>58</v>
      </c>
      <c r="C131" s="187" t="s">
        <v>76</v>
      </c>
      <c r="D131" s="187" t="s">
        <v>241</v>
      </c>
      <c r="E131" s="187" t="s">
        <v>87</v>
      </c>
      <c r="F131" s="187" t="s">
        <v>79</v>
      </c>
    </row>
    <row r="132" spans="2:6" x14ac:dyDescent="0.2">
      <c r="B132" s="187" t="s">
        <v>58</v>
      </c>
      <c r="C132" s="187" t="s">
        <v>76</v>
      </c>
      <c r="D132" s="187" t="s">
        <v>242</v>
      </c>
      <c r="E132" s="187" t="s">
        <v>89</v>
      </c>
      <c r="F132" s="187" t="s">
        <v>79</v>
      </c>
    </row>
    <row r="133" spans="2:6" x14ac:dyDescent="0.2">
      <c r="B133" s="187" t="s">
        <v>58</v>
      </c>
      <c r="C133" s="187" t="s">
        <v>76</v>
      </c>
      <c r="D133" s="187" t="s">
        <v>243</v>
      </c>
      <c r="E133" s="187" t="s">
        <v>89</v>
      </c>
      <c r="F133" s="187" t="s">
        <v>79</v>
      </c>
    </row>
    <row r="134" spans="2:6" x14ac:dyDescent="0.2">
      <c r="B134" s="187" t="s">
        <v>58</v>
      </c>
      <c r="C134" s="187" t="s">
        <v>76</v>
      </c>
      <c r="D134" s="187" t="s">
        <v>244</v>
      </c>
      <c r="E134" s="187" t="s">
        <v>78</v>
      </c>
      <c r="F134" s="187" t="s">
        <v>79</v>
      </c>
    </row>
    <row r="135" spans="2:6" x14ac:dyDescent="0.2">
      <c r="B135" s="187" t="s">
        <v>58</v>
      </c>
      <c r="C135" s="187" t="s">
        <v>76</v>
      </c>
      <c r="D135" s="187" t="s">
        <v>245</v>
      </c>
      <c r="E135" s="187" t="s">
        <v>81</v>
      </c>
      <c r="F135" s="187" t="s">
        <v>79</v>
      </c>
    </row>
    <row r="136" spans="2:6" x14ac:dyDescent="0.2">
      <c r="B136" s="187" t="s">
        <v>58</v>
      </c>
      <c r="C136" s="187" t="s">
        <v>76</v>
      </c>
      <c r="D136" s="187" t="s">
        <v>246</v>
      </c>
      <c r="E136" s="187" t="s">
        <v>83</v>
      </c>
      <c r="F136" s="187" t="s">
        <v>79</v>
      </c>
    </row>
    <row r="137" spans="2:6" x14ac:dyDescent="0.2">
      <c r="B137" s="187" t="s">
        <v>27</v>
      </c>
      <c r="C137" s="187"/>
      <c r="D137" s="187"/>
      <c r="E137" s="187"/>
      <c r="F137" s="187"/>
    </row>
    <row r="138" spans="2:6" x14ac:dyDescent="0.2">
      <c r="B138" s="193" t="s">
        <v>247</v>
      </c>
      <c r="C138" s="191"/>
      <c r="D138" s="191"/>
      <c r="E138" s="191"/>
      <c r="F138" s="191"/>
    </row>
    <row r="139" spans="2:6" x14ac:dyDescent="0.2">
      <c r="B139" s="187" t="s">
        <v>27</v>
      </c>
      <c r="C139" s="187"/>
      <c r="D139" s="187"/>
      <c r="E139" s="187"/>
      <c r="F139" s="187"/>
    </row>
    <row r="140" spans="2:6" x14ac:dyDescent="0.2">
      <c r="B140" s="187" t="s">
        <v>58</v>
      </c>
      <c r="C140" s="187" t="s">
        <v>23</v>
      </c>
      <c r="D140" s="187" t="s">
        <v>248</v>
      </c>
      <c r="E140" s="187" t="s">
        <v>195</v>
      </c>
      <c r="F140" s="187" t="s">
        <v>79</v>
      </c>
    </row>
    <row r="141" spans="2:6" x14ac:dyDescent="0.2">
      <c r="B141" s="187" t="s">
        <v>58</v>
      </c>
      <c r="C141" s="187" t="s">
        <v>76</v>
      </c>
      <c r="D141" s="187" t="s">
        <v>249</v>
      </c>
      <c r="E141" s="187" t="s">
        <v>250</v>
      </c>
      <c r="F141" s="187" t="s">
        <v>79</v>
      </c>
    </row>
    <row r="142" spans="2:6" x14ac:dyDescent="0.2">
      <c r="B142" s="187" t="s">
        <v>58</v>
      </c>
      <c r="C142" s="187" t="s">
        <v>76</v>
      </c>
      <c r="D142" s="187" t="s">
        <v>251</v>
      </c>
      <c r="E142" s="187" t="s">
        <v>199</v>
      </c>
      <c r="F142" s="187" t="s">
        <v>79</v>
      </c>
    </row>
    <row r="143" spans="2:6" x14ac:dyDescent="0.2">
      <c r="B143" s="187" t="s">
        <v>58</v>
      </c>
      <c r="C143" s="187" t="s">
        <v>76</v>
      </c>
      <c r="D143" s="187" t="s">
        <v>252</v>
      </c>
      <c r="E143" s="187" t="s">
        <v>201</v>
      </c>
      <c r="F143" s="187" t="s">
        <v>79</v>
      </c>
    </row>
    <row r="144" spans="2:6" x14ac:dyDescent="0.2">
      <c r="B144" s="187" t="s">
        <v>58</v>
      </c>
      <c r="C144" s="187" t="s">
        <v>76</v>
      </c>
      <c r="D144" s="187" t="s">
        <v>253</v>
      </c>
      <c r="E144" s="187" t="s">
        <v>254</v>
      </c>
      <c r="F144" s="187" t="s">
        <v>79</v>
      </c>
    </row>
    <row r="145" spans="2:6" x14ac:dyDescent="0.2">
      <c r="B145" s="187" t="s">
        <v>58</v>
      </c>
      <c r="C145" s="187" t="s">
        <v>76</v>
      </c>
      <c r="D145" s="187" t="s">
        <v>255</v>
      </c>
      <c r="E145" s="187" t="s">
        <v>256</v>
      </c>
      <c r="F145" s="187" t="s">
        <v>79</v>
      </c>
    </row>
    <row r="146" spans="2:6" x14ac:dyDescent="0.2">
      <c r="B146" s="187" t="s">
        <v>58</v>
      </c>
      <c r="C146" s="187" t="s">
        <v>76</v>
      </c>
      <c r="D146" s="187" t="s">
        <v>257</v>
      </c>
      <c r="E146" s="187" t="s">
        <v>258</v>
      </c>
      <c r="F146" s="187" t="s">
        <v>79</v>
      </c>
    </row>
    <row r="147" spans="2:6" x14ac:dyDescent="0.2">
      <c r="B147" s="187" t="s">
        <v>58</v>
      </c>
      <c r="C147" s="187" t="s">
        <v>76</v>
      </c>
      <c r="D147" s="187" t="s">
        <v>259</v>
      </c>
      <c r="E147" s="187" t="s">
        <v>260</v>
      </c>
      <c r="F147" s="187" t="s">
        <v>79</v>
      </c>
    </row>
    <row r="148" spans="2:6" x14ac:dyDescent="0.2">
      <c r="B148" s="187" t="s">
        <v>58</v>
      </c>
      <c r="C148" s="187" t="s">
        <v>76</v>
      </c>
      <c r="D148" s="187" t="s">
        <v>261</v>
      </c>
      <c r="E148" s="187" t="s">
        <v>262</v>
      </c>
      <c r="F148" s="187" t="s">
        <v>79</v>
      </c>
    </row>
    <row r="149" spans="2:6" x14ac:dyDescent="0.2">
      <c r="B149" s="187" t="s">
        <v>58</v>
      </c>
      <c r="C149" s="187" t="s">
        <v>76</v>
      </c>
      <c r="D149" s="187" t="s">
        <v>263</v>
      </c>
      <c r="E149" s="187" t="s">
        <v>264</v>
      </c>
      <c r="F149" s="187" t="s">
        <v>79</v>
      </c>
    </row>
    <row r="150" spans="2:6" x14ac:dyDescent="0.2">
      <c r="B150" s="187" t="s">
        <v>58</v>
      </c>
      <c r="C150" s="187" t="s">
        <v>76</v>
      </c>
      <c r="D150" s="187" t="s">
        <v>265</v>
      </c>
      <c r="E150" s="187" t="s">
        <v>266</v>
      </c>
      <c r="F150" s="187" t="s">
        <v>79</v>
      </c>
    </row>
    <row r="151" spans="2:6" x14ac:dyDescent="0.2">
      <c r="B151" s="187" t="s">
        <v>58</v>
      </c>
      <c r="C151" s="187" t="s">
        <v>76</v>
      </c>
      <c r="D151" s="187" t="s">
        <v>267</v>
      </c>
      <c r="E151" s="187" t="s">
        <v>217</v>
      </c>
      <c r="F151" s="187" t="s">
        <v>79</v>
      </c>
    </row>
    <row r="152" spans="2:6" x14ac:dyDescent="0.2">
      <c r="B152" s="187" t="s">
        <v>27</v>
      </c>
      <c r="C152" s="187"/>
      <c r="D152" s="187"/>
      <c r="E152" s="187"/>
      <c r="F152" s="187"/>
    </row>
    <row r="153" spans="2:6" x14ac:dyDescent="0.2">
      <c r="B153" s="193" t="s">
        <v>268</v>
      </c>
      <c r="C153" s="191"/>
      <c r="D153" s="191"/>
      <c r="E153" s="191"/>
      <c r="F153" s="191"/>
    </row>
    <row r="154" spans="2:6" x14ac:dyDescent="0.2">
      <c r="B154" s="187" t="s">
        <v>27</v>
      </c>
      <c r="C154" s="187"/>
      <c r="D154" s="187"/>
      <c r="E154" s="187"/>
      <c r="F154" s="187"/>
    </row>
    <row r="155" spans="2:6" x14ac:dyDescent="0.2">
      <c r="B155" s="187" t="s">
        <v>58</v>
      </c>
      <c r="C155" s="187" t="s">
        <v>76</v>
      </c>
      <c r="D155" s="187" t="s">
        <v>269</v>
      </c>
      <c r="E155" s="187" t="s">
        <v>220</v>
      </c>
      <c r="F155" s="187" t="s">
        <v>79</v>
      </c>
    </row>
    <row r="156" spans="2:6" x14ac:dyDescent="0.2">
      <c r="B156" s="187" t="s">
        <v>58</v>
      </c>
      <c r="C156" s="187" t="s">
        <v>76</v>
      </c>
      <c r="D156" s="187" t="s">
        <v>270</v>
      </c>
      <c r="E156" s="187" t="s">
        <v>220</v>
      </c>
      <c r="F156" s="187" t="s">
        <v>79</v>
      </c>
    </row>
    <row r="157" spans="2:6" x14ac:dyDescent="0.2">
      <c r="B157" s="187" t="s">
        <v>58</v>
      </c>
      <c r="C157" s="187" t="s">
        <v>76</v>
      </c>
      <c r="D157" s="187" t="s">
        <v>271</v>
      </c>
      <c r="E157" s="187" t="s">
        <v>223</v>
      </c>
      <c r="F157" s="187" t="s">
        <v>79</v>
      </c>
    </row>
    <row r="158" spans="2:6" x14ac:dyDescent="0.2">
      <c r="B158" s="187" t="s">
        <v>58</v>
      </c>
      <c r="C158" s="187" t="s">
        <v>76</v>
      </c>
      <c r="D158" s="187" t="s">
        <v>272</v>
      </c>
      <c r="E158" s="187" t="s">
        <v>223</v>
      </c>
      <c r="F158" s="187" t="s">
        <v>79</v>
      </c>
    </row>
    <row r="159" spans="2:6" x14ac:dyDescent="0.2">
      <c r="B159" s="187" t="s">
        <v>58</v>
      </c>
      <c r="C159" s="187" t="s">
        <v>76</v>
      </c>
      <c r="D159" s="187" t="s">
        <v>273</v>
      </c>
      <c r="E159" s="187" t="s">
        <v>226</v>
      </c>
      <c r="F159" s="187" t="s">
        <v>79</v>
      </c>
    </row>
    <row r="160" spans="2:6" x14ac:dyDescent="0.2">
      <c r="B160" s="187" t="s">
        <v>58</v>
      </c>
      <c r="C160" s="187" t="s">
        <v>76</v>
      </c>
      <c r="D160" s="187" t="s">
        <v>274</v>
      </c>
      <c r="E160" s="187" t="s">
        <v>226</v>
      </c>
      <c r="F160" s="187" t="s">
        <v>79</v>
      </c>
    </row>
    <row r="161" spans="2:6" x14ac:dyDescent="0.2">
      <c r="B161" s="187" t="s">
        <v>58</v>
      </c>
      <c r="C161" s="187" t="s">
        <v>76</v>
      </c>
      <c r="D161" s="187" t="s">
        <v>275</v>
      </c>
      <c r="E161" s="187" t="s">
        <v>229</v>
      </c>
      <c r="F161" s="187" t="s">
        <v>79</v>
      </c>
    </row>
    <row r="162" spans="2:6" x14ac:dyDescent="0.2">
      <c r="B162" s="187" t="s">
        <v>58</v>
      </c>
      <c r="C162" s="187" t="s">
        <v>76</v>
      </c>
      <c r="D162" s="187" t="s">
        <v>276</v>
      </c>
      <c r="E162" s="187" t="s">
        <v>229</v>
      </c>
      <c r="F162" s="187" t="s">
        <v>79</v>
      </c>
    </row>
    <row r="163" spans="2:6" x14ac:dyDescent="0.2">
      <c r="B163" s="187" t="s">
        <v>58</v>
      </c>
      <c r="C163" s="187" t="s">
        <v>76</v>
      </c>
      <c r="D163" s="187" t="s">
        <v>277</v>
      </c>
      <c r="E163" s="187" t="s">
        <v>232</v>
      </c>
      <c r="F163" s="187" t="s">
        <v>79</v>
      </c>
    </row>
    <row r="164" spans="2:6" x14ac:dyDescent="0.2">
      <c r="B164" s="187" t="s">
        <v>58</v>
      </c>
      <c r="C164" s="187" t="s">
        <v>76</v>
      </c>
      <c r="D164" s="187" t="s">
        <v>278</v>
      </c>
      <c r="E164" s="187" t="s">
        <v>232</v>
      </c>
      <c r="F164" s="187" t="s">
        <v>79</v>
      </c>
    </row>
    <row r="165" spans="2:6" x14ac:dyDescent="0.2">
      <c r="B165" s="187" t="s">
        <v>58</v>
      </c>
      <c r="C165" s="187" t="s">
        <v>76</v>
      </c>
      <c r="D165" s="187" t="s">
        <v>279</v>
      </c>
      <c r="E165" s="187" t="s">
        <v>235</v>
      </c>
      <c r="F165" s="187" t="s">
        <v>79</v>
      </c>
    </row>
    <row r="166" spans="2:6" x14ac:dyDescent="0.2">
      <c r="B166" s="187" t="s">
        <v>58</v>
      </c>
      <c r="C166" s="187" t="s">
        <v>76</v>
      </c>
      <c r="D166" s="187" t="s">
        <v>280</v>
      </c>
      <c r="E166" s="187" t="s">
        <v>235</v>
      </c>
      <c r="F166" s="187" t="s">
        <v>79</v>
      </c>
    </row>
    <row r="167" spans="2:6" x14ac:dyDescent="0.2">
      <c r="B167" s="187" t="s">
        <v>58</v>
      </c>
      <c r="C167" s="187" t="s">
        <v>76</v>
      </c>
      <c r="D167" s="187" t="s">
        <v>281</v>
      </c>
      <c r="E167" s="187" t="s">
        <v>238</v>
      </c>
      <c r="F167" s="187" t="s">
        <v>79</v>
      </c>
    </row>
    <row r="168" spans="2:6" x14ac:dyDescent="0.2">
      <c r="B168" s="187" t="s">
        <v>58</v>
      </c>
      <c r="C168" s="187" t="s">
        <v>76</v>
      </c>
      <c r="D168" s="187" t="s">
        <v>282</v>
      </c>
      <c r="E168" s="187" t="s">
        <v>238</v>
      </c>
      <c r="F168" s="187" t="s">
        <v>79</v>
      </c>
    </row>
    <row r="169" spans="2:6" x14ac:dyDescent="0.2">
      <c r="B169" s="187" t="s">
        <v>58</v>
      </c>
      <c r="C169" s="187" t="s">
        <v>76</v>
      </c>
      <c r="D169" s="187" t="s">
        <v>283</v>
      </c>
      <c r="E169" s="187" t="s">
        <v>85</v>
      </c>
      <c r="F169" s="187" t="s">
        <v>79</v>
      </c>
    </row>
    <row r="170" spans="2:6" x14ac:dyDescent="0.2">
      <c r="B170" s="187" t="s">
        <v>58</v>
      </c>
      <c r="C170" s="187" t="s">
        <v>76</v>
      </c>
      <c r="D170" s="187" t="s">
        <v>284</v>
      </c>
      <c r="E170" s="187" t="s">
        <v>87</v>
      </c>
      <c r="F170" s="187" t="s">
        <v>79</v>
      </c>
    </row>
    <row r="171" spans="2:6" x14ac:dyDescent="0.2">
      <c r="B171" s="187" t="s">
        <v>58</v>
      </c>
      <c r="C171" s="187" t="s">
        <v>76</v>
      </c>
      <c r="D171" s="187" t="s">
        <v>285</v>
      </c>
      <c r="E171" s="187" t="s">
        <v>89</v>
      </c>
      <c r="F171" s="187" t="s">
        <v>79</v>
      </c>
    </row>
    <row r="172" spans="2:6" x14ac:dyDescent="0.2">
      <c r="B172" s="187" t="s">
        <v>58</v>
      </c>
      <c r="C172" s="187" t="s">
        <v>76</v>
      </c>
      <c r="D172" s="187" t="s">
        <v>286</v>
      </c>
      <c r="E172" s="187" t="s">
        <v>89</v>
      </c>
      <c r="F172" s="187" t="s">
        <v>79</v>
      </c>
    </row>
    <row r="173" spans="2:6" x14ac:dyDescent="0.2">
      <c r="B173" s="187" t="s">
        <v>58</v>
      </c>
      <c r="C173" s="187" t="s">
        <v>76</v>
      </c>
      <c r="D173" s="187" t="s">
        <v>287</v>
      </c>
      <c r="E173" s="187" t="s">
        <v>78</v>
      </c>
      <c r="F173" s="187" t="s">
        <v>79</v>
      </c>
    </row>
    <row r="174" spans="2:6" x14ac:dyDescent="0.2">
      <c r="B174" s="187" t="s">
        <v>58</v>
      </c>
      <c r="C174" s="187" t="s">
        <v>76</v>
      </c>
      <c r="D174" s="187" t="s">
        <v>288</v>
      </c>
      <c r="E174" s="187" t="s">
        <v>81</v>
      </c>
      <c r="F174" s="187" t="s">
        <v>79</v>
      </c>
    </row>
    <row r="175" spans="2:6" x14ac:dyDescent="0.2">
      <c r="B175" s="187" t="s">
        <v>58</v>
      </c>
      <c r="C175" s="187" t="s">
        <v>76</v>
      </c>
      <c r="D175" s="187" t="s">
        <v>289</v>
      </c>
      <c r="E175" s="187" t="s">
        <v>83</v>
      </c>
      <c r="F175" s="187" t="s">
        <v>79</v>
      </c>
    </row>
    <row r="176" spans="2:6" x14ac:dyDescent="0.2">
      <c r="B176" s="187" t="s">
        <v>27</v>
      </c>
      <c r="C176" s="187"/>
      <c r="D176" s="187"/>
      <c r="E176" s="187"/>
      <c r="F176" s="187"/>
    </row>
    <row r="177" spans="2:6" x14ac:dyDescent="0.2">
      <c r="B177" s="193" t="s">
        <v>290</v>
      </c>
      <c r="C177" s="191"/>
      <c r="D177" s="191"/>
      <c r="E177" s="191"/>
      <c r="F177" s="191"/>
    </row>
    <row r="178" spans="2:6" x14ac:dyDescent="0.2">
      <c r="B178" s="187" t="s">
        <v>27</v>
      </c>
      <c r="C178" s="187"/>
      <c r="D178" s="187"/>
      <c r="E178" s="187"/>
      <c r="F178" s="187"/>
    </row>
    <row r="179" spans="2:6" x14ac:dyDescent="0.2">
      <c r="B179" s="187" t="s">
        <v>22</v>
      </c>
      <c r="C179" s="187" t="s">
        <v>23</v>
      </c>
      <c r="D179" s="187" t="s">
        <v>291</v>
      </c>
      <c r="E179" s="187" t="s">
        <v>195</v>
      </c>
      <c r="F179" s="187" t="s">
        <v>79</v>
      </c>
    </row>
    <row r="180" spans="2:6" x14ac:dyDescent="0.2">
      <c r="B180" s="187" t="s">
        <v>22</v>
      </c>
      <c r="C180" s="187" t="s">
        <v>76</v>
      </c>
      <c r="D180" s="187" t="s">
        <v>292</v>
      </c>
      <c r="E180" s="187" t="s">
        <v>293</v>
      </c>
      <c r="F180" s="187" t="s">
        <v>79</v>
      </c>
    </row>
    <row r="181" spans="2:6" x14ac:dyDescent="0.2">
      <c r="B181" s="187" t="s">
        <v>22</v>
      </c>
      <c r="C181" s="187" t="s">
        <v>76</v>
      </c>
      <c r="D181" s="187" t="s">
        <v>294</v>
      </c>
      <c r="E181" s="187" t="s">
        <v>199</v>
      </c>
      <c r="F181" s="187" t="s">
        <v>79</v>
      </c>
    </row>
    <row r="182" spans="2:6" x14ac:dyDescent="0.2">
      <c r="B182" s="187" t="s">
        <v>58</v>
      </c>
      <c r="C182" s="187" t="s">
        <v>76</v>
      </c>
      <c r="D182" s="187" t="s">
        <v>295</v>
      </c>
      <c r="E182" s="187" t="s">
        <v>201</v>
      </c>
      <c r="F182" s="187" t="s">
        <v>79</v>
      </c>
    </row>
    <row r="183" spans="2:6" x14ac:dyDescent="0.2">
      <c r="B183" s="187" t="s">
        <v>58</v>
      </c>
      <c r="C183" s="187" t="s">
        <v>76</v>
      </c>
      <c r="D183" s="187" t="s">
        <v>296</v>
      </c>
      <c r="E183" s="187" t="s">
        <v>297</v>
      </c>
      <c r="F183" s="187" t="s">
        <v>79</v>
      </c>
    </row>
    <row r="184" spans="2:6" x14ac:dyDescent="0.2">
      <c r="B184" s="187" t="s">
        <v>58</v>
      </c>
      <c r="C184" s="187" t="s">
        <v>76</v>
      </c>
      <c r="D184" s="187" t="s">
        <v>298</v>
      </c>
      <c r="E184" s="187" t="s">
        <v>299</v>
      </c>
      <c r="F184" s="187" t="s">
        <v>79</v>
      </c>
    </row>
    <row r="185" spans="2:6" x14ac:dyDescent="0.2">
      <c r="B185" s="187" t="s">
        <v>58</v>
      </c>
      <c r="C185" s="187" t="s">
        <v>76</v>
      </c>
      <c r="D185" s="187" t="s">
        <v>300</v>
      </c>
      <c r="E185" s="187" t="s">
        <v>301</v>
      </c>
      <c r="F185" s="187" t="s">
        <v>79</v>
      </c>
    </row>
    <row r="186" spans="2:6" x14ac:dyDescent="0.2">
      <c r="B186" s="187" t="s">
        <v>58</v>
      </c>
      <c r="C186" s="187" t="s">
        <v>76</v>
      </c>
      <c r="D186" s="187" t="s">
        <v>302</v>
      </c>
      <c r="E186" s="187" t="s">
        <v>303</v>
      </c>
      <c r="F186" s="187" t="s">
        <v>79</v>
      </c>
    </row>
    <row r="187" spans="2:6" x14ac:dyDescent="0.2">
      <c r="B187" s="187" t="s">
        <v>58</v>
      </c>
      <c r="C187" s="187" t="s">
        <v>76</v>
      </c>
      <c r="D187" s="187" t="s">
        <v>304</v>
      </c>
      <c r="E187" s="187" t="s">
        <v>305</v>
      </c>
      <c r="F187" s="187" t="s">
        <v>79</v>
      </c>
    </row>
    <row r="188" spans="2:6" x14ac:dyDescent="0.2">
      <c r="B188" s="187" t="s">
        <v>58</v>
      </c>
      <c r="C188" s="187" t="s">
        <v>76</v>
      </c>
      <c r="D188" s="187" t="s">
        <v>306</v>
      </c>
      <c r="E188" s="187" t="s">
        <v>307</v>
      </c>
      <c r="F188" s="187" t="s">
        <v>79</v>
      </c>
    </row>
    <row r="189" spans="2:6" x14ac:dyDescent="0.2">
      <c r="B189" s="187" t="s">
        <v>58</v>
      </c>
      <c r="C189" s="187" t="s">
        <v>76</v>
      </c>
      <c r="D189" s="187" t="s">
        <v>308</v>
      </c>
      <c r="E189" s="187" t="s">
        <v>309</v>
      </c>
      <c r="F189" s="187" t="s">
        <v>79</v>
      </c>
    </row>
    <row r="190" spans="2:6" x14ac:dyDescent="0.2">
      <c r="B190" s="187" t="s">
        <v>58</v>
      </c>
      <c r="C190" s="187" t="s">
        <v>76</v>
      </c>
      <c r="D190" s="187" t="s">
        <v>310</v>
      </c>
      <c r="E190" s="187" t="s">
        <v>311</v>
      </c>
      <c r="F190" s="187" t="s">
        <v>79</v>
      </c>
    </row>
    <row r="191" spans="2:6" x14ac:dyDescent="0.2">
      <c r="B191" s="187" t="s">
        <v>27</v>
      </c>
      <c r="C191" s="187"/>
      <c r="D191" s="187"/>
      <c r="E191" s="187"/>
      <c r="F191" s="187"/>
    </row>
    <row r="192" spans="2:6" x14ac:dyDescent="0.2">
      <c r="B192" s="193" t="s">
        <v>75</v>
      </c>
      <c r="C192" s="191"/>
      <c r="D192" s="191"/>
      <c r="E192" s="191"/>
      <c r="F192" s="191"/>
    </row>
    <row r="193" spans="2:6" x14ac:dyDescent="0.2">
      <c r="B193" s="187" t="s">
        <v>27</v>
      </c>
      <c r="C193" s="187"/>
      <c r="D193" s="187"/>
      <c r="E193" s="187"/>
      <c r="F193" s="187"/>
    </row>
    <row r="194" spans="2:6" x14ac:dyDescent="0.2">
      <c r="B194" s="187" t="s">
        <v>22</v>
      </c>
      <c r="C194" s="187" t="s">
        <v>76</v>
      </c>
      <c r="D194" s="187" t="s">
        <v>312</v>
      </c>
      <c r="E194" s="187" t="s">
        <v>220</v>
      </c>
      <c r="F194" s="187" t="s">
        <v>79</v>
      </c>
    </row>
    <row r="195" spans="2:6" x14ac:dyDescent="0.2">
      <c r="B195" s="187" t="s">
        <v>22</v>
      </c>
      <c r="C195" s="187" t="s">
        <v>76</v>
      </c>
      <c r="D195" s="187" t="s">
        <v>313</v>
      </c>
      <c r="E195" s="187" t="s">
        <v>220</v>
      </c>
      <c r="F195" s="187" t="s">
        <v>79</v>
      </c>
    </row>
    <row r="196" spans="2:6" x14ac:dyDescent="0.2">
      <c r="B196" s="187" t="s">
        <v>22</v>
      </c>
      <c r="C196" s="187" t="s">
        <v>76</v>
      </c>
      <c r="D196" s="187" t="s">
        <v>314</v>
      </c>
      <c r="E196" s="187" t="s">
        <v>223</v>
      </c>
      <c r="F196" s="187" t="s">
        <v>79</v>
      </c>
    </row>
    <row r="197" spans="2:6" x14ac:dyDescent="0.2">
      <c r="B197" s="187" t="s">
        <v>22</v>
      </c>
      <c r="C197" s="187" t="s">
        <v>76</v>
      </c>
      <c r="D197" s="187" t="s">
        <v>315</v>
      </c>
      <c r="E197" s="187" t="s">
        <v>223</v>
      </c>
      <c r="F197" s="187" t="s">
        <v>79</v>
      </c>
    </row>
    <row r="198" spans="2:6" x14ac:dyDescent="0.2">
      <c r="B198" s="187" t="s">
        <v>22</v>
      </c>
      <c r="C198" s="187" t="s">
        <v>76</v>
      </c>
      <c r="D198" s="187" t="s">
        <v>316</v>
      </c>
      <c r="E198" s="187" t="s">
        <v>226</v>
      </c>
      <c r="F198" s="187" t="s">
        <v>79</v>
      </c>
    </row>
    <row r="199" spans="2:6" x14ac:dyDescent="0.2">
      <c r="B199" s="187" t="s">
        <v>22</v>
      </c>
      <c r="C199" s="187" t="s">
        <v>76</v>
      </c>
      <c r="D199" s="187" t="s">
        <v>317</v>
      </c>
      <c r="E199" s="187" t="s">
        <v>226</v>
      </c>
      <c r="F199" s="187" t="s">
        <v>79</v>
      </c>
    </row>
    <row r="200" spans="2:6" x14ac:dyDescent="0.2">
      <c r="B200" s="187" t="s">
        <v>22</v>
      </c>
      <c r="C200" s="187" t="s">
        <v>76</v>
      </c>
      <c r="D200" s="187" t="s">
        <v>318</v>
      </c>
      <c r="E200" s="187" t="s">
        <v>226</v>
      </c>
      <c r="F200" s="187" t="s">
        <v>79</v>
      </c>
    </row>
    <row r="201" spans="2:6" x14ac:dyDescent="0.2">
      <c r="B201" s="187" t="s">
        <v>22</v>
      </c>
      <c r="C201" s="187" t="s">
        <v>76</v>
      </c>
      <c r="D201" s="187" t="s">
        <v>319</v>
      </c>
      <c r="E201" s="187" t="s">
        <v>229</v>
      </c>
      <c r="F201" s="187" t="s">
        <v>79</v>
      </c>
    </row>
    <row r="202" spans="2:6" x14ac:dyDescent="0.2">
      <c r="B202" s="187" t="s">
        <v>22</v>
      </c>
      <c r="C202" s="187" t="s">
        <v>76</v>
      </c>
      <c r="D202" s="187" t="s">
        <v>320</v>
      </c>
      <c r="E202" s="187" t="s">
        <v>226</v>
      </c>
      <c r="F202" s="187" t="s">
        <v>79</v>
      </c>
    </row>
    <row r="203" spans="2:6" x14ac:dyDescent="0.2">
      <c r="B203" s="187" t="s">
        <v>22</v>
      </c>
      <c r="C203" s="187" t="s">
        <v>76</v>
      </c>
      <c r="D203" s="187" t="s">
        <v>321</v>
      </c>
      <c r="E203" s="187" t="s">
        <v>229</v>
      </c>
      <c r="F203" s="187" t="s">
        <v>79</v>
      </c>
    </row>
    <row r="204" spans="2:6" x14ac:dyDescent="0.2">
      <c r="B204" s="187" t="s">
        <v>22</v>
      </c>
      <c r="C204" s="187" t="s">
        <v>76</v>
      </c>
      <c r="D204" s="187" t="s">
        <v>322</v>
      </c>
      <c r="E204" s="187" t="s">
        <v>232</v>
      </c>
      <c r="F204" s="187" t="s">
        <v>79</v>
      </c>
    </row>
    <row r="205" spans="2:6" x14ac:dyDescent="0.2">
      <c r="B205" s="187" t="s">
        <v>22</v>
      </c>
      <c r="C205" s="187" t="s">
        <v>76</v>
      </c>
      <c r="D205" s="187" t="s">
        <v>323</v>
      </c>
      <c r="E205" s="187" t="s">
        <v>226</v>
      </c>
      <c r="F205" s="187" t="s">
        <v>79</v>
      </c>
    </row>
    <row r="206" spans="2:6" x14ac:dyDescent="0.2">
      <c r="B206" s="187" t="s">
        <v>22</v>
      </c>
      <c r="C206" s="187" t="s">
        <v>76</v>
      </c>
      <c r="D206" s="187" t="s">
        <v>324</v>
      </c>
      <c r="E206" s="187" t="s">
        <v>232</v>
      </c>
      <c r="F206" s="187" t="s">
        <v>79</v>
      </c>
    </row>
    <row r="207" spans="2:6" x14ac:dyDescent="0.2">
      <c r="B207" s="187" t="s">
        <v>22</v>
      </c>
      <c r="C207" s="187" t="s">
        <v>76</v>
      </c>
      <c r="D207" s="187" t="s">
        <v>325</v>
      </c>
      <c r="E207" s="187" t="s">
        <v>235</v>
      </c>
      <c r="F207" s="187" t="s">
        <v>79</v>
      </c>
    </row>
    <row r="208" spans="2:6" x14ac:dyDescent="0.2">
      <c r="B208" s="187" t="s">
        <v>22</v>
      </c>
      <c r="C208" s="187" t="s">
        <v>76</v>
      </c>
      <c r="D208" s="187" t="s">
        <v>326</v>
      </c>
      <c r="E208" s="187" t="s">
        <v>235</v>
      </c>
      <c r="F208" s="187" t="s">
        <v>79</v>
      </c>
    </row>
    <row r="209" spans="2:6" x14ac:dyDescent="0.2">
      <c r="B209" s="187" t="s">
        <v>22</v>
      </c>
      <c r="C209" s="187" t="s">
        <v>76</v>
      </c>
      <c r="D209" s="187" t="s">
        <v>327</v>
      </c>
      <c r="E209" s="187" t="s">
        <v>235</v>
      </c>
      <c r="F209" s="187" t="s">
        <v>79</v>
      </c>
    </row>
    <row r="210" spans="2:6" x14ac:dyDescent="0.2">
      <c r="B210" s="187" t="s">
        <v>22</v>
      </c>
      <c r="C210" s="187" t="s">
        <v>76</v>
      </c>
      <c r="D210" s="187" t="s">
        <v>328</v>
      </c>
      <c r="E210" s="187" t="s">
        <v>238</v>
      </c>
      <c r="F210" s="187" t="s">
        <v>79</v>
      </c>
    </row>
    <row r="211" spans="2:6" x14ac:dyDescent="0.2">
      <c r="B211" s="187" t="s">
        <v>22</v>
      </c>
      <c r="C211" s="187" t="s">
        <v>76</v>
      </c>
      <c r="D211" s="187" t="s">
        <v>329</v>
      </c>
      <c r="E211" s="187" t="s">
        <v>238</v>
      </c>
      <c r="F211" s="187" t="s">
        <v>79</v>
      </c>
    </row>
    <row r="212" spans="2:6" x14ac:dyDescent="0.2">
      <c r="B212" s="187" t="s">
        <v>27</v>
      </c>
      <c r="C212" s="187"/>
      <c r="D212" s="187"/>
      <c r="E212" s="187"/>
      <c r="F212" s="187"/>
    </row>
    <row r="213" spans="2:6" x14ac:dyDescent="0.2">
      <c r="B213" s="193" t="s">
        <v>330</v>
      </c>
      <c r="C213" s="191"/>
      <c r="D213" s="191"/>
      <c r="E213" s="191"/>
      <c r="F213" s="191"/>
    </row>
    <row r="214" spans="2:6" x14ac:dyDescent="0.2">
      <c r="B214" s="187" t="s">
        <v>27</v>
      </c>
      <c r="C214" s="187"/>
      <c r="D214" s="187"/>
      <c r="E214" s="187"/>
      <c r="F214" s="187"/>
    </row>
    <row r="215" spans="2:6" x14ac:dyDescent="0.2">
      <c r="B215" s="187" t="s">
        <v>58</v>
      </c>
      <c r="C215" s="187" t="s">
        <v>76</v>
      </c>
      <c r="D215" s="187">
        <v>0</v>
      </c>
      <c r="E215" s="187" t="s">
        <v>331</v>
      </c>
      <c r="F215" s="187" t="s">
        <v>79</v>
      </c>
    </row>
    <row r="216" spans="2:6" x14ac:dyDescent="0.2">
      <c r="B216" s="187" t="s">
        <v>58</v>
      </c>
      <c r="C216" s="187" t="s">
        <v>76</v>
      </c>
      <c r="D216" s="187">
        <v>0</v>
      </c>
      <c r="E216" s="187" t="s">
        <v>332</v>
      </c>
      <c r="F216" s="187" t="s">
        <v>79</v>
      </c>
    </row>
    <row r="217" spans="2:6" x14ac:dyDescent="0.2">
      <c r="B217" s="187" t="s">
        <v>58</v>
      </c>
      <c r="C217" s="187" t="s">
        <v>76</v>
      </c>
      <c r="D217" s="187">
        <v>0</v>
      </c>
      <c r="E217" s="187" t="s">
        <v>333</v>
      </c>
      <c r="F217" s="187" t="s">
        <v>79</v>
      </c>
    </row>
    <row r="218" spans="2:6" x14ac:dyDescent="0.2">
      <c r="B218" s="187" t="s">
        <v>58</v>
      </c>
      <c r="C218" s="187" t="s">
        <v>76</v>
      </c>
      <c r="D218" s="187">
        <v>0</v>
      </c>
      <c r="E218" s="187" t="s">
        <v>334</v>
      </c>
      <c r="F218" s="187" t="s">
        <v>79</v>
      </c>
    </row>
    <row r="219" spans="2:6" x14ac:dyDescent="0.2">
      <c r="B219" s="187" t="s">
        <v>58</v>
      </c>
      <c r="C219" s="187" t="s">
        <v>76</v>
      </c>
      <c r="D219" s="187">
        <v>0</v>
      </c>
      <c r="E219" s="187" t="s">
        <v>335</v>
      </c>
      <c r="F219" s="187" t="s">
        <v>79</v>
      </c>
    </row>
    <row r="220" spans="2:6" x14ac:dyDescent="0.2">
      <c r="B220" s="187" t="s">
        <v>58</v>
      </c>
      <c r="C220" s="187" t="s">
        <v>76</v>
      </c>
      <c r="D220" s="187">
        <v>0</v>
      </c>
      <c r="E220" s="187" t="s">
        <v>336</v>
      </c>
      <c r="F220" s="187" t="s">
        <v>79</v>
      </c>
    </row>
    <row r="221" spans="2:6" x14ac:dyDescent="0.2">
      <c r="B221" s="187" t="s">
        <v>58</v>
      </c>
      <c r="C221" s="187" t="s">
        <v>76</v>
      </c>
      <c r="D221" s="187">
        <v>0</v>
      </c>
      <c r="E221" s="187" t="s">
        <v>337</v>
      </c>
      <c r="F221" s="187" t="s">
        <v>79</v>
      </c>
    </row>
    <row r="222" spans="2:6" x14ac:dyDescent="0.2">
      <c r="B222" s="187" t="s">
        <v>58</v>
      </c>
      <c r="C222" s="187" t="s">
        <v>76</v>
      </c>
      <c r="D222" s="187">
        <v>0</v>
      </c>
      <c r="E222" s="187" t="s">
        <v>338</v>
      </c>
      <c r="F222" s="187" t="s">
        <v>79</v>
      </c>
    </row>
    <row r="223" spans="2:6" x14ac:dyDescent="0.2">
      <c r="B223" s="187" t="s">
        <v>58</v>
      </c>
      <c r="C223" s="187" t="s">
        <v>76</v>
      </c>
      <c r="D223" s="187">
        <v>0</v>
      </c>
      <c r="E223" s="187" t="s">
        <v>339</v>
      </c>
      <c r="F223" s="187" t="s">
        <v>79</v>
      </c>
    </row>
    <row r="224" spans="2:6" x14ac:dyDescent="0.2">
      <c r="B224" s="187" t="s">
        <v>58</v>
      </c>
      <c r="C224" s="187" t="s">
        <v>76</v>
      </c>
      <c r="D224" s="187">
        <v>0</v>
      </c>
      <c r="E224" s="187" t="s">
        <v>340</v>
      </c>
      <c r="F224" s="187" t="s">
        <v>79</v>
      </c>
    </row>
    <row r="225" spans="2:6" x14ac:dyDescent="0.2">
      <c r="B225" s="187" t="s">
        <v>58</v>
      </c>
      <c r="C225" s="187" t="s">
        <v>76</v>
      </c>
      <c r="D225" s="187">
        <v>0</v>
      </c>
      <c r="E225" s="187" t="s">
        <v>341</v>
      </c>
      <c r="F225" s="187" t="s">
        <v>79</v>
      </c>
    </row>
    <row r="226" spans="2:6" x14ac:dyDescent="0.2">
      <c r="B226" s="187" t="s">
        <v>58</v>
      </c>
      <c r="C226" s="187" t="s">
        <v>76</v>
      </c>
      <c r="D226" s="187">
        <v>0</v>
      </c>
      <c r="E226" s="187" t="s">
        <v>342</v>
      </c>
      <c r="F226" s="187" t="s">
        <v>79</v>
      </c>
    </row>
    <row r="227" spans="2:6" x14ac:dyDescent="0.2">
      <c r="B227" s="187" t="s">
        <v>58</v>
      </c>
      <c r="C227" s="187" t="s">
        <v>76</v>
      </c>
      <c r="D227" s="187">
        <v>0</v>
      </c>
      <c r="E227" s="187" t="s">
        <v>343</v>
      </c>
      <c r="F227" s="187" t="s">
        <v>79</v>
      </c>
    </row>
    <row r="228" spans="2:6" x14ac:dyDescent="0.2">
      <c r="B228" s="187" t="s">
        <v>58</v>
      </c>
      <c r="C228" s="187" t="s">
        <v>76</v>
      </c>
      <c r="D228" s="187">
        <v>0</v>
      </c>
      <c r="E228" s="187" t="s">
        <v>344</v>
      </c>
      <c r="F228" s="187" t="s">
        <v>79</v>
      </c>
    </row>
    <row r="229" spans="2:6" x14ac:dyDescent="0.2">
      <c r="B229" s="187" t="s">
        <v>58</v>
      </c>
      <c r="C229" s="187" t="s">
        <v>76</v>
      </c>
      <c r="D229" s="187">
        <v>0</v>
      </c>
      <c r="E229" s="187" t="s">
        <v>345</v>
      </c>
      <c r="F229" s="187" t="s">
        <v>79</v>
      </c>
    </row>
    <row r="230" spans="2:6" x14ac:dyDescent="0.2">
      <c r="B230" s="187" t="s">
        <v>27</v>
      </c>
      <c r="C230" s="187"/>
      <c r="D230" s="187"/>
      <c r="E230" s="187"/>
      <c r="F230" s="187"/>
    </row>
    <row r="231" spans="2:6" x14ac:dyDescent="0.2">
      <c r="B231" s="187" t="s">
        <v>27</v>
      </c>
      <c r="C231" s="187"/>
      <c r="D231" s="187"/>
      <c r="E231" s="187"/>
      <c r="F231" s="187"/>
    </row>
    <row r="232" spans="2:6" x14ac:dyDescent="0.2">
      <c r="B232" s="193" t="s">
        <v>346</v>
      </c>
      <c r="C232" s="191"/>
      <c r="D232" s="191"/>
      <c r="E232" s="191"/>
      <c r="F232" s="191"/>
    </row>
    <row r="233" spans="2:6" x14ac:dyDescent="0.2">
      <c r="B233" s="187" t="s">
        <v>27</v>
      </c>
      <c r="C233" s="187"/>
      <c r="D233" s="187"/>
      <c r="E233" s="187"/>
      <c r="F233" s="187"/>
    </row>
    <row r="234" spans="2:6" x14ac:dyDescent="0.2">
      <c r="B234" s="187" t="s">
        <v>22</v>
      </c>
      <c r="C234" s="187" t="s">
        <v>46</v>
      </c>
      <c r="D234" s="187" t="s">
        <v>347</v>
      </c>
      <c r="E234" s="187" t="s">
        <v>348</v>
      </c>
      <c r="F234" s="187" t="s">
        <v>26</v>
      </c>
    </row>
    <row r="235" spans="2:6" x14ac:dyDescent="0.2">
      <c r="B235" s="187" t="s">
        <v>22</v>
      </c>
      <c r="C235" s="187" t="s">
        <v>46</v>
      </c>
      <c r="D235" s="187" t="s">
        <v>349</v>
      </c>
      <c r="E235" s="187" t="s">
        <v>350</v>
      </c>
      <c r="F235" s="187" t="s">
        <v>26</v>
      </c>
    </row>
    <row r="236" spans="2:6" x14ac:dyDescent="0.2">
      <c r="B236" s="187" t="s">
        <v>58</v>
      </c>
      <c r="C236" s="187" t="s">
        <v>46</v>
      </c>
      <c r="D236" s="187" t="s">
        <v>351</v>
      </c>
      <c r="E236" s="187" t="s">
        <v>352</v>
      </c>
      <c r="F236" s="187" t="s">
        <v>26</v>
      </c>
    </row>
    <row r="237" spans="2:6" x14ac:dyDescent="0.2">
      <c r="B237" s="187" t="s">
        <v>22</v>
      </c>
      <c r="C237" s="187" t="s">
        <v>46</v>
      </c>
      <c r="D237" s="187" t="s">
        <v>353</v>
      </c>
      <c r="E237" s="187" t="s">
        <v>354</v>
      </c>
      <c r="F237" s="187" t="s">
        <v>26</v>
      </c>
    </row>
    <row r="238" spans="2:6" x14ac:dyDescent="0.2">
      <c r="B238" s="187" t="s">
        <v>22</v>
      </c>
      <c r="C238" s="187" t="s">
        <v>46</v>
      </c>
      <c r="D238" s="187" t="str">
        <f>CONCATENATE(D$19,"RB")</f>
        <v>RESELCRB</v>
      </c>
      <c r="E238" s="187" t="s">
        <v>355</v>
      </c>
      <c r="F238" s="187" t="s">
        <v>26</v>
      </c>
    </row>
    <row r="239" spans="2:6" x14ac:dyDescent="0.2">
      <c r="B239" s="187" t="s">
        <v>22</v>
      </c>
      <c r="C239" s="187" t="s">
        <v>46</v>
      </c>
      <c r="D239" s="187" t="str">
        <f>CONCATENATE(D$59,"RB")</f>
        <v>RESNGARB</v>
      </c>
      <c r="E239" s="187" t="s">
        <v>356</v>
      </c>
      <c r="F239" s="187" t="s">
        <v>26</v>
      </c>
    </row>
    <row r="240" spans="2:6" x14ac:dyDescent="0.2">
      <c r="B240" s="187" t="s">
        <v>58</v>
      </c>
      <c r="C240" s="187" t="s">
        <v>46</v>
      </c>
      <c r="D240" s="187" t="str">
        <f>CONCATENATE(D$20,"RB")</f>
        <v>RESNGAEARB</v>
      </c>
      <c r="E240" s="187" t="s">
        <v>357</v>
      </c>
      <c r="F240" s="187" t="s">
        <v>26</v>
      </c>
    </row>
    <row r="241" spans="2:6" x14ac:dyDescent="0.2">
      <c r="B241" s="187" t="s">
        <v>22</v>
      </c>
      <c r="C241" s="187" t="s">
        <v>46</v>
      </c>
      <c r="D241" s="187" t="str">
        <f>CONCATENATE(D$60,"RB")</f>
        <v>RESDSLRB</v>
      </c>
      <c r="E241" s="187" t="s">
        <v>358</v>
      </c>
      <c r="F241" s="187" t="s">
        <v>26</v>
      </c>
    </row>
    <row r="242" spans="2:6" x14ac:dyDescent="0.2">
      <c r="B242" s="187" t="s">
        <v>22</v>
      </c>
      <c r="C242" s="187" t="s">
        <v>46</v>
      </c>
      <c r="D242" s="187" t="str">
        <f>CONCATENATE(D$19,"RM")</f>
        <v>RESELCRM</v>
      </c>
      <c r="E242" s="187" t="s">
        <v>359</v>
      </c>
      <c r="F242" s="187" t="s">
        <v>26</v>
      </c>
    </row>
    <row r="243" spans="2:6" x14ac:dyDescent="0.2">
      <c r="B243" s="187" t="s">
        <v>22</v>
      </c>
      <c r="C243" s="187" t="s">
        <v>46</v>
      </c>
      <c r="D243" s="187" t="str">
        <f>CONCATENATE(D$59,"RM")</f>
        <v>RESNGARM</v>
      </c>
      <c r="E243" s="187" t="s">
        <v>360</v>
      </c>
      <c r="F243" s="187" t="s">
        <v>26</v>
      </c>
    </row>
    <row r="244" spans="2:6" x14ac:dyDescent="0.2">
      <c r="B244" s="187" t="s">
        <v>58</v>
      </c>
      <c r="C244" s="187" t="s">
        <v>46</v>
      </c>
      <c r="D244" s="187" t="str">
        <f>CONCATENATE(D$20,"RM")</f>
        <v>RESNGAEARM</v>
      </c>
      <c r="E244" s="187" t="s">
        <v>361</v>
      </c>
      <c r="F244" s="187" t="s">
        <v>26</v>
      </c>
    </row>
    <row r="245" spans="2:6" x14ac:dyDescent="0.2">
      <c r="B245" s="187" t="s">
        <v>22</v>
      </c>
      <c r="C245" s="187" t="s">
        <v>46</v>
      </c>
      <c r="D245" s="187" t="str">
        <f>CONCATENATE(D$60,"RM")</f>
        <v>RESDSLRM</v>
      </c>
      <c r="E245" s="187" t="s">
        <v>362</v>
      </c>
      <c r="F245" s="187" t="s">
        <v>26</v>
      </c>
    </row>
    <row r="246" spans="2:6" x14ac:dyDescent="0.2">
      <c r="B246" s="191" t="s">
        <v>27</v>
      </c>
      <c r="C246" s="191"/>
      <c r="D246" s="191"/>
      <c r="E246" s="191"/>
      <c r="F246" s="191"/>
    </row>
  </sheetData>
  <phoneticPr fontId="0" type="noConversion"/>
  <pageMargins left="0.75" right="0.75" top="1" bottom="1" header="0.5" footer="0.5"/>
  <pageSetup paperSize="9" orientation="portrait" horizontalDpi="12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8">
    <tabColor rgb="FFFFC000"/>
  </sheetPr>
  <dimension ref="B1:J89"/>
  <sheetViews>
    <sheetView zoomScale="90" zoomScaleNormal="90" workbookViewId="0">
      <pane xSplit="5" ySplit="7" topLeftCell="J37" activePane="bottomRight" state="frozen"/>
      <selection pane="topRight" activeCell="C33" sqref="C33"/>
      <selection pane="bottomLeft" activeCell="C33" sqref="C33"/>
      <selection pane="bottomRight" activeCell="B56" sqref="B56"/>
    </sheetView>
  </sheetViews>
  <sheetFormatPr defaultColWidth="9.140625" defaultRowHeight="12.75" x14ac:dyDescent="0.2"/>
  <cols>
    <col min="1" max="1" width="9.140625" style="12"/>
    <col min="2" max="2" width="16.140625" style="12" customWidth="1"/>
    <col min="3" max="3" width="30.42578125" style="12" customWidth="1"/>
    <col min="4" max="4" width="30.140625" style="12" bestFit="1" customWidth="1"/>
    <col min="5" max="5" width="44.42578125" style="12" customWidth="1"/>
    <col min="6" max="7" width="9.85546875" style="12" customWidth="1"/>
    <col min="8" max="8" width="10.42578125" style="12" customWidth="1"/>
    <col min="9" max="9" width="14.42578125" style="12" customWidth="1"/>
    <col min="10" max="16384" width="9.140625" style="12"/>
  </cols>
  <sheetData>
    <row r="1" spans="2:10" x14ac:dyDescent="0.2">
      <c r="B1" s="1" t="s">
        <v>363</v>
      </c>
      <c r="D1" s="12" t="s">
        <v>12</v>
      </c>
    </row>
    <row r="4" spans="2:10" ht="18" customHeight="1" x14ac:dyDescent="0.2"/>
    <row r="6" spans="2:10" s="179" customFormat="1" x14ac:dyDescent="0.2">
      <c r="B6" s="180" t="s">
        <v>364</v>
      </c>
      <c r="C6"/>
      <c r="D6"/>
      <c r="E6"/>
      <c r="F6"/>
      <c r="G6"/>
      <c r="H6"/>
      <c r="I6"/>
    </row>
    <row r="7" spans="2:10" s="179" customFormat="1" x14ac:dyDescent="0.2">
      <c r="B7" s="181" t="s">
        <v>14</v>
      </c>
      <c r="C7" s="181" t="s">
        <v>365</v>
      </c>
      <c r="D7" s="181" t="s">
        <v>7</v>
      </c>
      <c r="E7" s="181" t="s">
        <v>8</v>
      </c>
      <c r="F7" s="182" t="s">
        <v>366</v>
      </c>
      <c r="G7" s="182" t="s">
        <v>367</v>
      </c>
      <c r="H7" s="182" t="s">
        <v>368</v>
      </c>
      <c r="I7" s="182" t="s">
        <v>369</v>
      </c>
      <c r="J7" s="245" t="s">
        <v>370</v>
      </c>
    </row>
    <row r="8" spans="2:10" x14ac:dyDescent="0.2">
      <c r="B8" s="194" t="s">
        <v>371</v>
      </c>
      <c r="C8" s="195"/>
      <c r="D8" s="192"/>
      <c r="E8" s="192"/>
      <c r="F8" s="195"/>
      <c r="G8" s="195"/>
      <c r="H8" s="192"/>
      <c r="I8" s="192"/>
    </row>
    <row r="9" spans="2:10" x14ac:dyDescent="0.2">
      <c r="B9" s="194" t="s">
        <v>372</v>
      </c>
      <c r="C9" s="195"/>
      <c r="D9" s="192"/>
      <c r="E9" s="192"/>
      <c r="F9" s="195"/>
      <c r="G9" s="195"/>
      <c r="H9" s="192"/>
      <c r="I9" s="192"/>
    </row>
    <row r="10" spans="2:10" x14ac:dyDescent="0.2">
      <c r="B10" s="184" t="str">
        <f>TechData_DMD!A10</f>
        <v>R2,R3,R4,R5,R6</v>
      </c>
      <c r="C10" s="185" t="s">
        <v>373</v>
      </c>
      <c r="D10" s="184" t="str">
        <f>TechData_DMD!B10</f>
        <v>RSHERDV110</v>
      </c>
      <c r="E10" s="184" t="str">
        <f>TechData_DMD!C10</f>
        <v>Electric Radiant Ver1.RSH.ELC.10</v>
      </c>
      <c r="F10" s="185" t="s">
        <v>26</v>
      </c>
      <c r="G10" s="185" t="s">
        <v>374</v>
      </c>
      <c r="H10" s="184"/>
      <c r="I10" s="184"/>
    </row>
    <row r="11" spans="2:10" x14ac:dyDescent="0.2">
      <c r="B11" s="194" t="s">
        <v>375</v>
      </c>
      <c r="C11" s="195"/>
      <c r="D11" s="192"/>
      <c r="E11" s="192"/>
      <c r="F11" s="195"/>
      <c r="G11" s="195"/>
      <c r="H11" s="192"/>
      <c r="I11" s="192"/>
    </row>
    <row r="12" spans="2:10" x14ac:dyDescent="0.2">
      <c r="B12" s="194" t="s">
        <v>376</v>
      </c>
      <c r="C12" s="195"/>
      <c r="D12" s="192"/>
      <c r="E12" s="192"/>
      <c r="F12" s="195"/>
      <c r="G12" s="195"/>
      <c r="H12" s="192"/>
      <c r="I12" s="192"/>
    </row>
    <row r="13" spans="2:10" x14ac:dyDescent="0.2">
      <c r="B13" s="184" t="str">
        <f>TechData_DMD!A13</f>
        <v>R2,R3,R4,R5,R6</v>
      </c>
      <c r="C13" s="185" t="s">
        <v>373</v>
      </c>
      <c r="D13" s="184" t="str">
        <f>TechData_DMD!B13</f>
        <v>RSHEHPV110</v>
      </c>
      <c r="E13" s="184" t="str">
        <f>TechData_DMD!C13</f>
        <v>Electric Heat Pump Ver1.RSH.ELC.10</v>
      </c>
      <c r="F13" s="185" t="s">
        <v>26</v>
      </c>
      <c r="G13" s="185" t="s">
        <v>374</v>
      </c>
      <c r="H13" s="184"/>
      <c r="I13" s="184"/>
    </row>
    <row r="14" spans="2:10" x14ac:dyDescent="0.2">
      <c r="B14" s="194" t="s">
        <v>377</v>
      </c>
      <c r="C14" s="195"/>
      <c r="D14" s="192"/>
      <c r="E14" s="192"/>
      <c r="F14" s="195"/>
      <c r="G14" s="195"/>
      <c r="H14" s="192"/>
      <c r="I14" s="192"/>
    </row>
    <row r="15" spans="2:10" x14ac:dyDescent="0.2">
      <c r="B15" s="184" t="str">
        <f>TechData_DMD!A15</f>
        <v>R2,R3,R4,R5,R6</v>
      </c>
      <c r="C15" s="185" t="s">
        <v>373</v>
      </c>
      <c r="D15" s="184" t="str">
        <f>TechData_DMD!B15</f>
        <v>RSHNFRV110</v>
      </c>
      <c r="E15" s="184" t="str">
        <f>TechData_DMD!C15</f>
        <v>Natural Gas Furnace Ver1.RSH.NGA.10</v>
      </c>
      <c r="F15" s="185" t="s">
        <v>26</v>
      </c>
      <c r="G15" s="185" t="s">
        <v>374</v>
      </c>
      <c r="H15" s="184"/>
      <c r="I15" s="184"/>
    </row>
    <row r="16" spans="2:10" x14ac:dyDescent="0.2">
      <c r="B16" s="194" t="s">
        <v>378</v>
      </c>
      <c r="C16" s="195"/>
      <c r="D16" s="192"/>
      <c r="E16" s="192"/>
      <c r="F16" s="195"/>
      <c r="G16" s="195"/>
      <c r="H16" s="192"/>
      <c r="I16" s="192"/>
    </row>
    <row r="17" spans="2:9" x14ac:dyDescent="0.2">
      <c r="B17" s="184" t="str">
        <f>TechData_DMD!A17</f>
        <v>R2,R3,R4,R5,R6</v>
      </c>
      <c r="C17" s="185" t="s">
        <v>373</v>
      </c>
      <c r="D17" s="184" t="str">
        <f>TechData_DMD!B17</f>
        <v>RSHNRDV110</v>
      </c>
      <c r="E17" s="184" t="str">
        <f>TechData_DMD!C17</f>
        <v>Natural Gas Radiant Ver1.RSH.NGA.10</v>
      </c>
      <c r="F17" s="185" t="s">
        <v>26</v>
      </c>
      <c r="G17" s="185" t="s">
        <v>374</v>
      </c>
      <c r="H17" s="184"/>
      <c r="I17" s="184"/>
    </row>
    <row r="18" spans="2:9" x14ac:dyDescent="0.2">
      <c r="B18" s="194" t="s">
        <v>379</v>
      </c>
      <c r="C18" s="195"/>
      <c r="D18" s="192"/>
      <c r="E18" s="192"/>
      <c r="F18" s="195"/>
      <c r="G18" s="195"/>
      <c r="H18" s="192"/>
      <c r="I18" s="192"/>
    </row>
    <row r="19" spans="2:9" x14ac:dyDescent="0.2">
      <c r="B19" s="194" t="s">
        <v>380</v>
      </c>
      <c r="C19" s="195"/>
      <c r="D19" s="192"/>
      <c r="E19" s="192"/>
      <c r="F19" s="195"/>
      <c r="G19" s="195"/>
      <c r="H19" s="192"/>
      <c r="I19" s="192"/>
    </row>
    <row r="20" spans="2:9" x14ac:dyDescent="0.2">
      <c r="B20" s="194" t="s">
        <v>381</v>
      </c>
      <c r="C20" s="195"/>
      <c r="D20" s="192"/>
      <c r="E20" s="192"/>
      <c r="F20" s="195"/>
      <c r="G20" s="195"/>
      <c r="H20" s="192"/>
      <c r="I20" s="192"/>
    </row>
    <row r="21" spans="2:9" x14ac:dyDescent="0.2">
      <c r="B21" s="184" t="str">
        <f>TechData_DMD!A21</f>
        <v>R2,R3,R4,R5,R6</v>
      </c>
      <c r="C21" s="185" t="s">
        <v>373</v>
      </c>
      <c r="D21" s="184" t="str">
        <f>TechData_DMD!B21</f>
        <v>RSHDFRV110</v>
      </c>
      <c r="E21" s="184" t="str">
        <f>TechData_DMD!C21</f>
        <v>Distillate Furnace Ver1.RSH.DST.10</v>
      </c>
      <c r="F21" s="185" t="s">
        <v>26</v>
      </c>
      <c r="G21" s="185" t="s">
        <v>374</v>
      </c>
      <c r="H21" s="184"/>
      <c r="I21" s="184"/>
    </row>
    <row r="22" spans="2:9" x14ac:dyDescent="0.2">
      <c r="B22" s="194" t="s">
        <v>382</v>
      </c>
      <c r="C22" s="195"/>
      <c r="D22" s="192"/>
      <c r="E22" s="192"/>
      <c r="F22" s="195"/>
      <c r="G22" s="195"/>
      <c r="H22" s="192"/>
      <c r="I22" s="192"/>
    </row>
    <row r="23" spans="2:9" x14ac:dyDescent="0.2">
      <c r="B23" s="184" t="str">
        <f>TechData_DMD!A23</f>
        <v>R2,R3,R4,R5,R6</v>
      </c>
      <c r="C23" s="185" t="s">
        <v>373</v>
      </c>
      <c r="D23" s="184" t="str">
        <f>TechData_DMD!B23</f>
        <v>RSHDRDV110</v>
      </c>
      <c r="E23" s="184" t="str">
        <f>TechData_DMD!C23</f>
        <v>Distillate Radiant Ver1.RSH.DST.10</v>
      </c>
      <c r="F23" s="185" t="s">
        <v>26</v>
      </c>
      <c r="G23" s="185" t="s">
        <v>374</v>
      </c>
      <c r="H23" s="184"/>
      <c r="I23" s="184"/>
    </row>
    <row r="24" spans="2:9" x14ac:dyDescent="0.2">
      <c r="B24" s="194" t="s">
        <v>383</v>
      </c>
      <c r="C24" s="195"/>
      <c r="D24" s="192"/>
      <c r="E24" s="192"/>
      <c r="F24" s="195"/>
      <c r="G24" s="195"/>
      <c r="H24" s="192"/>
      <c r="I24" s="192"/>
    </row>
    <row r="25" spans="2:9" x14ac:dyDescent="0.2">
      <c r="B25" s="184" t="s">
        <v>384</v>
      </c>
      <c r="C25" s="185" t="s">
        <v>373</v>
      </c>
      <c r="D25" s="184" t="str">
        <f>TechData_CHP!B7</f>
        <v>RESBLDBS05</v>
      </c>
      <c r="E25" s="184" t="str">
        <f>TechData_CHP!C7</f>
        <v>RES.DSL.BOILER.DISTRICTHEAT.BS</v>
      </c>
      <c r="F25" s="185" t="s">
        <v>26</v>
      </c>
      <c r="G25" s="185" t="s">
        <v>374</v>
      </c>
      <c r="H25" s="184"/>
      <c r="I25" s="184"/>
    </row>
    <row r="26" spans="2:9" x14ac:dyDescent="0.2">
      <c r="B26" s="184" t="s">
        <v>384</v>
      </c>
      <c r="C26" s="185" t="s">
        <v>373</v>
      </c>
      <c r="D26" s="184" t="str">
        <f>TechData_CHP!B8</f>
        <v>RESBLNG10</v>
      </c>
      <c r="E26" s="184" t="str">
        <f>TechData_CHP!C8</f>
        <v>RES.NG.BOILER.DISTRICTHEAT.10</v>
      </c>
      <c r="F26" s="185" t="s">
        <v>26</v>
      </c>
      <c r="G26" s="185" t="s">
        <v>374</v>
      </c>
      <c r="H26" s="184"/>
      <c r="I26" s="184"/>
    </row>
    <row r="27" spans="2:9" x14ac:dyDescent="0.2">
      <c r="B27" s="250" t="s">
        <v>385</v>
      </c>
      <c r="C27" s="195"/>
      <c r="D27" s="192"/>
      <c r="E27" s="192"/>
      <c r="F27" s="195"/>
      <c r="G27" s="195"/>
      <c r="H27" s="192"/>
      <c r="I27" s="192"/>
    </row>
    <row r="28" spans="2:9" x14ac:dyDescent="0.2">
      <c r="B28" s="184" t="s">
        <v>384</v>
      </c>
      <c r="C28" s="279" t="s">
        <v>373</v>
      </c>
      <c r="D28" s="252" t="str">
        <f>TechData_DMD!B25</f>
        <v>RSHNUTIBOI</v>
      </c>
      <c r="E28" s="252" t="str">
        <f>TechData_DMD!C25</f>
        <v>RSH.NG.UTILITY.BOILER</v>
      </c>
      <c r="F28" s="279" t="s">
        <v>26</v>
      </c>
      <c r="G28" s="279" t="s">
        <v>386</v>
      </c>
      <c r="H28" s="279"/>
      <c r="I28" s="252"/>
    </row>
    <row r="29" spans="2:9" x14ac:dyDescent="0.2">
      <c r="B29" s="184" t="s">
        <v>384</v>
      </c>
      <c r="C29" s="279" t="s">
        <v>373</v>
      </c>
      <c r="D29" s="252" t="str">
        <f>TechData_DMD!B26</f>
        <v>RSHNUTICHP</v>
      </c>
      <c r="E29" s="252" t="str">
        <f>TechData_DMD!C26</f>
        <v>RSH.NG.UTILITY.CHP</v>
      </c>
      <c r="F29" s="279" t="s">
        <v>26</v>
      </c>
      <c r="G29" s="279" t="s">
        <v>386</v>
      </c>
      <c r="H29" s="279"/>
      <c r="I29" s="252"/>
    </row>
    <row r="30" spans="2:9" x14ac:dyDescent="0.2">
      <c r="B30" s="184" t="s">
        <v>384</v>
      </c>
      <c r="C30" s="279" t="s">
        <v>373</v>
      </c>
      <c r="D30" s="252" t="str">
        <f>TechData_DMD!B27</f>
        <v>RSHBUTICHP</v>
      </c>
      <c r="E30" s="252" t="str">
        <f>TechData_DMD!C27</f>
        <v>RSH.DSL.UTILITY.CHP</v>
      </c>
      <c r="F30" s="279" t="s">
        <v>26</v>
      </c>
      <c r="G30" s="279" t="s">
        <v>386</v>
      </c>
      <c r="H30" s="279"/>
      <c r="I30" s="252"/>
    </row>
    <row r="31" spans="2:9" x14ac:dyDescent="0.2">
      <c r="B31" s="194" t="s">
        <v>387</v>
      </c>
      <c r="C31" s="195"/>
      <c r="D31" s="192"/>
      <c r="E31" s="192"/>
      <c r="F31" s="195"/>
      <c r="G31" s="195"/>
      <c r="H31" s="192"/>
      <c r="I31" s="192"/>
    </row>
    <row r="32" spans="2:9" x14ac:dyDescent="0.2">
      <c r="B32" s="194" t="s">
        <v>388</v>
      </c>
      <c r="C32" s="195"/>
      <c r="D32" s="192"/>
      <c r="E32" s="192"/>
      <c r="F32" s="195"/>
      <c r="G32" s="195"/>
      <c r="H32" s="192"/>
      <c r="I32" s="192"/>
    </row>
    <row r="33" spans="2:9" x14ac:dyDescent="0.2">
      <c r="B33" s="194" t="s">
        <v>389</v>
      </c>
      <c r="C33" s="195"/>
      <c r="D33" s="192"/>
      <c r="E33" s="192"/>
      <c r="F33" s="195"/>
      <c r="G33" s="195"/>
      <c r="H33" s="192"/>
      <c r="I33" s="192"/>
    </row>
    <row r="34" spans="2:9" ht="13.5" customHeight="1" x14ac:dyDescent="0.2">
      <c r="B34" s="194" t="s">
        <v>390</v>
      </c>
      <c r="C34" s="195"/>
      <c r="D34" s="192"/>
      <c r="E34" s="192"/>
      <c r="F34" s="195"/>
      <c r="G34" s="195"/>
      <c r="H34" s="192"/>
      <c r="I34" s="192"/>
    </row>
    <row r="35" spans="2:9" x14ac:dyDescent="0.2">
      <c r="B35" s="194" t="s">
        <v>391</v>
      </c>
      <c r="C35" s="195"/>
      <c r="D35" s="192"/>
      <c r="E35" s="192"/>
      <c r="F35" s="195"/>
      <c r="G35" s="195"/>
      <c r="H35" s="192"/>
      <c r="I35" s="192"/>
    </row>
    <row r="36" spans="2:9" x14ac:dyDescent="0.2">
      <c r="B36" s="184" t="str">
        <f>TechData_DMD!A33</f>
        <v>R2,R3,R4,R5,R6</v>
      </c>
      <c r="C36" s="185" t="s">
        <v>373</v>
      </c>
      <c r="D36" s="184" t="str">
        <f>TechData_DMD!B33</f>
        <v>RSCRACV110</v>
      </c>
      <c r="E36" s="184" t="str">
        <f>TechData_DMD!C33</f>
        <v>Room AC Ver1.RSC.ELC.10</v>
      </c>
      <c r="F36" s="185" t="s">
        <v>26</v>
      </c>
      <c r="G36" s="185" t="s">
        <v>374</v>
      </c>
      <c r="H36" s="184"/>
      <c r="I36" s="184"/>
    </row>
    <row r="37" spans="2:9" x14ac:dyDescent="0.2">
      <c r="B37" s="194" t="s">
        <v>392</v>
      </c>
      <c r="C37" s="195"/>
      <c r="D37" s="192"/>
      <c r="E37" s="192"/>
      <c r="F37" s="195"/>
      <c r="G37" s="195"/>
      <c r="H37" s="192"/>
      <c r="I37" s="192"/>
    </row>
    <row r="38" spans="2:9" x14ac:dyDescent="0.2">
      <c r="B38" s="184" t="str">
        <f>TechData_DMD!A35</f>
        <v>R2,R3,R4,R5,R6</v>
      </c>
      <c r="C38" s="185" t="s">
        <v>373</v>
      </c>
      <c r="D38" s="184" t="str">
        <f>TechData_DMD!B35</f>
        <v>RSCCACV110</v>
      </c>
      <c r="E38" s="184" t="str">
        <f>TechData_DMD!C35</f>
        <v>Central AC Ver1.RSC.ELC.10</v>
      </c>
      <c r="F38" s="185" t="s">
        <v>26</v>
      </c>
      <c r="G38" s="185" t="s">
        <v>374</v>
      </c>
      <c r="H38" s="184"/>
      <c r="I38" s="184"/>
    </row>
    <row r="39" spans="2:9" x14ac:dyDescent="0.2">
      <c r="B39" s="194" t="s">
        <v>393</v>
      </c>
      <c r="C39" s="195"/>
      <c r="D39" s="192"/>
      <c r="E39" s="192"/>
      <c r="F39" s="195"/>
      <c r="G39" s="195"/>
      <c r="H39" s="192"/>
      <c r="I39" s="192"/>
    </row>
    <row r="40" spans="2:9" x14ac:dyDescent="0.2">
      <c r="B40" s="194" t="s">
        <v>376</v>
      </c>
      <c r="C40" s="195"/>
      <c r="D40" s="192"/>
      <c r="E40" s="192"/>
      <c r="F40" s="195"/>
      <c r="G40" s="195"/>
      <c r="H40" s="192"/>
      <c r="I40" s="192"/>
    </row>
    <row r="41" spans="2:9" x14ac:dyDescent="0.2">
      <c r="B41" s="184" t="str">
        <f>TechData_DMD!A38</f>
        <v>R2,R3,R4,R5,R6</v>
      </c>
      <c r="C41" s="185" t="s">
        <v>373</v>
      </c>
      <c r="D41" s="184" t="str">
        <f>TechData_DMD!B38</f>
        <v>RSCEHPV110</v>
      </c>
      <c r="E41" s="184" t="str">
        <f>TechData_DMD!C38</f>
        <v>Electric Heat Pump Ver1.RSC.ELC.10</v>
      </c>
      <c r="F41" s="185" t="s">
        <v>26</v>
      </c>
      <c r="G41" s="185" t="s">
        <v>374</v>
      </c>
      <c r="H41" s="184"/>
      <c r="I41" s="184"/>
    </row>
    <row r="42" spans="2:9" x14ac:dyDescent="0.2">
      <c r="B42" s="194" t="s">
        <v>388</v>
      </c>
      <c r="C42" s="195"/>
      <c r="D42" s="192"/>
      <c r="E42" s="192"/>
      <c r="F42" s="195"/>
      <c r="G42" s="195"/>
      <c r="H42" s="192"/>
      <c r="I42" s="192"/>
    </row>
    <row r="43" spans="2:9" x14ac:dyDescent="0.2">
      <c r="B43" s="194" t="s">
        <v>389</v>
      </c>
      <c r="C43" s="195"/>
      <c r="D43" s="192"/>
      <c r="E43" s="192"/>
      <c r="F43" s="195"/>
      <c r="G43" s="195"/>
      <c r="H43" s="192"/>
      <c r="I43" s="192"/>
    </row>
    <row r="44" spans="2:9" x14ac:dyDescent="0.2">
      <c r="B44" s="194" t="s">
        <v>394</v>
      </c>
      <c r="C44" s="195"/>
      <c r="D44" s="192"/>
      <c r="E44" s="192"/>
      <c r="F44" s="195"/>
      <c r="G44" s="195"/>
      <c r="H44" s="192"/>
      <c r="I44" s="192"/>
    </row>
    <row r="45" spans="2:9" x14ac:dyDescent="0.2">
      <c r="B45" s="194" t="s">
        <v>395</v>
      </c>
      <c r="C45" s="195"/>
      <c r="D45" s="192"/>
      <c r="E45" s="192"/>
      <c r="F45" s="195"/>
      <c r="G45" s="195"/>
      <c r="H45" s="192"/>
      <c r="I45" s="192"/>
    </row>
    <row r="46" spans="2:9" x14ac:dyDescent="0.2">
      <c r="B46" s="184" t="str">
        <f>TechData_DMD!A43</f>
        <v>R2,R3,R4,R5,R6</v>
      </c>
      <c r="C46" s="185" t="s">
        <v>373</v>
      </c>
      <c r="D46" s="184" t="str">
        <f>TechData_DMD!B43</f>
        <v>RWHNWHV110</v>
      </c>
      <c r="E46" s="184" t="str">
        <f>TechData_DMD!C43</f>
        <v>Natural Gas Ver1.RWH.NGA.10</v>
      </c>
      <c r="F46" s="185" t="s">
        <v>26</v>
      </c>
      <c r="G46" s="185" t="s">
        <v>374</v>
      </c>
      <c r="H46" s="184"/>
      <c r="I46" s="184"/>
    </row>
    <row r="47" spans="2:9" x14ac:dyDescent="0.2">
      <c r="B47" s="194" t="s">
        <v>396</v>
      </c>
      <c r="C47" s="195"/>
      <c r="D47" s="192"/>
      <c r="E47" s="192"/>
      <c r="F47" s="195"/>
      <c r="G47" s="195"/>
      <c r="H47" s="192"/>
      <c r="I47" s="192"/>
    </row>
    <row r="48" spans="2:9" x14ac:dyDescent="0.2">
      <c r="B48" s="184" t="str">
        <f>TechData_DMD!A45</f>
        <v>R2,R3,R4,R5,R6</v>
      </c>
      <c r="C48" s="185" t="s">
        <v>373</v>
      </c>
      <c r="D48" s="184" t="str">
        <f>TechData_DMD!B45</f>
        <v>RWHEWHV110</v>
      </c>
      <c r="E48" s="184" t="str">
        <f>TechData_DMD!C45</f>
        <v>Electric Ver1.RWH.ELC.10</v>
      </c>
      <c r="F48" s="185" t="s">
        <v>26</v>
      </c>
      <c r="G48" s="185" t="s">
        <v>374</v>
      </c>
      <c r="H48" s="184"/>
      <c r="I48" s="184"/>
    </row>
    <row r="49" spans="2:9" x14ac:dyDescent="0.2">
      <c r="B49" s="194" t="s">
        <v>397</v>
      </c>
      <c r="C49" s="195"/>
      <c r="D49" s="192"/>
      <c r="E49" s="192"/>
      <c r="F49" s="195"/>
      <c r="G49" s="195"/>
      <c r="H49" s="192"/>
      <c r="I49" s="192"/>
    </row>
    <row r="50" spans="2:9" x14ac:dyDescent="0.2">
      <c r="B50" s="184" t="str">
        <f>TechData_DMD!A47</f>
        <v>R2,R3,R4,R5,R6</v>
      </c>
      <c r="C50" s="185" t="s">
        <v>373</v>
      </c>
      <c r="D50" s="184" t="str">
        <f>TechData_DMD!B47</f>
        <v>RWHDWHV110</v>
      </c>
      <c r="E50" s="184" t="str">
        <f>TechData_DMD!C47</f>
        <v>Distillate Ver1.RWH.DSL.10</v>
      </c>
      <c r="F50" s="185" t="s">
        <v>26</v>
      </c>
      <c r="G50" s="185" t="s">
        <v>374</v>
      </c>
      <c r="H50" s="184"/>
      <c r="I50" s="184"/>
    </row>
    <row r="51" spans="2:9" x14ac:dyDescent="0.2">
      <c r="B51" s="250" t="s">
        <v>385</v>
      </c>
      <c r="C51" s="195"/>
      <c r="D51" s="192"/>
      <c r="E51" s="192"/>
      <c r="F51" s="195"/>
      <c r="G51" s="195"/>
      <c r="H51" s="192"/>
      <c r="I51" s="192"/>
    </row>
    <row r="52" spans="2:9" x14ac:dyDescent="0.2">
      <c r="B52" s="184" t="s">
        <v>384</v>
      </c>
      <c r="C52" s="279" t="s">
        <v>373</v>
      </c>
      <c r="D52" s="252" t="str">
        <f>TechData_DMD!B49</f>
        <v>RWHNUTIBOI</v>
      </c>
      <c r="E52" s="252" t="str">
        <f>TechData_DMD!C49</f>
        <v>RWH.NG.UTILITY.BOILER</v>
      </c>
      <c r="F52" s="279" t="s">
        <v>26</v>
      </c>
      <c r="G52" s="279" t="s">
        <v>386</v>
      </c>
      <c r="H52" s="279"/>
      <c r="I52" s="252"/>
    </row>
    <row r="53" spans="2:9" x14ac:dyDescent="0.2">
      <c r="B53" s="184" t="s">
        <v>384</v>
      </c>
      <c r="C53" s="279" t="s">
        <v>373</v>
      </c>
      <c r="D53" s="252" t="str">
        <f>TechData_DMD!B50</f>
        <v>RWHNUTICHP</v>
      </c>
      <c r="E53" s="252" t="str">
        <f>TechData_DMD!C50</f>
        <v>RWH.NG.UTILITY.CHP</v>
      </c>
      <c r="F53" s="279" t="s">
        <v>26</v>
      </c>
      <c r="G53" s="279" t="s">
        <v>386</v>
      </c>
      <c r="H53" s="279"/>
      <c r="I53" s="252"/>
    </row>
    <row r="54" spans="2:9" x14ac:dyDescent="0.2">
      <c r="B54" s="184" t="s">
        <v>384</v>
      </c>
      <c r="C54" s="279" t="s">
        <v>373</v>
      </c>
      <c r="D54" s="252" t="str">
        <f>TechData_DMD!B51</f>
        <v>RWHBUTICHP</v>
      </c>
      <c r="E54" s="252" t="str">
        <f>TechData_DMD!C51</f>
        <v>RWH.DSL.UTILITY.CHP</v>
      </c>
      <c r="F54" s="279" t="s">
        <v>26</v>
      </c>
      <c r="G54" s="279" t="s">
        <v>386</v>
      </c>
      <c r="H54" s="279"/>
      <c r="I54" s="252"/>
    </row>
    <row r="55" spans="2:9" x14ac:dyDescent="0.2">
      <c r="B55" s="194" t="s">
        <v>398</v>
      </c>
      <c r="C55" s="195"/>
      <c r="D55" s="192"/>
      <c r="E55" s="192"/>
      <c r="F55" s="195"/>
      <c r="G55" s="195"/>
      <c r="H55" s="192"/>
      <c r="I55" s="192"/>
    </row>
    <row r="56" spans="2:9" x14ac:dyDescent="0.2">
      <c r="B56" s="194" t="s">
        <v>399</v>
      </c>
      <c r="C56" s="195"/>
      <c r="D56" s="192"/>
      <c r="E56" s="192"/>
      <c r="F56" s="195"/>
      <c r="G56" s="195"/>
      <c r="H56" s="192"/>
      <c r="I56" s="192"/>
    </row>
    <row r="57" spans="2:9" x14ac:dyDescent="0.2">
      <c r="B57" s="194" t="s">
        <v>400</v>
      </c>
      <c r="C57" s="195"/>
      <c r="D57" s="192"/>
      <c r="E57" s="192"/>
      <c r="F57" s="195"/>
      <c r="G57" s="195"/>
      <c r="H57" s="192"/>
      <c r="I57" s="192"/>
    </row>
    <row r="58" spans="2:9" x14ac:dyDescent="0.2">
      <c r="B58" s="194" t="s">
        <v>401</v>
      </c>
      <c r="C58" s="195"/>
      <c r="D58" s="192"/>
      <c r="E58" s="192"/>
      <c r="F58" s="195"/>
      <c r="G58" s="195"/>
      <c r="H58" s="192"/>
      <c r="I58" s="192"/>
    </row>
    <row r="59" spans="2:9" x14ac:dyDescent="0.2">
      <c r="B59" s="194" t="str">
        <f>Lighting!B21</f>
        <v>* General Services Lamps</v>
      </c>
      <c r="C59" s="195"/>
      <c r="D59" s="192"/>
      <c r="E59" s="192"/>
      <c r="F59" s="195"/>
      <c r="G59" s="195"/>
      <c r="H59" s="192"/>
      <c r="I59" s="192"/>
    </row>
    <row r="60" spans="2:9" x14ac:dyDescent="0.2">
      <c r="B60" s="184" t="str">
        <f>TechData_DMD!A57</f>
        <v>R2,R3,R4,R5,R6</v>
      </c>
      <c r="C60" s="185" t="s">
        <v>373</v>
      </c>
      <c r="D60" s="184" t="str">
        <f>TechData_DMD!B57</f>
        <v>RLTGINC10</v>
      </c>
      <c r="E60" s="184" t="str">
        <f>TechData_DMD!C57</f>
        <v>RLT.GSL.INC.10</v>
      </c>
      <c r="F60" s="185" t="s">
        <v>34</v>
      </c>
      <c r="G60" s="185" t="s">
        <v>402</v>
      </c>
      <c r="H60" s="184"/>
      <c r="I60" s="184"/>
    </row>
    <row r="61" spans="2:9" x14ac:dyDescent="0.2">
      <c r="B61" s="184" t="str">
        <f>TechData_DMD!A58</f>
        <v>R2,R3,R4,R5,R6</v>
      </c>
      <c r="C61" s="185" t="s">
        <v>373</v>
      </c>
      <c r="D61" s="184" t="str">
        <f>TechData_DMD!B58</f>
        <v>RLTGCFL10</v>
      </c>
      <c r="E61" s="184" t="str">
        <f>TechData_DMD!C58</f>
        <v>RLT.GSL.CFL.10</v>
      </c>
      <c r="F61" s="185" t="s">
        <v>34</v>
      </c>
      <c r="G61" s="185" t="s">
        <v>402</v>
      </c>
      <c r="H61" s="184"/>
      <c r="I61" s="184"/>
    </row>
    <row r="62" spans="2:9" x14ac:dyDescent="0.2">
      <c r="B62" s="184" t="str">
        <f>TechData_DMD!A59</f>
        <v>R2,R3,R4,R5,R6</v>
      </c>
      <c r="C62" s="185" t="s">
        <v>373</v>
      </c>
      <c r="D62" s="184" t="str">
        <f>TechData_DMD!B59</f>
        <v>RLTRINC10</v>
      </c>
      <c r="E62" s="184" t="str">
        <f>TechData_DMD!C59</f>
        <v>RLT.REF.INC.10</v>
      </c>
      <c r="F62" s="185" t="s">
        <v>34</v>
      </c>
      <c r="G62" s="185" t="s">
        <v>402</v>
      </c>
      <c r="H62" s="184"/>
      <c r="I62" s="184"/>
    </row>
    <row r="63" spans="2:9" x14ac:dyDescent="0.2">
      <c r="B63" s="184" t="str">
        <f>TechData_DMD!A60</f>
        <v>R2,R3,R4,R5,R6</v>
      </c>
      <c r="C63" s="185" t="s">
        <v>373</v>
      </c>
      <c r="D63" s="184" t="str">
        <f>TechData_DMD!B60</f>
        <v>RLTLFL10</v>
      </c>
      <c r="E63" s="184" t="str">
        <f>TechData_DMD!C60</f>
        <v>RLT.LFL.10</v>
      </c>
      <c r="F63" s="185" t="s">
        <v>34</v>
      </c>
      <c r="G63" s="185" t="s">
        <v>402</v>
      </c>
      <c r="H63" s="184"/>
      <c r="I63" s="184"/>
    </row>
    <row r="64" spans="2:9" x14ac:dyDescent="0.2">
      <c r="B64" s="184" t="str">
        <f>TechData_DMD!A61</f>
        <v>R2,R3,R4,R5,R6</v>
      </c>
      <c r="C64" s="185" t="s">
        <v>373</v>
      </c>
      <c r="D64" s="184" t="str">
        <f>TechData_DMD!B61</f>
        <v>RLTEXTBS</v>
      </c>
      <c r="E64" s="184" t="str">
        <f>TechData_DMD!C61</f>
        <v>RLT.EXT.BS</v>
      </c>
      <c r="F64" s="185" t="s">
        <v>34</v>
      </c>
      <c r="G64" s="185" t="s">
        <v>402</v>
      </c>
      <c r="H64" s="184"/>
      <c r="I64" s="184"/>
    </row>
    <row r="65" spans="2:10" s="1" customFormat="1" x14ac:dyDescent="0.2">
      <c r="B65" s="194" t="s">
        <v>403</v>
      </c>
      <c r="C65" s="195"/>
      <c r="D65" s="192"/>
      <c r="E65" s="192"/>
      <c r="F65" s="195"/>
      <c r="G65" s="195"/>
      <c r="H65" s="192"/>
      <c r="I65" s="192"/>
    </row>
    <row r="66" spans="2:10" x14ac:dyDescent="0.2">
      <c r="B66" s="184" t="str">
        <f>TechData_DMD!A63</f>
        <v>R2,R3,R4,R5,R6</v>
      </c>
      <c r="C66" s="185" t="s">
        <v>373</v>
      </c>
      <c r="D66" s="184" t="str">
        <f>TechData_DMD!B63</f>
        <v>ROTHCELC</v>
      </c>
      <c r="E66" s="184" t="str">
        <f>TechData_DMD!C63</f>
        <v>Residential Other - Electric</v>
      </c>
      <c r="F66" s="185" t="s">
        <v>26</v>
      </c>
      <c r="G66" s="185" t="s">
        <v>374</v>
      </c>
      <c r="H66" s="184"/>
      <c r="I66" s="184"/>
    </row>
    <row r="67" spans="2:10" x14ac:dyDescent="0.2">
      <c r="B67" s="184" t="str">
        <f>TechData_DMD!A64</f>
        <v>R2,R3,R4,R5,R6</v>
      </c>
      <c r="C67" s="185" t="s">
        <v>373</v>
      </c>
      <c r="D67" s="184" t="str">
        <f>TechData_DMD!B64</f>
        <v>ROTHNGA</v>
      </c>
      <c r="E67" s="184" t="str">
        <f>TechData_DMD!C64</f>
        <v>Residential Other - NGA</v>
      </c>
      <c r="F67" s="185" t="s">
        <v>26</v>
      </c>
      <c r="G67" s="185" t="s">
        <v>374</v>
      </c>
      <c r="H67" s="184"/>
      <c r="I67" s="184"/>
    </row>
    <row r="68" spans="2:10" x14ac:dyDescent="0.2">
      <c r="B68" s="194" t="str">
        <f>TechData_DMD!A65</f>
        <v>* Dummy/Pass Through Technologies for NYC LITE Model to Meet Populaiton Demand</v>
      </c>
      <c r="C68" s="195"/>
      <c r="D68" s="192"/>
      <c r="E68" s="192"/>
      <c r="F68" s="195" t="s">
        <v>26</v>
      </c>
      <c r="G68" s="195" t="s">
        <v>374</v>
      </c>
      <c r="H68" s="192"/>
      <c r="I68" s="192"/>
    </row>
    <row r="69" spans="2:10" x14ac:dyDescent="0.2">
      <c r="B69" s="184" t="str">
        <f>TechData_DMD!A66</f>
        <v>R2,R3,R4,R5,R6</v>
      </c>
      <c r="C69" s="185" t="s">
        <v>373</v>
      </c>
      <c r="D69" s="184" t="str">
        <f>TechData_DMD!B66</f>
        <v>RBLDHEDM</v>
      </c>
      <c r="E69" s="184" t="str">
        <f>TechData_DMD!C66</f>
        <v>Residential Building High Eff</v>
      </c>
      <c r="F69" s="185" t="s">
        <v>26</v>
      </c>
      <c r="G69" s="185" t="s">
        <v>374</v>
      </c>
      <c r="H69" s="184"/>
      <c r="I69" s="184"/>
    </row>
    <row r="70" spans="2:10" x14ac:dyDescent="0.2">
      <c r="B70" s="184" t="str">
        <f>TechData_DMD!A67</f>
        <v>R2,R3,R4,R5,R6</v>
      </c>
      <c r="C70" s="185" t="s">
        <v>373</v>
      </c>
      <c r="D70" s="184" t="str">
        <f>TechData_DMD!B67</f>
        <v>RBLDLEDM</v>
      </c>
      <c r="E70" s="184" t="str">
        <f>TechData_DMD!C67</f>
        <v>Residential Building Low Eff</v>
      </c>
      <c r="F70" s="185" t="s">
        <v>26</v>
      </c>
      <c r="G70" s="185" t="s">
        <v>374</v>
      </c>
      <c r="H70" s="184"/>
      <c r="I70" s="184"/>
    </row>
    <row r="71" spans="2:10" x14ac:dyDescent="0.2">
      <c r="B71" s="184" t="str">
        <f>TechData_DMD!A68</f>
        <v>R2,R3,R4,R5,R6</v>
      </c>
      <c r="C71" s="185" t="s">
        <v>373</v>
      </c>
      <c r="D71" s="184" t="str">
        <f>TechData_DMD!B68</f>
        <v>RBROOFDM</v>
      </c>
      <c r="E71" s="184" t="str">
        <f>TechData_DMD!C68</f>
        <v>Residential Sector Black Roof</v>
      </c>
      <c r="F71" s="185" t="s">
        <v>26</v>
      </c>
      <c r="G71" s="185" t="s">
        <v>374</v>
      </c>
      <c r="H71" s="184"/>
      <c r="I71" s="184"/>
    </row>
    <row r="72" spans="2:10" x14ac:dyDescent="0.2">
      <c r="B72" s="184" t="str">
        <f>TechData_DMD!A69</f>
        <v>R2,R3,R4,R5,R6</v>
      </c>
      <c r="C72" s="185" t="s">
        <v>373</v>
      </c>
      <c r="D72" s="184" t="str">
        <f>TechData_DMD!B69</f>
        <v>RWTROOFDM</v>
      </c>
      <c r="E72" s="184" t="str">
        <f>TechData_DMD!C69</f>
        <v>Residential Sector White Roof</v>
      </c>
      <c r="F72" s="185" t="s">
        <v>26</v>
      </c>
      <c r="G72" s="185" t="s">
        <v>374</v>
      </c>
      <c r="H72" s="184"/>
      <c r="I72" s="184"/>
    </row>
    <row r="73" spans="2:10" x14ac:dyDescent="0.2">
      <c r="B73" s="184" t="str">
        <f>TechData_DMD!A70</f>
        <v>R2,R3,R4,R5,R6</v>
      </c>
      <c r="C73" s="185" t="s">
        <v>373</v>
      </c>
      <c r="D73" s="184" t="str">
        <f>TechData_DMD!B70</f>
        <v>RGROOF6DM</v>
      </c>
      <c r="E73" s="184" t="str">
        <f>TechData_DMD!C70</f>
        <v>Residential Sector Green Roof 6 Inch Depth</v>
      </c>
      <c r="F73" s="185" t="s">
        <v>26</v>
      </c>
      <c r="G73" s="185" t="s">
        <v>374</v>
      </c>
      <c r="H73" s="184"/>
      <c r="I73" s="184"/>
    </row>
    <row r="74" spans="2:10" x14ac:dyDescent="0.2">
      <c r="B74" s="184" t="str">
        <f>TechData_DMD!A71</f>
        <v>R2,R3,R4,R5,R6</v>
      </c>
      <c r="C74" s="185" t="s">
        <v>373</v>
      </c>
      <c r="D74" s="184" t="str">
        <f>TechData_DMD!B71</f>
        <v>RGROOF12DM</v>
      </c>
      <c r="E74" s="184" t="str">
        <f>TechData_DMD!C71</f>
        <v>Residential Sector Green Roof 12 Inch Depth</v>
      </c>
      <c r="F74" s="185" t="s">
        <v>26</v>
      </c>
      <c r="G74" s="185" t="s">
        <v>374</v>
      </c>
      <c r="H74" s="184"/>
      <c r="I74" s="184"/>
    </row>
    <row r="75" spans="2:10" x14ac:dyDescent="0.2">
      <c r="B75" s="194" t="str">
        <f>TechData_DMD!A72</f>
        <v>* Green Infrastructure Heating &amp; Cooling Technologies</v>
      </c>
      <c r="C75" s="195"/>
      <c r="D75" s="192"/>
      <c r="E75" s="192"/>
      <c r="F75" s="195" t="s">
        <v>26</v>
      </c>
      <c r="G75" s="195" t="s">
        <v>374</v>
      </c>
      <c r="H75" s="192"/>
      <c r="I75" s="192"/>
    </row>
    <row r="76" spans="2:10" x14ac:dyDescent="0.2">
      <c r="B76" s="194" t="s">
        <v>404</v>
      </c>
      <c r="C76" s="195"/>
      <c r="D76" s="192"/>
      <c r="E76" s="192"/>
      <c r="F76" s="195"/>
      <c r="G76" s="195"/>
      <c r="H76" s="192"/>
      <c r="I76" s="192"/>
    </row>
    <row r="77" spans="2:10" x14ac:dyDescent="0.2">
      <c r="B77" s="184" t="str">
        <f>TechData_SESC!A7</f>
        <v>R2,R3,R4,R5,R6</v>
      </c>
      <c r="C77" s="185" t="s">
        <v>405</v>
      </c>
      <c r="D77" s="184" t="str">
        <f>TechData_SESC!B7</f>
        <v>SCRESELC</v>
      </c>
      <c r="E77" s="184" t="str">
        <f>TechData_SESC!C7</f>
        <v>Collector: ELC to RES</v>
      </c>
      <c r="F77" s="185" t="s">
        <v>26</v>
      </c>
      <c r="G77" s="185" t="s">
        <v>374</v>
      </c>
      <c r="H77" s="184"/>
      <c r="I77" s="184"/>
      <c r="J77" s="246" t="s">
        <v>49</v>
      </c>
    </row>
    <row r="78" spans="2:10" x14ac:dyDescent="0.2">
      <c r="B78" s="194" t="s">
        <v>406</v>
      </c>
      <c r="C78" s="195"/>
      <c r="D78" s="192"/>
      <c r="E78" s="192"/>
      <c r="F78" s="195"/>
      <c r="G78" s="195"/>
      <c r="H78" s="192"/>
      <c r="I78" s="192"/>
    </row>
    <row r="79" spans="2:10" x14ac:dyDescent="0.2">
      <c r="B79" s="184" t="s">
        <v>22</v>
      </c>
      <c r="C79" s="185" t="s">
        <v>407</v>
      </c>
      <c r="D79" s="190" t="str">
        <f>TechData_SolarPV!B7</f>
        <v>ESOLPVRES</v>
      </c>
      <c r="E79" s="190" t="str">
        <f>TechData_SolarPV!C7</f>
        <v>Solar PV Distributed Residential Generation</v>
      </c>
      <c r="F79" s="185" t="s">
        <v>26</v>
      </c>
      <c r="G79" s="185" t="s">
        <v>408</v>
      </c>
      <c r="H79" s="184"/>
      <c r="I79" s="184"/>
      <c r="J79" s="246" t="s">
        <v>49</v>
      </c>
    </row>
    <row r="80" spans="2:10" x14ac:dyDescent="0.2">
      <c r="B80" s="194" t="s">
        <v>409</v>
      </c>
      <c r="C80" s="195"/>
      <c r="D80" s="192"/>
      <c r="E80" s="192"/>
      <c r="F80" s="195"/>
      <c r="G80" s="195"/>
      <c r="H80" s="192"/>
      <c r="I80" s="192"/>
    </row>
    <row r="81" spans="2:9" x14ac:dyDescent="0.2">
      <c r="B81" s="184" t="str">
        <f>'TechData-Emis'!A8</f>
        <v>R2,R3,R4,R5,R6</v>
      </c>
      <c r="C81" s="185" t="s">
        <v>405</v>
      </c>
      <c r="D81" s="184" t="str">
        <f>'TechData-Emis'!B8</f>
        <v>SERESNGA</v>
      </c>
      <c r="E81" s="184" t="str">
        <f>'TechData-Emis'!C8</f>
        <v>Emissions: NGA to RES</v>
      </c>
      <c r="F81" s="185" t="s">
        <v>26</v>
      </c>
      <c r="G81" s="185" t="s">
        <v>374</v>
      </c>
      <c r="H81" s="184"/>
      <c r="I81" s="184"/>
    </row>
    <row r="82" spans="2:9" x14ac:dyDescent="0.2">
      <c r="B82" s="184" t="str">
        <f>'TechData-Emis'!A10</f>
        <v>R2,R3,R4,R5,R6</v>
      </c>
      <c r="C82" s="185" t="s">
        <v>405</v>
      </c>
      <c r="D82" s="184" t="str">
        <f>'TechData-Emis'!B10</f>
        <v>SERESDSL</v>
      </c>
      <c r="E82" s="184" t="str">
        <f>'TechData-Emis'!C10</f>
        <v>Emissions: DSL to RES</v>
      </c>
      <c r="F82" s="185" t="s">
        <v>26</v>
      </c>
      <c r="G82" s="185" t="s">
        <v>374</v>
      </c>
      <c r="H82" s="184"/>
      <c r="I82" s="184"/>
    </row>
    <row r="83" spans="2:9" x14ac:dyDescent="0.2">
      <c r="B83" s="194" t="s">
        <v>410</v>
      </c>
      <c r="C83" s="195"/>
      <c r="D83" s="192"/>
      <c r="E83" s="192"/>
      <c r="F83" s="195"/>
      <c r="G83" s="195"/>
      <c r="H83" s="192"/>
      <c r="I83" s="192"/>
    </row>
    <row r="84" spans="2:9" x14ac:dyDescent="0.2">
      <c r="B84" s="184" t="s">
        <v>22</v>
      </c>
      <c r="C84" s="185" t="s">
        <v>373</v>
      </c>
      <c r="D84" s="184" t="s">
        <v>411</v>
      </c>
      <c r="E84" s="184" t="s">
        <v>412</v>
      </c>
      <c r="F84" s="185" t="s">
        <v>26</v>
      </c>
      <c r="G84" s="185" t="s">
        <v>374</v>
      </c>
      <c r="H84" s="184"/>
      <c r="I84" s="184"/>
    </row>
    <row r="85" spans="2:9" x14ac:dyDescent="0.2">
      <c r="B85" s="184" t="s">
        <v>22</v>
      </c>
      <c r="C85" s="185" t="s">
        <v>373</v>
      </c>
      <c r="D85" s="184" t="s">
        <v>413</v>
      </c>
      <c r="E85" s="184" t="s">
        <v>414</v>
      </c>
      <c r="F85" s="185" t="s">
        <v>26</v>
      </c>
      <c r="G85" s="185" t="s">
        <v>374</v>
      </c>
      <c r="H85" s="184"/>
      <c r="I85" s="184"/>
    </row>
    <row r="86" spans="2:9" x14ac:dyDescent="0.2">
      <c r="B86" s="184" t="s">
        <v>22</v>
      </c>
      <c r="C86" s="185" t="s">
        <v>373</v>
      </c>
      <c r="D86" s="184" t="s">
        <v>415</v>
      </c>
      <c r="E86" s="184" t="s">
        <v>416</v>
      </c>
      <c r="F86" s="185" t="s">
        <v>26</v>
      </c>
      <c r="G86" s="185" t="s">
        <v>374</v>
      </c>
      <c r="H86" s="184"/>
      <c r="I86" s="184"/>
    </row>
    <row r="87" spans="2:9" x14ac:dyDescent="0.2">
      <c r="B87" s="184" t="s">
        <v>22</v>
      </c>
      <c r="C87" s="185" t="s">
        <v>373</v>
      </c>
      <c r="D87" s="184" t="s">
        <v>417</v>
      </c>
      <c r="E87" s="184" t="s">
        <v>418</v>
      </c>
      <c r="F87" s="185" t="s">
        <v>26</v>
      </c>
      <c r="G87" s="185" t="s">
        <v>374</v>
      </c>
      <c r="H87" s="184"/>
      <c r="I87" s="184"/>
    </row>
    <row r="88" spans="2:9" x14ac:dyDescent="0.2">
      <c r="B88" s="184" t="s">
        <v>22</v>
      </c>
      <c r="C88" s="185" t="s">
        <v>373</v>
      </c>
      <c r="D88" s="184" t="s">
        <v>419</v>
      </c>
      <c r="E88" s="184" t="s">
        <v>420</v>
      </c>
      <c r="F88" s="185" t="s">
        <v>26</v>
      </c>
      <c r="G88" s="185" t="s">
        <v>374</v>
      </c>
      <c r="H88" s="184"/>
      <c r="I88" s="184"/>
    </row>
    <row r="89" spans="2:9" x14ac:dyDescent="0.2">
      <c r="B89" s="184" t="s">
        <v>22</v>
      </c>
      <c r="C89" s="185" t="s">
        <v>373</v>
      </c>
      <c r="D89" s="184" t="s">
        <v>421</v>
      </c>
      <c r="E89" s="184" t="s">
        <v>422</v>
      </c>
      <c r="F89" s="185" t="s">
        <v>26</v>
      </c>
      <c r="G89" s="185" t="s">
        <v>374</v>
      </c>
      <c r="H89" s="184"/>
      <c r="I89" s="184"/>
    </row>
  </sheetData>
  <autoFilter ref="B7:J89" xr:uid="{00000000-0001-0000-1100-000000000000}"/>
  <phoneticPr fontId="0" type="noConversion"/>
  <pageMargins left="0.75" right="0.75" top="1" bottom="1" header="0.5" footer="0.5"/>
  <pageSetup paperSize="9" orientation="portrait" horizont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2">
    <tabColor rgb="FFFFC000"/>
  </sheetPr>
  <dimension ref="A1:Z65"/>
  <sheetViews>
    <sheetView topLeftCell="C1" zoomScale="85" workbookViewId="0">
      <selection activeCell="K19" sqref="K19"/>
    </sheetView>
  </sheetViews>
  <sheetFormatPr defaultColWidth="9.140625" defaultRowHeight="12.75" x14ac:dyDescent="0.2"/>
  <cols>
    <col min="1" max="1" width="12.5703125" style="15" bestFit="1" customWidth="1"/>
    <col min="2" max="2" width="13.7109375" style="15" customWidth="1"/>
    <col min="3" max="3" width="31.42578125" style="15" bestFit="1" customWidth="1"/>
    <col min="4" max="4" width="8.85546875" style="15" bestFit="1" customWidth="1"/>
    <col min="5" max="14" width="16.5703125" style="15" bestFit="1" customWidth="1"/>
    <col min="15" max="16" width="14.7109375" style="15" bestFit="1" customWidth="1"/>
    <col min="17" max="18" width="11.7109375" style="15" bestFit="1" customWidth="1"/>
    <col min="19" max="20" width="15.42578125" style="15" bestFit="1" customWidth="1"/>
    <col min="21" max="22" width="12.42578125" style="15" bestFit="1" customWidth="1"/>
    <col min="23" max="24" width="16" style="15" bestFit="1" customWidth="1"/>
    <col min="25" max="26" width="13.140625" style="15" bestFit="1" customWidth="1"/>
    <col min="27" max="16384" width="9.140625" style="15"/>
  </cols>
  <sheetData>
    <row r="1" spans="1:26" x14ac:dyDescent="0.2">
      <c r="A1" s="13" t="s">
        <v>423</v>
      </c>
      <c r="B1" s="14" t="s">
        <v>12</v>
      </c>
    </row>
    <row r="3" spans="1:26" ht="15" customHeight="1" x14ac:dyDescent="0.2"/>
    <row r="4" spans="1:26" ht="20.25" customHeight="1" x14ac:dyDescent="0.2">
      <c r="E4" s="550" t="s">
        <v>424</v>
      </c>
    </row>
    <row r="5" spans="1:26" x14ac:dyDescent="0.2">
      <c r="A5" s="576" t="s">
        <v>14</v>
      </c>
      <c r="B5" s="576" t="s">
        <v>1</v>
      </c>
      <c r="C5" s="576" t="s">
        <v>425</v>
      </c>
      <c r="D5" s="576" t="s">
        <v>426</v>
      </c>
      <c r="E5" s="576" t="s">
        <v>427</v>
      </c>
      <c r="F5" s="576" t="s">
        <v>428</v>
      </c>
      <c r="G5" s="576" t="s">
        <v>429</v>
      </c>
      <c r="H5" s="576" t="s">
        <v>430</v>
      </c>
      <c r="I5" s="576" t="s">
        <v>431</v>
      </c>
      <c r="J5" s="576" t="s">
        <v>432</v>
      </c>
      <c r="K5" s="576" t="s">
        <v>433</v>
      </c>
      <c r="L5" s="576" t="s">
        <v>434</v>
      </c>
      <c r="M5" s="576" t="s">
        <v>435</v>
      </c>
      <c r="N5" s="576" t="s">
        <v>436</v>
      </c>
      <c r="O5" s="595" t="s">
        <v>437</v>
      </c>
      <c r="P5" s="595" t="s">
        <v>438</v>
      </c>
      <c r="Q5" s="595" t="s">
        <v>439</v>
      </c>
      <c r="R5" s="595" t="s">
        <v>440</v>
      </c>
      <c r="S5" s="595" t="s">
        <v>441</v>
      </c>
      <c r="T5" s="595" t="s">
        <v>442</v>
      </c>
      <c r="U5" s="595" t="s">
        <v>443</v>
      </c>
      <c r="V5" s="595" t="s">
        <v>444</v>
      </c>
      <c r="W5" s="595" t="s">
        <v>445</v>
      </c>
      <c r="X5" s="595" t="s">
        <v>446</v>
      </c>
      <c r="Y5" s="595" t="s">
        <v>447</v>
      </c>
      <c r="Z5" s="595" t="s">
        <v>448</v>
      </c>
    </row>
    <row r="6" spans="1:26" x14ac:dyDescent="0.2">
      <c r="A6" s="577" t="s">
        <v>449</v>
      </c>
      <c r="B6" s="577"/>
      <c r="C6" s="577"/>
      <c r="D6" s="577"/>
      <c r="E6" s="578"/>
      <c r="F6" s="578"/>
      <c r="G6" s="578"/>
      <c r="H6" s="578"/>
      <c r="I6" s="578"/>
      <c r="J6" s="578"/>
      <c r="K6" s="578"/>
      <c r="L6" s="578"/>
      <c r="M6" s="578"/>
      <c r="N6" s="578"/>
      <c r="O6" s="596"/>
      <c r="P6" s="596"/>
      <c r="Q6" s="596"/>
      <c r="R6" s="596"/>
      <c r="S6" s="596"/>
      <c r="T6" s="596"/>
      <c r="U6" s="596"/>
      <c r="V6" s="596"/>
      <c r="W6" s="596"/>
      <c r="X6" s="596"/>
      <c r="Y6" s="596"/>
      <c r="Z6" s="596"/>
    </row>
    <row r="7" spans="1:26" x14ac:dyDescent="0.2">
      <c r="A7" s="546" t="s">
        <v>450</v>
      </c>
      <c r="B7" s="546" t="str">
        <f>Commodities!$D$9</f>
        <v>RSC</v>
      </c>
      <c r="C7" s="546" t="s">
        <v>25</v>
      </c>
      <c r="D7" s="546" t="s">
        <v>26</v>
      </c>
      <c r="E7" s="579">
        <f>(1-DmdCalc!R$6)*Pop!D103*Pop!D$49*Pop!D24*Pop!D113/PJ_to_BTU</f>
        <v>9.4272319831982347</v>
      </c>
      <c r="F7" s="579">
        <f>(1-DmdCalc!S$6)*Pop!E103*Pop!E$49*Pop!E24*Pop!E113/PJ_to_BTU</f>
        <v>9.204185431130627</v>
      </c>
      <c r="G7" s="579">
        <f>(1-DmdCalc!T$6)*Pop!F103*Pop!F$49*Pop!F24*Pop!F113/PJ_to_BTU</f>
        <v>9.6137311281182765</v>
      </c>
      <c r="H7" s="579">
        <f>(1-DmdCalc!U$6)*Pop!G103*Pop!G$49*Pop!G24*Pop!G113/PJ_to_BTU</f>
        <v>9.3917215974361863</v>
      </c>
      <c r="I7" s="579">
        <f>(1-DmdCalc!V$6)*Pop!H103*Pop!H$49*Pop!H24*Pop!H113/PJ_to_BTU</f>
        <v>9.2792535224744839</v>
      </c>
      <c r="J7" s="579">
        <f>(1-DmdCalc!W$6)*Pop!I103*Pop!I$49*Pop!I24*Pop!I113/PJ_to_BTU</f>
        <v>9.355551259213243</v>
      </c>
      <c r="K7" s="579">
        <f>(1-DmdCalc!X$6)*Pop!J103*Pop!J$49*Pop!J24*Pop!J113/PJ_to_BTU</f>
        <v>10.173150568460139</v>
      </c>
      <c r="L7" s="579">
        <f>(1-DmdCalc!Y$6)*Pop!K103*Pop!K$49*Pop!K24*Pop!K113/PJ_to_BTU</f>
        <v>10.180275916914892</v>
      </c>
      <c r="M7" s="579">
        <f>(1-DmdCalc!Z$6)*Pop!L103*Pop!L$49*Pop!L24*Pop!L113/PJ_to_BTU</f>
        <v>10.816296853930584</v>
      </c>
      <c r="N7" s="579">
        <f>(1-DmdCalc!AA$6)*Pop!M103*Pop!M$49*Pop!M24*Pop!M113/PJ_to_BTU</f>
        <v>10.837579180297579</v>
      </c>
      <c r="O7" s="306">
        <v>1.66E-2</v>
      </c>
      <c r="P7" s="306">
        <v>5.7700000000000001E-2</v>
      </c>
      <c r="Q7" s="306">
        <v>2.5399999999999999E-2</v>
      </c>
      <c r="R7" s="306">
        <v>2.2000000000000001E-3</v>
      </c>
      <c r="S7" s="306">
        <v>0.1552</v>
      </c>
      <c r="T7" s="306">
        <v>0.50329999999999997</v>
      </c>
      <c r="U7" s="306">
        <v>0.21179999999999999</v>
      </c>
      <c r="V7" s="306">
        <v>1.9199999999999998E-2</v>
      </c>
      <c r="W7" s="306">
        <v>2.5999999999999999E-3</v>
      </c>
      <c r="X7" s="306">
        <v>2.5999999999999999E-3</v>
      </c>
      <c r="Y7" s="306">
        <v>3.3E-3</v>
      </c>
      <c r="Z7" s="306">
        <v>1E-4</v>
      </c>
    </row>
    <row r="8" spans="1:26" x14ac:dyDescent="0.2">
      <c r="A8" s="546" t="s">
        <v>451</v>
      </c>
      <c r="B8" s="546" t="str">
        <f>Commodities!$D$10</f>
        <v>RFZ</v>
      </c>
      <c r="C8" s="546" t="s">
        <v>29</v>
      </c>
      <c r="D8" s="546" t="s">
        <v>26</v>
      </c>
      <c r="E8" s="579"/>
      <c r="F8" s="579"/>
      <c r="G8" s="579"/>
      <c r="H8" s="579"/>
      <c r="I8" s="579"/>
      <c r="J8" s="579"/>
      <c r="K8" s="579"/>
      <c r="L8" s="579"/>
      <c r="M8" s="579"/>
      <c r="N8" s="579"/>
      <c r="O8" s="306">
        <v>7.9500000000000001E-2</v>
      </c>
      <c r="P8" s="306">
        <v>0.1018</v>
      </c>
      <c r="Q8" s="306">
        <v>0.1482</v>
      </c>
      <c r="R8" s="306">
        <v>3.3999999999999998E-3</v>
      </c>
      <c r="S8" s="306">
        <v>0.1033</v>
      </c>
      <c r="T8" s="306">
        <v>0.12839999999999999</v>
      </c>
      <c r="U8" s="306">
        <v>0.1341</v>
      </c>
      <c r="V8" s="306">
        <v>3.3999999999999998E-3</v>
      </c>
      <c r="W8" s="306">
        <v>7.1499999999999994E-2</v>
      </c>
      <c r="X8" s="306">
        <v>0.1017</v>
      </c>
      <c r="Y8" s="306">
        <v>0.1217</v>
      </c>
      <c r="Z8" s="306">
        <v>3.0000000000000001E-3</v>
      </c>
    </row>
    <row r="9" spans="1:26" x14ac:dyDescent="0.2">
      <c r="A9" s="546" t="s">
        <v>450</v>
      </c>
      <c r="B9" s="546" t="str">
        <f>Commodities!$D$11</f>
        <v>RSH</v>
      </c>
      <c r="C9" s="546" t="s">
        <v>31</v>
      </c>
      <c r="D9" s="546" t="s">
        <v>26</v>
      </c>
      <c r="E9" s="579">
        <f>Pop!D95*Pop!D$49*Pop!D24*Pop!D121/PJ_to_BTU</f>
        <v>44.265367328406654</v>
      </c>
      <c r="F9" s="579">
        <f>Pop!E95*Pop!E$49*Pop!E24*Pop!E121/PJ_to_BTU</f>
        <v>44.376666082564206</v>
      </c>
      <c r="G9" s="579">
        <f>Pop!F95*Pop!F$49*Pop!F24*Pop!F121/PJ_to_BTU</f>
        <v>37.39162555928224</v>
      </c>
      <c r="H9" s="579">
        <f>Pop!G95*Pop!G$49*Pop!G24*Pop!G121/PJ_to_BTU</f>
        <v>43.801347198356552</v>
      </c>
      <c r="I9" s="579">
        <f>Pop!H95*Pop!H$49*Pop!H24*Pop!H121/PJ_to_BTU</f>
        <v>42.122428072892234</v>
      </c>
      <c r="J9" s="579">
        <f>Pop!I95*Pop!I$49*Pop!I24*Pop!I121/PJ_to_BTU</f>
        <v>39.971840103221616</v>
      </c>
      <c r="K9" s="579">
        <f>Pop!J95*Pop!J$49*Pop!J24*Pop!J121/PJ_to_BTU</f>
        <v>36.665711949823205</v>
      </c>
      <c r="L9" s="579">
        <f>Pop!K95*Pop!K$49*Pop!K24*Pop!K121/PJ_to_BTU</f>
        <v>35.16673784082537</v>
      </c>
      <c r="M9" s="579">
        <f>Pop!L95*Pop!L$49*Pop!L24*Pop!L121/PJ_to_BTU</f>
        <v>32.497761152033874</v>
      </c>
      <c r="N9" s="579">
        <f>Pop!M95*Pop!M$49*Pop!M24*Pop!M121/PJ_to_BTU</f>
        <v>31.255486602062838</v>
      </c>
      <c r="O9" s="306">
        <v>8.2400000000000001E-2</v>
      </c>
      <c r="P9" s="306">
        <v>7.0599999999999996E-2</v>
      </c>
      <c r="Q9" s="306">
        <v>0.12130000000000001</v>
      </c>
      <c r="R9" s="306">
        <v>4.0000000000000001E-3</v>
      </c>
      <c r="S9" s="306">
        <v>1.03E-2</v>
      </c>
      <c r="T9" s="306">
        <v>5.8999999999999999E-3</v>
      </c>
      <c r="U9" s="306">
        <v>7.4000000000000003E-3</v>
      </c>
      <c r="V9" s="306">
        <v>2.0000000000000001E-4</v>
      </c>
      <c r="W9" s="306">
        <v>0.19470000000000001</v>
      </c>
      <c r="X9" s="306">
        <v>0.17510000000000001</v>
      </c>
      <c r="Y9" s="306">
        <v>0.31940000000000002</v>
      </c>
      <c r="Z9" s="306">
        <v>8.6999999999999994E-3</v>
      </c>
    </row>
    <row r="10" spans="1:26" x14ac:dyDescent="0.2">
      <c r="A10" s="546" t="s">
        <v>450</v>
      </c>
      <c r="B10" s="546" t="str">
        <f>Commodities!$D$12</f>
        <v>RLT</v>
      </c>
      <c r="C10" s="546" t="s">
        <v>33</v>
      </c>
      <c r="D10" s="546" t="str">
        <f>Commodities!$F$12</f>
        <v>bn-lum-yr</v>
      </c>
      <c r="E10" s="579">
        <f>DmdCalc!E$7*Pop!D24/Pop!D$28</f>
        <v>2.8411940408825158</v>
      </c>
      <c r="F10" s="579">
        <f>DmdCalc!F$7*Pop!E24/Pop!E$28</f>
        <v>2.7230091080630578</v>
      </c>
      <c r="G10" s="579">
        <f>DmdCalc!G$7*Pop!F24/Pop!F$28</f>
        <v>2.5743822470903774</v>
      </c>
      <c r="H10" s="579">
        <f>DmdCalc!H$7*Pop!G24/Pop!G$28</f>
        <v>0.89649269118211761</v>
      </c>
      <c r="I10" s="579">
        <f>DmdCalc!I$7*Pop!H24/Pop!H$28</f>
        <v>0.91090785853453005</v>
      </c>
      <c r="J10" s="579">
        <f>DmdCalc!J$7*Pop!I24/Pop!I$28</f>
        <v>0.91204900041345971</v>
      </c>
      <c r="K10" s="579">
        <f>DmdCalc!K$7*Pop!J24/Pop!J$28</f>
        <v>0.91033260191439547</v>
      </c>
      <c r="L10" s="579">
        <f>DmdCalc!L$7*Pop!K24/Pop!K$28</f>
        <v>0.87873969215388636</v>
      </c>
      <c r="M10" s="579">
        <f>DmdCalc!M$7*Pop!L24/Pop!L$28</f>
        <v>0.88575413930544022</v>
      </c>
      <c r="N10" s="579">
        <f>DmdCalc!N$7*Pop!M24/Pop!M$28</f>
        <v>0.8927879712799951</v>
      </c>
      <c r="O10" s="306">
        <v>6.2700000000000006E-2</v>
      </c>
      <c r="P10" s="306">
        <v>0.09</v>
      </c>
      <c r="Q10" s="306">
        <v>0.17730000000000001</v>
      </c>
      <c r="R10" s="306">
        <v>3.3E-3</v>
      </c>
      <c r="S10" s="306">
        <v>5.91E-2</v>
      </c>
      <c r="T10" s="306">
        <v>9.1399999999999995E-2</v>
      </c>
      <c r="U10" s="306">
        <v>0.13150000000000001</v>
      </c>
      <c r="V10" s="306">
        <v>1.4E-3</v>
      </c>
      <c r="W10" s="306">
        <v>7.4200000000000002E-2</v>
      </c>
      <c r="X10" s="306">
        <v>0.1447</v>
      </c>
      <c r="Y10" s="306">
        <v>0.1595</v>
      </c>
      <c r="Z10" s="306">
        <v>4.8999999999999998E-3</v>
      </c>
    </row>
    <row r="11" spans="1:26" x14ac:dyDescent="0.2">
      <c r="A11" s="546" t="s">
        <v>450</v>
      </c>
      <c r="B11" s="546" t="str">
        <f>Commodities!$D$13</f>
        <v>ROE</v>
      </c>
      <c r="C11" s="546" t="s">
        <v>36</v>
      </c>
      <c r="D11" s="546" t="s">
        <v>26</v>
      </c>
      <c r="E11" s="579">
        <f>DmdCalc!E$8*Pop!D24/Pop!D$28</f>
        <v>8.9321044496064914</v>
      </c>
      <c r="F11" s="579">
        <f>DmdCalc!F$8*Pop!E24/Pop!E$28</f>
        <v>8.5605563789280001</v>
      </c>
      <c r="G11" s="579">
        <f>DmdCalc!G$8*Pop!F24/Pop!F$28</f>
        <v>8.0933054178451833</v>
      </c>
      <c r="H11" s="579">
        <f>DmdCalc!H$8*Pop!G24/Pop!G$28</f>
        <v>10.027880389383105</v>
      </c>
      <c r="I11" s="579">
        <f>DmdCalc!I$8*Pop!H24/Pop!H$28</f>
        <v>10.558733657978587</v>
      </c>
      <c r="J11" s="579">
        <f>DmdCalc!J$8*Pop!I24/Pop!I$28</f>
        <v>11.109994721176564</v>
      </c>
      <c r="K11" s="579">
        <f>DmdCalc!K$8*Pop!J24/Pop!J$28</f>
        <v>11.816972459309715</v>
      </c>
      <c r="L11" s="579">
        <f>DmdCalc!L$8*Pop!K24/Pop!K$28</f>
        <v>12.652414653943671</v>
      </c>
      <c r="M11" s="579">
        <f>DmdCalc!M$8*Pop!L24/Pop!L$28</f>
        <v>13.721721204398637</v>
      </c>
      <c r="N11" s="579">
        <f>DmdCalc!N$8*Pop!M24/Pop!M$28</f>
        <v>14.896150142600879</v>
      </c>
      <c r="O11" s="306">
        <v>8.9200000000000002E-2</v>
      </c>
      <c r="P11" s="306">
        <v>0.1211</v>
      </c>
      <c r="Q11" s="306">
        <v>0.1084</v>
      </c>
      <c r="R11" s="306">
        <v>4.4000000000000003E-3</v>
      </c>
      <c r="S11" s="306">
        <v>8.6499999999999994E-2</v>
      </c>
      <c r="T11" s="306">
        <v>0.12570000000000001</v>
      </c>
      <c r="U11" s="306">
        <v>6.7400000000000002E-2</v>
      </c>
      <c r="V11" s="306">
        <v>3.0999999999999999E-3</v>
      </c>
      <c r="W11" s="306">
        <v>0.1079</v>
      </c>
      <c r="X11" s="306">
        <v>0.17180000000000001</v>
      </c>
      <c r="Y11" s="306">
        <v>0.1091</v>
      </c>
      <c r="Z11" s="306">
        <v>5.4000000000000003E-3</v>
      </c>
    </row>
    <row r="12" spans="1:26" x14ac:dyDescent="0.2">
      <c r="A12" s="546" t="s">
        <v>450</v>
      </c>
      <c r="B12" s="546" t="str">
        <f>Commodities!$D$14</f>
        <v>ROG</v>
      </c>
      <c r="C12" s="546" t="s">
        <v>38</v>
      </c>
      <c r="D12" s="546" t="s">
        <v>26</v>
      </c>
      <c r="E12" s="579">
        <f>DmdCalc!E$10*Pop!D24/Pop!D$28</f>
        <v>0.80672192434477796</v>
      </c>
      <c r="F12" s="579">
        <f>DmdCalc!F$10*Pop!E24/Pop!E$28</f>
        <v>0.90430383912931001</v>
      </c>
      <c r="G12" s="579">
        <f>DmdCalc!G$10*Pop!F24/Pop!F$28</f>
        <v>0.93116313532971973</v>
      </c>
      <c r="H12" s="579">
        <f>DmdCalc!H$10*Pop!G24/Pop!G$28</f>
        <v>1.1069887783961265</v>
      </c>
      <c r="I12" s="579">
        <f>DmdCalc!I$10*Pop!H24/Pop!H$28</f>
        <v>1.1309660556589942</v>
      </c>
      <c r="J12" s="579">
        <f>DmdCalc!J$10*Pop!I24/Pop!I$28</f>
        <v>1.146915924847034</v>
      </c>
      <c r="K12" s="579">
        <f>DmdCalc!K$10*Pop!J24/Pop!J$28</f>
        <v>1.1681422879743966</v>
      </c>
      <c r="L12" s="579">
        <f>DmdCalc!L$10*Pop!K24/Pop!K$28</f>
        <v>1.1886464809176678</v>
      </c>
      <c r="M12" s="579">
        <f>DmdCalc!M$10*Pop!L24/Pop!L$28</f>
        <v>1.2077190892705305</v>
      </c>
      <c r="N12" s="579">
        <f>DmdCalc!N$10*Pop!M24/Pop!M$28</f>
        <v>1.2282186723714461</v>
      </c>
      <c r="O12" s="306"/>
      <c r="P12" s="306"/>
      <c r="Q12" s="306"/>
      <c r="R12" s="306"/>
      <c r="S12" s="306"/>
      <c r="T12" s="306"/>
      <c r="U12" s="306"/>
      <c r="V12" s="306"/>
      <c r="W12" s="306"/>
      <c r="X12" s="306"/>
      <c r="Y12" s="306"/>
      <c r="Z12" s="306"/>
    </row>
    <row r="13" spans="1:26" x14ac:dyDescent="0.2">
      <c r="A13" s="546" t="s">
        <v>451</v>
      </c>
      <c r="B13" s="546" t="str">
        <f>Commodities!$D$15</f>
        <v>ROL</v>
      </c>
      <c r="C13" s="546" t="s">
        <v>40</v>
      </c>
      <c r="D13" s="546" t="s">
        <v>26</v>
      </c>
      <c r="E13" s="579"/>
      <c r="F13" s="579"/>
      <c r="G13" s="579"/>
      <c r="H13" s="579"/>
      <c r="I13" s="579"/>
      <c r="J13" s="579"/>
      <c r="K13" s="579"/>
      <c r="L13" s="579"/>
      <c r="M13" s="579"/>
      <c r="N13" s="579"/>
      <c r="O13" s="306"/>
      <c r="P13" s="306"/>
      <c r="Q13" s="306"/>
      <c r="R13" s="306"/>
      <c r="S13" s="306"/>
      <c r="T13" s="306"/>
      <c r="U13" s="306"/>
      <c r="V13" s="306"/>
      <c r="W13" s="306"/>
      <c r="X13" s="306"/>
      <c r="Y13" s="306"/>
      <c r="Z13" s="306"/>
    </row>
    <row r="14" spans="1:26" x14ac:dyDescent="0.2">
      <c r="A14" s="546" t="s">
        <v>451</v>
      </c>
      <c r="B14" s="546" t="str">
        <f>Commodities!$D$16</f>
        <v>RRF</v>
      </c>
      <c r="C14" s="546" t="s">
        <v>42</v>
      </c>
      <c r="D14" s="546" t="s">
        <v>26</v>
      </c>
      <c r="E14" s="579"/>
      <c r="F14" s="579"/>
      <c r="G14" s="579"/>
      <c r="H14" s="579"/>
      <c r="I14" s="579"/>
      <c r="J14" s="579"/>
      <c r="K14" s="579"/>
      <c r="L14" s="579"/>
      <c r="M14" s="579"/>
      <c r="N14" s="579"/>
      <c r="O14" s="306">
        <v>7.8799999999999995E-2</v>
      </c>
      <c r="P14" s="306">
        <v>0.1045</v>
      </c>
      <c r="Q14" s="306">
        <v>0.15049999999999999</v>
      </c>
      <c r="R14" s="306">
        <v>3.5000000000000001E-3</v>
      </c>
      <c r="S14" s="306">
        <v>0.1018</v>
      </c>
      <c r="T14" s="306">
        <v>0.12859999999999999</v>
      </c>
      <c r="U14" s="306">
        <v>0.13289999999999999</v>
      </c>
      <c r="V14" s="306">
        <v>3.3999999999999998E-3</v>
      </c>
      <c r="W14" s="306">
        <v>6.9599999999999995E-2</v>
      </c>
      <c r="X14" s="306">
        <v>0.1051</v>
      </c>
      <c r="Y14" s="306">
        <v>0.1181</v>
      </c>
      <c r="Z14" s="306">
        <v>3.2000000000000002E-3</v>
      </c>
    </row>
    <row r="15" spans="1:26" x14ac:dyDescent="0.2">
      <c r="A15" s="546" t="s">
        <v>450</v>
      </c>
      <c r="B15" s="546" t="str">
        <f>Commodities!$D$17</f>
        <v>RWH</v>
      </c>
      <c r="C15" s="546" t="s">
        <v>44</v>
      </c>
      <c r="D15" s="546" t="s">
        <v>26</v>
      </c>
      <c r="E15" s="579">
        <f>DmdCalc!E$5*Pop!D24/Pop!D$28</f>
        <v>11.919111814710643</v>
      </c>
      <c r="F15" s="579">
        <f>DmdCalc!F$5*Pop!E24/Pop!E$28</f>
        <v>12.146867162606307</v>
      </c>
      <c r="G15" s="579">
        <f>DmdCalc!G$5*Pop!F24/Pop!F$28</f>
        <v>11.70838926008541</v>
      </c>
      <c r="H15" s="579">
        <f>DmdCalc!H$5*Pop!G24/Pop!G$28</f>
        <v>12.736536122112962</v>
      </c>
      <c r="I15" s="579">
        <f>DmdCalc!I$5*Pop!H24/Pop!H$28</f>
        <v>11.953858749659314</v>
      </c>
      <c r="J15" s="579">
        <f>DmdCalc!J$5*Pop!I24/Pop!I$28</f>
        <v>11.840225071506731</v>
      </c>
      <c r="K15" s="579">
        <f>DmdCalc!K$5*Pop!J24/Pop!J$28</f>
        <v>11.793674369443318</v>
      </c>
      <c r="L15" s="579">
        <f>DmdCalc!L$5*Pop!K24/Pop!K$28</f>
        <v>11.604949057467302</v>
      </c>
      <c r="M15" s="579">
        <f>DmdCalc!M$5*Pop!L24/Pop!L$28</f>
        <v>11.357787491584684</v>
      </c>
      <c r="N15" s="579">
        <f>DmdCalc!N$5*Pop!M24/Pop!M$28</f>
        <v>11.115907598250026</v>
      </c>
      <c r="O15" s="306">
        <v>0.1215</v>
      </c>
      <c r="P15" s="306">
        <v>0.1114</v>
      </c>
      <c r="Q15" s="306">
        <v>0.12790000000000001</v>
      </c>
      <c r="R15" s="306">
        <v>5.3E-3</v>
      </c>
      <c r="S15" s="306">
        <v>8.6800000000000002E-2</v>
      </c>
      <c r="T15" s="306">
        <v>8.9200000000000002E-2</v>
      </c>
      <c r="U15" s="306">
        <v>6.5299999999999997E-2</v>
      </c>
      <c r="V15" s="306">
        <v>2E-3</v>
      </c>
      <c r="W15" s="306">
        <v>0.13239999999999999</v>
      </c>
      <c r="X15" s="306">
        <v>0.14860000000000001</v>
      </c>
      <c r="Y15" s="306">
        <v>0.1042</v>
      </c>
      <c r="Z15" s="306">
        <v>5.4000000000000003E-3</v>
      </c>
    </row>
    <row r="16" spans="1:26" x14ac:dyDescent="0.2">
      <c r="A16" s="577" t="s">
        <v>452</v>
      </c>
      <c r="B16" s="577"/>
      <c r="C16" s="577"/>
      <c r="D16" s="577"/>
      <c r="E16" s="578"/>
      <c r="F16" s="578"/>
      <c r="G16" s="578"/>
      <c r="H16" s="578"/>
      <c r="I16" s="578"/>
      <c r="J16" s="578"/>
      <c r="K16" s="578"/>
      <c r="L16" s="578"/>
      <c r="M16" s="578"/>
      <c r="N16" s="578"/>
      <c r="O16" s="596"/>
      <c r="P16" s="596"/>
      <c r="Q16" s="596"/>
      <c r="R16" s="596"/>
      <c r="S16" s="596"/>
      <c r="T16" s="596"/>
      <c r="U16" s="596"/>
      <c r="V16" s="596"/>
      <c r="W16" s="596"/>
      <c r="X16" s="596"/>
      <c r="Y16" s="596"/>
      <c r="Z16" s="596"/>
    </row>
    <row r="17" spans="1:26" x14ac:dyDescent="0.2">
      <c r="A17" s="546" t="s">
        <v>453</v>
      </c>
      <c r="B17" s="546" t="str">
        <f>Commodities!$D$9</f>
        <v>RSC</v>
      </c>
      <c r="C17" s="546" t="s">
        <v>25</v>
      </c>
      <c r="D17" s="546" t="s">
        <v>26</v>
      </c>
      <c r="E17" s="579">
        <f>(1-DmdCalc!R$6)*Pop!D102*Pop!D$49*Pop!D23*Pop!D112/PJ_to_BTU</f>
        <v>4.7126374385079268</v>
      </c>
      <c r="F17" s="579">
        <f>(1-DmdCalc!S$6)*Pop!E102*Pop!E$49*Pop!E23*Pop!E112/PJ_to_BTU</f>
        <v>4.6812322639707036</v>
      </c>
      <c r="G17" s="579">
        <f>(1-DmdCalc!T$6)*Pop!F102*Pop!F$49*Pop!F23*Pop!F112/PJ_to_BTU</f>
        <v>4.9571109111086002</v>
      </c>
      <c r="H17" s="579">
        <f>(1-DmdCalc!U$6)*Pop!G102*Pop!G$49*Pop!G23*Pop!G112/PJ_to_BTU</f>
        <v>4.93229432266115</v>
      </c>
      <c r="I17" s="579">
        <f>(1-DmdCalc!V$6)*Pop!H102*Pop!H$49*Pop!H23*Pop!H112/PJ_to_BTU</f>
        <v>4.8372334225816775</v>
      </c>
      <c r="J17" s="579">
        <f>(1-DmdCalc!W$6)*Pop!I102*Pop!I$49*Pop!I23*Pop!I112/PJ_to_BTU</f>
        <v>4.8988356010219389</v>
      </c>
      <c r="K17" s="579">
        <f>(1-DmdCalc!X$6)*Pop!J102*Pop!J$49*Pop!J23*Pop!J112/PJ_to_BTU</f>
        <v>5.3499581333713788</v>
      </c>
      <c r="L17" s="579">
        <f>(1-DmdCalc!Y$6)*Pop!K102*Pop!K$49*Pop!K23*Pop!K112/PJ_to_BTU</f>
        <v>5.3024708181082714</v>
      </c>
      <c r="M17" s="579">
        <f>(1-DmdCalc!Z$6)*Pop!L102*Pop!L$49*Pop!L23*Pop!L112/PJ_to_BTU</f>
        <v>5.6213636926708821</v>
      </c>
      <c r="N17" s="579">
        <f>(1-DmdCalc!AA$6)*Pop!M102*Pop!M$49*Pop!M23*Pop!M112/PJ_to_BTU</f>
        <v>5.620581532030493</v>
      </c>
      <c r="O17" s="306">
        <v>1.9400000000000001E-2</v>
      </c>
      <c r="P17" s="306">
        <v>6.7100000000000007E-2</v>
      </c>
      <c r="Q17" s="306">
        <v>2.98E-2</v>
      </c>
      <c r="R17" s="306">
        <v>2.5999999999999999E-3</v>
      </c>
      <c r="S17" s="306">
        <v>0.152</v>
      </c>
      <c r="T17" s="306">
        <v>0.49299999999999999</v>
      </c>
      <c r="U17" s="306">
        <v>0.2074</v>
      </c>
      <c r="V17" s="306">
        <v>1.8800000000000001E-2</v>
      </c>
      <c r="W17" s="306">
        <v>3.0000000000000001E-3</v>
      </c>
      <c r="X17" s="306">
        <v>3.0000000000000001E-3</v>
      </c>
      <c r="Y17" s="306">
        <v>3.7000000000000002E-3</v>
      </c>
      <c r="Z17" s="306">
        <v>2.0000000000000001E-4</v>
      </c>
    </row>
    <row r="18" spans="1:26" x14ac:dyDescent="0.2">
      <c r="A18" s="546" t="s">
        <v>454</v>
      </c>
      <c r="B18" s="546" t="str">
        <f>Commodities!$D$10</f>
        <v>RFZ</v>
      </c>
      <c r="C18" s="546" t="s">
        <v>29</v>
      </c>
      <c r="D18" s="546" t="s">
        <v>26</v>
      </c>
      <c r="E18" s="579"/>
      <c r="F18" s="579"/>
      <c r="G18" s="579"/>
      <c r="H18" s="579"/>
      <c r="I18" s="579"/>
      <c r="J18" s="579"/>
      <c r="K18" s="579"/>
      <c r="L18" s="579"/>
      <c r="M18" s="579"/>
      <c r="N18" s="579"/>
      <c r="O18" s="306">
        <v>7.9500000000000001E-2</v>
      </c>
      <c r="P18" s="306">
        <v>0.1018</v>
      </c>
      <c r="Q18" s="306">
        <v>0.1482</v>
      </c>
      <c r="R18" s="306">
        <v>3.3999999999999998E-3</v>
      </c>
      <c r="S18" s="306">
        <v>0.1033</v>
      </c>
      <c r="T18" s="306">
        <v>0.12839999999999999</v>
      </c>
      <c r="U18" s="306">
        <v>0.1341</v>
      </c>
      <c r="V18" s="306">
        <v>3.3999999999999998E-3</v>
      </c>
      <c r="W18" s="306">
        <v>7.1499999999999994E-2</v>
      </c>
      <c r="X18" s="306">
        <v>0.1017</v>
      </c>
      <c r="Y18" s="306">
        <v>0.1217</v>
      </c>
      <c r="Z18" s="306">
        <v>3.0000000000000001E-3</v>
      </c>
    </row>
    <row r="19" spans="1:26" x14ac:dyDescent="0.2">
      <c r="A19" s="546" t="s">
        <v>453</v>
      </c>
      <c r="B19" s="546" t="str">
        <f>Commodities!$D$11</f>
        <v>RSH</v>
      </c>
      <c r="C19" s="546" t="s">
        <v>31</v>
      </c>
      <c r="D19" s="546" t="s">
        <v>26</v>
      </c>
      <c r="E19" s="579">
        <f>Pop!D94*Pop!D$49*Pop!D23*Pop!D120/PJ_to_BTU</f>
        <v>21.04343473550983</v>
      </c>
      <c r="F19" s="579">
        <f>Pop!E94*Pop!E$49*Pop!E23*Pop!E120/PJ_to_BTU</f>
        <v>21.513374252978178</v>
      </c>
      <c r="G19" s="579">
        <f>Pop!F94*Pop!F$49*Pop!F23*Pop!F120/PJ_to_BTU</f>
        <v>18.25194384411423</v>
      </c>
      <c r="H19" s="579">
        <f>Pop!G94*Pop!G$49*Pop!G23*Pop!G120/PJ_to_BTU</f>
        <v>21.213828414624746</v>
      </c>
      <c r="I19" s="579">
        <f>Pop!H94*Pop!H$49*Pop!H23*Pop!H120/PJ_to_BTU</f>
        <v>20.250008569434424</v>
      </c>
      <c r="J19" s="579">
        <f>Pop!I94*Pop!I$49*Pop!I23*Pop!I120/PJ_to_BTU</f>
        <v>19.302138770143365</v>
      </c>
      <c r="K19" s="579">
        <f>Pop!J94*Pop!J$49*Pop!J23*Pop!J120/PJ_to_BTU</f>
        <v>17.782091587388877</v>
      </c>
      <c r="L19" s="579">
        <f>Pop!K94*Pop!K$49*Pop!K23*Pop!K120/PJ_to_BTU</f>
        <v>16.891905048331726</v>
      </c>
      <c r="M19" s="579">
        <f>Pop!L94*Pop!L$49*Pop!L23*Pop!L120/PJ_to_BTU</f>
        <v>15.575583959567265</v>
      </c>
      <c r="N19" s="579">
        <f>Pop!M94*Pop!M$49*Pop!M23*Pop!M120/PJ_to_BTU</f>
        <v>14.948686794933183</v>
      </c>
      <c r="O19" s="306">
        <v>7.7899999999999997E-2</v>
      </c>
      <c r="P19" s="306">
        <v>6.6799999999999998E-2</v>
      </c>
      <c r="Q19" s="306">
        <v>0.1147</v>
      </c>
      <c r="R19" s="306">
        <v>3.8E-3</v>
      </c>
      <c r="S19" s="306">
        <v>1.0500000000000001E-2</v>
      </c>
      <c r="T19" s="306">
        <v>6.0000000000000001E-3</v>
      </c>
      <c r="U19" s="306">
        <v>7.4999999999999997E-3</v>
      </c>
      <c r="V19" s="306">
        <v>2.0000000000000001E-4</v>
      </c>
      <c r="W19" s="306">
        <v>0.19889999999999999</v>
      </c>
      <c r="X19" s="306">
        <v>0.1787</v>
      </c>
      <c r="Y19" s="306">
        <v>0.32619999999999999</v>
      </c>
      <c r="Z19" s="306">
        <v>8.8000000000000005E-3</v>
      </c>
    </row>
    <row r="20" spans="1:26" x14ac:dyDescent="0.2">
      <c r="A20" s="546" t="s">
        <v>453</v>
      </c>
      <c r="B20" s="546" t="str">
        <f>Commodities!$D$12</f>
        <v>RLT</v>
      </c>
      <c r="C20" s="546" t="s">
        <v>33</v>
      </c>
      <c r="D20" s="546" t="str">
        <f>Commodities!$F$12</f>
        <v>bn-lum-yr</v>
      </c>
      <c r="E20" s="579">
        <f>DmdCalc!E$7*Pop!D23/Pop!D$28</f>
        <v>1.4807421838728763</v>
      </c>
      <c r="F20" s="579">
        <f>DmdCalc!F$7*Pop!E23/Pop!E$28</f>
        <v>1.4314465803351759</v>
      </c>
      <c r="G20" s="579">
        <f>DmdCalc!G$7*Pop!F23/Pop!F$28</f>
        <v>1.3626364447524679</v>
      </c>
      <c r="H20" s="579">
        <f>DmdCalc!H$7*Pop!G23/Pop!G$28</f>
        <v>0.47081525630315307</v>
      </c>
      <c r="I20" s="579">
        <f>DmdCalc!I$7*Pop!H23/Pop!H$28</f>
        <v>0.47485219878123514</v>
      </c>
      <c r="J20" s="579">
        <f>DmdCalc!J$7*Pop!I23/Pop!I$28</f>
        <v>0.47757507701130014</v>
      </c>
      <c r="K20" s="579">
        <f>DmdCalc!K$7*Pop!J23/Pop!J$28</f>
        <v>0.47873481031375659</v>
      </c>
      <c r="L20" s="579">
        <f>DmdCalc!L$7*Pop!K23/Pop!K$28</f>
        <v>0.45769796539772722</v>
      </c>
      <c r="M20" s="579">
        <f>DmdCalc!M$7*Pop!L23/Pop!L$28</f>
        <v>0.46033741737729339</v>
      </c>
      <c r="N20" s="579">
        <f>DmdCalc!N$7*Pop!M23/Pop!M$28</f>
        <v>0.46301738607067089</v>
      </c>
      <c r="O20" s="306">
        <v>6.2700000000000006E-2</v>
      </c>
      <c r="P20" s="306">
        <v>0.09</v>
      </c>
      <c r="Q20" s="306">
        <v>0.17730000000000001</v>
      </c>
      <c r="R20" s="306">
        <v>3.3E-3</v>
      </c>
      <c r="S20" s="306">
        <v>5.91E-2</v>
      </c>
      <c r="T20" s="306">
        <v>9.1399999999999995E-2</v>
      </c>
      <c r="U20" s="306">
        <v>0.13150000000000001</v>
      </c>
      <c r="V20" s="306">
        <v>1.4E-3</v>
      </c>
      <c r="W20" s="306">
        <v>7.4200000000000002E-2</v>
      </c>
      <c r="X20" s="306">
        <v>0.1447</v>
      </c>
      <c r="Y20" s="306">
        <v>0.1595</v>
      </c>
      <c r="Z20" s="306">
        <v>4.8999999999999998E-3</v>
      </c>
    </row>
    <row r="21" spans="1:26" x14ac:dyDescent="0.2">
      <c r="A21" s="546" t="s">
        <v>453</v>
      </c>
      <c r="B21" s="546" t="str">
        <f>Commodities!$D$13</f>
        <v>ROE</v>
      </c>
      <c r="C21" s="546" t="s">
        <v>36</v>
      </c>
      <c r="D21" s="546" t="s">
        <v>26</v>
      </c>
      <c r="E21" s="579">
        <f>DmdCalc!E$8*Pop!D23/Pop!D$28</f>
        <v>4.6551357137095497</v>
      </c>
      <c r="F21" s="579">
        <f>DmdCalc!F$8*Pop!E23/Pop!E$28</f>
        <v>4.5001609131963249</v>
      </c>
      <c r="G21" s="579">
        <f>DmdCalc!G$8*Pop!F23/Pop!F$28</f>
        <v>4.2838366110288382</v>
      </c>
      <c r="H21" s="579">
        <f>DmdCalc!H$8*Pop!G23/Pop!G$28</f>
        <v>5.2663888084567416</v>
      </c>
      <c r="I21" s="579">
        <f>DmdCalc!I$8*Pop!H23/Pop!H$28</f>
        <v>5.5042207034011499</v>
      </c>
      <c r="J21" s="579">
        <f>DmdCalc!J$8*Pop!I23/Pop!I$28</f>
        <v>5.8175126360050049</v>
      </c>
      <c r="K21" s="579">
        <f>DmdCalc!K$8*Pop!J23/Pop!J$28</f>
        <v>6.2144276244678593</v>
      </c>
      <c r="L21" s="579">
        <f>DmdCalc!L$8*Pop!K23/Pop!K$28</f>
        <v>6.5901022750936358</v>
      </c>
      <c r="M21" s="579">
        <f>DmdCalc!M$8*Pop!L23/Pop!L$28</f>
        <v>7.1313487805512938</v>
      </c>
      <c r="N21" s="579">
        <f>DmdCalc!N$8*Pop!M23/Pop!M$28</f>
        <v>7.7254361880064195</v>
      </c>
      <c r="O21" s="306">
        <v>8.9200000000000002E-2</v>
      </c>
      <c r="P21" s="306">
        <v>0.1211</v>
      </c>
      <c r="Q21" s="306">
        <v>0.1084</v>
      </c>
      <c r="R21" s="306">
        <v>4.4000000000000003E-3</v>
      </c>
      <c r="S21" s="306">
        <v>8.6499999999999994E-2</v>
      </c>
      <c r="T21" s="306">
        <v>0.12570000000000001</v>
      </c>
      <c r="U21" s="306">
        <v>6.7400000000000002E-2</v>
      </c>
      <c r="V21" s="306">
        <v>3.0999999999999999E-3</v>
      </c>
      <c r="W21" s="306">
        <v>0.1079</v>
      </c>
      <c r="X21" s="306">
        <v>0.17180000000000001</v>
      </c>
      <c r="Y21" s="306">
        <v>0.1091</v>
      </c>
      <c r="Z21" s="306">
        <v>5.4000000000000003E-3</v>
      </c>
    </row>
    <row r="22" spans="1:26" x14ac:dyDescent="0.2">
      <c r="A22" s="546" t="s">
        <v>453</v>
      </c>
      <c r="B22" s="546" t="str">
        <f>Commodities!$D$14</f>
        <v>ROG</v>
      </c>
      <c r="C22" s="546" t="s">
        <v>38</v>
      </c>
      <c r="D22" s="546" t="s">
        <v>26</v>
      </c>
      <c r="E22" s="579">
        <f>DmdCalc!E$10*Pop!D23/Pop!D$28</f>
        <v>0.42043843779897982</v>
      </c>
      <c r="F22" s="579">
        <f>DmdCalc!F$10*Pop!E23/Pop!E$28</f>
        <v>0.47537947422673305</v>
      </c>
      <c r="G22" s="579">
        <f>DmdCalc!G$10*Pop!F23/Pop!F$28</f>
        <v>0.49287040634479085</v>
      </c>
      <c r="H22" s="579">
        <f>DmdCalc!H$10*Pop!G23/Pop!G$28</f>
        <v>0.58136247015917975</v>
      </c>
      <c r="I22" s="579">
        <f>DmdCalc!I$10*Pop!H23/Pop!H$28</f>
        <v>0.58956755422069551</v>
      </c>
      <c r="J22" s="579">
        <f>DmdCalc!J$10*Pop!I23/Pop!I$28</f>
        <v>0.60055815080768937</v>
      </c>
      <c r="K22" s="579">
        <f>DmdCalc!K$10*Pop!J23/Pop!J$28</f>
        <v>0.61431434563242027</v>
      </c>
      <c r="L22" s="579">
        <f>DmdCalc!L$10*Pop!K23/Pop!K$28</f>
        <v>0.61911517227551338</v>
      </c>
      <c r="M22" s="579">
        <f>DmdCalc!M$10*Pop!L23/Pop!L$28</f>
        <v>0.62766659708528705</v>
      </c>
      <c r="N22" s="579">
        <f>DmdCalc!N$10*Pop!M23/Pop!M$28</f>
        <v>0.63697833920106195</v>
      </c>
      <c r="O22" s="306"/>
      <c r="P22" s="306"/>
      <c r="Q22" s="306"/>
      <c r="R22" s="306"/>
      <c r="S22" s="306"/>
      <c r="T22" s="306"/>
      <c r="U22" s="306"/>
      <c r="V22" s="306"/>
      <c r="W22" s="306"/>
      <c r="X22" s="306"/>
      <c r="Y22" s="306"/>
      <c r="Z22" s="306"/>
    </row>
    <row r="23" spans="1:26" x14ac:dyDescent="0.2">
      <c r="A23" s="546" t="s">
        <v>454</v>
      </c>
      <c r="B23" s="546" t="str">
        <f>Commodities!$D$15</f>
        <v>ROL</v>
      </c>
      <c r="C23" s="546" t="s">
        <v>40</v>
      </c>
      <c r="D23" s="546" t="s">
        <v>26</v>
      </c>
      <c r="E23" s="579"/>
      <c r="F23" s="579"/>
      <c r="G23" s="579"/>
      <c r="H23" s="579"/>
      <c r="I23" s="579"/>
      <c r="J23" s="579"/>
      <c r="K23" s="579"/>
      <c r="L23" s="579"/>
      <c r="M23" s="579"/>
      <c r="N23" s="579"/>
      <c r="O23" s="306"/>
      <c r="P23" s="306"/>
      <c r="Q23" s="306"/>
      <c r="R23" s="306"/>
      <c r="S23" s="306"/>
      <c r="T23" s="306"/>
      <c r="U23" s="306"/>
      <c r="V23" s="306"/>
      <c r="W23" s="306"/>
      <c r="X23" s="306"/>
      <c r="Y23" s="306"/>
      <c r="Z23" s="306"/>
    </row>
    <row r="24" spans="1:26" x14ac:dyDescent="0.2">
      <c r="A24" s="546" t="s">
        <v>454</v>
      </c>
      <c r="B24" s="546" t="str">
        <f>Commodities!$D$16</f>
        <v>RRF</v>
      </c>
      <c r="C24" s="546" t="s">
        <v>42</v>
      </c>
      <c r="D24" s="546" t="s">
        <v>26</v>
      </c>
      <c r="E24" s="579"/>
      <c r="F24" s="579"/>
      <c r="G24" s="579"/>
      <c r="H24" s="579"/>
      <c r="I24" s="579"/>
      <c r="J24" s="579"/>
      <c r="K24" s="579"/>
      <c r="L24" s="579"/>
      <c r="M24" s="579"/>
      <c r="N24" s="579"/>
      <c r="O24" s="306">
        <v>7.8799999999999995E-2</v>
      </c>
      <c r="P24" s="306">
        <v>0.1045</v>
      </c>
      <c r="Q24" s="306">
        <v>0.15049999999999999</v>
      </c>
      <c r="R24" s="306">
        <v>3.5000000000000001E-3</v>
      </c>
      <c r="S24" s="306">
        <v>0.1018</v>
      </c>
      <c r="T24" s="306">
        <v>0.12859999999999999</v>
      </c>
      <c r="U24" s="306">
        <v>0.13289999999999999</v>
      </c>
      <c r="V24" s="306">
        <v>3.3999999999999998E-3</v>
      </c>
      <c r="W24" s="306">
        <v>6.9599999999999995E-2</v>
      </c>
      <c r="X24" s="306">
        <v>0.1051</v>
      </c>
      <c r="Y24" s="306">
        <v>0.1181</v>
      </c>
      <c r="Z24" s="306">
        <v>3.2000000000000002E-3</v>
      </c>
    </row>
    <row r="25" spans="1:26" x14ac:dyDescent="0.2">
      <c r="A25" s="546" t="s">
        <v>453</v>
      </c>
      <c r="B25" s="546" t="str">
        <f>Commodities!$D$17</f>
        <v>RWH</v>
      </c>
      <c r="C25" s="546" t="s">
        <v>44</v>
      </c>
      <c r="D25" s="546" t="s">
        <v>26</v>
      </c>
      <c r="E25" s="579">
        <f>DmdCalc!E$5*Pop!D23/Pop!D$28</f>
        <v>6.2118712781959662</v>
      </c>
      <c r="F25" s="579">
        <f>DmdCalc!F$5*Pop!E23/Pop!E$28</f>
        <v>6.3854327222822453</v>
      </c>
      <c r="G25" s="579">
        <f>DmdCalc!G$5*Pop!F23/Pop!F$28</f>
        <v>6.1973228463537726</v>
      </c>
      <c r="H25" s="579">
        <f>DmdCalc!H$5*Pop!G23/Pop!G$28</f>
        <v>6.6889061982646032</v>
      </c>
      <c r="I25" s="579">
        <f>DmdCalc!I$5*Pop!H23/Pop!H$28</f>
        <v>6.2314931834358056</v>
      </c>
      <c r="J25" s="579">
        <f>DmdCalc!J$5*Pop!I23/Pop!I$28</f>
        <v>6.1998822407486349</v>
      </c>
      <c r="K25" s="579">
        <f>DmdCalc!K$5*Pop!J23/Pop!J$28</f>
        <v>6.202175392031708</v>
      </c>
      <c r="L25" s="579">
        <f>DmdCalc!L$5*Pop!K23/Pop!K$28</f>
        <v>6.044522194198195</v>
      </c>
      <c r="M25" s="579">
        <f>DmdCalc!M$5*Pop!L23/Pop!L$28</f>
        <v>5.9027830963297063</v>
      </c>
      <c r="N25" s="579">
        <f>DmdCalc!N$5*Pop!M23/Pop!M$28</f>
        <v>5.7649281190087676</v>
      </c>
      <c r="O25" s="306">
        <v>0.1215</v>
      </c>
      <c r="P25" s="306">
        <v>0.1114</v>
      </c>
      <c r="Q25" s="306">
        <v>0.12790000000000001</v>
      </c>
      <c r="R25" s="306">
        <v>5.3E-3</v>
      </c>
      <c r="S25" s="306">
        <v>8.6800000000000002E-2</v>
      </c>
      <c r="T25" s="306">
        <v>8.9200000000000002E-2</v>
      </c>
      <c r="U25" s="306">
        <v>6.5299999999999997E-2</v>
      </c>
      <c r="V25" s="306">
        <v>2E-3</v>
      </c>
      <c r="W25" s="306">
        <v>0.13239999999999999</v>
      </c>
      <c r="X25" s="306">
        <v>0.14860000000000001</v>
      </c>
      <c r="Y25" s="306">
        <v>0.1042</v>
      </c>
      <c r="Z25" s="306">
        <v>5.4000000000000003E-3</v>
      </c>
    </row>
    <row r="26" spans="1:26" x14ac:dyDescent="0.2">
      <c r="A26" s="577" t="s">
        <v>455</v>
      </c>
      <c r="B26" s="577"/>
      <c r="C26" s="577"/>
      <c r="D26" s="577"/>
      <c r="E26" s="578"/>
      <c r="F26" s="578"/>
      <c r="G26" s="578"/>
      <c r="H26" s="578"/>
      <c r="I26" s="578"/>
      <c r="J26" s="578"/>
      <c r="K26" s="578"/>
      <c r="L26" s="578"/>
      <c r="M26" s="578"/>
      <c r="N26" s="578"/>
      <c r="O26" s="596"/>
      <c r="P26" s="596"/>
      <c r="Q26" s="596"/>
      <c r="R26" s="596"/>
      <c r="S26" s="596"/>
      <c r="T26" s="596"/>
      <c r="U26" s="596"/>
      <c r="V26" s="596"/>
      <c r="W26" s="596"/>
      <c r="X26" s="596"/>
      <c r="Y26" s="596"/>
      <c r="Z26" s="596"/>
    </row>
    <row r="27" spans="1:26" x14ac:dyDescent="0.2">
      <c r="A27" s="546" t="s">
        <v>384</v>
      </c>
      <c r="B27" s="546" t="str">
        <f>Commodities!$D$9</f>
        <v>RSC</v>
      </c>
      <c r="C27" s="546" t="s">
        <v>25</v>
      </c>
      <c r="D27" s="546" t="s">
        <v>26</v>
      </c>
      <c r="E27" s="579">
        <f>(1-DmdCalc!R$6)*Pop!D104*Pop!D$49*Pop!D25*Pop!D114/PJ_to_BTU</f>
        <v>7.2268707069529157</v>
      </c>
      <c r="F27" s="579">
        <f>(1-DmdCalc!S$6)*Pop!E104*Pop!E$49*Pop!E25*Pop!E114/PJ_to_BTU</f>
        <v>7.6093011065555238</v>
      </c>
      <c r="G27" s="579">
        <f>(1-DmdCalc!T$6)*Pop!F104*Pop!F$49*Pop!F25*Pop!F114/PJ_to_BTU</f>
        <v>7.336496003973954</v>
      </c>
      <c r="H27" s="579">
        <f>(1-DmdCalc!U$6)*Pop!G104*Pop!G$49*Pop!G25*Pop!G114/PJ_to_BTU</f>
        <v>7.6402480771723349</v>
      </c>
      <c r="I27" s="579">
        <f>(1-DmdCalc!V$6)*Pop!H104*Pop!H$49*Pop!H25*Pop!H114/PJ_to_BTU</f>
        <v>7.7120931488048035</v>
      </c>
      <c r="J27" s="579">
        <f>(1-DmdCalc!W$6)*Pop!I104*Pop!I$49*Pop!I25*Pop!I114/PJ_to_BTU</f>
        <v>7.6891358911989913</v>
      </c>
      <c r="K27" s="579">
        <f>(1-DmdCalc!X$6)*Pop!J104*Pop!J$49*Pop!J25*Pop!J114/PJ_to_BTU</f>
        <v>8.2700836403274369</v>
      </c>
      <c r="L27" s="579">
        <f>(1-DmdCalc!Y$6)*Pop!K104*Pop!K$49*Pop!K25*Pop!K114/PJ_to_BTU</f>
        <v>8.3333903414172568</v>
      </c>
      <c r="M27" s="579">
        <f>(1-DmdCalc!Z$6)*Pop!L104*Pop!L$49*Pop!L25*Pop!L114/PJ_to_BTU</f>
        <v>8.8598340723876348</v>
      </c>
      <c r="N27" s="579">
        <f>(1-DmdCalc!AA$6)*Pop!M104*Pop!M$49*Pop!M25*Pop!M114/PJ_to_BTU</f>
        <v>8.8828218041477864</v>
      </c>
      <c r="O27" s="306">
        <v>3.1099999999999999E-2</v>
      </c>
      <c r="P27" s="306">
        <v>0.10199999999999999</v>
      </c>
      <c r="Q27" s="306">
        <v>4.9299999999999997E-2</v>
      </c>
      <c r="R27" s="306">
        <v>4.0000000000000001E-3</v>
      </c>
      <c r="S27" s="306">
        <v>0.13300000000000001</v>
      </c>
      <c r="T27" s="306">
        <v>0.43219999999999997</v>
      </c>
      <c r="U27" s="306">
        <v>0.18129999999999999</v>
      </c>
      <c r="V27" s="306">
        <v>1.6500000000000001E-2</v>
      </c>
      <c r="W27" s="306">
        <v>1.5100000000000001E-2</v>
      </c>
      <c r="X27" s="306">
        <v>1.55E-2</v>
      </c>
      <c r="Y27" s="306">
        <v>1.9199999999999998E-2</v>
      </c>
      <c r="Z27" s="306">
        <v>8.0000000000000004E-4</v>
      </c>
    </row>
    <row r="28" spans="1:26" x14ac:dyDescent="0.2">
      <c r="A28" s="546" t="s">
        <v>456</v>
      </c>
      <c r="B28" s="546" t="str">
        <f>Commodities!$D$10</f>
        <v>RFZ</v>
      </c>
      <c r="C28" s="546" t="s">
        <v>29</v>
      </c>
      <c r="D28" s="546" t="s">
        <v>26</v>
      </c>
      <c r="E28" s="579"/>
      <c r="F28" s="579"/>
      <c r="G28" s="579"/>
      <c r="H28" s="579"/>
      <c r="I28" s="579"/>
      <c r="J28" s="579"/>
      <c r="K28" s="579"/>
      <c r="L28" s="579"/>
      <c r="M28" s="579"/>
      <c r="N28" s="579"/>
      <c r="O28" s="306">
        <v>7.9500000000000001E-2</v>
      </c>
      <c r="P28" s="306">
        <v>0.1018</v>
      </c>
      <c r="Q28" s="306">
        <v>0.1482</v>
      </c>
      <c r="R28" s="306">
        <v>3.3999999999999998E-3</v>
      </c>
      <c r="S28" s="306">
        <v>0.1033</v>
      </c>
      <c r="T28" s="306">
        <v>0.12839999999999999</v>
      </c>
      <c r="U28" s="306">
        <v>0.1341</v>
      </c>
      <c r="V28" s="306">
        <v>3.3999999999999998E-3</v>
      </c>
      <c r="W28" s="306">
        <v>7.1499999999999994E-2</v>
      </c>
      <c r="X28" s="306">
        <v>0.1017</v>
      </c>
      <c r="Y28" s="306">
        <v>0.1217</v>
      </c>
      <c r="Z28" s="306">
        <v>3.0000000000000001E-3</v>
      </c>
    </row>
    <row r="29" spans="1:26" x14ac:dyDescent="0.2">
      <c r="A29" s="546" t="s">
        <v>384</v>
      </c>
      <c r="B29" s="546" t="str">
        <f>Commodities!$D$11</f>
        <v>RSH</v>
      </c>
      <c r="C29" s="546" t="s">
        <v>31</v>
      </c>
      <c r="D29" s="546" t="s">
        <v>26</v>
      </c>
      <c r="E29" s="579">
        <f>Pop!D96*Pop!D$49*Pop!D25*Pop!D122/PJ_to_BTU</f>
        <v>37.294840584637271</v>
      </c>
      <c r="F29" s="579">
        <f>Pop!E96*Pop!E$49*Pop!E25*Pop!E122/PJ_to_BTU</f>
        <v>39.427265286467694</v>
      </c>
      <c r="G29" s="579">
        <f>Pop!F96*Pop!F$49*Pop!F25*Pop!F122/PJ_to_BTU</f>
        <v>31.917949340539788</v>
      </c>
      <c r="H29" s="579">
        <f>Pop!G96*Pop!G$49*Pop!G25*Pop!G122/PJ_to_BTU</f>
        <v>38.271351910073186</v>
      </c>
      <c r="I29" s="579">
        <f>Pop!H96*Pop!H$49*Pop!H25*Pop!H122/PJ_to_BTU</f>
        <v>37.600767402095592</v>
      </c>
      <c r="J29" s="579">
        <f>Pop!I96*Pop!I$49*Pop!I25*Pop!I122/PJ_to_BTU</f>
        <v>35.284696026648177</v>
      </c>
      <c r="K29" s="579">
        <f>Pop!J96*Pop!J$49*Pop!J25*Pop!J122/PJ_to_BTU</f>
        <v>32.013903903587035</v>
      </c>
      <c r="L29" s="579">
        <f>Pop!K96*Pop!K$49*Pop!K25*Pop!K122/PJ_to_BTU</f>
        <v>30.918494949328053</v>
      </c>
      <c r="M29" s="579">
        <f>Pop!L96*Pop!L$49*Pop!L25*Pop!L122/PJ_to_BTU</f>
        <v>28.590682198533578</v>
      </c>
      <c r="N29" s="579">
        <f>Pop!M96*Pop!M$49*Pop!M25*Pop!M122/PJ_to_BTU</f>
        <v>27.514968268125198</v>
      </c>
      <c r="O29" s="306">
        <v>7.3200000000000001E-2</v>
      </c>
      <c r="P29" s="306">
        <v>6.2700000000000006E-2</v>
      </c>
      <c r="Q29" s="306">
        <v>0.1077</v>
      </c>
      <c r="R29" s="306">
        <v>3.5999999999999999E-3</v>
      </c>
      <c r="S29" s="306">
        <v>4.3E-3</v>
      </c>
      <c r="T29" s="306">
        <v>2.5000000000000001E-3</v>
      </c>
      <c r="U29" s="306">
        <v>3.0999999999999999E-3</v>
      </c>
      <c r="V29" s="306">
        <v>1E-4</v>
      </c>
      <c r="W29" s="306">
        <v>0.20730000000000001</v>
      </c>
      <c r="X29" s="306">
        <v>0.18629999999999999</v>
      </c>
      <c r="Y29" s="306">
        <v>0.34</v>
      </c>
      <c r="Z29" s="306">
        <v>9.1999999999999998E-3</v>
      </c>
    </row>
    <row r="30" spans="1:26" x14ac:dyDescent="0.2">
      <c r="A30" s="546" t="s">
        <v>384</v>
      </c>
      <c r="B30" s="546" t="str">
        <f>Commodities!$D$12</f>
        <v>RLT</v>
      </c>
      <c r="C30" s="546" t="s">
        <v>33</v>
      </c>
      <c r="D30" s="546" t="str">
        <f>Commodities!$F$12</f>
        <v>bn-lum-yr</v>
      </c>
      <c r="E30" s="579">
        <f>DmdCalc!E$7*Pop!D25/Pop!D$28</f>
        <v>2.2631958264959415</v>
      </c>
      <c r="F30" s="579">
        <f>DmdCalc!F$7*Pop!E25/Pop!E$28</f>
        <v>2.2525113719614205</v>
      </c>
      <c r="G30" s="579">
        <f>DmdCalc!G$7*Pop!F25/Pop!F$28</f>
        <v>2.0460186198479291</v>
      </c>
      <c r="H30" s="579">
        <f>DmdCalc!H$7*Pop!G25/Pop!G$28</f>
        <v>0.72930468486981492</v>
      </c>
      <c r="I30" s="579">
        <f>DmdCalc!I$7*Pop!H25/Pop!H$28</f>
        <v>0.75706588229127902</v>
      </c>
      <c r="J30" s="579">
        <f>DmdCalc!J$7*Pop!I25/Pop!I$28</f>
        <v>0.74959438618917329</v>
      </c>
      <c r="K30" s="579">
        <f>DmdCalc!K$7*Pop!J25/Pop!J$28</f>
        <v>0.74003886089031978</v>
      </c>
      <c r="L30" s="579">
        <f>DmdCalc!L$7*Pop!K25/Pop!K$28</f>
        <v>0.71932047058252524</v>
      </c>
      <c r="M30" s="579">
        <f>DmdCalc!M$7*Pop!L25/Pop!L$28</f>
        <v>0.72553802924934829</v>
      </c>
      <c r="N30" s="579">
        <f>DmdCalc!N$7*Pop!M25/Pop!M$28</f>
        <v>0.73175718726781669</v>
      </c>
      <c r="O30" s="306">
        <v>6.2700000000000006E-2</v>
      </c>
      <c r="P30" s="306">
        <v>0.09</v>
      </c>
      <c r="Q30" s="306">
        <v>0.17730000000000001</v>
      </c>
      <c r="R30" s="306">
        <v>3.3E-3</v>
      </c>
      <c r="S30" s="306">
        <v>5.91E-2</v>
      </c>
      <c r="T30" s="306">
        <v>9.1399999999999995E-2</v>
      </c>
      <c r="U30" s="306">
        <v>0.13150000000000001</v>
      </c>
      <c r="V30" s="306">
        <v>1.4E-3</v>
      </c>
      <c r="W30" s="306">
        <v>7.4200000000000002E-2</v>
      </c>
      <c r="X30" s="306">
        <v>0.1447</v>
      </c>
      <c r="Y30" s="306">
        <v>0.1595</v>
      </c>
      <c r="Z30" s="306">
        <v>4.8999999999999998E-3</v>
      </c>
    </row>
    <row r="31" spans="1:26" x14ac:dyDescent="0.2">
      <c r="A31" s="546" t="s">
        <v>384</v>
      </c>
      <c r="B31" s="546" t="str">
        <f>Commodities!$D$13</f>
        <v>ROE</v>
      </c>
      <c r="C31" s="546" t="s">
        <v>36</v>
      </c>
      <c r="D31" s="546" t="s">
        <v>26</v>
      </c>
      <c r="E31" s="579">
        <f>DmdCalc!E$8*Pop!D25/Pop!D$28</f>
        <v>7.1150020805675549</v>
      </c>
      <c r="F31" s="579">
        <f>DmdCalc!F$8*Pop!E25/Pop!E$28</f>
        <v>7.0814124479989289</v>
      </c>
      <c r="G31" s="579">
        <f>DmdCalc!G$8*Pop!F25/Pop!F$28</f>
        <v>6.432243541044758</v>
      </c>
      <c r="H31" s="579">
        <f>DmdCalc!H$8*Pop!G25/Pop!G$28</f>
        <v>8.1577688465566851</v>
      </c>
      <c r="I31" s="579">
        <f>DmdCalc!I$8*Pop!H25/Pop!H$28</f>
        <v>8.7754836427873073</v>
      </c>
      <c r="J31" s="579">
        <f>DmdCalc!J$8*Pop!I25/Pop!I$28</f>
        <v>9.1310770252584774</v>
      </c>
      <c r="K31" s="579">
        <f>DmdCalc!K$8*Pop!J25/Pop!J$28</f>
        <v>9.6063997044260478</v>
      </c>
      <c r="L31" s="579">
        <f>DmdCalc!L$8*Pop!K25/Pop!K$28</f>
        <v>10.357038545251228</v>
      </c>
      <c r="M31" s="579">
        <f>DmdCalc!M$8*Pop!L25/Pop!L$28</f>
        <v>11.239722309799241</v>
      </c>
      <c r="N31" s="579">
        <f>DmdCalc!N$8*Pop!M25/Pop!M$28</f>
        <v>12.209354606156705</v>
      </c>
      <c r="O31" s="306">
        <v>8.9200000000000002E-2</v>
      </c>
      <c r="P31" s="306">
        <v>0.1211</v>
      </c>
      <c r="Q31" s="306">
        <v>0.1084</v>
      </c>
      <c r="R31" s="306">
        <v>4.4000000000000003E-3</v>
      </c>
      <c r="S31" s="306">
        <v>8.6499999999999994E-2</v>
      </c>
      <c r="T31" s="306">
        <v>0.12570000000000001</v>
      </c>
      <c r="U31" s="306">
        <v>6.7400000000000002E-2</v>
      </c>
      <c r="V31" s="306">
        <v>3.0999999999999999E-3</v>
      </c>
      <c r="W31" s="306">
        <v>0.1079</v>
      </c>
      <c r="X31" s="306">
        <v>0.17180000000000001</v>
      </c>
      <c r="Y31" s="306">
        <v>0.1091</v>
      </c>
      <c r="Z31" s="306">
        <v>5.4000000000000003E-3</v>
      </c>
    </row>
    <row r="32" spans="1:26" x14ac:dyDescent="0.2">
      <c r="A32" s="546" t="s">
        <v>384</v>
      </c>
      <c r="B32" s="546" t="str">
        <f>Commodities!$D$14</f>
        <v>ROG</v>
      </c>
      <c r="C32" s="546" t="s">
        <v>38</v>
      </c>
      <c r="D32" s="546" t="s">
        <v>26</v>
      </c>
      <c r="E32" s="579">
        <f>DmdCalc!E$10*Pop!D25/Pop!D$28</f>
        <v>0.64260647673073601</v>
      </c>
      <c r="F32" s="579">
        <f>DmdCalc!F$10*Pop!E25/Pop!E$28</f>
        <v>0.74805283438661596</v>
      </c>
      <c r="G32" s="579">
        <f>DmdCalc!G$10*Pop!F25/Pop!F$28</f>
        <v>0.7400521484926551</v>
      </c>
      <c r="H32" s="579">
        <f>DmdCalc!H$10*Pop!G25/Pop!G$28</f>
        <v>0.90054510217819861</v>
      </c>
      <c r="I32" s="579">
        <f>DmdCalc!I$10*Pop!H25/Pop!H$28</f>
        <v>0.93995875295932318</v>
      </c>
      <c r="J32" s="579">
        <f>DmdCalc!J$10*Pop!I25/Pop!I$28</f>
        <v>0.94262669912094899</v>
      </c>
      <c r="K32" s="579">
        <f>DmdCalc!K$10*Pop!J25/Pop!J$28</f>
        <v>0.94962070602814252</v>
      </c>
      <c r="L32" s="579">
        <f>DmdCalc!L$10*Pop!K25/Pop!K$28</f>
        <v>0.97300458104290033</v>
      </c>
      <c r="M32" s="579">
        <f>DmdCalc!M$10*Pop!L25/Pop!L$28</f>
        <v>0.98926563143499679</v>
      </c>
      <c r="N32" s="579">
        <f>DmdCalc!N$10*Pop!M25/Pop!M$28</f>
        <v>1.0066867721747945</v>
      </c>
      <c r="O32" s="306"/>
      <c r="P32" s="306"/>
      <c r="Q32" s="306"/>
      <c r="R32" s="306"/>
      <c r="S32" s="306"/>
      <c r="T32" s="306"/>
      <c r="U32" s="306"/>
      <c r="V32" s="306"/>
      <c r="W32" s="306"/>
      <c r="X32" s="306"/>
      <c r="Y32" s="306"/>
      <c r="Z32" s="306"/>
    </row>
    <row r="33" spans="1:26" x14ac:dyDescent="0.2">
      <c r="A33" s="546" t="s">
        <v>456</v>
      </c>
      <c r="B33" s="546" t="str">
        <f>Commodities!$D$15</f>
        <v>ROL</v>
      </c>
      <c r="C33" s="546" t="s">
        <v>40</v>
      </c>
      <c r="D33" s="546" t="s">
        <v>26</v>
      </c>
      <c r="E33" s="579"/>
      <c r="F33" s="579"/>
      <c r="G33" s="579"/>
      <c r="H33" s="579"/>
      <c r="I33" s="579"/>
      <c r="J33" s="579"/>
      <c r="K33" s="579"/>
      <c r="L33" s="579"/>
      <c r="M33" s="579"/>
      <c r="N33" s="579"/>
      <c r="O33" s="306"/>
      <c r="P33" s="306"/>
      <c r="Q33" s="306"/>
      <c r="R33" s="306"/>
      <c r="S33" s="306"/>
      <c r="T33" s="306"/>
      <c r="U33" s="306"/>
      <c r="V33" s="306"/>
      <c r="W33" s="306"/>
      <c r="X33" s="306"/>
      <c r="Y33" s="306"/>
      <c r="Z33" s="306"/>
    </row>
    <row r="34" spans="1:26" x14ac:dyDescent="0.2">
      <c r="A34" s="546" t="s">
        <v>456</v>
      </c>
      <c r="B34" s="546" t="str">
        <f>Commodities!$D$16</f>
        <v>RRF</v>
      </c>
      <c r="C34" s="546" t="s">
        <v>42</v>
      </c>
      <c r="D34" s="546" t="s">
        <v>26</v>
      </c>
      <c r="E34" s="579"/>
      <c r="F34" s="579"/>
      <c r="G34" s="579"/>
      <c r="H34" s="579"/>
      <c r="I34" s="579"/>
      <c r="J34" s="579"/>
      <c r="K34" s="579"/>
      <c r="L34" s="579"/>
      <c r="M34" s="579"/>
      <c r="N34" s="579"/>
      <c r="O34" s="306">
        <v>7.8799999999999995E-2</v>
      </c>
      <c r="P34" s="306">
        <v>0.1045</v>
      </c>
      <c r="Q34" s="306">
        <v>0.15049999999999999</v>
      </c>
      <c r="R34" s="306">
        <v>3.5000000000000001E-3</v>
      </c>
      <c r="S34" s="306">
        <v>0.1018</v>
      </c>
      <c r="T34" s="306">
        <v>0.12859999999999999</v>
      </c>
      <c r="U34" s="306">
        <v>0.13289999999999999</v>
      </c>
      <c r="V34" s="306">
        <v>3.3999999999999998E-3</v>
      </c>
      <c r="W34" s="306">
        <v>6.9599999999999995E-2</v>
      </c>
      <c r="X34" s="306">
        <v>0.1051</v>
      </c>
      <c r="Y34" s="306">
        <v>0.1181</v>
      </c>
      <c r="Z34" s="306">
        <v>3.2000000000000002E-3</v>
      </c>
    </row>
    <row r="35" spans="1:26" x14ac:dyDescent="0.2">
      <c r="A35" s="546" t="s">
        <v>384</v>
      </c>
      <c r="B35" s="546" t="str">
        <f>Commodities!$D$17</f>
        <v>RWH</v>
      </c>
      <c r="C35" s="546" t="s">
        <v>44</v>
      </c>
      <c r="D35" s="546" t="s">
        <v>26</v>
      </c>
      <c r="E35" s="579">
        <f>DmdCalc!E$5*Pop!D25/Pop!D$28</f>
        <v>9.4943477025640544</v>
      </c>
      <c r="F35" s="579">
        <f>DmdCalc!F$5*Pop!E25/Pop!E$28</f>
        <v>10.048059088916515</v>
      </c>
      <c r="G35" s="579">
        <f>DmdCalc!G$5*Pop!F25/Pop!F$28</f>
        <v>9.3053712057086244</v>
      </c>
      <c r="H35" s="579">
        <f>DmdCalc!H$5*Pop!G25/Pop!G$28</f>
        <v>10.36128409549257</v>
      </c>
      <c r="I35" s="579">
        <f>DmdCalc!I$5*Pop!H25/Pop!H$28</f>
        <v>9.9349879752443684</v>
      </c>
      <c r="J35" s="579">
        <f>DmdCalc!J$5*Pop!I25/Pop!I$28</f>
        <v>9.731238388282069</v>
      </c>
      <c r="K35" s="579">
        <f>DmdCalc!K$5*Pop!J25/Pop!J$28</f>
        <v>9.5874599324686418</v>
      </c>
      <c r="L35" s="579">
        <f>DmdCalc!L$5*Pop!K25/Pop!K$28</f>
        <v>9.4996020910840482</v>
      </c>
      <c r="M35" s="579">
        <f>DmdCalc!M$5*Pop!L25/Pop!L$28</f>
        <v>9.3033793324849761</v>
      </c>
      <c r="N35" s="579">
        <f>DmdCalc!N$5*Pop!M25/Pop!M$28</f>
        <v>9.1109485563099835</v>
      </c>
      <c r="O35" s="306">
        <v>0.1215</v>
      </c>
      <c r="P35" s="306">
        <v>0.1114</v>
      </c>
      <c r="Q35" s="306">
        <v>0.12790000000000001</v>
      </c>
      <c r="R35" s="306">
        <v>5.3E-3</v>
      </c>
      <c r="S35" s="306">
        <v>8.6800000000000002E-2</v>
      </c>
      <c r="T35" s="306">
        <v>8.9200000000000002E-2</v>
      </c>
      <c r="U35" s="306">
        <v>6.5299999999999997E-2</v>
      </c>
      <c r="V35" s="306">
        <v>2E-3</v>
      </c>
      <c r="W35" s="306">
        <v>0.13239999999999999</v>
      </c>
      <c r="X35" s="306">
        <v>0.14860000000000001</v>
      </c>
      <c r="Y35" s="306">
        <v>0.1042</v>
      </c>
      <c r="Z35" s="306">
        <v>5.4000000000000003E-3</v>
      </c>
    </row>
    <row r="36" spans="1:26" x14ac:dyDescent="0.2">
      <c r="A36" s="577" t="s">
        <v>457</v>
      </c>
      <c r="B36" s="577"/>
      <c r="C36" s="577"/>
      <c r="D36" s="577"/>
      <c r="E36" s="578"/>
      <c r="F36" s="578"/>
      <c r="G36" s="578"/>
      <c r="H36" s="578"/>
      <c r="I36" s="578"/>
      <c r="J36" s="578"/>
      <c r="K36" s="578"/>
      <c r="L36" s="578"/>
      <c r="M36" s="578"/>
      <c r="N36" s="578"/>
      <c r="O36" s="596"/>
      <c r="P36" s="596"/>
      <c r="Q36" s="596"/>
      <c r="R36" s="596"/>
      <c r="S36" s="596"/>
      <c r="T36" s="596"/>
      <c r="U36" s="596"/>
      <c r="V36" s="596"/>
      <c r="W36" s="596"/>
      <c r="X36" s="596"/>
      <c r="Y36" s="596"/>
      <c r="Z36" s="596"/>
    </row>
    <row r="37" spans="1:26" x14ac:dyDescent="0.2">
      <c r="A37" s="546" t="s">
        <v>458</v>
      </c>
      <c r="B37" s="546" t="str">
        <f>Commodities!$D$9</f>
        <v>RSC</v>
      </c>
      <c r="C37" s="546" t="s">
        <v>25</v>
      </c>
      <c r="D37" s="546" t="s">
        <v>26</v>
      </c>
      <c r="E37" s="579">
        <f>(1-DmdCalc!R$6)*Pop!D106*Pop!D$49*Pop!D27*Pop!D116/PJ_to_BTU</f>
        <v>1.7162586523850034</v>
      </c>
      <c r="F37" s="579">
        <f>(1-DmdCalc!S$6)*Pop!E106*Pop!E$49*Pop!E27*Pop!E116/PJ_to_BTU</f>
        <v>1.6990831292414978</v>
      </c>
      <c r="G37" s="579">
        <f>(1-DmdCalc!T$6)*Pop!F106*Pop!F$49*Pop!F27*Pop!F116/PJ_to_BTU</f>
        <v>1.5939976522518144</v>
      </c>
      <c r="H37" s="579">
        <f>(1-DmdCalc!U$6)*Pop!G106*Pop!G$49*Pop!G27*Pop!G116/PJ_to_BTU</f>
        <v>1.6158227322482792</v>
      </c>
      <c r="I37" s="579">
        <f>(1-DmdCalc!V$6)*Pop!H106*Pop!H$49*Pop!H27*Pop!H116/PJ_to_BTU</f>
        <v>1.6130754563695309</v>
      </c>
      <c r="J37" s="579">
        <f>(1-DmdCalc!W$6)*Pop!I106*Pop!I$49*Pop!I27*Pop!I116/PJ_to_BTU</f>
        <v>1.6063549168526252</v>
      </c>
      <c r="K37" s="579">
        <f>(1-DmdCalc!X$6)*Pop!J106*Pop!J$49*Pop!J27*Pop!J116/PJ_to_BTU</f>
        <v>1.7256772352364278</v>
      </c>
      <c r="L37" s="579">
        <f>(1-DmdCalc!Y$6)*Pop!K106*Pop!K$49*Pop!K27*Pop!K116/PJ_to_BTU</f>
        <v>1.7267735681240104</v>
      </c>
      <c r="M37" s="579">
        <f>(1-DmdCalc!Z$6)*Pop!L106*Pop!L$49*Pop!L27*Pop!L116/PJ_to_BTU</f>
        <v>1.8264074073417573</v>
      </c>
      <c r="N37" s="579">
        <f>(1-DmdCalc!AA$6)*Pop!M106*Pop!M$49*Pop!M27*Pop!M116/PJ_to_BTU</f>
        <v>1.8221132812531429</v>
      </c>
      <c r="O37" s="306">
        <v>2.92E-2</v>
      </c>
      <c r="P37" s="306">
        <v>9.7199999999999995E-2</v>
      </c>
      <c r="Q37" s="306">
        <v>4.6199999999999998E-2</v>
      </c>
      <c r="R37" s="306">
        <v>3.8E-3</v>
      </c>
      <c r="S37" s="306">
        <v>0.13639999999999999</v>
      </c>
      <c r="T37" s="306">
        <v>0.44319999999999998</v>
      </c>
      <c r="U37" s="306">
        <v>0.186</v>
      </c>
      <c r="V37" s="306">
        <v>1.7000000000000001E-2</v>
      </c>
      <c r="W37" s="306">
        <v>1.2200000000000001E-2</v>
      </c>
      <c r="X37" s="306">
        <v>1.2500000000000001E-2</v>
      </c>
      <c r="Y37" s="306">
        <v>1.5599999999999999E-2</v>
      </c>
      <c r="Z37" s="306">
        <v>6.9999999999999999E-4</v>
      </c>
    </row>
    <row r="38" spans="1:26" x14ac:dyDescent="0.2">
      <c r="A38" s="546" t="s">
        <v>459</v>
      </c>
      <c r="B38" s="546" t="str">
        <f>Commodities!$D$10</f>
        <v>RFZ</v>
      </c>
      <c r="C38" s="546" t="s">
        <v>29</v>
      </c>
      <c r="D38" s="546" t="s">
        <v>26</v>
      </c>
      <c r="E38" s="579"/>
      <c r="F38" s="579"/>
      <c r="G38" s="579"/>
      <c r="H38" s="579"/>
      <c r="I38" s="579"/>
      <c r="J38" s="579"/>
      <c r="K38" s="579"/>
      <c r="L38" s="579"/>
      <c r="M38" s="579"/>
      <c r="N38" s="579"/>
      <c r="O38" s="306">
        <v>7.9500000000000001E-2</v>
      </c>
      <c r="P38" s="306">
        <v>0.1018</v>
      </c>
      <c r="Q38" s="306">
        <v>0.1482</v>
      </c>
      <c r="R38" s="306">
        <v>3.3999999999999998E-3</v>
      </c>
      <c r="S38" s="306">
        <v>0.1033</v>
      </c>
      <c r="T38" s="306">
        <v>0.12839999999999999</v>
      </c>
      <c r="U38" s="306">
        <v>0.1341</v>
      </c>
      <c r="V38" s="306">
        <v>3.3999999999999998E-3</v>
      </c>
      <c r="W38" s="306">
        <v>7.1499999999999994E-2</v>
      </c>
      <c r="X38" s="306">
        <v>0.1017</v>
      </c>
      <c r="Y38" s="306">
        <v>0.1217</v>
      </c>
      <c r="Z38" s="306">
        <v>3.0000000000000001E-3</v>
      </c>
    </row>
    <row r="39" spans="1:26" x14ac:dyDescent="0.2">
      <c r="A39" s="546" t="s">
        <v>458</v>
      </c>
      <c r="B39" s="546" t="str">
        <f>Commodities!$D$11</f>
        <v>RSH</v>
      </c>
      <c r="C39" s="546" t="s">
        <v>31</v>
      </c>
      <c r="D39" s="546" t="s">
        <v>26</v>
      </c>
      <c r="E39" s="579">
        <f>Pop!D98*Pop!D$49*Pop!D27*Pop!D124/PJ_to_BTU</f>
        <v>10.042388124387402</v>
      </c>
      <c r="F39" s="579">
        <f>Pop!E98*Pop!E$49*Pop!E27*Pop!E124/PJ_to_BTU</f>
        <v>9.4413972455373703</v>
      </c>
      <c r="G39" s="579">
        <f>Pop!F98*Pop!F$49*Pop!F27*Pop!F124/PJ_to_BTU</f>
        <v>7.53944129706466</v>
      </c>
      <c r="H39" s="579">
        <f>Pop!G98*Pop!G$49*Pop!G27*Pop!G124/PJ_to_BTU</f>
        <v>8.9307806376288976</v>
      </c>
      <c r="I39" s="579">
        <f>Pop!H98*Pop!H$49*Pop!H27*Pop!H124/PJ_to_BTU</f>
        <v>8.6777770985953211</v>
      </c>
      <c r="J39" s="579">
        <f>Pop!I98*Pop!I$49*Pop!I27*Pop!I124/PJ_to_BTU</f>
        <v>8.1335420449688645</v>
      </c>
      <c r="K39" s="579">
        <f>Pop!J98*Pop!J$49*Pop!J27*Pop!J124/PJ_to_BTU</f>
        <v>7.3708516453105739</v>
      </c>
      <c r="L39" s="579">
        <f>Pop!K98*Pop!K$49*Pop!K27*Pop!K124/PJ_to_BTU</f>
        <v>7.0690552740220518</v>
      </c>
      <c r="M39" s="579">
        <f>Pop!L98*Pop!L$49*Pop!L27*Pop!L124/PJ_to_BTU</f>
        <v>6.5031826894283373</v>
      </c>
      <c r="N39" s="579">
        <f>Pop!M98*Pop!M$49*Pop!M27*Pop!M124/PJ_to_BTU</f>
        <v>6.2276300425048445</v>
      </c>
      <c r="O39" s="306">
        <v>7.2800000000000004E-2</v>
      </c>
      <c r="P39" s="306">
        <v>6.25E-2</v>
      </c>
      <c r="Q39" s="306">
        <v>0.1074</v>
      </c>
      <c r="R39" s="306">
        <v>3.5999999999999999E-3</v>
      </c>
      <c r="S39" s="306">
        <v>4.7000000000000002E-3</v>
      </c>
      <c r="T39" s="306">
        <v>2.7000000000000001E-3</v>
      </c>
      <c r="U39" s="306">
        <v>3.3E-3</v>
      </c>
      <c r="V39" s="306">
        <v>1E-4</v>
      </c>
      <c r="W39" s="306">
        <v>0.2074</v>
      </c>
      <c r="X39" s="306">
        <v>0.18629999999999999</v>
      </c>
      <c r="Y39" s="306">
        <v>0.34</v>
      </c>
      <c r="Z39" s="306">
        <v>9.1999999999999998E-3</v>
      </c>
    </row>
    <row r="40" spans="1:26" x14ac:dyDescent="0.2">
      <c r="A40" s="546" t="s">
        <v>458</v>
      </c>
      <c r="B40" s="546" t="str">
        <f>Commodities!$D$12</f>
        <v>RLT</v>
      </c>
      <c r="C40" s="546" t="s">
        <v>33</v>
      </c>
      <c r="D40" s="546" t="str">
        <f>Commodities!$F$12</f>
        <v>bn-lum-yr</v>
      </c>
      <c r="E40" s="579">
        <f>DmdCalc!E$7*Pop!D27/Pop!D$28</f>
        <v>0.5065399263619359</v>
      </c>
      <c r="F40" s="579">
        <f>DmdCalc!F$7*Pop!E27/Pop!E$28</f>
        <v>0.48885182752181949</v>
      </c>
      <c r="G40" s="579">
        <f>DmdCalc!G$7*Pop!F27/Pop!F$28</f>
        <v>0.43801037711045804</v>
      </c>
      <c r="H40" s="579">
        <f>DmdCalc!H$7*Pop!G27/Pop!G$28</f>
        <v>0.15423937503662197</v>
      </c>
      <c r="I40" s="579">
        <f>DmdCalc!I$7*Pop!H27/Pop!H$28</f>
        <v>0.15834927950371877</v>
      </c>
      <c r="J40" s="579">
        <f>DmdCalc!J$7*Pop!I27/Pop!I$28</f>
        <v>0.1565994729366583</v>
      </c>
      <c r="K40" s="579">
        <f>DmdCalc!K$7*Pop!J27/Pop!J$28</f>
        <v>0.15442022970618466</v>
      </c>
      <c r="L40" s="579">
        <f>DmdCalc!L$7*Pop!K27/Pop!K$28</f>
        <v>0.14905140941726061</v>
      </c>
      <c r="M40" s="579">
        <f>DmdCalc!M$7*Pop!L27/Pop!L$28</f>
        <v>0.14956578420119795</v>
      </c>
      <c r="N40" s="579">
        <f>DmdCalc!N$7*Pop!M27/Pop!M$28</f>
        <v>0.15010370791751487</v>
      </c>
      <c r="O40" s="306">
        <v>6.2700000000000006E-2</v>
      </c>
      <c r="P40" s="306">
        <v>0.09</v>
      </c>
      <c r="Q40" s="306">
        <v>0.17730000000000001</v>
      </c>
      <c r="R40" s="306">
        <v>3.3E-3</v>
      </c>
      <c r="S40" s="306">
        <v>5.91E-2</v>
      </c>
      <c r="T40" s="306">
        <v>9.1399999999999995E-2</v>
      </c>
      <c r="U40" s="306">
        <v>0.13150000000000001</v>
      </c>
      <c r="V40" s="306">
        <v>1.4E-3</v>
      </c>
      <c r="W40" s="306">
        <v>7.4200000000000002E-2</v>
      </c>
      <c r="X40" s="306">
        <v>0.1447</v>
      </c>
      <c r="Y40" s="306">
        <v>0.1595</v>
      </c>
      <c r="Z40" s="306">
        <v>4.8999999999999998E-3</v>
      </c>
    </row>
    <row r="41" spans="1:26" ht="15" x14ac:dyDescent="0.25">
      <c r="A41" s="546" t="s">
        <v>458</v>
      </c>
      <c r="B41" s="546" t="str">
        <f>Commodities!$D$13</f>
        <v>ROE</v>
      </c>
      <c r="C41" s="546" t="s">
        <v>36</v>
      </c>
      <c r="D41" s="546" t="s">
        <v>26</v>
      </c>
      <c r="E41" s="579">
        <f>DmdCalc!E$8*Pop!D27/Pop!D$28</f>
        <v>1.5924528437893761</v>
      </c>
      <c r="F41" s="579">
        <f>DmdCalc!F$8*Pop!E27/Pop!E$28</f>
        <v>1.5368452562464261</v>
      </c>
      <c r="G41" s="579">
        <f>DmdCalc!G$8*Pop!F27/Pop!F$28</f>
        <v>1.3770106448438508</v>
      </c>
      <c r="H41" s="579">
        <f>DmdCalc!H$8*Pop!G27/Pop!G$28</f>
        <v>1.7252722965995104</v>
      </c>
      <c r="I41" s="579">
        <f>DmdCalc!I$8*Pop!H27/Pop!H$28</f>
        <v>1.83549614985476</v>
      </c>
      <c r="J41" s="579">
        <f>DmdCalc!J$8*Pop!I27/Pop!I$28</f>
        <v>1.9075941280310513</v>
      </c>
      <c r="K41" s="579">
        <f>DmdCalc!K$8*Pop!J27/Pop!J$28</f>
        <v>2.0045196643082108</v>
      </c>
      <c r="L41" s="579">
        <f>DmdCalc!L$8*Pop!K27/Pop!K$28</f>
        <v>2.1460965670953791</v>
      </c>
      <c r="M41" s="579">
        <f>DmdCalc!M$8*Pop!L27/Pop!L$28</f>
        <v>2.3170086386899524</v>
      </c>
      <c r="N41" s="579">
        <f>DmdCalc!N$8*Pop!M27/Pop!M$28</f>
        <v>2.504477481808689</v>
      </c>
      <c r="O41" s="755">
        <v>8.9200000000000002E-2</v>
      </c>
      <c r="P41" s="306">
        <v>0.1211</v>
      </c>
      <c r="Q41" s="306">
        <v>0.1084</v>
      </c>
      <c r="R41" s="306">
        <v>4.4000000000000003E-3</v>
      </c>
      <c r="S41" s="306">
        <v>8.6499999999999994E-2</v>
      </c>
      <c r="T41" s="306">
        <v>0.12570000000000001</v>
      </c>
      <c r="U41" s="306">
        <v>6.7400000000000002E-2</v>
      </c>
      <c r="V41" s="306">
        <v>3.0999999999999999E-3</v>
      </c>
      <c r="W41" s="306">
        <v>0.1079</v>
      </c>
      <c r="X41" s="306">
        <v>0.17180000000000001</v>
      </c>
      <c r="Y41" s="306">
        <v>0.1091</v>
      </c>
      <c r="Z41" s="306">
        <v>5.4000000000000003E-3</v>
      </c>
    </row>
    <row r="42" spans="1:26" x14ac:dyDescent="0.2">
      <c r="A42" s="546" t="s">
        <v>458</v>
      </c>
      <c r="B42" s="546" t="str">
        <f>Commodities!$D$14</f>
        <v>ROG</v>
      </c>
      <c r="C42" s="546" t="s">
        <v>38</v>
      </c>
      <c r="D42" s="546" t="s">
        <v>26</v>
      </c>
      <c r="E42" s="579">
        <f>DmdCalc!E$10*Pop!D27/Pop!D$28</f>
        <v>0.14382575011498847</v>
      </c>
      <c r="F42" s="579">
        <f>DmdCalc!F$10*Pop!E27/Pop!E$28</f>
        <v>0.16234634804722195</v>
      </c>
      <c r="G42" s="579">
        <f>DmdCalc!G$10*Pop!F27/Pop!F$28</f>
        <v>0.15842989770384652</v>
      </c>
      <c r="H42" s="579">
        <f>DmdCalc!H$10*Pop!G27/Pop!G$28</f>
        <v>0.19045471204816217</v>
      </c>
      <c r="I42" s="579">
        <f>DmdCalc!I$10*Pop!H27/Pop!H$28</f>
        <v>0.19660348560927002</v>
      </c>
      <c r="J42" s="579">
        <f>DmdCalc!J$10*Pop!I27/Pop!I$28</f>
        <v>0.19692629371040857</v>
      </c>
      <c r="K42" s="579">
        <f>DmdCalc!K$10*Pop!J27/Pop!J$28</f>
        <v>0.19815263131208516</v>
      </c>
      <c r="L42" s="579">
        <f>DmdCalc!L$10*Pop!K27/Pop!K$28</f>
        <v>0.20161765180469296</v>
      </c>
      <c r="M42" s="579">
        <f>DmdCalc!M$10*Pop!L27/Pop!L$28</f>
        <v>0.20393181884890357</v>
      </c>
      <c r="N42" s="579">
        <f>DmdCalc!N$10*Pop!M27/Pop!M$28</f>
        <v>0.20649939603483145</v>
      </c>
      <c r="O42" s="306"/>
      <c r="P42" s="306"/>
      <c r="Q42" s="306"/>
      <c r="R42" s="306"/>
      <c r="S42" s="306"/>
      <c r="T42" s="306"/>
      <c r="U42" s="306"/>
      <c r="V42" s="306"/>
      <c r="W42" s="306"/>
      <c r="X42" s="306"/>
      <c r="Y42" s="306"/>
      <c r="Z42" s="306"/>
    </row>
    <row r="43" spans="1:26" x14ac:dyDescent="0.2">
      <c r="A43" s="546" t="s">
        <v>459</v>
      </c>
      <c r="B43" s="546" t="str">
        <f>Commodities!$D$15</f>
        <v>ROL</v>
      </c>
      <c r="C43" s="546" t="s">
        <v>40</v>
      </c>
      <c r="D43" s="546" t="s">
        <v>26</v>
      </c>
      <c r="E43" s="579"/>
      <c r="F43" s="579"/>
      <c r="G43" s="579"/>
      <c r="H43" s="579"/>
      <c r="I43" s="579"/>
      <c r="J43" s="579"/>
      <c r="K43" s="579"/>
      <c r="L43" s="579"/>
      <c r="M43" s="579"/>
      <c r="N43" s="579"/>
      <c r="O43" s="306"/>
      <c r="P43" s="306"/>
      <c r="Q43" s="306"/>
      <c r="R43" s="306"/>
      <c r="S43" s="306"/>
      <c r="T43" s="306"/>
      <c r="U43" s="306"/>
      <c r="V43" s="306"/>
      <c r="W43" s="306"/>
      <c r="X43" s="306"/>
      <c r="Y43" s="306"/>
      <c r="Z43" s="306"/>
    </row>
    <row r="44" spans="1:26" x14ac:dyDescent="0.2">
      <c r="A44" s="546" t="s">
        <v>459</v>
      </c>
      <c r="B44" s="546" t="str">
        <f>Commodities!$D$16</f>
        <v>RRF</v>
      </c>
      <c r="C44" s="546" t="s">
        <v>42</v>
      </c>
      <c r="D44" s="546" t="s">
        <v>26</v>
      </c>
      <c r="E44" s="579"/>
      <c r="F44" s="579"/>
      <c r="G44" s="579"/>
      <c r="H44" s="579"/>
      <c r="I44" s="579"/>
      <c r="J44" s="579"/>
      <c r="K44" s="579"/>
      <c r="L44" s="579"/>
      <c r="M44" s="579"/>
      <c r="N44" s="579"/>
      <c r="O44" s="306">
        <v>7.8799999999999995E-2</v>
      </c>
      <c r="P44" s="306">
        <v>0.1045</v>
      </c>
      <c r="Q44" s="306">
        <v>0.15049999999999999</v>
      </c>
      <c r="R44" s="306">
        <v>3.5000000000000001E-3</v>
      </c>
      <c r="S44" s="306">
        <v>0.1018</v>
      </c>
      <c r="T44" s="306">
        <v>0.12859999999999999</v>
      </c>
      <c r="U44" s="306">
        <v>0.13289999999999999</v>
      </c>
      <c r="V44" s="306">
        <v>3.3999999999999998E-3</v>
      </c>
      <c r="W44" s="306">
        <v>6.9599999999999995E-2</v>
      </c>
      <c r="X44" s="306">
        <v>0.1051</v>
      </c>
      <c r="Y44" s="306">
        <v>0.1181</v>
      </c>
      <c r="Z44" s="306">
        <v>3.2000000000000002E-3</v>
      </c>
    </row>
    <row r="45" spans="1:26" x14ac:dyDescent="0.2">
      <c r="A45" s="546" t="s">
        <v>458</v>
      </c>
      <c r="B45" s="546" t="str">
        <f>Commodities!$D$17</f>
        <v>RWH</v>
      </c>
      <c r="C45" s="546" t="s">
        <v>44</v>
      </c>
      <c r="D45" s="546" t="s">
        <v>26</v>
      </c>
      <c r="E45" s="579">
        <f>DmdCalc!E$5*Pop!D27/Pop!D$28</f>
        <v>2.1249889778903914</v>
      </c>
      <c r="F45" s="579">
        <f>DmdCalc!F$5*Pop!E27/Pop!E$28</f>
        <v>2.1806824639410505</v>
      </c>
      <c r="G45" s="579">
        <f>DmdCalc!G$5*Pop!F27/Pop!F$28</f>
        <v>1.9920880051757162</v>
      </c>
      <c r="H45" s="579">
        <f>DmdCalc!H$5*Pop!G27/Pop!G$28</f>
        <v>2.1912898910706144</v>
      </c>
      <c r="I45" s="579">
        <f>DmdCalc!I$5*Pop!H27/Pop!H$28</f>
        <v>2.0780201889388161</v>
      </c>
      <c r="J45" s="579">
        <f>DmdCalc!J$5*Pop!I27/Pop!I$28</f>
        <v>2.0329752072627763</v>
      </c>
      <c r="K45" s="579">
        <f>DmdCalc!K$5*Pop!J27/Pop!J$28</f>
        <v>2.0005675962604244</v>
      </c>
      <c r="L45" s="579">
        <f>DmdCalc!L$5*Pop!K27/Pop!K$28</f>
        <v>1.9684259498865304</v>
      </c>
      <c r="M45" s="579">
        <f>DmdCalc!M$5*Pop!L27/Pop!L$28</f>
        <v>1.9178418904160881</v>
      </c>
      <c r="N45" s="579">
        <f>DmdCalc!N$5*Pop!M27/Pop!M$28</f>
        <v>1.8689084094329949</v>
      </c>
      <c r="O45" s="306">
        <v>0.1215</v>
      </c>
      <c r="P45" s="306">
        <v>0.1114</v>
      </c>
      <c r="Q45" s="306">
        <v>0.12790000000000001</v>
      </c>
      <c r="R45" s="306">
        <v>5.3E-3</v>
      </c>
      <c r="S45" s="306">
        <v>8.6800000000000002E-2</v>
      </c>
      <c r="T45" s="306">
        <v>8.9200000000000002E-2</v>
      </c>
      <c r="U45" s="306">
        <v>6.5299999999999997E-2</v>
      </c>
      <c r="V45" s="306">
        <v>2E-3</v>
      </c>
      <c r="W45" s="306">
        <v>0.13239999999999999</v>
      </c>
      <c r="X45" s="306">
        <v>0.14860000000000001</v>
      </c>
      <c r="Y45" s="306">
        <v>0.1042</v>
      </c>
      <c r="Z45" s="306">
        <v>5.4000000000000003E-3</v>
      </c>
    </row>
    <row r="46" spans="1:26" x14ac:dyDescent="0.2">
      <c r="A46" s="577" t="s">
        <v>460</v>
      </c>
      <c r="B46" s="577"/>
      <c r="C46" s="577"/>
      <c r="D46" s="577"/>
      <c r="E46" s="578"/>
      <c r="F46" s="578"/>
      <c r="G46" s="578"/>
      <c r="H46" s="578"/>
      <c r="I46" s="578"/>
      <c r="J46" s="578"/>
      <c r="K46" s="578"/>
      <c r="L46" s="578"/>
      <c r="M46" s="578"/>
      <c r="N46" s="578"/>
      <c r="O46" s="596"/>
      <c r="P46" s="596"/>
      <c r="Q46" s="596"/>
      <c r="R46" s="596"/>
      <c r="S46" s="596"/>
      <c r="T46" s="596"/>
      <c r="U46" s="596"/>
      <c r="V46" s="596"/>
      <c r="W46" s="596"/>
      <c r="X46" s="596"/>
      <c r="Y46" s="596"/>
      <c r="Z46" s="596"/>
    </row>
    <row r="47" spans="1:26" x14ac:dyDescent="0.2">
      <c r="A47" s="546" t="s">
        <v>461</v>
      </c>
      <c r="B47" s="546" t="str">
        <f>Commodities!$D$9</f>
        <v>RSC</v>
      </c>
      <c r="C47" s="546" t="s">
        <v>25</v>
      </c>
      <c r="D47" s="546" t="s">
        <v>26</v>
      </c>
      <c r="E47" s="579">
        <f>(1-DmdCalc!R$6)*Pop!D105*Pop!D$49*Pop!D26*Pop!D115/PJ_to_BTU</f>
        <v>8.2274756098464561</v>
      </c>
      <c r="F47" s="579">
        <f>(1-DmdCalc!S$6)*Pop!E105*Pop!E$49*Pop!E26*Pop!E115/PJ_to_BTU</f>
        <v>7.8913426578929222</v>
      </c>
      <c r="G47" s="579">
        <f>(1-DmdCalc!T$6)*Pop!F105*Pop!F$49*Pop!F26*Pop!F115/PJ_to_BTU</f>
        <v>7.7895634513932333</v>
      </c>
      <c r="H47" s="579">
        <f>(1-DmdCalc!U$6)*Pop!G105*Pop!G$49*Pop!G26*Pop!G115/PJ_to_BTU</f>
        <v>7.6551898427567568</v>
      </c>
      <c r="I47" s="579">
        <f>(1-DmdCalc!V$6)*Pop!H105*Pop!H$49*Pop!H26*Pop!H115/PJ_to_BTU</f>
        <v>7.6085973739932431</v>
      </c>
      <c r="J47" s="579">
        <f>(1-DmdCalc!W$6)*Pop!I105*Pop!I$49*Pop!I26*Pop!I115/PJ_to_BTU</f>
        <v>7.6139345796735585</v>
      </c>
      <c r="K47" s="579">
        <f>(1-DmdCalc!X$6)*Pop!J105*Pop!J$49*Pop!J26*Pop!J115/PJ_to_BTU</f>
        <v>8.2190253464215033</v>
      </c>
      <c r="L47" s="579">
        <f>(1-DmdCalc!Y$6)*Pop!K105*Pop!K$49*Pop!K26*Pop!K115/PJ_to_BTU</f>
        <v>8.243080226719453</v>
      </c>
      <c r="M47" s="579">
        <f>(1-DmdCalc!Z$6)*Pop!L105*Pop!L$49*Pop!L26*Pop!L115/PJ_to_BTU</f>
        <v>8.7399550147314233</v>
      </c>
      <c r="N47" s="579">
        <f>(1-DmdCalc!AA$6)*Pop!M105*Pop!M$49*Pop!M26*Pop!M115/PJ_to_BTU</f>
        <v>8.7398242977630698</v>
      </c>
      <c r="O47" s="306">
        <v>3.1699999999999999E-2</v>
      </c>
      <c r="P47" s="306">
        <v>0.1069</v>
      </c>
      <c r="Q47" s="306">
        <v>5.0200000000000002E-2</v>
      </c>
      <c r="R47" s="306">
        <v>4.1999999999999997E-3</v>
      </c>
      <c r="S47" s="306">
        <v>0.13500000000000001</v>
      </c>
      <c r="T47" s="306">
        <v>0.43859999999999999</v>
      </c>
      <c r="U47" s="306">
        <v>0.184</v>
      </c>
      <c r="V47" s="306">
        <v>1.6899999999999998E-2</v>
      </c>
      <c r="W47" s="306">
        <v>9.7000000000000003E-3</v>
      </c>
      <c r="X47" s="306">
        <v>9.9000000000000008E-3</v>
      </c>
      <c r="Y47" s="306">
        <v>1.24E-2</v>
      </c>
      <c r="Z47" s="306">
        <v>5.0000000000000001E-4</v>
      </c>
    </row>
    <row r="48" spans="1:26" x14ac:dyDescent="0.2">
      <c r="A48" s="546" t="s">
        <v>462</v>
      </c>
      <c r="B48" s="546" t="str">
        <f>Commodities!$D$10</f>
        <v>RFZ</v>
      </c>
      <c r="C48" s="546" t="s">
        <v>29</v>
      </c>
      <c r="D48" s="546" t="s">
        <v>26</v>
      </c>
      <c r="E48" s="579"/>
      <c r="F48" s="579"/>
      <c r="G48" s="579"/>
      <c r="H48" s="579"/>
      <c r="I48" s="579"/>
      <c r="J48" s="579"/>
      <c r="K48" s="579"/>
      <c r="L48" s="579"/>
      <c r="M48" s="579"/>
      <c r="N48" s="579"/>
      <c r="O48" s="306">
        <v>7.9500000000000001E-2</v>
      </c>
      <c r="P48" s="306">
        <v>0.1018</v>
      </c>
      <c r="Q48" s="306">
        <v>0.1482</v>
      </c>
      <c r="R48" s="306">
        <v>3.3999999999999998E-3</v>
      </c>
      <c r="S48" s="306">
        <v>0.1033</v>
      </c>
      <c r="T48" s="306">
        <v>0.12839999999999999</v>
      </c>
      <c r="U48" s="306">
        <v>0.1341</v>
      </c>
      <c r="V48" s="306">
        <v>3.3999999999999998E-3</v>
      </c>
      <c r="W48" s="306">
        <v>7.1499999999999994E-2</v>
      </c>
      <c r="X48" s="306">
        <v>0.1017</v>
      </c>
      <c r="Y48" s="306">
        <v>0.1217</v>
      </c>
      <c r="Z48" s="306">
        <v>3.0000000000000001E-3</v>
      </c>
    </row>
    <row r="49" spans="1:26" x14ac:dyDescent="0.2">
      <c r="A49" s="546" t="s">
        <v>461</v>
      </c>
      <c r="B49" s="546" t="str">
        <f>Commodities!$D$11</f>
        <v>RSH</v>
      </c>
      <c r="C49" s="546" t="s">
        <v>31</v>
      </c>
      <c r="D49" s="546" t="s">
        <v>26</v>
      </c>
      <c r="E49" s="579">
        <f>Pop!D97*Pop!D$49*Pop!D26*Pop!D123/PJ_to_BTU</f>
        <v>38.554159875761009</v>
      </c>
      <c r="F49" s="579">
        <f>Pop!E97*Pop!E$49*Pop!E26*Pop!E123/PJ_to_BTU</f>
        <v>37.497212063622285</v>
      </c>
      <c r="G49" s="579">
        <f>Pop!F97*Pop!F$49*Pop!F26*Pop!F123/PJ_to_BTU</f>
        <v>30.714712605260615</v>
      </c>
      <c r="H49" s="579">
        <f>Pop!G97*Pop!G$49*Pop!G26*Pop!G123/PJ_to_BTU</f>
        <v>36.20972785499756</v>
      </c>
      <c r="I49" s="579">
        <f>Pop!H97*Pop!H$49*Pop!H26*Pop!H123/PJ_to_BTU</f>
        <v>35.029343430303079</v>
      </c>
      <c r="J49" s="579">
        <f>Pop!I97*Pop!I$49*Pop!I26*Pop!I123/PJ_to_BTU</f>
        <v>32.992933907786785</v>
      </c>
      <c r="K49" s="579">
        <f>Pop!J97*Pop!J$49*Pop!J26*Pop!J123/PJ_to_BTU</f>
        <v>30.043602472682274</v>
      </c>
      <c r="L49" s="579">
        <f>Pop!K97*Pop!K$49*Pop!K26*Pop!K123/PJ_to_BTU</f>
        <v>28.879462033450586</v>
      </c>
      <c r="M49" s="579">
        <f>Pop!L97*Pop!L$49*Pop!L26*Pop!L123/PJ_to_BTU</f>
        <v>26.632447462640606</v>
      </c>
      <c r="N49" s="579">
        <f>Pop!M97*Pop!M$49*Pop!M26*Pop!M123/PJ_to_BTU</f>
        <v>25.563700465648338</v>
      </c>
      <c r="O49" s="306">
        <v>6.4100000000000004E-2</v>
      </c>
      <c r="P49" s="306">
        <v>5.5E-2</v>
      </c>
      <c r="Q49" s="306">
        <v>9.4399999999999998E-2</v>
      </c>
      <c r="R49" s="306">
        <v>3.0999999999999999E-3</v>
      </c>
      <c r="S49" s="306">
        <v>3.7000000000000002E-3</v>
      </c>
      <c r="T49" s="306">
        <v>2.0999999999999999E-3</v>
      </c>
      <c r="U49" s="306">
        <v>2.5999999999999999E-3</v>
      </c>
      <c r="V49" s="306">
        <v>1E-4</v>
      </c>
      <c r="W49" s="306">
        <v>0.21629999999999999</v>
      </c>
      <c r="X49" s="306">
        <v>0.1943</v>
      </c>
      <c r="Y49" s="306">
        <v>0.35470000000000002</v>
      </c>
      <c r="Z49" s="306">
        <v>9.5999999999999992E-3</v>
      </c>
    </row>
    <row r="50" spans="1:26" x14ac:dyDescent="0.2">
      <c r="A50" s="546" t="s">
        <v>461</v>
      </c>
      <c r="B50" s="546" t="str">
        <f>Commodities!$D$12</f>
        <v>RLT</v>
      </c>
      <c r="C50" s="546" t="s">
        <v>33</v>
      </c>
      <c r="D50" s="546" t="str">
        <f>Commodities!$F$12</f>
        <v>bn-lum-yr</v>
      </c>
      <c r="E50" s="579">
        <f>DmdCalc!E$7*Pop!D26/Pop!D$28</f>
        <v>2.3882324706792821</v>
      </c>
      <c r="F50" s="579">
        <f>DmdCalc!F$7*Pop!E26/Pop!E$28</f>
        <v>2.2686440689038418</v>
      </c>
      <c r="G50" s="579">
        <f>DmdCalc!G$7*Pop!F26/Pop!F$28</f>
        <v>2.0850578289901449</v>
      </c>
      <c r="H50" s="579">
        <f>DmdCalc!H$7*Pop!G26/Pop!G$28</f>
        <v>0.73073096049998731</v>
      </c>
      <c r="I50" s="579">
        <f>DmdCalc!I$7*Pop!H26/Pop!H$28</f>
        <v>0.74690610873054641</v>
      </c>
      <c r="J50" s="579">
        <f>DmdCalc!J$7*Pop!I26/Pop!I$28</f>
        <v>0.74226320076714802</v>
      </c>
      <c r="K50" s="579">
        <f>DmdCalc!K$7*Pop!J26/Pop!J$28</f>
        <v>0.73546996856655944</v>
      </c>
      <c r="L50" s="579">
        <f>DmdCalc!L$7*Pop!K26/Pop!K$28</f>
        <v>0.71152509420612742</v>
      </c>
      <c r="M50" s="579">
        <f>DmdCalc!M$7*Pop!L26/Pop!L$28</f>
        <v>0.71572104909717726</v>
      </c>
      <c r="N50" s="579">
        <f>DmdCalc!N$7*Pop!M26/Pop!M$28</f>
        <v>0.71997720840912416</v>
      </c>
      <c r="O50" s="306">
        <v>6.2700000000000006E-2</v>
      </c>
      <c r="P50" s="306">
        <v>0.09</v>
      </c>
      <c r="Q50" s="306">
        <v>0.17730000000000001</v>
      </c>
      <c r="R50" s="306">
        <v>3.3E-3</v>
      </c>
      <c r="S50" s="306">
        <v>5.91E-2</v>
      </c>
      <c r="T50" s="306">
        <v>9.1399999999999995E-2</v>
      </c>
      <c r="U50" s="306">
        <v>0.13150000000000001</v>
      </c>
      <c r="V50" s="306">
        <v>1.4E-3</v>
      </c>
      <c r="W50" s="306">
        <v>7.4200000000000002E-2</v>
      </c>
      <c r="X50" s="306">
        <v>0.1447</v>
      </c>
      <c r="Y50" s="306">
        <v>0.1595</v>
      </c>
      <c r="Z50" s="306">
        <v>4.8999999999999998E-3</v>
      </c>
    </row>
    <row r="51" spans="1:26" x14ac:dyDescent="0.2">
      <c r="A51" s="546" t="s">
        <v>461</v>
      </c>
      <c r="B51" s="546" t="str">
        <f>Commodities!$D$13</f>
        <v>ROE</v>
      </c>
      <c r="C51" s="546" t="s">
        <v>36</v>
      </c>
      <c r="D51" s="546" t="s">
        <v>26</v>
      </c>
      <c r="E51" s="579">
        <f>DmdCalc!E$8*Pop!D26/Pop!D$28</f>
        <v>7.5080904616508031</v>
      </c>
      <c r="F51" s="579">
        <f>DmdCalc!F$8*Pop!E26/Pop!E$28</f>
        <v>7.13213018570712</v>
      </c>
      <c r="G51" s="579">
        <f>DmdCalc!G$8*Pop!F26/Pop!F$28</f>
        <v>6.554974438220647</v>
      </c>
      <c r="H51" s="579">
        <f>DmdCalc!H$8*Pop!G26/Pop!G$28</f>
        <v>8.1737227093849523</v>
      </c>
      <c r="I51" s="579">
        <f>DmdCalc!I$8*Pop!H26/Pop!H$28</f>
        <v>8.6577172385916832</v>
      </c>
      <c r="J51" s="579">
        <f>DmdCalc!J$8*Pop!I26/Pop!I$28</f>
        <v>9.041773236425044</v>
      </c>
      <c r="K51" s="579">
        <f>DmdCalc!K$8*Pop!J26/Pop!J$28</f>
        <v>9.5470911894438437</v>
      </c>
      <c r="L51" s="579">
        <f>DmdCalc!L$8*Pop!K26/Pop!K$28</f>
        <v>10.244797872412168</v>
      </c>
      <c r="M51" s="579">
        <f>DmdCalc!M$8*Pop!L26/Pop!L$28</f>
        <v>11.087641886192262</v>
      </c>
      <c r="N51" s="579">
        <f>DmdCalc!N$8*Pop!M26/Pop!M$28</f>
        <v>12.012805885295055</v>
      </c>
      <c r="O51" s="306">
        <v>8.9200000000000002E-2</v>
      </c>
      <c r="P51" s="306">
        <v>0.1211</v>
      </c>
      <c r="Q51" s="306">
        <v>0.1084</v>
      </c>
      <c r="R51" s="306">
        <v>4.4000000000000003E-3</v>
      </c>
      <c r="S51" s="306">
        <v>8.6499999999999994E-2</v>
      </c>
      <c r="T51" s="306">
        <v>0.12570000000000001</v>
      </c>
      <c r="U51" s="306">
        <v>6.7400000000000002E-2</v>
      </c>
      <c r="V51" s="306">
        <v>3.0999999999999999E-3</v>
      </c>
      <c r="W51" s="306">
        <v>0.1079</v>
      </c>
      <c r="X51" s="306">
        <v>0.17180000000000001</v>
      </c>
      <c r="Y51" s="306">
        <v>0.1091</v>
      </c>
      <c r="Z51" s="306">
        <v>5.4000000000000003E-3</v>
      </c>
    </row>
    <row r="52" spans="1:26" x14ac:dyDescent="0.2">
      <c r="A52" s="546" t="s">
        <v>461</v>
      </c>
      <c r="B52" s="546" t="str">
        <f>Commodities!$D$14</f>
        <v>ROG</v>
      </c>
      <c r="C52" s="546" t="s">
        <v>38</v>
      </c>
      <c r="D52" s="546" t="s">
        <v>26</v>
      </c>
      <c r="E52" s="579">
        <f>DmdCalc!E$10*Pop!D26/Pop!D$28</f>
        <v>0.67810908611177856</v>
      </c>
      <c r="F52" s="579">
        <f>DmdCalc!F$10*Pop!E26/Pop!E$28</f>
        <v>0.75341045869177992</v>
      </c>
      <c r="G52" s="579">
        <f>DmdCalc!G$10*Pop!F26/Pop!F$28</f>
        <v>0.75417276808080846</v>
      </c>
      <c r="H52" s="579">
        <f>DmdCalc!H$10*Pop!G26/Pop!G$28</f>
        <v>0.90230626669524439</v>
      </c>
      <c r="I52" s="579">
        <f>DmdCalc!I$10*Pop!H26/Pop!H$28</f>
        <v>0.927344569293309</v>
      </c>
      <c r="J52" s="579">
        <f>DmdCalc!J$10*Pop!I26/Pop!I$28</f>
        <v>0.93340761845234943</v>
      </c>
      <c r="K52" s="579">
        <f>DmdCalc!K$10*Pop!J26/Pop!J$28</f>
        <v>0.94375788586619036</v>
      </c>
      <c r="L52" s="579">
        <f>DmdCalc!L$10*Pop!K26/Pop!K$28</f>
        <v>0.96245999454024433</v>
      </c>
      <c r="M52" s="579">
        <f>DmdCalc!M$10*Pop!L26/Pop!L$28</f>
        <v>0.97588025302958092</v>
      </c>
      <c r="N52" s="579">
        <f>DmdCalc!N$10*Pop!M26/Pop!M$28</f>
        <v>0.99048091987859521</v>
      </c>
      <c r="O52" s="306"/>
      <c r="P52" s="306"/>
      <c r="Q52" s="306"/>
      <c r="R52" s="306"/>
      <c r="S52" s="306"/>
      <c r="T52" s="306"/>
      <c r="U52" s="306"/>
      <c r="V52" s="306"/>
      <c r="W52" s="306"/>
      <c r="X52" s="306"/>
      <c r="Y52" s="306"/>
      <c r="Z52" s="306"/>
    </row>
    <row r="53" spans="1:26" x14ac:dyDescent="0.2">
      <c r="A53" s="546" t="s">
        <v>462</v>
      </c>
      <c r="B53" s="546" t="str">
        <f>Commodities!$D$15</f>
        <v>ROL</v>
      </c>
      <c r="C53" s="546" t="s">
        <v>40</v>
      </c>
      <c r="D53" s="546" t="s">
        <v>26</v>
      </c>
      <c r="E53" s="579"/>
      <c r="F53" s="579"/>
      <c r="G53" s="579"/>
      <c r="H53" s="579"/>
      <c r="I53" s="579"/>
      <c r="J53" s="579"/>
      <c r="K53" s="579"/>
      <c r="L53" s="579"/>
      <c r="M53" s="579"/>
      <c r="N53" s="579"/>
      <c r="O53" s="306"/>
      <c r="P53" s="306"/>
      <c r="Q53" s="306"/>
      <c r="R53" s="306"/>
      <c r="S53" s="306"/>
      <c r="T53" s="306"/>
      <c r="U53" s="306"/>
      <c r="V53" s="306"/>
      <c r="W53" s="306"/>
      <c r="X53" s="306"/>
      <c r="Y53" s="306"/>
      <c r="Z53" s="306"/>
    </row>
    <row r="54" spans="1:26" x14ac:dyDescent="0.2">
      <c r="A54" s="546" t="s">
        <v>462</v>
      </c>
      <c r="B54" s="546" t="str">
        <f>Commodities!$D$16</f>
        <v>RRF</v>
      </c>
      <c r="C54" s="546" t="s">
        <v>42</v>
      </c>
      <c r="D54" s="546" t="s">
        <v>26</v>
      </c>
      <c r="E54" s="579"/>
      <c r="F54" s="579"/>
      <c r="G54" s="579"/>
      <c r="H54" s="579"/>
      <c r="I54" s="579"/>
      <c r="J54" s="579"/>
      <c r="K54" s="579"/>
      <c r="L54" s="579"/>
      <c r="M54" s="579"/>
      <c r="N54" s="579"/>
      <c r="O54" s="306">
        <v>7.8799999999999995E-2</v>
      </c>
      <c r="P54" s="306">
        <v>0.1045</v>
      </c>
      <c r="Q54" s="306">
        <v>0.15049999999999999</v>
      </c>
      <c r="R54" s="306">
        <v>3.5000000000000001E-3</v>
      </c>
      <c r="S54" s="306">
        <v>0.1018</v>
      </c>
      <c r="T54" s="306">
        <v>0.12859999999999999</v>
      </c>
      <c r="U54" s="306">
        <v>0.13289999999999999</v>
      </c>
      <c r="V54" s="306">
        <v>3.3999999999999998E-3</v>
      </c>
      <c r="W54" s="306">
        <v>6.9599999999999995E-2</v>
      </c>
      <c r="X54" s="306">
        <v>0.1051</v>
      </c>
      <c r="Y54" s="306">
        <v>0.1181</v>
      </c>
      <c r="Z54" s="306">
        <v>3.2000000000000002E-3</v>
      </c>
    </row>
    <row r="55" spans="1:26" x14ac:dyDescent="0.2">
      <c r="A55" s="546" t="s">
        <v>461</v>
      </c>
      <c r="B55" s="546" t="str">
        <f>Commodities!$D$17</f>
        <v>RWH</v>
      </c>
      <c r="C55" s="546" t="s">
        <v>44</v>
      </c>
      <c r="D55" s="546" t="s">
        <v>26</v>
      </c>
      <c r="E55" s="579">
        <f>DmdCalc!E$5*Pop!D26/Pop!D$28</f>
        <v>10.01888975126359</v>
      </c>
      <c r="F55" s="579">
        <f>DmdCalc!F$5*Pop!E26/Pop!E$28</f>
        <v>10.120024227099092</v>
      </c>
      <c r="G55" s="579">
        <f>DmdCalc!G$5*Pop!F26/Pop!F$28</f>
        <v>9.4829230271444498</v>
      </c>
      <c r="H55" s="579">
        <f>DmdCalc!H$5*Pop!G26/Pop!G$28</f>
        <v>10.381547295920706</v>
      </c>
      <c r="I55" s="579">
        <f>DmdCalc!I$5*Pop!H26/Pop!H$28</f>
        <v>9.8016611003737228</v>
      </c>
      <c r="J55" s="579">
        <f>DmdCalc!J$5*Pop!I26/Pop!I$28</f>
        <v>9.6360648993594591</v>
      </c>
      <c r="K55" s="579">
        <f>DmdCalc!K$5*Pop!J26/Pop!J$28</f>
        <v>9.5282683488846178</v>
      </c>
      <c r="L55" s="579">
        <f>DmdCalc!L$5*Pop!K26/Pop!K$28</f>
        <v>9.3966535768202384</v>
      </c>
      <c r="M55" s="579">
        <f>DmdCalc!M$5*Pop!L26/Pop!L$28</f>
        <v>9.1774988319830033</v>
      </c>
      <c r="N55" s="579">
        <f>DmdCalc!N$5*Pop!M26/Pop!M$28</f>
        <v>8.9642786181892582</v>
      </c>
      <c r="O55" s="306">
        <v>0.1215</v>
      </c>
      <c r="P55" s="306">
        <v>0.1114</v>
      </c>
      <c r="Q55" s="306">
        <v>0.12790000000000001</v>
      </c>
      <c r="R55" s="306">
        <v>5.3E-3</v>
      </c>
      <c r="S55" s="306">
        <v>8.6800000000000002E-2</v>
      </c>
      <c r="T55" s="306">
        <v>8.9200000000000002E-2</v>
      </c>
      <c r="U55" s="306">
        <v>6.5299999999999997E-2</v>
      </c>
      <c r="V55" s="306">
        <v>2E-3</v>
      </c>
      <c r="W55" s="306">
        <v>0.13239999999999999</v>
      </c>
      <c r="X55" s="306">
        <v>0.14860000000000001</v>
      </c>
      <c r="Y55" s="306">
        <v>0.1042</v>
      </c>
      <c r="Z55" s="306">
        <v>5.4000000000000003E-3</v>
      </c>
    </row>
    <row r="56" spans="1:26" x14ac:dyDescent="0.2">
      <c r="A56" s="577" t="s">
        <v>463</v>
      </c>
      <c r="B56" s="577"/>
      <c r="C56" s="577"/>
      <c r="D56" s="577"/>
      <c r="E56" s="578"/>
      <c r="F56" s="578"/>
      <c r="G56" s="578"/>
      <c r="H56" s="578"/>
      <c r="I56" s="578"/>
      <c r="J56" s="578"/>
      <c r="K56" s="578"/>
      <c r="L56" s="578"/>
      <c r="M56" s="578"/>
      <c r="N56" s="578"/>
      <c r="O56" s="596"/>
      <c r="P56" s="596"/>
      <c r="Q56" s="596"/>
      <c r="R56" s="596"/>
      <c r="S56" s="596"/>
      <c r="T56" s="596"/>
      <c r="U56" s="596"/>
      <c r="V56" s="596"/>
      <c r="W56" s="596"/>
      <c r="X56" s="596"/>
      <c r="Y56" s="596"/>
      <c r="Z56" s="596"/>
    </row>
    <row r="57" spans="1:26" x14ac:dyDescent="0.2">
      <c r="A57" s="546" t="s">
        <v>464</v>
      </c>
      <c r="B57" s="546" t="str">
        <f>Commodities!$D$9</f>
        <v>RSC</v>
      </c>
      <c r="C57" s="546" t="s">
        <v>25</v>
      </c>
      <c r="D57" s="546" t="s">
        <v>26</v>
      </c>
      <c r="E57" s="579">
        <f>SUM(E7,E17,E27,E37,E47)</f>
        <v>31.310474390890541</v>
      </c>
      <c r="F57" s="579">
        <f t="shared" ref="F57:M57" si="0">SUM(F7,F17,F27,F37,F47)</f>
        <v>31.085144588791273</v>
      </c>
      <c r="G57" s="579">
        <f t="shared" si="0"/>
        <v>31.290899146845881</v>
      </c>
      <c r="H57" s="579">
        <f t="shared" si="0"/>
        <v>31.235276572274707</v>
      </c>
      <c r="I57" s="579">
        <f t="shared" si="0"/>
        <v>31.050252924223734</v>
      </c>
      <c r="J57" s="579">
        <f t="shared" si="0"/>
        <v>31.163812247960355</v>
      </c>
      <c r="K57" s="579">
        <f t="shared" si="0"/>
        <v>33.737894923816881</v>
      </c>
      <c r="L57" s="579">
        <f t="shared" si="0"/>
        <v>33.785990871283886</v>
      </c>
      <c r="M57" s="579">
        <f t="shared" si="0"/>
        <v>35.863857041062282</v>
      </c>
      <c r="N57" s="579">
        <f>SUM(N7,N17,N27,N37,N47)</f>
        <v>35.902920095492071</v>
      </c>
      <c r="O57" s="306">
        <v>3.1699999999999999E-2</v>
      </c>
      <c r="P57" s="306">
        <v>0.1069</v>
      </c>
      <c r="Q57" s="306">
        <v>5.0200000000000002E-2</v>
      </c>
      <c r="R57" s="306">
        <v>4.1999999999999997E-3</v>
      </c>
      <c r="S57" s="306">
        <v>0.13500000000000001</v>
      </c>
      <c r="T57" s="306">
        <v>0.43859999999999999</v>
      </c>
      <c r="U57" s="306">
        <v>0.184</v>
      </c>
      <c r="V57" s="306">
        <v>1.6899999999999998E-2</v>
      </c>
      <c r="W57" s="306">
        <v>9.7000000000000003E-3</v>
      </c>
      <c r="X57" s="306">
        <v>9.9000000000000008E-3</v>
      </c>
      <c r="Y57" s="306">
        <v>1.24E-2</v>
      </c>
      <c r="Z57" s="306">
        <v>5.0000000000000001E-4</v>
      </c>
    </row>
    <row r="58" spans="1:26" x14ac:dyDescent="0.2">
      <c r="A58" s="546" t="s">
        <v>464</v>
      </c>
      <c r="B58" s="546" t="str">
        <f>Commodities!$D$10</f>
        <v>RFZ</v>
      </c>
      <c r="C58" s="546" t="s">
        <v>29</v>
      </c>
      <c r="D58" s="546" t="s">
        <v>26</v>
      </c>
      <c r="E58" s="579"/>
      <c r="F58" s="579"/>
      <c r="G58" s="579"/>
      <c r="H58" s="579"/>
      <c r="I58" s="579"/>
      <c r="J58" s="579"/>
      <c r="K58" s="579"/>
      <c r="L58" s="579"/>
      <c r="M58" s="579"/>
      <c r="N58" s="579"/>
      <c r="O58" s="306">
        <v>7.9500000000000001E-2</v>
      </c>
      <c r="P58" s="306">
        <v>0.1018</v>
      </c>
      <c r="Q58" s="306">
        <v>0.1482</v>
      </c>
      <c r="R58" s="306">
        <v>3.3999999999999998E-3</v>
      </c>
      <c r="S58" s="306">
        <v>0.1033</v>
      </c>
      <c r="T58" s="306">
        <v>0.12839999999999999</v>
      </c>
      <c r="U58" s="306">
        <v>0.1341</v>
      </c>
      <c r="V58" s="306">
        <v>3.3999999999999998E-3</v>
      </c>
      <c r="W58" s="306">
        <v>7.1499999999999994E-2</v>
      </c>
      <c r="X58" s="306">
        <v>0.1017</v>
      </c>
      <c r="Y58" s="306">
        <v>0.1217</v>
      </c>
      <c r="Z58" s="306">
        <v>3.0000000000000001E-3</v>
      </c>
    </row>
    <row r="59" spans="1:26" x14ac:dyDescent="0.2">
      <c r="A59" s="546" t="s">
        <v>464</v>
      </c>
      <c r="B59" s="546" t="str">
        <f>Commodities!$D$11</f>
        <v>RSH</v>
      </c>
      <c r="C59" s="546" t="s">
        <v>31</v>
      </c>
      <c r="D59" s="546" t="s">
        <v>26</v>
      </c>
      <c r="E59" s="579">
        <f t="shared" ref="E59:N59" si="1">SUM(E9,E19,E29,E39,E49)</f>
        <v>151.20019064870218</v>
      </c>
      <c r="F59" s="579">
        <f t="shared" si="1"/>
        <v>152.25591493116974</v>
      </c>
      <c r="G59" s="579">
        <f t="shared" si="1"/>
        <v>125.81567264626153</v>
      </c>
      <c r="H59" s="579">
        <f t="shared" si="1"/>
        <v>148.42703601568093</v>
      </c>
      <c r="I59" s="579">
        <f t="shared" si="1"/>
        <v>143.68032457332066</v>
      </c>
      <c r="J59" s="579">
        <f t="shared" si="1"/>
        <v>135.6851508527688</v>
      </c>
      <c r="K59" s="579">
        <f t="shared" si="1"/>
        <v>123.87616155879198</v>
      </c>
      <c r="L59" s="579">
        <f t="shared" si="1"/>
        <v>118.92565514595779</v>
      </c>
      <c r="M59" s="579">
        <f t="shared" si="1"/>
        <v>109.79965746220367</v>
      </c>
      <c r="N59" s="579">
        <f t="shared" si="1"/>
        <v>105.51047217327439</v>
      </c>
      <c r="O59" s="306">
        <v>6.4100000000000004E-2</v>
      </c>
      <c r="P59" s="306">
        <v>5.5E-2</v>
      </c>
      <c r="Q59" s="306">
        <v>9.4399999999999998E-2</v>
      </c>
      <c r="R59" s="306">
        <v>3.0999999999999999E-3</v>
      </c>
      <c r="S59" s="306">
        <v>3.7000000000000002E-3</v>
      </c>
      <c r="T59" s="306">
        <v>2.0999999999999999E-3</v>
      </c>
      <c r="U59" s="306">
        <v>2.5999999999999999E-3</v>
      </c>
      <c r="V59" s="306">
        <v>1E-4</v>
      </c>
      <c r="W59" s="306">
        <v>0.21629999999999999</v>
      </c>
      <c r="X59" s="306">
        <v>0.1943</v>
      </c>
      <c r="Y59" s="306">
        <v>0.35470000000000002</v>
      </c>
      <c r="Z59" s="306">
        <v>9.5999999999999992E-3</v>
      </c>
    </row>
    <row r="60" spans="1:26" x14ac:dyDescent="0.2">
      <c r="A60" s="546" t="s">
        <v>464</v>
      </c>
      <c r="B60" s="546" t="str">
        <f>Commodities!$D$12</f>
        <v>RLT</v>
      </c>
      <c r="C60" s="546" t="s">
        <v>33</v>
      </c>
      <c r="D60" s="546" t="str">
        <f>Commodities!$F$12</f>
        <v>bn-lum-yr</v>
      </c>
      <c r="E60" s="579">
        <f t="shared" ref="E60:N60" si="2">SUM(E10,E20,E30,E40,E50)</f>
        <v>9.479904448292551</v>
      </c>
      <c r="F60" s="579">
        <f t="shared" si="2"/>
        <v>9.1644629567853162</v>
      </c>
      <c r="G60" s="579">
        <f t="shared" si="2"/>
        <v>8.5061055177913758</v>
      </c>
      <c r="H60" s="579">
        <f t="shared" si="2"/>
        <v>2.9815829678916947</v>
      </c>
      <c r="I60" s="579">
        <f t="shared" si="2"/>
        <v>3.048081327841309</v>
      </c>
      <c r="J60" s="579">
        <f t="shared" si="2"/>
        <v>3.0380811373177394</v>
      </c>
      <c r="K60" s="579">
        <f t="shared" si="2"/>
        <v>3.0189964713912163</v>
      </c>
      <c r="L60" s="579">
        <f t="shared" si="2"/>
        <v>2.9163346317575267</v>
      </c>
      <c r="M60" s="579">
        <f t="shared" si="2"/>
        <v>2.9369164192304575</v>
      </c>
      <c r="N60" s="579">
        <f t="shared" si="2"/>
        <v>2.9576434609451221</v>
      </c>
      <c r="O60" s="306">
        <v>6.2700000000000006E-2</v>
      </c>
      <c r="P60" s="306">
        <v>0.09</v>
      </c>
      <c r="Q60" s="306">
        <v>0.17730000000000001</v>
      </c>
      <c r="R60" s="306">
        <v>3.3E-3</v>
      </c>
      <c r="S60" s="306">
        <v>5.91E-2</v>
      </c>
      <c r="T60" s="306">
        <v>9.1399999999999995E-2</v>
      </c>
      <c r="U60" s="306">
        <v>0.13150000000000001</v>
      </c>
      <c r="V60" s="306">
        <v>1.4E-3</v>
      </c>
      <c r="W60" s="306">
        <v>7.4200000000000002E-2</v>
      </c>
      <c r="X60" s="306">
        <v>0.1447</v>
      </c>
      <c r="Y60" s="306">
        <v>0.1595</v>
      </c>
      <c r="Z60" s="306">
        <v>4.8999999999999998E-3</v>
      </c>
    </row>
    <row r="61" spans="1:26" x14ac:dyDescent="0.2">
      <c r="A61" s="546" t="s">
        <v>464</v>
      </c>
      <c r="B61" s="546" t="str">
        <f>Commodities!$D$13</f>
        <v>ROE</v>
      </c>
      <c r="C61" s="546" t="s">
        <v>36</v>
      </c>
      <c r="D61" s="546" t="s">
        <v>26</v>
      </c>
      <c r="E61" s="579">
        <f t="shared" ref="E61:N61" si="3">SUM(E11,E21,E31,E41,E51)</f>
        <v>29.802785549323776</v>
      </c>
      <c r="F61" s="579">
        <f t="shared" si="3"/>
        <v>28.811105182076798</v>
      </c>
      <c r="G61" s="579">
        <f t="shared" si="3"/>
        <v>26.741370652983278</v>
      </c>
      <c r="H61" s="579">
        <f t="shared" si="3"/>
        <v>33.351033050380991</v>
      </c>
      <c r="I61" s="579">
        <f t="shared" si="3"/>
        <v>35.331651392613487</v>
      </c>
      <c r="J61" s="579">
        <f t="shared" si="3"/>
        <v>37.00795174689614</v>
      </c>
      <c r="K61" s="579">
        <f t="shared" si="3"/>
        <v>39.189410641955675</v>
      </c>
      <c r="L61" s="579">
        <f t="shared" si="3"/>
        <v>41.990449913796084</v>
      </c>
      <c r="M61" s="579">
        <f t="shared" si="3"/>
        <v>45.497442819631388</v>
      </c>
      <c r="N61" s="579">
        <f t="shared" si="3"/>
        <v>49.348224303867752</v>
      </c>
      <c r="O61" s="306">
        <v>8.9200000000000002E-2</v>
      </c>
      <c r="P61" s="306">
        <v>0.1211</v>
      </c>
      <c r="Q61" s="306">
        <v>0.1084</v>
      </c>
      <c r="R61" s="306">
        <v>4.4000000000000003E-3</v>
      </c>
      <c r="S61" s="306">
        <v>8.6499999999999994E-2</v>
      </c>
      <c r="T61" s="306">
        <v>0.12570000000000001</v>
      </c>
      <c r="U61" s="306">
        <v>6.7400000000000002E-2</v>
      </c>
      <c r="V61" s="306">
        <v>3.0999999999999999E-3</v>
      </c>
      <c r="W61" s="306">
        <v>0.1079</v>
      </c>
      <c r="X61" s="306">
        <v>0.17180000000000001</v>
      </c>
      <c r="Y61" s="306">
        <v>0.1091</v>
      </c>
      <c r="Z61" s="306">
        <v>5.4000000000000003E-3</v>
      </c>
    </row>
    <row r="62" spans="1:26" x14ac:dyDescent="0.2">
      <c r="A62" s="546" t="s">
        <v>464</v>
      </c>
      <c r="B62" s="546" t="str">
        <f>Commodities!$D$14</f>
        <v>ROG</v>
      </c>
      <c r="C62" s="546" t="s">
        <v>38</v>
      </c>
      <c r="D62" s="546" t="s">
        <v>26</v>
      </c>
      <c r="E62" s="579">
        <f t="shared" ref="E62:N62" si="4">SUM(E12,E22,E32,E42,E52)</f>
        <v>2.6917016751012608</v>
      </c>
      <c r="F62" s="579">
        <f t="shared" si="4"/>
        <v>3.0434929544816609</v>
      </c>
      <c r="G62" s="579">
        <f t="shared" si="4"/>
        <v>3.0766883559518208</v>
      </c>
      <c r="H62" s="579">
        <f t="shared" si="4"/>
        <v>3.6816573294769115</v>
      </c>
      <c r="I62" s="579">
        <f t="shared" si="4"/>
        <v>3.784440417741592</v>
      </c>
      <c r="J62" s="579">
        <f t="shared" si="4"/>
        <v>3.8204346869384302</v>
      </c>
      <c r="K62" s="579">
        <f t="shared" si="4"/>
        <v>3.8739878568132351</v>
      </c>
      <c r="L62" s="579">
        <f t="shared" si="4"/>
        <v>3.9448438805810189</v>
      </c>
      <c r="M62" s="579">
        <f t="shared" si="4"/>
        <v>4.0044633896692989</v>
      </c>
      <c r="N62" s="579">
        <f t="shared" si="4"/>
        <v>4.068864099660729</v>
      </c>
      <c r="O62" s="306"/>
      <c r="P62" s="306"/>
      <c r="Q62" s="306"/>
      <c r="R62" s="306"/>
      <c r="S62" s="306"/>
      <c r="T62" s="306"/>
      <c r="U62" s="306"/>
      <c r="V62" s="306"/>
      <c r="W62" s="306"/>
      <c r="X62" s="306"/>
      <c r="Y62" s="306"/>
      <c r="Z62" s="306"/>
    </row>
    <row r="63" spans="1:26" x14ac:dyDescent="0.2">
      <c r="A63" s="546" t="s">
        <v>464</v>
      </c>
      <c r="B63" s="546" t="str">
        <f>Commodities!$D$15</f>
        <v>ROL</v>
      </c>
      <c r="C63" s="546" t="s">
        <v>40</v>
      </c>
      <c r="D63" s="546" t="s">
        <v>26</v>
      </c>
      <c r="E63" s="579"/>
      <c r="F63" s="579"/>
      <c r="G63" s="579"/>
      <c r="H63" s="579"/>
      <c r="I63" s="579"/>
      <c r="J63" s="579"/>
      <c r="K63" s="579"/>
      <c r="L63" s="579"/>
      <c r="M63" s="579"/>
      <c r="N63" s="579"/>
      <c r="O63" s="306"/>
      <c r="P63" s="306"/>
      <c r="Q63" s="306"/>
      <c r="R63" s="306"/>
      <c r="S63" s="306"/>
      <c r="T63" s="306"/>
      <c r="U63" s="306"/>
      <c r="V63" s="306"/>
      <c r="W63" s="306"/>
      <c r="X63" s="306"/>
      <c r="Y63" s="306"/>
      <c r="Z63" s="306"/>
    </row>
    <row r="64" spans="1:26" x14ac:dyDescent="0.2">
      <c r="A64" s="546" t="s">
        <v>464</v>
      </c>
      <c r="B64" s="546" t="str">
        <f>Commodities!$D$16</f>
        <v>RRF</v>
      </c>
      <c r="C64" s="546" t="s">
        <v>42</v>
      </c>
      <c r="D64" s="546" t="s">
        <v>26</v>
      </c>
      <c r="E64" s="579"/>
      <c r="F64" s="579"/>
      <c r="G64" s="579"/>
      <c r="H64" s="579"/>
      <c r="I64" s="579"/>
      <c r="J64" s="579"/>
      <c r="K64" s="579"/>
      <c r="L64" s="579"/>
      <c r="M64" s="579"/>
      <c r="N64" s="579"/>
      <c r="O64" s="306">
        <v>7.8799999999999995E-2</v>
      </c>
      <c r="P64" s="306">
        <v>0.1045</v>
      </c>
      <c r="Q64" s="306">
        <v>0.15049999999999999</v>
      </c>
      <c r="R64" s="306">
        <v>3.5000000000000001E-3</v>
      </c>
      <c r="S64" s="306">
        <v>0.1018</v>
      </c>
      <c r="T64" s="306">
        <v>0.12859999999999999</v>
      </c>
      <c r="U64" s="306">
        <v>0.13289999999999999</v>
      </c>
      <c r="V64" s="306">
        <v>3.3999999999999998E-3</v>
      </c>
      <c r="W64" s="306">
        <v>6.9599999999999995E-2</v>
      </c>
      <c r="X64" s="306">
        <v>0.1051</v>
      </c>
      <c r="Y64" s="306">
        <v>0.1181</v>
      </c>
      <c r="Z64" s="306">
        <v>3.2000000000000002E-3</v>
      </c>
    </row>
    <row r="65" spans="1:26" x14ac:dyDescent="0.2">
      <c r="A65" s="546" t="s">
        <v>464</v>
      </c>
      <c r="B65" s="546" t="str">
        <f>Commodities!$D$17</f>
        <v>RWH</v>
      </c>
      <c r="C65" s="546" t="s">
        <v>44</v>
      </c>
      <c r="D65" s="546" t="s">
        <v>26</v>
      </c>
      <c r="E65" s="579">
        <f t="shared" ref="E65:N65" si="5">SUM(E15,E25,E35,E45,E55)</f>
        <v>39.76920952462465</v>
      </c>
      <c r="F65" s="579">
        <f t="shared" si="5"/>
        <v>40.88106566484521</v>
      </c>
      <c r="G65" s="579">
        <f t="shared" si="5"/>
        <v>38.686094344467975</v>
      </c>
      <c r="H65" s="579">
        <f t="shared" si="5"/>
        <v>42.359563602861456</v>
      </c>
      <c r="I65" s="579">
        <f t="shared" si="5"/>
        <v>40.000021197652025</v>
      </c>
      <c r="J65" s="579">
        <f t="shared" si="5"/>
        <v>39.440385807159672</v>
      </c>
      <c r="K65" s="579">
        <f t="shared" si="5"/>
        <v>39.112145639088709</v>
      </c>
      <c r="L65" s="579">
        <f t="shared" si="5"/>
        <v>38.514152869456311</v>
      </c>
      <c r="M65" s="579">
        <f t="shared" si="5"/>
        <v>37.65929064279846</v>
      </c>
      <c r="N65" s="579">
        <f t="shared" si="5"/>
        <v>36.824971301191027</v>
      </c>
      <c r="O65" s="306">
        <v>0.1215</v>
      </c>
      <c r="P65" s="306">
        <v>0.1114</v>
      </c>
      <c r="Q65" s="306">
        <v>0.12790000000000001</v>
      </c>
      <c r="R65" s="306">
        <v>5.3E-3</v>
      </c>
      <c r="S65" s="306">
        <v>8.6800000000000002E-2</v>
      </c>
      <c r="T65" s="306">
        <v>8.9200000000000002E-2</v>
      </c>
      <c r="U65" s="306">
        <v>6.5299999999999997E-2</v>
      </c>
      <c r="V65" s="306">
        <v>2E-3</v>
      </c>
      <c r="W65" s="306">
        <v>0.13239999999999999</v>
      </c>
      <c r="X65" s="306">
        <v>0.14860000000000001</v>
      </c>
      <c r="Y65" s="306">
        <v>0.1042</v>
      </c>
      <c r="Z65" s="306">
        <v>5.4000000000000003E-3</v>
      </c>
    </row>
  </sheetData>
  <phoneticPr fontId="67" type="noConversion"/>
  <pageMargins left="0.75" right="0.75" top="1" bottom="1" header="0.5" footer="0.5"/>
  <pageSetup paperSize="9" orientation="landscape" horizontalDpi="12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2">
    <tabColor rgb="FFFFC000"/>
  </sheetPr>
  <dimension ref="A1:AS479"/>
  <sheetViews>
    <sheetView zoomScale="90" zoomScaleNormal="90" zoomScaleSheetLayoutView="96" workbookViewId="0">
      <pane xSplit="6" ySplit="7" topLeftCell="G22" activePane="bottomRight" state="frozen"/>
      <selection pane="topRight" activeCell="F340" sqref="F340"/>
      <selection pane="bottomLeft" activeCell="F340" sqref="F340"/>
      <selection pane="bottomRight" activeCell="I474" sqref="I474"/>
    </sheetView>
  </sheetViews>
  <sheetFormatPr defaultColWidth="9.140625" defaultRowHeight="12.75" x14ac:dyDescent="0.2"/>
  <cols>
    <col min="1" max="1" width="20.7109375" style="14" customWidth="1"/>
    <col min="2" max="2" width="16.42578125" style="14" customWidth="1"/>
    <col min="3" max="3" width="42.7109375" style="14" bestFit="1" customWidth="1"/>
    <col min="4" max="4" width="6.85546875" style="14" customWidth="1"/>
    <col min="5" max="5" width="14.7109375" style="14" customWidth="1"/>
    <col min="6" max="6" width="13.28515625" style="14" customWidth="1"/>
    <col min="7" max="7" width="13.5703125" style="22" bestFit="1" customWidth="1"/>
    <col min="8" max="8" width="14.7109375" style="14" bestFit="1" customWidth="1"/>
    <col min="9" max="9" width="15" style="14" bestFit="1" customWidth="1"/>
    <col min="10" max="10" width="8.28515625" style="14" bestFit="1" customWidth="1"/>
    <col min="11" max="11" width="10.28515625" style="14" bestFit="1" customWidth="1"/>
    <col min="12" max="16" width="15.7109375" style="14" bestFit="1" customWidth="1"/>
    <col min="17" max="17" width="14" style="14" bestFit="1" customWidth="1"/>
    <col min="18" max="18" width="16" style="14" bestFit="1" customWidth="1"/>
    <col min="19" max="33" width="23.42578125" style="30" bestFit="1" customWidth="1"/>
    <col min="34" max="34" width="23.42578125" style="30" customWidth="1"/>
    <col min="35" max="44" width="16.42578125" style="30" bestFit="1" customWidth="1"/>
    <col min="45" max="45" width="21" style="30" customWidth="1"/>
    <col min="46" max="16384" width="9.140625" style="14"/>
  </cols>
  <sheetData>
    <row r="1" spans="1:45" x14ac:dyDescent="0.2">
      <c r="A1" s="13" t="s">
        <v>465</v>
      </c>
      <c r="B1" s="14" t="s">
        <v>12</v>
      </c>
      <c r="L1" s="14" t="s">
        <v>450</v>
      </c>
      <c r="M1" s="14" t="s">
        <v>453</v>
      </c>
      <c r="N1" s="14" t="s">
        <v>384</v>
      </c>
      <c r="O1" s="14" t="s">
        <v>458</v>
      </c>
      <c r="P1" s="14" t="s">
        <v>461</v>
      </c>
      <c r="S1" s="30" t="s">
        <v>450</v>
      </c>
      <c r="T1" s="30" t="s">
        <v>453</v>
      </c>
      <c r="U1" s="30" t="s">
        <v>384</v>
      </c>
      <c r="V1" s="30" t="s">
        <v>458</v>
      </c>
      <c r="W1" s="30" t="s">
        <v>461</v>
      </c>
      <c r="X1" s="30" t="s">
        <v>450</v>
      </c>
      <c r="Y1" s="30" t="s">
        <v>453</v>
      </c>
      <c r="Z1" s="30" t="s">
        <v>384</v>
      </c>
      <c r="AA1" s="30" t="s">
        <v>458</v>
      </c>
      <c r="AB1" s="30" t="s">
        <v>461</v>
      </c>
      <c r="AC1" s="30" t="s">
        <v>450</v>
      </c>
      <c r="AD1" s="30" t="s">
        <v>453</v>
      </c>
      <c r="AE1" s="30" t="s">
        <v>384</v>
      </c>
      <c r="AF1" s="30" t="s">
        <v>458</v>
      </c>
      <c r="AG1" s="30" t="s">
        <v>461</v>
      </c>
    </row>
    <row r="6" spans="1:45" x14ac:dyDescent="0.2">
      <c r="F6" s="550" t="s">
        <v>424</v>
      </c>
    </row>
    <row r="7" spans="1:45" ht="15.75" customHeight="1" x14ac:dyDescent="0.2">
      <c r="A7" s="595" t="s">
        <v>14</v>
      </c>
      <c r="B7" s="595" t="s">
        <v>7</v>
      </c>
      <c r="C7" s="595" t="s">
        <v>466</v>
      </c>
      <c r="D7" s="595" t="s">
        <v>426</v>
      </c>
      <c r="E7" s="595" t="s">
        <v>467</v>
      </c>
      <c r="F7" s="595" t="s">
        <v>468</v>
      </c>
      <c r="G7" s="595" t="s">
        <v>469</v>
      </c>
      <c r="H7" s="595" t="s">
        <v>470</v>
      </c>
      <c r="I7" s="595" t="s">
        <v>471</v>
      </c>
      <c r="J7" s="595" t="s">
        <v>472</v>
      </c>
      <c r="K7" s="595" t="s">
        <v>473</v>
      </c>
      <c r="L7" s="595" t="s">
        <v>474</v>
      </c>
      <c r="M7" s="595" t="s">
        <v>475</v>
      </c>
      <c r="N7" s="595" t="s">
        <v>476</v>
      </c>
      <c r="O7" s="595" t="s">
        <v>477</v>
      </c>
      <c r="P7" s="595" t="s">
        <v>478</v>
      </c>
      <c r="Q7" s="595" t="s">
        <v>479</v>
      </c>
      <c r="R7" s="595" t="s">
        <v>480</v>
      </c>
      <c r="S7" s="595" t="s">
        <v>481</v>
      </c>
      <c r="T7" s="595" t="s">
        <v>482</v>
      </c>
      <c r="U7" s="595" t="s">
        <v>483</v>
      </c>
      <c r="V7" s="595" t="s">
        <v>484</v>
      </c>
      <c r="W7" s="595" t="s">
        <v>485</v>
      </c>
      <c r="X7" s="595" t="s">
        <v>486</v>
      </c>
      <c r="Y7" s="595" t="s">
        <v>487</v>
      </c>
      <c r="Z7" s="595" t="s">
        <v>488</v>
      </c>
      <c r="AA7" s="595" t="s">
        <v>489</v>
      </c>
      <c r="AB7" s="595" t="s">
        <v>490</v>
      </c>
      <c r="AC7" s="595" t="s">
        <v>491</v>
      </c>
      <c r="AD7" s="595" t="s">
        <v>492</v>
      </c>
      <c r="AE7" s="595" t="s">
        <v>493</v>
      </c>
      <c r="AF7" s="595" t="s">
        <v>494</v>
      </c>
      <c r="AG7" s="595" t="s">
        <v>495</v>
      </c>
      <c r="AH7" s="595" t="s">
        <v>496</v>
      </c>
      <c r="AI7" s="595" t="s">
        <v>497</v>
      </c>
      <c r="AJ7" s="595" t="s">
        <v>498</v>
      </c>
      <c r="AK7" s="595" t="s">
        <v>499</v>
      </c>
      <c r="AL7" s="595" t="s">
        <v>500</v>
      </c>
      <c r="AM7" s="595" t="s">
        <v>501</v>
      </c>
      <c r="AN7" s="595" t="s">
        <v>502</v>
      </c>
      <c r="AO7" s="595" t="s">
        <v>503</v>
      </c>
      <c r="AP7" s="595" t="s">
        <v>504</v>
      </c>
      <c r="AQ7" s="595" t="s">
        <v>505</v>
      </c>
      <c r="AR7" s="595" t="s">
        <v>506</v>
      </c>
      <c r="AS7" s="858"/>
    </row>
    <row r="8" spans="1:45" ht="15.75" customHeight="1" x14ac:dyDescent="0.2">
      <c r="A8" s="757" t="s">
        <v>371</v>
      </c>
      <c r="B8" s="758"/>
      <c r="C8" s="758"/>
      <c r="D8" s="758"/>
      <c r="E8" s="757"/>
      <c r="F8" s="757"/>
      <c r="G8" s="859"/>
      <c r="H8" s="758"/>
      <c r="I8" s="758"/>
      <c r="J8" s="757"/>
      <c r="K8" s="758"/>
      <c r="L8" s="758"/>
      <c r="M8" s="758"/>
      <c r="N8" s="758"/>
      <c r="O8" s="758"/>
      <c r="P8" s="758"/>
      <c r="Q8" s="758"/>
      <c r="R8" s="757"/>
      <c r="S8" s="570"/>
      <c r="T8" s="570"/>
      <c r="U8" s="570"/>
      <c r="V8" s="570"/>
      <c r="W8" s="570"/>
      <c r="X8" s="570"/>
      <c r="Y8" s="570"/>
      <c r="Z8" s="570"/>
      <c r="AA8" s="570"/>
      <c r="AB8" s="570"/>
      <c r="AC8" s="570"/>
      <c r="AD8" s="570"/>
      <c r="AE8" s="570"/>
      <c r="AF8" s="570"/>
      <c r="AG8" s="570"/>
      <c r="AH8" s="570"/>
      <c r="AI8" s="570"/>
      <c r="AJ8" s="570"/>
      <c r="AK8" s="570"/>
      <c r="AL8" s="570"/>
      <c r="AM8" s="570"/>
      <c r="AN8" s="570"/>
      <c r="AO8" s="570"/>
      <c r="AP8" s="570"/>
      <c r="AQ8" s="570"/>
      <c r="AR8" s="570"/>
    </row>
    <row r="9" spans="1:45" ht="15.75" customHeight="1" x14ac:dyDescent="0.2">
      <c r="A9" s="761" t="s">
        <v>507</v>
      </c>
      <c r="B9" s="762"/>
      <c r="C9" s="762"/>
      <c r="D9" s="762"/>
      <c r="E9" s="761"/>
      <c r="F9" s="761"/>
      <c r="G9" s="860"/>
      <c r="H9" s="762"/>
      <c r="I9" s="762"/>
      <c r="J9" s="761"/>
      <c r="K9" s="762"/>
      <c r="L9" s="762"/>
      <c r="M9" s="762"/>
      <c r="N9" s="762"/>
      <c r="O9" s="762"/>
      <c r="P9" s="762"/>
      <c r="Q9" s="762"/>
      <c r="R9" s="761"/>
      <c r="S9" s="558"/>
      <c r="T9" s="558"/>
      <c r="U9" s="558"/>
      <c r="V9" s="558"/>
      <c r="W9" s="558"/>
      <c r="X9" s="558"/>
      <c r="Y9" s="558"/>
      <c r="Z9" s="558"/>
      <c r="AA9" s="558"/>
      <c r="AB9" s="558"/>
      <c r="AC9" s="558"/>
      <c r="AD9" s="558"/>
      <c r="AE9" s="558"/>
      <c r="AF9" s="558"/>
      <c r="AG9" s="558"/>
      <c r="AH9" s="558"/>
      <c r="AI9" s="558"/>
      <c r="AJ9" s="558"/>
      <c r="AK9" s="558"/>
      <c r="AL9" s="558"/>
      <c r="AM9" s="558"/>
      <c r="AN9" s="558"/>
      <c r="AO9" s="558"/>
      <c r="AP9" s="558"/>
      <c r="AQ9" s="558"/>
      <c r="AR9" s="558"/>
    </row>
    <row r="10" spans="1:45" x14ac:dyDescent="0.2">
      <c r="A10" s="294" t="s">
        <v>22</v>
      </c>
      <c r="B10" s="294" t="s">
        <v>508</v>
      </c>
      <c r="C10" s="294" t="s">
        <v>509</v>
      </c>
      <c r="D10" s="759" t="s">
        <v>26</v>
      </c>
      <c r="E10" s="294" t="s">
        <v>47</v>
      </c>
      <c r="F10" s="294" t="str">
        <f>Commodities!$D$11</f>
        <v>RSH</v>
      </c>
      <c r="G10" s="303">
        <v>2010</v>
      </c>
      <c r="H10" s="294">
        <v>20</v>
      </c>
      <c r="I10" s="760">
        <v>3.7369871363896365</v>
      </c>
      <c r="J10" s="760">
        <v>1</v>
      </c>
      <c r="K10" s="294">
        <v>1</v>
      </c>
      <c r="L10" s="294">
        <v>0.16</v>
      </c>
      <c r="M10" s="294">
        <v>0.16</v>
      </c>
      <c r="N10" s="294">
        <v>0.16</v>
      </c>
      <c r="O10" s="294">
        <v>0.16</v>
      </c>
      <c r="P10" s="294">
        <v>0.16</v>
      </c>
      <c r="Q10" s="294"/>
      <c r="R10" s="294">
        <v>0.18</v>
      </c>
      <c r="S10" s="563">
        <f>Resid!U9</f>
        <v>4.6902592083197518</v>
      </c>
      <c r="T10" s="563">
        <f>Resid!V9</f>
        <v>2.2297152265934534</v>
      </c>
      <c r="U10" s="563">
        <f>Resid!W9</f>
        <v>3.951677802132644</v>
      </c>
      <c r="V10" s="563">
        <f>Resid!X9</f>
        <v>1.0640689599271054</v>
      </c>
      <c r="W10" s="563">
        <f>Resid!Y9</f>
        <v>4.0851124545006448</v>
      </c>
      <c r="X10" s="563">
        <f>Resid!AJ9</f>
        <v>3.4695110789696035</v>
      </c>
      <c r="Y10" s="563">
        <f>Resid!AK9</f>
        <v>1.6819850814807817</v>
      </c>
      <c r="Z10" s="563">
        <f>Resid!AL9</f>
        <v>3.0825509395042192</v>
      </c>
      <c r="AA10" s="563">
        <f>Resid!AM9</f>
        <v>0.73815892981684328</v>
      </c>
      <c r="AB10" s="563">
        <f>Resid!AN9</f>
        <v>2.9316531449920227</v>
      </c>
      <c r="AC10" s="563">
        <f>Resid!AY9</f>
        <v>2.4158177099161962</v>
      </c>
      <c r="AD10" s="563">
        <f>Resid!AZ9</f>
        <v>1.1792311385098675</v>
      </c>
      <c r="AE10" s="563">
        <f>Resid!BA9</f>
        <v>2.0621715725847185</v>
      </c>
      <c r="AF10" s="563">
        <f>Resid!BB9</f>
        <v>0.487112168457219</v>
      </c>
      <c r="AG10" s="563">
        <f>Resid!BC9</f>
        <v>1.9844322239784211</v>
      </c>
      <c r="AH10" s="563"/>
      <c r="AI10" s="562">
        <v>0</v>
      </c>
      <c r="AJ10" s="562">
        <v>0</v>
      </c>
      <c r="AK10" s="562">
        <v>0</v>
      </c>
      <c r="AL10" s="562">
        <v>0</v>
      </c>
      <c r="AM10" s="562">
        <v>0</v>
      </c>
      <c r="AN10" s="562">
        <v>0</v>
      </c>
      <c r="AO10" s="562">
        <v>0</v>
      </c>
      <c r="AP10" s="562">
        <v>0</v>
      </c>
      <c r="AQ10" s="562">
        <v>0</v>
      </c>
      <c r="AR10" s="562">
        <v>0</v>
      </c>
      <c r="AS10" s="42"/>
    </row>
    <row r="11" spans="1:45" ht="15.75" customHeight="1" x14ac:dyDescent="0.2">
      <c r="A11" s="761" t="s">
        <v>375</v>
      </c>
      <c r="B11" s="762"/>
      <c r="C11" s="762"/>
      <c r="D11" s="762"/>
      <c r="E11" s="761"/>
      <c r="F11" s="761"/>
      <c r="G11" s="860"/>
      <c r="H11" s="762"/>
      <c r="I11" s="762"/>
      <c r="J11" s="761"/>
      <c r="K11" s="762"/>
      <c r="L11" s="762"/>
      <c r="M11" s="762"/>
      <c r="N11" s="762"/>
      <c r="O11" s="762"/>
      <c r="P11" s="762"/>
      <c r="Q11" s="762"/>
      <c r="R11" s="761"/>
      <c r="S11" s="558"/>
      <c r="T11" s="558"/>
      <c r="U11" s="558"/>
      <c r="V11" s="558"/>
      <c r="W11" s="558"/>
      <c r="X11" s="558"/>
      <c r="Y11" s="558"/>
      <c r="Z11" s="558"/>
      <c r="AA11" s="558"/>
      <c r="AB11" s="558"/>
      <c r="AC11" s="558"/>
      <c r="AD11" s="558"/>
      <c r="AE11" s="558"/>
      <c r="AF11" s="558"/>
      <c r="AG11" s="558"/>
      <c r="AH11" s="558"/>
      <c r="AI11" s="558"/>
      <c r="AJ11" s="558"/>
      <c r="AK11" s="558"/>
      <c r="AL11" s="558"/>
      <c r="AM11" s="558"/>
      <c r="AN11" s="558"/>
      <c r="AO11" s="558"/>
      <c r="AP11" s="558"/>
      <c r="AQ11" s="558"/>
      <c r="AR11" s="558"/>
    </row>
    <row r="12" spans="1:45" ht="15.75" customHeight="1" x14ac:dyDescent="0.2">
      <c r="A12" s="761" t="s">
        <v>510</v>
      </c>
      <c r="B12" s="762"/>
      <c r="C12" s="762"/>
      <c r="D12" s="762"/>
      <c r="E12" s="761"/>
      <c r="F12" s="761"/>
      <c r="G12" s="860"/>
      <c r="H12" s="762"/>
      <c r="I12" s="762"/>
      <c r="J12" s="761"/>
      <c r="K12" s="762"/>
      <c r="L12" s="762"/>
      <c r="M12" s="762"/>
      <c r="N12" s="762"/>
      <c r="O12" s="762"/>
      <c r="P12" s="762"/>
      <c r="Q12" s="762"/>
      <c r="R12" s="761"/>
      <c r="S12" s="558"/>
      <c r="T12" s="558"/>
      <c r="U12" s="558"/>
      <c r="V12" s="558"/>
      <c r="W12" s="558"/>
      <c r="X12" s="558"/>
      <c r="Y12" s="558"/>
      <c r="Z12" s="558"/>
      <c r="AA12" s="558"/>
      <c r="AB12" s="558"/>
      <c r="AC12" s="558"/>
      <c r="AD12" s="558"/>
      <c r="AE12" s="558"/>
      <c r="AF12" s="558"/>
      <c r="AG12" s="558"/>
      <c r="AH12" s="558"/>
      <c r="AI12" s="558"/>
      <c r="AJ12" s="558"/>
      <c r="AK12" s="558"/>
      <c r="AL12" s="558"/>
      <c r="AM12" s="558"/>
      <c r="AN12" s="558"/>
      <c r="AO12" s="558"/>
      <c r="AP12" s="558"/>
      <c r="AQ12" s="558"/>
      <c r="AR12" s="558"/>
    </row>
    <row r="13" spans="1:45" x14ac:dyDescent="0.2">
      <c r="A13" s="294" t="s">
        <v>22</v>
      </c>
      <c r="B13" s="294" t="s">
        <v>511</v>
      </c>
      <c r="C13" s="294" t="s">
        <v>512</v>
      </c>
      <c r="D13" s="759" t="s">
        <v>26</v>
      </c>
      <c r="E13" s="294" t="s">
        <v>47</v>
      </c>
      <c r="F13" s="294" t="str">
        <f>Commodities!$D$11</f>
        <v>RSH</v>
      </c>
      <c r="G13" s="303">
        <v>2010</v>
      </c>
      <c r="H13" s="294">
        <v>15</v>
      </c>
      <c r="I13" s="760">
        <v>4.0729892459103505</v>
      </c>
      <c r="J13" s="760">
        <v>2.2599999999999998</v>
      </c>
      <c r="K13" s="294">
        <v>1</v>
      </c>
      <c r="L13" s="294">
        <v>0.16</v>
      </c>
      <c r="M13" s="294">
        <v>0.16</v>
      </c>
      <c r="N13" s="294">
        <v>0.16</v>
      </c>
      <c r="O13" s="294">
        <v>0.16</v>
      </c>
      <c r="P13" s="294">
        <v>0.16</v>
      </c>
      <c r="Q13" s="294"/>
      <c r="R13" s="294">
        <v>0.18</v>
      </c>
      <c r="S13" s="563">
        <f>Resid!U12</f>
        <v>2.3993521005193683</v>
      </c>
      <c r="T13" s="563">
        <f>Resid!V12</f>
        <v>1.1406345949915146</v>
      </c>
      <c r="U13" s="563">
        <f>Resid!W12</f>
        <v>2.0215229082231003</v>
      </c>
      <c r="V13" s="563">
        <f>Resid!X12</f>
        <v>0.54433582041048412</v>
      </c>
      <c r="W13" s="563">
        <f>Resid!Y12</f>
        <v>2.0897828271788224</v>
      </c>
      <c r="X13" s="563">
        <f>Resid!AJ12</f>
        <v>4.7975571144775451</v>
      </c>
      <c r="Y13" s="563">
        <f>Resid!AK12</f>
        <v>2.3258088273635731</v>
      </c>
      <c r="Z13" s="563">
        <f>Resid!AL12</f>
        <v>4.2624778690575482</v>
      </c>
      <c r="AA13" s="563">
        <f>Resid!AM12</f>
        <v>1.0207085507879867</v>
      </c>
      <c r="AB13" s="563">
        <f>Resid!AN12</f>
        <v>4.0538200002272351</v>
      </c>
      <c r="AC13" s="563">
        <f>Resid!AY12</f>
        <v>5.2807678796040722</v>
      </c>
      <c r="AD13" s="563">
        <f>Resid!AZ12</f>
        <v>2.5776969401751217</v>
      </c>
      <c r="AE13" s="563">
        <f>Resid!BA12</f>
        <v>4.5077281112885634</v>
      </c>
      <c r="AF13" s="563">
        <f>Resid!BB12</f>
        <v>1.0647849307481079</v>
      </c>
      <c r="AG13" s="563">
        <f>Resid!BC12</f>
        <v>4.3377966411215869</v>
      </c>
      <c r="AH13" s="563"/>
      <c r="AI13" s="562">
        <v>0</v>
      </c>
      <c r="AJ13" s="562">
        <v>0</v>
      </c>
      <c r="AK13" s="562">
        <v>0</v>
      </c>
      <c r="AL13" s="562">
        <v>0</v>
      </c>
      <c r="AM13" s="562">
        <v>0</v>
      </c>
      <c r="AN13" s="562">
        <v>0</v>
      </c>
      <c r="AO13" s="562">
        <v>0</v>
      </c>
      <c r="AP13" s="562">
        <v>0</v>
      </c>
      <c r="AQ13" s="562">
        <v>0</v>
      </c>
      <c r="AR13" s="562">
        <v>0</v>
      </c>
    </row>
    <row r="14" spans="1:45" ht="15.75" customHeight="1" x14ac:dyDescent="0.2">
      <c r="A14" s="761" t="s">
        <v>513</v>
      </c>
      <c r="B14" s="762"/>
      <c r="C14" s="762"/>
      <c r="D14" s="762"/>
      <c r="E14" s="761"/>
      <c r="F14" s="761"/>
      <c r="G14" s="860"/>
      <c r="H14" s="762"/>
      <c r="I14" s="762"/>
      <c r="J14" s="761"/>
      <c r="K14" s="762"/>
      <c r="L14" s="762"/>
      <c r="M14" s="762" t="s">
        <v>514</v>
      </c>
      <c r="N14" s="762" t="s">
        <v>514</v>
      </c>
      <c r="O14" s="762" t="s">
        <v>514</v>
      </c>
      <c r="P14" s="762" t="s">
        <v>514</v>
      </c>
      <c r="Q14" s="762"/>
      <c r="R14" s="761"/>
      <c r="S14" s="558"/>
      <c r="T14" s="558"/>
      <c r="U14" s="558"/>
      <c r="V14" s="558"/>
      <c r="W14" s="558"/>
      <c r="X14" s="558"/>
      <c r="Y14" s="558"/>
      <c r="Z14" s="558"/>
      <c r="AA14" s="558"/>
      <c r="AB14" s="558"/>
      <c r="AC14" s="558"/>
      <c r="AD14" s="558"/>
      <c r="AE14" s="558"/>
      <c r="AF14" s="558"/>
      <c r="AG14" s="558"/>
      <c r="AH14" s="558"/>
      <c r="AI14" s="558"/>
      <c r="AJ14" s="558"/>
      <c r="AK14" s="558"/>
      <c r="AL14" s="558"/>
      <c r="AM14" s="558"/>
      <c r="AN14" s="558"/>
      <c r="AO14" s="558"/>
      <c r="AP14" s="558"/>
      <c r="AQ14" s="558"/>
      <c r="AR14" s="558"/>
    </row>
    <row r="15" spans="1:45" x14ac:dyDescent="0.2">
      <c r="A15" s="294" t="s">
        <v>22</v>
      </c>
      <c r="B15" s="294" t="s">
        <v>515</v>
      </c>
      <c r="C15" s="294" t="s">
        <v>516</v>
      </c>
      <c r="D15" s="759" t="s">
        <v>26</v>
      </c>
      <c r="E15" s="294" t="s">
        <v>52</v>
      </c>
      <c r="F15" s="294" t="str">
        <f>Commodities!$D$11</f>
        <v>RSH</v>
      </c>
      <c r="G15" s="303">
        <v>2010</v>
      </c>
      <c r="H15" s="294">
        <v>15</v>
      </c>
      <c r="I15" s="760">
        <v>3.5376820878764188</v>
      </c>
      <c r="J15" s="760">
        <v>0.78</v>
      </c>
      <c r="K15" s="294">
        <v>1</v>
      </c>
      <c r="L15" s="294">
        <v>0.16</v>
      </c>
      <c r="M15" s="294">
        <v>0.16</v>
      </c>
      <c r="N15" s="294">
        <v>0.16</v>
      </c>
      <c r="O15" s="294">
        <v>0.16</v>
      </c>
      <c r="P15" s="294">
        <v>0.16</v>
      </c>
      <c r="Q15" s="294"/>
      <c r="R15" s="294">
        <v>0.15</v>
      </c>
      <c r="S15" s="563">
        <f>Resid!U27</f>
        <v>105.29642941562686</v>
      </c>
      <c r="T15" s="563">
        <f>Resid!V27</f>
        <v>50.057159220002788</v>
      </c>
      <c r="U15" s="563">
        <f>Resid!W27</f>
        <v>88.715259495140586</v>
      </c>
      <c r="V15" s="563">
        <f>Resid!X27</f>
        <v>23.888373148669181</v>
      </c>
      <c r="W15" s="563">
        <f>Resid!Y27</f>
        <v>91.710870575599259</v>
      </c>
      <c r="X15" s="563">
        <f>Resid!AJ27</f>
        <v>121.48623783974617</v>
      </c>
      <c r="Y15" s="563">
        <f>Resid!AK27</f>
        <v>58.895341447465469</v>
      </c>
      <c r="Z15" s="563">
        <f>Resid!AL27</f>
        <v>107.93668273887172</v>
      </c>
      <c r="AA15" s="563">
        <f>Resid!AM27</f>
        <v>25.846913086639891</v>
      </c>
      <c r="AB15" s="563">
        <f>Resid!AN27</f>
        <v>102.6529396014824</v>
      </c>
      <c r="AC15" s="563">
        <f>Resid!AY27</f>
        <v>114.02275217831006</v>
      </c>
      <c r="AD15" s="563">
        <f>Resid!AZ27</f>
        <v>55.657833500989348</v>
      </c>
      <c r="AE15" s="563">
        <f>Resid!BA27</f>
        <v>97.331217171240951</v>
      </c>
      <c r="AF15" s="563">
        <f>Resid!BB27</f>
        <v>22.990919322701473</v>
      </c>
      <c r="AG15" s="563">
        <f>Resid!BC27</f>
        <v>93.662043605596963</v>
      </c>
      <c r="AH15" s="563"/>
      <c r="AI15" s="562">
        <v>0</v>
      </c>
      <c r="AJ15" s="562">
        <v>0</v>
      </c>
      <c r="AK15" s="562">
        <v>0</v>
      </c>
      <c r="AL15" s="562"/>
      <c r="AM15" s="562"/>
      <c r="AN15" s="562"/>
      <c r="AO15" s="562"/>
      <c r="AP15" s="562"/>
      <c r="AQ15" s="562"/>
      <c r="AR15" s="562"/>
    </row>
    <row r="16" spans="1:45" ht="15.75" customHeight="1" x14ac:dyDescent="0.2">
      <c r="A16" s="761" t="s">
        <v>517</v>
      </c>
      <c r="B16" s="762"/>
      <c r="C16" s="762"/>
      <c r="D16" s="762"/>
      <c r="E16" s="761"/>
      <c r="F16" s="761"/>
      <c r="G16" s="860"/>
      <c r="H16" s="762"/>
      <c r="I16" s="762"/>
      <c r="J16" s="761"/>
      <c r="K16" s="762"/>
      <c r="L16" s="762"/>
      <c r="M16" s="762" t="s">
        <v>514</v>
      </c>
      <c r="N16" s="762" t="s">
        <v>514</v>
      </c>
      <c r="O16" s="762" t="s">
        <v>514</v>
      </c>
      <c r="P16" s="762" t="s">
        <v>514</v>
      </c>
      <c r="Q16" s="762"/>
      <c r="R16" s="761"/>
      <c r="S16" s="558"/>
      <c r="T16" s="558"/>
      <c r="U16" s="558"/>
      <c r="V16" s="558"/>
      <c r="W16" s="558"/>
      <c r="X16" s="558"/>
      <c r="Y16" s="558"/>
      <c r="Z16" s="558"/>
      <c r="AA16" s="558"/>
      <c r="AB16" s="558"/>
      <c r="AC16" s="558"/>
      <c r="AD16" s="558"/>
      <c r="AE16" s="558"/>
      <c r="AF16" s="558"/>
      <c r="AG16" s="558"/>
      <c r="AH16" s="558"/>
      <c r="AI16" s="558"/>
      <c r="AJ16" s="558"/>
      <c r="AK16" s="558"/>
      <c r="AL16" s="558"/>
      <c r="AM16" s="558"/>
      <c r="AN16" s="558"/>
      <c r="AO16" s="558"/>
      <c r="AP16" s="558"/>
      <c r="AQ16" s="558"/>
      <c r="AR16" s="558"/>
    </row>
    <row r="17" spans="1:44" x14ac:dyDescent="0.2">
      <c r="A17" s="294" t="s">
        <v>22</v>
      </c>
      <c r="B17" s="294" t="s">
        <v>518</v>
      </c>
      <c r="C17" s="294" t="s">
        <v>519</v>
      </c>
      <c r="D17" s="759" t="s">
        <v>26</v>
      </c>
      <c r="E17" s="294" t="s">
        <v>52</v>
      </c>
      <c r="F17" s="294" t="str">
        <f>Commodities!$D$11</f>
        <v>RSH</v>
      </c>
      <c r="G17" s="303">
        <v>2010</v>
      </c>
      <c r="H17" s="294">
        <v>20</v>
      </c>
      <c r="I17" s="760">
        <v>8.2856238373947697</v>
      </c>
      <c r="J17" s="760">
        <v>0.8</v>
      </c>
      <c r="K17" s="294">
        <v>1</v>
      </c>
      <c r="L17" s="294">
        <v>0.16</v>
      </c>
      <c r="M17" s="294">
        <v>0.16</v>
      </c>
      <c r="N17" s="294">
        <v>0.16</v>
      </c>
      <c r="O17" s="294">
        <v>0.16</v>
      </c>
      <c r="P17" s="294">
        <v>0.16</v>
      </c>
      <c r="Q17" s="294"/>
      <c r="R17" s="294">
        <v>0.15</v>
      </c>
      <c r="S17" s="563">
        <f>Resid!U34</f>
        <v>64.152366700730397</v>
      </c>
      <c r="T17" s="563">
        <f>Resid!V34</f>
        <v>30.497570070518314</v>
      </c>
      <c r="U17" s="563">
        <f>Resid!W34</f>
        <v>54.05020750150981</v>
      </c>
      <c r="V17" s="563">
        <f>Resid!X34</f>
        <v>14.55410864947973</v>
      </c>
      <c r="W17" s="563">
        <f>Resid!Y34</f>
        <v>55.875298262828963</v>
      </c>
      <c r="X17" s="563">
        <f>Resid!AJ34</f>
        <v>71.204274464156072</v>
      </c>
      <c r="Y17" s="563">
        <f>Resid!AK34</f>
        <v>34.519136748784184</v>
      </c>
      <c r="Z17" s="563">
        <f>Resid!AL34</f>
        <v>63.262747444918467</v>
      </c>
      <c r="AA17" s="563">
        <f>Resid!AM34</f>
        <v>15.149129038796973</v>
      </c>
      <c r="AB17" s="563">
        <f>Resid!AN34</f>
        <v>60.16589381571108</v>
      </c>
      <c r="AC17" s="563">
        <f>Resid!AY34</f>
        <v>64.326862031938688</v>
      </c>
      <c r="AD17" s="563">
        <f>Resid!AZ34</f>
        <v>31.399818967848219</v>
      </c>
      <c r="AE17" s="563">
        <f>Resid!BA34</f>
        <v>54.910196945466097</v>
      </c>
      <c r="AF17" s="563">
        <f>Resid!BB34</f>
        <v>12.970513928185824</v>
      </c>
      <c r="AG17" s="563">
        <f>Resid!BC34</f>
        <v>52.840202867798894</v>
      </c>
      <c r="AH17" s="563"/>
      <c r="AI17" s="562">
        <v>0</v>
      </c>
      <c r="AJ17" s="562">
        <v>0</v>
      </c>
      <c r="AK17" s="562">
        <v>0</v>
      </c>
      <c r="AL17" s="562">
        <v>0</v>
      </c>
      <c r="AM17" s="562">
        <v>0</v>
      </c>
      <c r="AN17" s="562">
        <v>0</v>
      </c>
      <c r="AO17" s="562">
        <v>0</v>
      </c>
      <c r="AP17" s="562">
        <v>0</v>
      </c>
      <c r="AQ17" s="562">
        <v>0</v>
      </c>
      <c r="AR17" s="562">
        <v>0</v>
      </c>
    </row>
    <row r="18" spans="1:44" ht="15.75" customHeight="1" x14ac:dyDescent="0.2">
      <c r="A18" s="761" t="s">
        <v>520</v>
      </c>
      <c r="B18" s="762"/>
      <c r="C18" s="762"/>
      <c r="D18" s="762"/>
      <c r="E18" s="761"/>
      <c r="F18" s="761"/>
      <c r="G18" s="860"/>
      <c r="H18" s="762"/>
      <c r="I18" s="762"/>
      <c r="J18" s="761"/>
      <c r="K18" s="762"/>
      <c r="L18" s="762"/>
      <c r="M18" s="762" t="s">
        <v>514</v>
      </c>
      <c r="N18" s="762" t="s">
        <v>514</v>
      </c>
      <c r="O18" s="762" t="s">
        <v>514</v>
      </c>
      <c r="P18" s="762" t="s">
        <v>514</v>
      </c>
      <c r="Q18" s="762"/>
      <c r="R18" s="761"/>
      <c r="S18" s="558"/>
      <c r="T18" s="558"/>
      <c r="U18" s="558"/>
      <c r="V18" s="558"/>
      <c r="W18" s="558"/>
      <c r="X18" s="558"/>
      <c r="Y18" s="558"/>
      <c r="Z18" s="558"/>
      <c r="AA18" s="558"/>
      <c r="AB18" s="558"/>
      <c r="AC18" s="558"/>
      <c r="AD18" s="558"/>
      <c r="AE18" s="558"/>
      <c r="AF18" s="558"/>
      <c r="AG18" s="558"/>
      <c r="AH18" s="558"/>
      <c r="AI18" s="558"/>
      <c r="AJ18" s="558"/>
      <c r="AK18" s="558"/>
      <c r="AL18" s="558"/>
      <c r="AM18" s="558"/>
      <c r="AN18" s="558"/>
      <c r="AO18" s="558"/>
      <c r="AP18" s="558"/>
      <c r="AQ18" s="558"/>
      <c r="AR18" s="558"/>
    </row>
    <row r="19" spans="1:44" ht="15.75" customHeight="1" x14ac:dyDescent="0.2">
      <c r="A19" s="761" t="s">
        <v>521</v>
      </c>
      <c r="B19" s="762"/>
      <c r="C19" s="762"/>
      <c r="D19" s="762"/>
      <c r="E19" s="761"/>
      <c r="F19" s="761"/>
      <c r="G19" s="860"/>
      <c r="H19" s="762"/>
      <c r="I19" s="762"/>
      <c r="J19" s="761"/>
      <c r="K19" s="762"/>
      <c r="L19" s="762"/>
      <c r="M19" s="762" t="s">
        <v>514</v>
      </c>
      <c r="N19" s="762" t="s">
        <v>514</v>
      </c>
      <c r="O19" s="762" t="s">
        <v>514</v>
      </c>
      <c r="P19" s="762" t="s">
        <v>514</v>
      </c>
      <c r="Q19" s="762"/>
      <c r="R19" s="761"/>
      <c r="S19" s="558"/>
      <c r="T19" s="558"/>
      <c r="U19" s="558"/>
      <c r="V19" s="558"/>
      <c r="W19" s="558"/>
      <c r="X19" s="558"/>
      <c r="Y19" s="558"/>
      <c r="Z19" s="558"/>
      <c r="AA19" s="558"/>
      <c r="AB19" s="558"/>
      <c r="AC19" s="558"/>
      <c r="AD19" s="558"/>
      <c r="AE19" s="558"/>
      <c r="AF19" s="558"/>
      <c r="AG19" s="558"/>
      <c r="AH19" s="558"/>
      <c r="AI19" s="558"/>
      <c r="AJ19" s="558"/>
      <c r="AK19" s="558"/>
      <c r="AL19" s="558"/>
      <c r="AM19" s="558"/>
      <c r="AN19" s="558"/>
      <c r="AO19" s="558"/>
      <c r="AP19" s="558"/>
      <c r="AQ19" s="558"/>
      <c r="AR19" s="558"/>
    </row>
    <row r="20" spans="1:44" ht="15.75" customHeight="1" x14ac:dyDescent="0.2">
      <c r="A20" s="761" t="s">
        <v>522</v>
      </c>
      <c r="B20" s="762"/>
      <c r="C20" s="762"/>
      <c r="D20" s="762"/>
      <c r="E20" s="761"/>
      <c r="F20" s="761"/>
      <c r="G20" s="860"/>
      <c r="H20" s="762"/>
      <c r="I20" s="762"/>
      <c r="J20" s="761"/>
      <c r="K20" s="762"/>
      <c r="L20" s="762"/>
      <c r="M20" s="762" t="s">
        <v>514</v>
      </c>
      <c r="N20" s="762" t="s">
        <v>514</v>
      </c>
      <c r="O20" s="762" t="s">
        <v>514</v>
      </c>
      <c r="P20" s="762" t="s">
        <v>514</v>
      </c>
      <c r="Q20" s="762"/>
      <c r="R20" s="761"/>
      <c r="S20" s="558"/>
      <c r="T20" s="558"/>
      <c r="U20" s="558"/>
      <c r="V20" s="558"/>
      <c r="W20" s="558"/>
      <c r="X20" s="558"/>
      <c r="Y20" s="558"/>
      <c r="Z20" s="558"/>
      <c r="AA20" s="558"/>
      <c r="AB20" s="558"/>
      <c r="AC20" s="558"/>
      <c r="AD20" s="558"/>
      <c r="AE20" s="558"/>
      <c r="AF20" s="558"/>
      <c r="AG20" s="558"/>
      <c r="AH20" s="558"/>
      <c r="AI20" s="558"/>
      <c r="AJ20" s="558"/>
      <c r="AK20" s="558"/>
      <c r="AL20" s="558"/>
      <c r="AM20" s="558"/>
      <c r="AN20" s="558"/>
      <c r="AO20" s="558"/>
      <c r="AP20" s="558"/>
      <c r="AQ20" s="558"/>
      <c r="AR20" s="558"/>
    </row>
    <row r="21" spans="1:44" x14ac:dyDescent="0.2">
      <c r="A21" s="294" t="s">
        <v>22</v>
      </c>
      <c r="B21" s="294" t="s">
        <v>523</v>
      </c>
      <c r="C21" s="294" t="s">
        <v>524</v>
      </c>
      <c r="D21" s="759" t="s">
        <v>26</v>
      </c>
      <c r="E21" s="294" t="s">
        <v>56</v>
      </c>
      <c r="F21" s="294" t="str">
        <f>Commodities!$D$11</f>
        <v>RSH</v>
      </c>
      <c r="G21" s="303">
        <v>2010</v>
      </c>
      <c r="H21" s="294">
        <v>20</v>
      </c>
      <c r="I21" s="760">
        <v>6.3922148385612205</v>
      </c>
      <c r="J21" s="760">
        <v>0.8</v>
      </c>
      <c r="K21" s="294">
        <v>1</v>
      </c>
      <c r="L21" s="294">
        <v>0.16</v>
      </c>
      <c r="M21" s="294">
        <v>0.16</v>
      </c>
      <c r="N21" s="294">
        <v>0.16</v>
      </c>
      <c r="O21" s="294">
        <v>0.16</v>
      </c>
      <c r="P21" s="294">
        <v>0.16</v>
      </c>
      <c r="Q21" s="294"/>
      <c r="R21" s="294">
        <v>0.18</v>
      </c>
      <c r="S21" s="563">
        <f>Resid!U45</f>
        <v>20.966427570665196</v>
      </c>
      <c r="T21" s="563">
        <f>Resid!V45</f>
        <v>9.9672876754136794</v>
      </c>
      <c r="U21" s="563">
        <f>Resid!W45</f>
        <v>17.664816109534552</v>
      </c>
      <c r="V21" s="563">
        <f>Resid!X45</f>
        <v>4.7566080652708713</v>
      </c>
      <c r="W21" s="563">
        <f>Resid!Y45</f>
        <v>18.261296570428485</v>
      </c>
      <c r="X21" s="563">
        <f>Resid!AJ45</f>
        <v>19.394489767259255</v>
      </c>
      <c r="Y21" s="563">
        <f>Resid!AK45</f>
        <v>9.4022591970364324</v>
      </c>
      <c r="Z21" s="563">
        <f>Resid!AL45</f>
        <v>17.231391193892698</v>
      </c>
      <c r="AA21" s="563">
        <f>Resid!AM45</f>
        <v>4.1262920005419117</v>
      </c>
      <c r="AB21" s="563">
        <f>Resid!AN45</f>
        <v>16.387875878634521</v>
      </c>
      <c r="AC21" s="563">
        <f>Resid!AY45</f>
        <v>13.868938281526527</v>
      </c>
      <c r="AD21" s="563">
        <f>Resid!AZ45</f>
        <v>6.7698335898924045</v>
      </c>
      <c r="AE21" s="563">
        <f>Resid!BA45</f>
        <v>11.838695506163868</v>
      </c>
      <c r="AF21" s="563">
        <f>Resid!BB45</f>
        <v>2.7964562776336614</v>
      </c>
      <c r="AG21" s="563">
        <f>Resid!BC45</f>
        <v>11.392402632557848</v>
      </c>
      <c r="AH21" s="563"/>
      <c r="AI21" s="562">
        <v>0</v>
      </c>
      <c r="AJ21" s="562">
        <v>0</v>
      </c>
      <c r="AK21" s="562">
        <v>0</v>
      </c>
      <c r="AL21" s="562">
        <v>0</v>
      </c>
      <c r="AM21" s="562">
        <v>0</v>
      </c>
      <c r="AN21" s="562">
        <v>0</v>
      </c>
      <c r="AO21" s="562">
        <v>0</v>
      </c>
      <c r="AP21" s="562">
        <v>0</v>
      </c>
      <c r="AQ21" s="562">
        <v>0</v>
      </c>
      <c r="AR21" s="562">
        <v>0</v>
      </c>
    </row>
    <row r="22" spans="1:44" ht="15.75" customHeight="1" x14ac:dyDescent="0.2">
      <c r="A22" s="761" t="s">
        <v>525</v>
      </c>
      <c r="B22" s="762"/>
      <c r="C22" s="762"/>
      <c r="D22" s="762"/>
      <c r="E22" s="761"/>
      <c r="F22" s="761"/>
      <c r="G22" s="860"/>
      <c r="H22" s="762"/>
      <c r="I22" s="762"/>
      <c r="J22" s="761"/>
      <c r="K22" s="762"/>
      <c r="L22" s="762"/>
      <c r="M22" s="762" t="s">
        <v>514</v>
      </c>
      <c r="N22" s="762" t="s">
        <v>514</v>
      </c>
      <c r="O22" s="762" t="s">
        <v>514</v>
      </c>
      <c r="P22" s="762" t="s">
        <v>514</v>
      </c>
      <c r="Q22" s="762"/>
      <c r="R22" s="761"/>
      <c r="S22" s="558"/>
      <c r="T22" s="558"/>
      <c r="U22" s="558"/>
      <c r="V22" s="558"/>
      <c r="W22" s="558"/>
      <c r="X22" s="558"/>
      <c r="Y22" s="558"/>
      <c r="Z22" s="558"/>
      <c r="AA22" s="558"/>
      <c r="AB22" s="558"/>
      <c r="AC22" s="558"/>
      <c r="AD22" s="558"/>
      <c r="AE22" s="558"/>
      <c r="AF22" s="558"/>
      <c r="AG22" s="558"/>
      <c r="AH22" s="558"/>
      <c r="AI22" s="558"/>
      <c r="AJ22" s="558"/>
      <c r="AK22" s="558"/>
      <c r="AL22" s="558"/>
      <c r="AM22" s="558"/>
      <c r="AN22" s="558"/>
      <c r="AO22" s="558"/>
      <c r="AP22" s="558"/>
      <c r="AQ22" s="558"/>
      <c r="AR22" s="558"/>
    </row>
    <row r="23" spans="1:44" x14ac:dyDescent="0.2">
      <c r="A23" s="294" t="s">
        <v>22</v>
      </c>
      <c r="B23" s="294" t="s">
        <v>526</v>
      </c>
      <c r="C23" s="294" t="s">
        <v>527</v>
      </c>
      <c r="D23" s="759" t="s">
        <v>26</v>
      </c>
      <c r="E23" s="294" t="s">
        <v>56</v>
      </c>
      <c r="F23" s="294" t="str">
        <f>Commodities!$D$11</f>
        <v>RSH</v>
      </c>
      <c r="G23" s="303">
        <v>2010</v>
      </c>
      <c r="H23" s="294">
        <v>20</v>
      </c>
      <c r="I23" s="760">
        <v>11.507810885270514</v>
      </c>
      <c r="J23" s="760">
        <v>0.85</v>
      </c>
      <c r="K23" s="294">
        <v>1</v>
      </c>
      <c r="L23" s="294">
        <v>0.16</v>
      </c>
      <c r="M23" s="294">
        <v>0.16</v>
      </c>
      <c r="N23" s="294">
        <v>0.16</v>
      </c>
      <c r="O23" s="294">
        <v>0.16</v>
      </c>
      <c r="P23" s="294">
        <v>0.16</v>
      </c>
      <c r="Q23" s="294"/>
      <c r="R23" s="294">
        <v>0.18</v>
      </c>
      <c r="S23" s="563">
        <f>Resid!U51</f>
        <v>48.655569705686787</v>
      </c>
      <c r="T23" s="563">
        <f>Resid!V51</f>
        <v>23.130505119825557</v>
      </c>
      <c r="U23" s="563">
        <f>Resid!W51</f>
        <v>40.993711907227322</v>
      </c>
      <c r="V23" s="563">
        <f>Resid!X51</f>
        <v>11.038383840183991</v>
      </c>
      <c r="W23" s="563">
        <f>Resid!Y51</f>
        <v>42.377929440008671</v>
      </c>
      <c r="X23" s="563">
        <f>Resid!AJ51</f>
        <v>26.475950999757178</v>
      </c>
      <c r="Y23" s="563">
        <f>Resid!AK51</f>
        <v>12.835282432023016</v>
      </c>
      <c r="Z23" s="563">
        <f>Resid!AL51</f>
        <v>23.523045688848825</v>
      </c>
      <c r="AA23" s="563">
        <f>Resid!AM51</f>
        <v>5.6329146127609651</v>
      </c>
      <c r="AB23" s="563">
        <f>Resid!AN51</f>
        <v>22.371539749671122</v>
      </c>
      <c r="AC23" s="563">
        <f>Resid!AY51</f>
        <v>8.6205855875284723</v>
      </c>
      <c r="AD23" s="563">
        <f>Resid!AZ51</f>
        <v>4.2079594479649698</v>
      </c>
      <c r="AE23" s="563">
        <f>Resid!BA51</f>
        <v>7.3586373941481824</v>
      </c>
      <c r="AF23" s="563">
        <f>Resid!BB51</f>
        <v>1.7382073662576598</v>
      </c>
      <c r="AG23" s="563">
        <f>Resid!BC51</f>
        <v>7.0812328923811405</v>
      </c>
      <c r="AH23" s="563"/>
      <c r="AI23" s="562">
        <v>0</v>
      </c>
      <c r="AJ23" s="562">
        <v>0</v>
      </c>
      <c r="AK23" s="562">
        <v>0</v>
      </c>
      <c r="AL23" s="562">
        <v>0</v>
      </c>
      <c r="AM23" s="562">
        <v>0</v>
      </c>
      <c r="AN23" s="562">
        <v>0</v>
      </c>
      <c r="AO23" s="562">
        <v>0</v>
      </c>
      <c r="AP23" s="562">
        <v>0</v>
      </c>
      <c r="AQ23" s="562">
        <v>0</v>
      </c>
      <c r="AR23" s="562">
        <v>0</v>
      </c>
    </row>
    <row r="24" spans="1:44" s="865" customFormat="1" x14ac:dyDescent="0.2">
      <c r="A24" s="763" t="s">
        <v>385</v>
      </c>
      <c r="B24" s="861"/>
      <c r="C24" s="861"/>
      <c r="D24" s="861"/>
      <c r="E24" s="861"/>
      <c r="F24" s="861"/>
      <c r="G24" s="862"/>
      <c r="H24" s="862"/>
      <c r="I24" s="863"/>
      <c r="J24" s="863"/>
      <c r="K24" s="864"/>
      <c r="L24" s="864" t="str">
        <f t="shared" ref="L24" si="0">IF(K24="","",K24)</f>
        <v/>
      </c>
      <c r="M24" s="863"/>
      <c r="N24" s="862"/>
      <c r="O24" s="862"/>
      <c r="P24" s="862"/>
      <c r="Q24" s="862"/>
      <c r="R24" s="862"/>
      <c r="S24" s="862"/>
      <c r="T24" s="861"/>
      <c r="U24" s="861"/>
      <c r="V24" s="861"/>
      <c r="W24" s="861"/>
      <c r="X24" s="861"/>
      <c r="Y24" s="862"/>
      <c r="Z24" s="862"/>
      <c r="AA24" s="862"/>
      <c r="AB24" s="862"/>
      <c r="AC24" s="862"/>
      <c r="AD24" s="861"/>
      <c r="AE24" s="861"/>
      <c r="AF24" s="861"/>
      <c r="AG24" s="861"/>
      <c r="AH24" s="861"/>
      <c r="AI24" s="861"/>
      <c r="AJ24" s="861"/>
      <c r="AK24" s="861"/>
      <c r="AL24" s="861"/>
      <c r="AM24" s="861"/>
      <c r="AN24" s="861"/>
      <c r="AO24" s="861"/>
      <c r="AP24" s="861"/>
      <c r="AQ24" s="861"/>
      <c r="AR24" s="861"/>
    </row>
    <row r="25" spans="1:44" s="865" customFormat="1" ht="14.25" customHeight="1" x14ac:dyDescent="0.2">
      <c r="A25" s="866" t="s">
        <v>384</v>
      </c>
      <c r="B25" s="866" t="s">
        <v>528</v>
      </c>
      <c r="C25" s="866" t="s">
        <v>529</v>
      </c>
      <c r="D25" s="759" t="s">
        <v>26</v>
      </c>
      <c r="E25" s="866" t="s">
        <v>71</v>
      </c>
      <c r="F25" s="294" t="str">
        <f>Commodities!$D$11</f>
        <v>RSH</v>
      </c>
      <c r="G25" s="867">
        <v>2010</v>
      </c>
      <c r="H25" s="868">
        <v>30</v>
      </c>
      <c r="I25" s="869">
        <v>2.5215837627460433</v>
      </c>
      <c r="J25" s="869">
        <v>0.78</v>
      </c>
      <c r="K25" s="870"/>
      <c r="L25" s="294">
        <v>0.16</v>
      </c>
      <c r="M25" s="294">
        <v>0.16</v>
      </c>
      <c r="N25" s="294">
        <v>0.16</v>
      </c>
      <c r="O25" s="294">
        <v>0.16</v>
      </c>
      <c r="P25" s="294">
        <v>0.16</v>
      </c>
      <c r="Q25" s="869">
        <v>7.0919543327232479E-2</v>
      </c>
      <c r="R25" s="868">
        <v>0.18</v>
      </c>
      <c r="S25" s="869">
        <f>Resid!U56</f>
        <v>0</v>
      </c>
      <c r="T25" s="869">
        <f>Resid!V56</f>
        <v>0</v>
      </c>
      <c r="U25" s="869">
        <f>Resid!W56</f>
        <v>18.013416457091651</v>
      </c>
      <c r="V25" s="869">
        <f>Resid!X56</f>
        <v>0</v>
      </c>
      <c r="W25" s="869">
        <f>Resid!Y56</f>
        <v>0</v>
      </c>
      <c r="X25" s="563">
        <f>Resid!AJ56</f>
        <v>0</v>
      </c>
      <c r="Y25" s="563">
        <f>Resid!AK56</f>
        <v>0</v>
      </c>
      <c r="Z25" s="563">
        <f>Resid!AL56</f>
        <v>17.927435519329951</v>
      </c>
      <c r="AA25" s="563">
        <f>Resid!AM56</f>
        <v>0</v>
      </c>
      <c r="AB25" s="563">
        <f>Resid!AN56</f>
        <v>0</v>
      </c>
      <c r="AC25" s="563">
        <f>Resid!AY56</f>
        <v>0</v>
      </c>
      <c r="AD25" s="563">
        <f>Resid!AZ56</f>
        <v>0</v>
      </c>
      <c r="AE25" s="563">
        <f>Resid!BA56</f>
        <v>16.139476490890686</v>
      </c>
      <c r="AF25" s="563">
        <f>Resid!BB56</f>
        <v>0</v>
      </c>
      <c r="AG25" s="563">
        <f>Resid!BC56</f>
        <v>0</v>
      </c>
      <c r="AH25" s="563">
        <f>AE25</f>
        <v>16.139476490890686</v>
      </c>
      <c r="AI25" s="562">
        <v>0</v>
      </c>
      <c r="AJ25" s="562">
        <v>0</v>
      </c>
      <c r="AK25" s="562">
        <v>0</v>
      </c>
      <c r="AL25" s="562">
        <v>0</v>
      </c>
      <c r="AM25" s="562">
        <v>0</v>
      </c>
      <c r="AN25" s="562">
        <v>0</v>
      </c>
      <c r="AO25" s="562">
        <v>0</v>
      </c>
      <c r="AP25" s="562">
        <v>0</v>
      </c>
      <c r="AQ25" s="562">
        <v>0</v>
      </c>
      <c r="AR25" s="562">
        <v>0</v>
      </c>
    </row>
    <row r="26" spans="1:44" s="865" customFormat="1" ht="13.7" customHeight="1" x14ac:dyDescent="0.2">
      <c r="A26" s="866" t="s">
        <v>384</v>
      </c>
      <c r="B26" s="866" t="s">
        <v>530</v>
      </c>
      <c r="C26" s="866" t="s">
        <v>531</v>
      </c>
      <c r="D26" s="759" t="s">
        <v>26</v>
      </c>
      <c r="E26" s="866" t="s">
        <v>67</v>
      </c>
      <c r="F26" s="294" t="str">
        <f>Commodities!$D$11</f>
        <v>RSH</v>
      </c>
      <c r="G26" s="867">
        <v>2010</v>
      </c>
      <c r="H26" s="868">
        <v>30</v>
      </c>
      <c r="I26" s="869">
        <v>2.5215837627460433</v>
      </c>
      <c r="J26" s="869">
        <v>0.78</v>
      </c>
      <c r="K26" s="870"/>
      <c r="L26" s="294">
        <v>0.16</v>
      </c>
      <c r="M26" s="294">
        <v>0.16</v>
      </c>
      <c r="N26" s="294">
        <v>0.16</v>
      </c>
      <c r="O26" s="294">
        <v>0.16</v>
      </c>
      <c r="P26" s="294">
        <v>0.16</v>
      </c>
      <c r="Q26" s="869">
        <v>7.0919543327232479E-2</v>
      </c>
      <c r="R26" s="869">
        <v>0.18</v>
      </c>
      <c r="S26" s="869">
        <f>Resid!U57</f>
        <v>0</v>
      </c>
      <c r="T26" s="869">
        <f>Resid!V57</f>
        <v>0</v>
      </c>
      <c r="U26" s="869">
        <f>Resid!W57</f>
        <v>23.899633329927468</v>
      </c>
      <c r="V26" s="869">
        <f>Resid!X57</f>
        <v>0</v>
      </c>
      <c r="W26" s="869">
        <f>Resid!Y57</f>
        <v>0</v>
      </c>
      <c r="X26" s="563">
        <f>Resid!AJ57</f>
        <v>0</v>
      </c>
      <c r="Y26" s="563">
        <f>Resid!AK57</f>
        <v>0</v>
      </c>
      <c r="Z26" s="563">
        <f>Resid!AL57</f>
        <v>23.785556531072412</v>
      </c>
      <c r="AA26" s="563">
        <f>Resid!AM57</f>
        <v>0</v>
      </c>
      <c r="AB26" s="563">
        <f>Resid!AN57</f>
        <v>0</v>
      </c>
      <c r="AC26" s="563">
        <f>Resid!AY57</f>
        <v>0</v>
      </c>
      <c r="AD26" s="563">
        <f>Resid!AZ57</f>
        <v>0</v>
      </c>
      <c r="AE26" s="563">
        <f>Resid!BA57</f>
        <v>21.413348832970318</v>
      </c>
      <c r="AF26" s="563">
        <f>Resid!BB57</f>
        <v>0</v>
      </c>
      <c r="AG26" s="563">
        <f>Resid!BC57</f>
        <v>0</v>
      </c>
      <c r="AH26" s="563">
        <f t="shared" ref="AH26:AH27" si="1">AE26</f>
        <v>21.413348832970318</v>
      </c>
      <c r="AI26" s="562">
        <v>0</v>
      </c>
      <c r="AJ26" s="562">
        <v>0</v>
      </c>
      <c r="AK26" s="562">
        <v>0</v>
      </c>
      <c r="AL26" s="562">
        <v>0</v>
      </c>
      <c r="AM26" s="562">
        <v>0</v>
      </c>
      <c r="AN26" s="562">
        <v>0</v>
      </c>
      <c r="AO26" s="562">
        <v>0</v>
      </c>
      <c r="AP26" s="562">
        <v>0</v>
      </c>
      <c r="AQ26" s="562">
        <v>0</v>
      </c>
      <c r="AR26" s="562">
        <v>0</v>
      </c>
    </row>
    <row r="27" spans="1:44" s="865" customFormat="1" ht="14.25" customHeight="1" x14ac:dyDescent="0.2">
      <c r="A27" s="866" t="s">
        <v>384</v>
      </c>
      <c r="B27" s="866" t="s">
        <v>532</v>
      </c>
      <c r="C27" s="866" t="s">
        <v>533</v>
      </c>
      <c r="D27" s="759" t="s">
        <v>26</v>
      </c>
      <c r="E27" s="866" t="s">
        <v>69</v>
      </c>
      <c r="F27" s="294" t="str">
        <f>Commodities!$D$11</f>
        <v>RSH</v>
      </c>
      <c r="G27" s="867">
        <v>2010</v>
      </c>
      <c r="H27" s="868">
        <v>30</v>
      </c>
      <c r="I27" s="869">
        <v>2.5215837627460433</v>
      </c>
      <c r="J27" s="869">
        <v>0.78</v>
      </c>
      <c r="K27" s="870"/>
      <c r="L27" s="294">
        <v>0.16</v>
      </c>
      <c r="M27" s="294">
        <v>0.16</v>
      </c>
      <c r="N27" s="294">
        <v>0.16</v>
      </c>
      <c r="O27" s="294">
        <v>0.16</v>
      </c>
      <c r="P27" s="294">
        <v>0.16</v>
      </c>
      <c r="Q27" s="869">
        <v>7.0919543327232479E-2</v>
      </c>
      <c r="R27" s="869">
        <v>0.18</v>
      </c>
      <c r="S27" s="869">
        <f>Resid!U58</f>
        <v>0</v>
      </c>
      <c r="T27" s="869">
        <f>Resid!V58</f>
        <v>0</v>
      </c>
      <c r="U27" s="869">
        <f>Resid!W58</f>
        <v>2.1080537791603571E-2</v>
      </c>
      <c r="V27" s="869">
        <f>Resid!X58</f>
        <v>0</v>
      </c>
      <c r="W27" s="869">
        <f>Resid!Y58</f>
        <v>0</v>
      </c>
      <c r="X27" s="563">
        <f>Resid!AJ58</f>
        <v>0</v>
      </c>
      <c r="Y27" s="563">
        <f>Resid!AK58</f>
        <v>0</v>
      </c>
      <c r="Z27" s="563">
        <f>Resid!AL58</f>
        <v>2.0979916989760646E-2</v>
      </c>
      <c r="AA27" s="563">
        <f>Resid!AM58</f>
        <v>0</v>
      </c>
      <c r="AB27" s="563">
        <f>Resid!AN58</f>
        <v>0</v>
      </c>
      <c r="AC27" s="563">
        <f>Resid!AY58</f>
        <v>0</v>
      </c>
      <c r="AD27" s="563">
        <f>Resid!AZ58</f>
        <v>0</v>
      </c>
      <c r="AE27" s="563">
        <f>Resid!BA58</f>
        <v>3.1044583282317292E-2</v>
      </c>
      <c r="AF27" s="563">
        <f>Resid!BB58</f>
        <v>0</v>
      </c>
      <c r="AG27" s="563">
        <f>Resid!BC58</f>
        <v>0</v>
      </c>
      <c r="AH27" s="563">
        <f t="shared" si="1"/>
        <v>3.1044583282317292E-2</v>
      </c>
      <c r="AI27" s="562">
        <v>0</v>
      </c>
      <c r="AJ27" s="562">
        <v>0</v>
      </c>
      <c r="AK27" s="562">
        <v>0</v>
      </c>
      <c r="AL27" s="562">
        <v>0</v>
      </c>
      <c r="AM27" s="562">
        <v>0</v>
      </c>
      <c r="AN27" s="562">
        <v>0</v>
      </c>
      <c r="AO27" s="562">
        <v>0</v>
      </c>
      <c r="AP27" s="562">
        <v>0</v>
      </c>
      <c r="AQ27" s="562">
        <v>0</v>
      </c>
      <c r="AR27" s="562">
        <v>0</v>
      </c>
    </row>
    <row r="28" spans="1:44" ht="15.75" customHeight="1" x14ac:dyDescent="0.2">
      <c r="A28" s="761" t="s">
        <v>534</v>
      </c>
      <c r="B28" s="762"/>
      <c r="C28" s="762"/>
      <c r="D28" s="762"/>
      <c r="E28" s="761"/>
      <c r="F28" s="761"/>
      <c r="G28" s="860"/>
      <c r="H28" s="762"/>
      <c r="I28" s="762"/>
      <c r="J28" s="761"/>
      <c r="K28" s="762"/>
      <c r="L28" s="762"/>
      <c r="M28" s="762" t="s">
        <v>514</v>
      </c>
      <c r="N28" s="762" t="s">
        <v>514</v>
      </c>
      <c r="O28" s="762" t="s">
        <v>514</v>
      </c>
      <c r="P28" s="762" t="s">
        <v>514</v>
      </c>
      <c r="Q28" s="762"/>
      <c r="R28" s="761"/>
      <c r="S28" s="558"/>
      <c r="T28" s="558"/>
      <c r="U28" s="558"/>
      <c r="V28" s="558"/>
      <c r="W28" s="558"/>
      <c r="X28" s="558"/>
      <c r="Y28" s="558"/>
      <c r="Z28" s="558"/>
      <c r="AA28" s="558"/>
      <c r="AB28" s="558"/>
      <c r="AC28" s="558"/>
      <c r="AD28" s="558"/>
      <c r="AE28" s="558"/>
      <c r="AF28" s="558"/>
      <c r="AG28" s="558"/>
      <c r="AH28" s="558"/>
      <c r="AI28" s="558"/>
      <c r="AJ28" s="558"/>
      <c r="AK28" s="558"/>
      <c r="AL28" s="558"/>
      <c r="AM28" s="558"/>
      <c r="AN28" s="558"/>
      <c r="AO28" s="558"/>
      <c r="AP28" s="558"/>
      <c r="AQ28" s="558"/>
      <c r="AR28" s="558"/>
    </row>
    <row r="29" spans="1:44" ht="15.75" customHeight="1" x14ac:dyDescent="0.2">
      <c r="A29" s="761" t="s">
        <v>535</v>
      </c>
      <c r="B29" s="762"/>
      <c r="C29" s="762"/>
      <c r="D29" s="762"/>
      <c r="E29" s="761"/>
      <c r="F29" s="761"/>
      <c r="G29" s="860"/>
      <c r="H29" s="762"/>
      <c r="I29" s="762"/>
      <c r="J29" s="761"/>
      <c r="K29" s="762"/>
      <c r="L29" s="762"/>
      <c r="M29" s="762" t="s">
        <v>514</v>
      </c>
      <c r="N29" s="762" t="s">
        <v>514</v>
      </c>
      <c r="O29" s="762" t="s">
        <v>514</v>
      </c>
      <c r="P29" s="762" t="s">
        <v>514</v>
      </c>
      <c r="Q29" s="762"/>
      <c r="R29" s="761"/>
      <c r="S29" s="558"/>
      <c r="T29" s="558"/>
      <c r="U29" s="558"/>
      <c r="V29" s="558"/>
      <c r="W29" s="558"/>
      <c r="X29" s="558"/>
      <c r="Y29" s="558"/>
      <c r="Z29" s="558"/>
      <c r="AA29" s="558"/>
      <c r="AB29" s="558"/>
      <c r="AC29" s="558"/>
      <c r="AD29" s="558"/>
      <c r="AE29" s="558"/>
      <c r="AF29" s="558"/>
      <c r="AG29" s="558"/>
      <c r="AH29" s="558"/>
      <c r="AI29" s="558"/>
      <c r="AJ29" s="558"/>
      <c r="AK29" s="558"/>
      <c r="AL29" s="558"/>
      <c r="AM29" s="558"/>
      <c r="AN29" s="558"/>
      <c r="AO29" s="558"/>
      <c r="AP29" s="558"/>
      <c r="AQ29" s="558"/>
      <c r="AR29" s="558"/>
    </row>
    <row r="30" spans="1:44" ht="15.75" customHeight="1" x14ac:dyDescent="0.2">
      <c r="A30" s="761" t="s">
        <v>536</v>
      </c>
      <c r="B30" s="762"/>
      <c r="C30" s="762"/>
      <c r="D30" s="762"/>
      <c r="E30" s="761"/>
      <c r="F30" s="761"/>
      <c r="G30" s="860"/>
      <c r="H30" s="762"/>
      <c r="I30" s="762"/>
      <c r="J30" s="761"/>
      <c r="K30" s="762"/>
      <c r="L30" s="762"/>
      <c r="M30" s="762" t="s">
        <v>514</v>
      </c>
      <c r="N30" s="762" t="s">
        <v>514</v>
      </c>
      <c r="O30" s="762" t="s">
        <v>514</v>
      </c>
      <c r="P30" s="762" t="s">
        <v>514</v>
      </c>
      <c r="Q30" s="762"/>
      <c r="R30" s="761"/>
      <c r="S30" s="558"/>
      <c r="T30" s="558"/>
      <c r="U30" s="558"/>
      <c r="V30" s="558"/>
      <c r="W30" s="558"/>
      <c r="X30" s="558"/>
      <c r="Y30" s="558"/>
      <c r="Z30" s="558"/>
      <c r="AA30" s="558"/>
      <c r="AB30" s="558"/>
      <c r="AC30" s="558"/>
      <c r="AD30" s="558"/>
      <c r="AE30" s="558"/>
      <c r="AF30" s="558"/>
      <c r="AG30" s="558"/>
      <c r="AH30" s="558"/>
      <c r="AI30" s="558"/>
      <c r="AJ30" s="558"/>
      <c r="AK30" s="558"/>
      <c r="AL30" s="558"/>
      <c r="AM30" s="558"/>
      <c r="AN30" s="558"/>
      <c r="AO30" s="558"/>
      <c r="AP30" s="558"/>
      <c r="AQ30" s="558"/>
      <c r="AR30" s="558"/>
    </row>
    <row r="31" spans="1:44" ht="15.75" customHeight="1" x14ac:dyDescent="0.2">
      <c r="A31" s="757" t="s">
        <v>390</v>
      </c>
      <c r="B31" s="758"/>
      <c r="C31" s="758"/>
      <c r="D31" s="758"/>
      <c r="E31" s="757"/>
      <c r="F31" s="757"/>
      <c r="G31" s="859"/>
      <c r="H31" s="758"/>
      <c r="I31" s="758"/>
      <c r="J31" s="757"/>
      <c r="K31" s="758"/>
      <c r="L31" s="758"/>
      <c r="M31" s="758" t="s">
        <v>514</v>
      </c>
      <c r="N31" s="758" t="s">
        <v>514</v>
      </c>
      <c r="O31" s="758" t="s">
        <v>514</v>
      </c>
      <c r="P31" s="758" t="s">
        <v>514</v>
      </c>
      <c r="Q31" s="758"/>
      <c r="R31" s="757"/>
      <c r="S31" s="570"/>
      <c r="T31" s="570"/>
      <c r="U31" s="570"/>
      <c r="V31" s="570"/>
      <c r="W31" s="570"/>
      <c r="X31" s="570"/>
      <c r="Y31" s="570"/>
      <c r="Z31" s="570"/>
      <c r="AA31" s="570"/>
      <c r="AB31" s="570"/>
      <c r="AC31" s="570"/>
      <c r="AD31" s="570"/>
      <c r="AE31" s="570"/>
      <c r="AF31" s="570"/>
      <c r="AG31" s="570"/>
      <c r="AH31" s="570"/>
      <c r="AI31" s="570"/>
      <c r="AJ31" s="570"/>
      <c r="AK31" s="570"/>
      <c r="AL31" s="570"/>
      <c r="AM31" s="570"/>
      <c r="AN31" s="570"/>
      <c r="AO31" s="570"/>
      <c r="AP31" s="570"/>
      <c r="AQ31" s="570"/>
      <c r="AR31" s="570"/>
    </row>
    <row r="32" spans="1:44" ht="15.75" customHeight="1" x14ac:dyDescent="0.2">
      <c r="A32" s="761" t="s">
        <v>537</v>
      </c>
      <c r="B32" s="762"/>
      <c r="C32" s="762"/>
      <c r="D32" s="762"/>
      <c r="E32" s="761"/>
      <c r="F32" s="761"/>
      <c r="G32" s="860"/>
      <c r="H32" s="762"/>
      <c r="I32" s="762"/>
      <c r="J32" s="761"/>
      <c r="K32" s="762"/>
      <c r="L32" s="762"/>
      <c r="M32" s="762" t="s">
        <v>514</v>
      </c>
      <c r="N32" s="762" t="s">
        <v>514</v>
      </c>
      <c r="O32" s="762" t="s">
        <v>514</v>
      </c>
      <c r="P32" s="762" t="s">
        <v>514</v>
      </c>
      <c r="Q32" s="762"/>
      <c r="R32" s="761"/>
      <c r="S32" s="558"/>
      <c r="T32" s="558"/>
      <c r="U32" s="558"/>
      <c r="V32" s="558"/>
      <c r="W32" s="558"/>
      <c r="X32" s="558"/>
      <c r="Y32" s="558"/>
      <c r="Z32" s="558"/>
      <c r="AA32" s="558"/>
      <c r="AB32" s="558"/>
      <c r="AC32" s="558"/>
      <c r="AD32" s="558"/>
      <c r="AE32" s="558"/>
      <c r="AF32" s="558"/>
      <c r="AG32" s="558"/>
      <c r="AH32" s="558"/>
      <c r="AI32" s="558"/>
      <c r="AJ32" s="558"/>
      <c r="AK32" s="558"/>
      <c r="AL32" s="558"/>
      <c r="AM32" s="558"/>
      <c r="AN32" s="558"/>
      <c r="AO32" s="558"/>
      <c r="AP32" s="558"/>
      <c r="AQ32" s="558"/>
      <c r="AR32" s="558"/>
    </row>
    <row r="33" spans="1:44" x14ac:dyDescent="0.2">
      <c r="A33" s="294" t="s">
        <v>22</v>
      </c>
      <c r="B33" s="294" t="s">
        <v>538</v>
      </c>
      <c r="C33" s="294" t="s">
        <v>539</v>
      </c>
      <c r="D33" s="759" t="s">
        <v>26</v>
      </c>
      <c r="E33" s="294" t="s">
        <v>47</v>
      </c>
      <c r="F33" s="294" t="s">
        <v>24</v>
      </c>
      <c r="G33" s="303">
        <v>2010</v>
      </c>
      <c r="H33" s="294">
        <v>10</v>
      </c>
      <c r="I33" s="760">
        <v>3.5842305364011087</v>
      </c>
      <c r="J33" s="760">
        <v>2.74</v>
      </c>
      <c r="K33" s="294">
        <v>1</v>
      </c>
      <c r="L33" s="294">
        <v>0.15</v>
      </c>
      <c r="M33" s="294">
        <v>0.15</v>
      </c>
      <c r="N33" s="294">
        <v>0.15</v>
      </c>
      <c r="O33" s="294">
        <v>0.15</v>
      </c>
      <c r="P33" s="294">
        <v>0.15</v>
      </c>
      <c r="Q33" s="294"/>
      <c r="R33" s="294">
        <v>0.6</v>
      </c>
      <c r="S33" s="563">
        <f>Resid!U63</f>
        <v>20.209281388211142</v>
      </c>
      <c r="T33" s="563">
        <f>Resid!V63</f>
        <v>10.10254295695341</v>
      </c>
      <c r="U33" s="563">
        <f>Resid!W63</f>
        <v>15.492337934754387</v>
      </c>
      <c r="V33" s="563">
        <f>Resid!X63</f>
        <v>3.6791662815572028</v>
      </c>
      <c r="W33" s="563">
        <f>Resid!Y63</f>
        <v>17.637347846151414</v>
      </c>
      <c r="X33" s="563">
        <f>Resid!AJ63</f>
        <v>24.096391766501288</v>
      </c>
      <c r="Y33" s="563">
        <f>Resid!AK63</f>
        <v>12.255381796319108</v>
      </c>
      <c r="Z33" s="563">
        <f>Resid!AL63</f>
        <v>19.92101331560314</v>
      </c>
      <c r="AA33" s="563">
        <f>Resid!AM63</f>
        <v>4.4481690457454039</v>
      </c>
      <c r="AB33" s="563">
        <f>Resid!AN63</f>
        <v>20.659393019739859</v>
      </c>
      <c r="AC33" s="563">
        <f>Resid!AY63</f>
        <v>28.266419813201839</v>
      </c>
      <c r="AD33" s="563">
        <f>Resid!AZ63</f>
        <v>14.574963269377935</v>
      </c>
      <c r="AE33" s="563">
        <f>Resid!BA63</f>
        <v>21.570862887944728</v>
      </c>
      <c r="AF33" s="563">
        <f>Resid!BB63</f>
        <v>4.6866930455363134</v>
      </c>
      <c r="AG33" s="563">
        <f>Resid!BC63</f>
        <v>22.90297780792541</v>
      </c>
      <c r="AH33" s="563"/>
      <c r="AI33" s="562">
        <v>0</v>
      </c>
      <c r="AJ33" s="562">
        <v>0</v>
      </c>
      <c r="AK33" s="562">
        <v>0</v>
      </c>
      <c r="AL33" s="562">
        <v>0</v>
      </c>
      <c r="AM33" s="562">
        <v>0</v>
      </c>
      <c r="AN33" s="562">
        <v>0</v>
      </c>
      <c r="AO33" s="562">
        <v>0</v>
      </c>
      <c r="AP33" s="562">
        <v>0</v>
      </c>
      <c r="AQ33" s="562">
        <v>0</v>
      </c>
      <c r="AR33" s="562">
        <v>0</v>
      </c>
    </row>
    <row r="34" spans="1:44" ht="15.75" customHeight="1" x14ac:dyDescent="0.2">
      <c r="A34" s="759" t="s">
        <v>540</v>
      </c>
      <c r="B34" s="294"/>
      <c r="C34" s="294"/>
      <c r="D34" s="294"/>
      <c r="E34" s="759"/>
      <c r="F34" s="759"/>
      <c r="G34" s="303"/>
      <c r="H34" s="294"/>
      <c r="I34" s="294"/>
      <c r="J34" s="759"/>
      <c r="K34" s="294"/>
      <c r="L34" s="294"/>
      <c r="M34" s="294"/>
      <c r="N34" s="294"/>
      <c r="O34" s="294"/>
      <c r="P34" s="294"/>
      <c r="Q34" s="294"/>
      <c r="R34" s="759"/>
      <c r="S34" s="562"/>
      <c r="T34" s="562"/>
      <c r="U34" s="562"/>
      <c r="V34" s="562"/>
      <c r="W34" s="562"/>
      <c r="X34" s="562"/>
      <c r="Y34" s="562"/>
      <c r="Z34" s="562"/>
      <c r="AA34" s="562"/>
      <c r="AB34" s="562"/>
      <c r="AC34" s="562"/>
      <c r="AD34" s="562"/>
      <c r="AE34" s="562"/>
      <c r="AF34" s="562"/>
      <c r="AG34" s="562"/>
      <c r="AH34" s="562"/>
      <c r="AI34" s="562"/>
      <c r="AJ34" s="562"/>
      <c r="AK34" s="562"/>
      <c r="AL34" s="562"/>
      <c r="AM34" s="562"/>
      <c r="AN34" s="562"/>
      <c r="AO34" s="562"/>
      <c r="AP34" s="562"/>
      <c r="AQ34" s="562"/>
      <c r="AR34" s="562"/>
    </row>
    <row r="35" spans="1:44" x14ac:dyDescent="0.2">
      <c r="A35" s="294" t="s">
        <v>22</v>
      </c>
      <c r="B35" s="294" t="s">
        <v>541</v>
      </c>
      <c r="C35" s="294" t="s">
        <v>542</v>
      </c>
      <c r="D35" s="759" t="s">
        <v>26</v>
      </c>
      <c r="E35" s="294" t="s">
        <v>47</v>
      </c>
      <c r="F35" s="294" t="s">
        <v>24</v>
      </c>
      <c r="G35" s="303">
        <v>2010</v>
      </c>
      <c r="H35" s="294">
        <v>11</v>
      </c>
      <c r="I35" s="760">
        <v>5.4306523278804661</v>
      </c>
      <c r="J35" s="760">
        <v>2.92</v>
      </c>
      <c r="K35" s="294">
        <v>1</v>
      </c>
      <c r="L35" s="294">
        <v>0.15</v>
      </c>
      <c r="M35" s="294">
        <v>0.15</v>
      </c>
      <c r="N35" s="294">
        <v>0.15</v>
      </c>
      <c r="O35" s="294">
        <v>0.15</v>
      </c>
      <c r="P35" s="294">
        <v>0.15</v>
      </c>
      <c r="Q35" s="294"/>
      <c r="R35" s="294">
        <v>0.18</v>
      </c>
      <c r="S35" s="563">
        <f>Resid!U71</f>
        <v>40.770302185770866</v>
      </c>
      <c r="T35" s="563">
        <f>Resid!V71</f>
        <v>20.380919107791211</v>
      </c>
      <c r="U35" s="563">
        <f>Resid!W71</f>
        <v>31.254317609356978</v>
      </c>
      <c r="V35" s="563">
        <f>Resid!X71</f>
        <v>7.4223678818331136</v>
      </c>
      <c r="W35" s="563">
        <f>Resid!Y71</f>
        <v>35.58167099710014</v>
      </c>
      <c r="X35" s="563">
        <f>Resid!AJ71</f>
        <v>32.810171700626121</v>
      </c>
      <c r="Y35" s="563">
        <f>Resid!AK71</f>
        <v>16.687194700783266</v>
      </c>
      <c r="Z35" s="563">
        <f>Resid!AL71</f>
        <v>27.124885487795193</v>
      </c>
      <c r="AA35" s="563">
        <f>Resid!AM71</f>
        <v>6.0567238264780139</v>
      </c>
      <c r="AB35" s="563">
        <f>Resid!AN71</f>
        <v>28.130279370320906</v>
      </c>
      <c r="AC35" s="563">
        <f>Resid!AY71</f>
        <v>29.305651192245477</v>
      </c>
      <c r="AD35" s="563">
        <f>Resid!AZ71</f>
        <v>15.110820278438265</v>
      </c>
      <c r="AE35" s="563">
        <f>Resid!BA71</f>
        <v>22.363928218975083</v>
      </c>
      <c r="AF35" s="563">
        <f>Resid!BB71</f>
        <v>4.859002043600233</v>
      </c>
      <c r="AG35" s="563">
        <f>Resid!BC71</f>
        <v>23.745019119447278</v>
      </c>
      <c r="AH35" s="563"/>
      <c r="AI35" s="562">
        <v>0</v>
      </c>
      <c r="AJ35" s="562">
        <v>0</v>
      </c>
      <c r="AK35" s="562">
        <v>0</v>
      </c>
      <c r="AL35" s="562">
        <v>0</v>
      </c>
      <c r="AM35" s="562">
        <v>0</v>
      </c>
      <c r="AN35" s="562">
        <v>0</v>
      </c>
      <c r="AO35" s="562">
        <v>0</v>
      </c>
      <c r="AP35" s="562">
        <v>0</v>
      </c>
      <c r="AQ35" s="562">
        <v>0</v>
      </c>
      <c r="AR35" s="562">
        <v>0</v>
      </c>
    </row>
    <row r="36" spans="1:44" ht="15.75" customHeight="1" x14ac:dyDescent="0.2">
      <c r="A36" s="759" t="s">
        <v>543</v>
      </c>
      <c r="B36" s="294"/>
      <c r="C36" s="294"/>
      <c r="D36" s="294"/>
      <c r="E36" s="759"/>
      <c r="F36" s="759"/>
      <c r="G36" s="303"/>
      <c r="H36" s="294"/>
      <c r="I36" s="294"/>
      <c r="J36" s="759"/>
      <c r="K36" s="294"/>
      <c r="L36" s="294"/>
      <c r="M36" s="294"/>
      <c r="N36" s="294"/>
      <c r="O36" s="294"/>
      <c r="P36" s="294"/>
      <c r="Q36" s="294"/>
      <c r="R36" s="759"/>
      <c r="S36" s="562"/>
      <c r="T36" s="562"/>
      <c r="U36" s="562"/>
      <c r="V36" s="562"/>
      <c r="W36" s="562"/>
      <c r="X36" s="562"/>
      <c r="Y36" s="562"/>
      <c r="Z36" s="562"/>
      <c r="AA36" s="562"/>
      <c r="AB36" s="562"/>
      <c r="AC36" s="562"/>
      <c r="AD36" s="562"/>
      <c r="AE36" s="562"/>
      <c r="AF36" s="562"/>
      <c r="AG36" s="562"/>
      <c r="AH36" s="562"/>
      <c r="AI36" s="562"/>
      <c r="AJ36" s="562"/>
      <c r="AK36" s="562"/>
      <c r="AL36" s="562"/>
      <c r="AM36" s="562"/>
      <c r="AN36" s="562"/>
      <c r="AO36" s="562"/>
      <c r="AP36" s="562"/>
      <c r="AQ36" s="562"/>
      <c r="AR36" s="562"/>
    </row>
    <row r="37" spans="1:44" ht="15.75" customHeight="1" x14ac:dyDescent="0.2">
      <c r="A37" s="759" t="s">
        <v>510</v>
      </c>
      <c r="B37" s="294"/>
      <c r="C37" s="294"/>
      <c r="D37" s="294"/>
      <c r="E37" s="759"/>
      <c r="F37" s="759"/>
      <c r="G37" s="303"/>
      <c r="H37" s="294"/>
      <c r="I37" s="294"/>
      <c r="J37" s="759"/>
      <c r="K37" s="294"/>
      <c r="L37" s="294"/>
      <c r="M37" s="294"/>
      <c r="N37" s="294"/>
      <c r="O37" s="294"/>
      <c r="P37" s="294"/>
      <c r="Q37" s="294"/>
      <c r="R37" s="759"/>
      <c r="S37" s="562"/>
      <c r="T37" s="562"/>
      <c r="U37" s="562"/>
      <c r="V37" s="562"/>
      <c r="W37" s="562"/>
      <c r="X37" s="562"/>
      <c r="Y37" s="562"/>
      <c r="Z37" s="562"/>
      <c r="AA37" s="562"/>
      <c r="AB37" s="562"/>
      <c r="AC37" s="562"/>
      <c r="AD37" s="562"/>
      <c r="AE37" s="562"/>
      <c r="AF37" s="562"/>
      <c r="AG37" s="562"/>
      <c r="AH37" s="562"/>
      <c r="AI37" s="562"/>
      <c r="AJ37" s="562"/>
      <c r="AK37" s="562"/>
      <c r="AL37" s="562"/>
      <c r="AM37" s="562"/>
      <c r="AN37" s="562"/>
      <c r="AO37" s="562"/>
      <c r="AP37" s="562"/>
      <c r="AQ37" s="562"/>
      <c r="AR37" s="562"/>
    </row>
    <row r="38" spans="1:44" x14ac:dyDescent="0.2">
      <c r="A38" s="294" t="s">
        <v>22</v>
      </c>
      <c r="B38" s="294" t="s">
        <v>544</v>
      </c>
      <c r="C38" s="294" t="s">
        <v>545</v>
      </c>
      <c r="D38" s="759" t="s">
        <v>26</v>
      </c>
      <c r="E38" s="294" t="s">
        <v>47</v>
      </c>
      <c r="F38" s="294" t="s">
        <v>24</v>
      </c>
      <c r="G38" s="303">
        <v>2010</v>
      </c>
      <c r="H38" s="294">
        <v>15</v>
      </c>
      <c r="I38" s="760">
        <v>4.0729892459103505</v>
      </c>
      <c r="J38" s="760">
        <v>3</v>
      </c>
      <c r="K38" s="294">
        <v>1</v>
      </c>
      <c r="L38" s="294">
        <v>0.15</v>
      </c>
      <c r="M38" s="294">
        <v>0.15</v>
      </c>
      <c r="N38" s="294">
        <v>0.15</v>
      </c>
      <c r="O38" s="294">
        <v>0.15</v>
      </c>
      <c r="P38" s="294">
        <v>0.15</v>
      </c>
      <c r="Q38" s="294"/>
      <c r="R38" s="294">
        <v>0.45</v>
      </c>
      <c r="S38" s="563">
        <f>Resid!U81</f>
        <v>1.8686296473395725</v>
      </c>
      <c r="T38" s="563">
        <f>Resid!V81</f>
        <v>0.93412085864156247</v>
      </c>
      <c r="U38" s="563">
        <f>Resid!W81</f>
        <v>1.432482502241416</v>
      </c>
      <c r="V38" s="563">
        <f>Resid!X81</f>
        <v>0.34019018584304223</v>
      </c>
      <c r="W38" s="563">
        <f>Resid!Y81</f>
        <v>1.6308185557248354</v>
      </c>
      <c r="X38" s="563">
        <f>Resid!AJ81</f>
        <v>4.4546727404100999</v>
      </c>
      <c r="Y38" s="563">
        <f>Resid!AK81</f>
        <v>2.2656385960356471</v>
      </c>
      <c r="Z38" s="563">
        <f>Resid!AL81</f>
        <v>3.6827752403051548</v>
      </c>
      <c r="AA38" s="563">
        <f>Resid!AM81</f>
        <v>0.82232798938656804</v>
      </c>
      <c r="AB38" s="563">
        <f>Resid!AN81</f>
        <v>3.8192786625587138</v>
      </c>
      <c r="AC38" s="563">
        <f>Resid!AY81</f>
        <v>6.5194698486745324</v>
      </c>
      <c r="AD38" s="563">
        <f>Resid!AZ81</f>
        <v>3.3616225262411414</v>
      </c>
      <c r="AE38" s="563">
        <f>Resid!BA81</f>
        <v>4.9751822529065572</v>
      </c>
      <c r="AF38" s="563">
        <f>Resid!BB81</f>
        <v>1.080955925875551</v>
      </c>
      <c r="AG38" s="563">
        <f>Resid!BC81</f>
        <v>5.282426081915542</v>
      </c>
      <c r="AH38" s="563"/>
      <c r="AI38" s="562">
        <v>0</v>
      </c>
      <c r="AJ38" s="562">
        <v>0</v>
      </c>
      <c r="AK38" s="562">
        <v>0</v>
      </c>
      <c r="AL38" s="562">
        <v>0</v>
      </c>
      <c r="AM38" s="562">
        <v>0</v>
      </c>
      <c r="AN38" s="562">
        <v>0</v>
      </c>
      <c r="AO38" s="562">
        <v>0</v>
      </c>
      <c r="AP38" s="562">
        <v>0</v>
      </c>
      <c r="AQ38" s="562">
        <v>0</v>
      </c>
      <c r="AR38" s="562">
        <v>0</v>
      </c>
    </row>
    <row r="39" spans="1:44" ht="15.75" customHeight="1" x14ac:dyDescent="0.2">
      <c r="A39" s="759" t="s">
        <v>535</v>
      </c>
      <c r="B39" s="294"/>
      <c r="C39" s="294"/>
      <c r="D39" s="294"/>
      <c r="E39" s="759"/>
      <c r="F39" s="759"/>
      <c r="G39" s="303"/>
      <c r="H39" s="294"/>
      <c r="I39" s="294"/>
      <c r="J39" s="759"/>
      <c r="K39" s="294"/>
      <c r="L39" s="294"/>
      <c r="M39" s="294"/>
      <c r="N39" s="294"/>
      <c r="O39" s="294"/>
      <c r="P39" s="294"/>
      <c r="Q39" s="294"/>
      <c r="R39" s="759"/>
      <c r="S39" s="562"/>
      <c r="T39" s="562"/>
      <c r="U39" s="562"/>
      <c r="V39" s="562"/>
      <c r="W39" s="562"/>
      <c r="X39" s="562"/>
      <c r="Y39" s="562"/>
      <c r="Z39" s="562"/>
      <c r="AA39" s="562"/>
      <c r="AB39" s="562"/>
      <c r="AC39" s="562"/>
      <c r="AD39" s="562"/>
      <c r="AE39" s="562"/>
      <c r="AF39" s="562"/>
      <c r="AG39" s="562"/>
      <c r="AH39" s="562"/>
      <c r="AI39" s="562"/>
      <c r="AJ39" s="562"/>
      <c r="AK39" s="562"/>
      <c r="AL39" s="562"/>
      <c r="AM39" s="562"/>
      <c r="AN39" s="562"/>
      <c r="AO39" s="562"/>
      <c r="AP39" s="562"/>
      <c r="AQ39" s="562"/>
      <c r="AR39" s="562"/>
    </row>
    <row r="40" spans="1:44" ht="15.75" customHeight="1" x14ac:dyDescent="0.2">
      <c r="A40" s="759" t="s">
        <v>536</v>
      </c>
      <c r="B40" s="294"/>
      <c r="C40" s="294"/>
      <c r="D40" s="294"/>
      <c r="E40" s="759"/>
      <c r="F40" s="759"/>
      <c r="G40" s="303"/>
      <c r="H40" s="294"/>
      <c r="I40" s="294"/>
      <c r="J40" s="759"/>
      <c r="K40" s="294"/>
      <c r="L40" s="294"/>
      <c r="M40" s="294"/>
      <c r="N40" s="294"/>
      <c r="O40" s="294"/>
      <c r="P40" s="294"/>
      <c r="Q40" s="294"/>
      <c r="R40" s="759"/>
      <c r="S40" s="562"/>
      <c r="T40" s="562"/>
      <c r="U40" s="562"/>
      <c r="V40" s="562"/>
      <c r="W40" s="562"/>
      <c r="X40" s="562"/>
      <c r="Y40" s="562"/>
      <c r="Z40" s="562"/>
      <c r="AA40" s="562"/>
      <c r="AB40" s="562"/>
      <c r="AC40" s="562"/>
      <c r="AD40" s="562"/>
      <c r="AE40" s="562"/>
      <c r="AF40" s="562"/>
      <c r="AG40" s="562"/>
      <c r="AH40" s="562"/>
      <c r="AI40" s="562"/>
      <c r="AJ40" s="562"/>
      <c r="AK40" s="562"/>
      <c r="AL40" s="562"/>
      <c r="AM40" s="562"/>
      <c r="AN40" s="562"/>
      <c r="AO40" s="562"/>
      <c r="AP40" s="562"/>
      <c r="AQ40" s="562"/>
      <c r="AR40" s="562"/>
    </row>
    <row r="41" spans="1:44" ht="15.75" customHeight="1" x14ac:dyDescent="0.2">
      <c r="A41" s="757" t="s">
        <v>394</v>
      </c>
      <c r="B41" s="758"/>
      <c r="C41" s="758"/>
      <c r="D41" s="758"/>
      <c r="E41" s="757"/>
      <c r="F41" s="757"/>
      <c r="G41" s="859"/>
      <c r="H41" s="758"/>
      <c r="I41" s="758"/>
      <c r="J41" s="757"/>
      <c r="K41" s="758"/>
      <c r="L41" s="758"/>
      <c r="M41" s="758" t="s">
        <v>514</v>
      </c>
      <c r="N41" s="758" t="s">
        <v>514</v>
      </c>
      <c r="O41" s="758" t="s">
        <v>514</v>
      </c>
      <c r="P41" s="758" t="s">
        <v>514</v>
      </c>
      <c r="Q41" s="758"/>
      <c r="R41" s="757"/>
      <c r="S41" s="570"/>
      <c r="T41" s="570"/>
      <c r="U41" s="570"/>
      <c r="V41" s="570"/>
      <c r="W41" s="570"/>
      <c r="X41" s="570"/>
      <c r="Y41" s="570"/>
      <c r="Z41" s="570"/>
      <c r="AA41" s="570"/>
      <c r="AB41" s="570"/>
      <c r="AC41" s="570"/>
      <c r="AD41" s="570"/>
      <c r="AE41" s="570"/>
      <c r="AF41" s="570"/>
      <c r="AG41" s="570"/>
      <c r="AH41" s="570"/>
      <c r="AI41" s="570"/>
      <c r="AJ41" s="570"/>
      <c r="AK41" s="570"/>
      <c r="AL41" s="570"/>
      <c r="AM41" s="570"/>
      <c r="AN41" s="570"/>
      <c r="AO41" s="570"/>
      <c r="AP41" s="570"/>
      <c r="AQ41" s="570"/>
      <c r="AR41" s="570"/>
    </row>
    <row r="42" spans="1:44" ht="15.75" customHeight="1" x14ac:dyDescent="0.2">
      <c r="A42" s="761" t="s">
        <v>395</v>
      </c>
      <c r="B42" s="762"/>
      <c r="C42" s="762"/>
      <c r="D42" s="762"/>
      <c r="E42" s="761"/>
      <c r="F42" s="761"/>
      <c r="G42" s="860"/>
      <c r="H42" s="762"/>
      <c r="I42" s="762"/>
      <c r="J42" s="761"/>
      <c r="K42" s="762"/>
      <c r="L42" s="762"/>
      <c r="M42" s="762" t="s">
        <v>514</v>
      </c>
      <c r="N42" s="762" t="s">
        <v>514</v>
      </c>
      <c r="O42" s="762" t="s">
        <v>514</v>
      </c>
      <c r="P42" s="762" t="s">
        <v>514</v>
      </c>
      <c r="Q42" s="762"/>
      <c r="R42" s="761"/>
      <c r="S42" s="558"/>
      <c r="T42" s="558"/>
      <c r="U42" s="558"/>
      <c r="V42" s="558"/>
      <c r="W42" s="558"/>
      <c r="X42" s="558"/>
      <c r="Y42" s="558"/>
      <c r="Z42" s="558"/>
      <c r="AA42" s="558"/>
      <c r="AB42" s="558"/>
      <c r="AC42" s="558"/>
      <c r="AD42" s="558"/>
      <c r="AE42" s="558"/>
      <c r="AF42" s="558"/>
      <c r="AG42" s="558"/>
      <c r="AH42" s="558"/>
      <c r="AI42" s="558"/>
      <c r="AJ42" s="558"/>
      <c r="AK42" s="558"/>
      <c r="AL42" s="558"/>
      <c r="AM42" s="558"/>
      <c r="AN42" s="558"/>
      <c r="AO42" s="558"/>
      <c r="AP42" s="558"/>
      <c r="AQ42" s="558"/>
      <c r="AR42" s="558"/>
    </row>
    <row r="43" spans="1:44" x14ac:dyDescent="0.2">
      <c r="A43" s="294" t="s">
        <v>22</v>
      </c>
      <c r="B43" s="294" t="s">
        <v>546</v>
      </c>
      <c r="C43" s="294" t="s">
        <v>547</v>
      </c>
      <c r="D43" s="759" t="s">
        <v>26</v>
      </c>
      <c r="E43" s="294" t="s">
        <v>52</v>
      </c>
      <c r="F43" s="294" t="s">
        <v>43</v>
      </c>
      <c r="G43" s="303">
        <v>2010</v>
      </c>
      <c r="H43" s="294">
        <v>8</v>
      </c>
      <c r="I43" s="760">
        <v>7.9209266747522467</v>
      </c>
      <c r="J43" s="760">
        <v>0.59</v>
      </c>
      <c r="K43" s="294">
        <v>1</v>
      </c>
      <c r="L43" s="760">
        <v>0.1</v>
      </c>
      <c r="M43" s="760">
        <v>0.1</v>
      </c>
      <c r="N43" s="760">
        <v>0.1</v>
      </c>
      <c r="O43" s="760">
        <v>0.1</v>
      </c>
      <c r="P43" s="760">
        <v>0.1</v>
      </c>
      <c r="Q43" s="294"/>
      <c r="R43" s="294">
        <v>0.18</v>
      </c>
      <c r="S43" s="563">
        <f>Resid!U101</f>
        <v>90.948650426374073</v>
      </c>
      <c r="T43" s="563">
        <f>Resid!V101</f>
        <v>47.399614850244092</v>
      </c>
      <c r="U43" s="563">
        <f>Resid!W101</f>
        <v>72.446514778157479</v>
      </c>
      <c r="V43" s="563">
        <f>Resid!X101</f>
        <v>16.214704813115556</v>
      </c>
      <c r="W43" s="563">
        <f>Resid!Y101</f>
        <v>76.449027059502868</v>
      </c>
      <c r="X43" s="563">
        <f>Resid!AJ101</f>
        <v>101.94989284690563</v>
      </c>
      <c r="Y43" s="563">
        <f>Resid!AK101</f>
        <v>53.593586980341883</v>
      </c>
      <c r="Z43" s="563">
        <f>Resid!AL101</f>
        <v>84.334382991195369</v>
      </c>
      <c r="AA43" s="563">
        <f>Resid!AM101</f>
        <v>18.302689949250567</v>
      </c>
      <c r="AB43" s="563">
        <f>Resid!AN101</f>
        <v>84.938393723198161</v>
      </c>
      <c r="AC43" s="563">
        <f>Resid!AY101</f>
        <v>104.97797063568468</v>
      </c>
      <c r="AD43" s="563">
        <f>Resid!AZ101</f>
        <v>55.56548909782645</v>
      </c>
      <c r="AE43" s="563">
        <f>Resid!BA101</f>
        <v>83.432397359489556</v>
      </c>
      <c r="AF43" s="563">
        <f>Resid!BB101</f>
        <v>17.861155062887832</v>
      </c>
      <c r="AG43" s="563">
        <f>Resid!BC101</f>
        <v>85.024335369318464</v>
      </c>
      <c r="AH43" s="563"/>
      <c r="AI43" s="562">
        <v>0</v>
      </c>
      <c r="AJ43" s="562">
        <v>0</v>
      </c>
      <c r="AK43" s="562">
        <v>0</v>
      </c>
      <c r="AL43" s="562">
        <v>0</v>
      </c>
      <c r="AM43" s="562">
        <v>0</v>
      </c>
      <c r="AN43" s="562">
        <v>0</v>
      </c>
      <c r="AO43" s="562">
        <v>0</v>
      </c>
      <c r="AP43" s="562">
        <v>0</v>
      </c>
      <c r="AQ43" s="562">
        <v>0</v>
      </c>
      <c r="AR43" s="562">
        <v>0</v>
      </c>
    </row>
    <row r="44" spans="1:44" ht="15.75" customHeight="1" x14ac:dyDescent="0.2">
      <c r="A44" s="761" t="s">
        <v>548</v>
      </c>
      <c r="B44" s="762"/>
      <c r="C44" s="762"/>
      <c r="D44" s="762"/>
      <c r="E44" s="761"/>
      <c r="F44" s="761"/>
      <c r="G44" s="860"/>
      <c r="H44" s="762"/>
      <c r="I44" s="762"/>
      <c r="J44" s="761"/>
      <c r="K44" s="762"/>
      <c r="L44" s="871"/>
      <c r="M44" s="871"/>
      <c r="N44" s="871"/>
      <c r="O44" s="871"/>
      <c r="P44" s="871"/>
      <c r="Q44" s="762"/>
      <c r="R44" s="761"/>
      <c r="S44" s="558"/>
      <c r="T44" s="558"/>
      <c r="U44" s="558"/>
      <c r="V44" s="558"/>
      <c r="W44" s="558"/>
      <c r="X44" s="558"/>
      <c r="Y44" s="558"/>
      <c r="Z44" s="558"/>
      <c r="AA44" s="558"/>
      <c r="AB44" s="558"/>
      <c r="AC44" s="558"/>
      <c r="AD44" s="558"/>
      <c r="AE44" s="558"/>
      <c r="AF44" s="558"/>
      <c r="AG44" s="558"/>
      <c r="AH44" s="558"/>
      <c r="AI44" s="558"/>
      <c r="AJ44" s="558"/>
      <c r="AK44" s="558"/>
      <c r="AL44" s="558"/>
      <c r="AM44" s="558"/>
      <c r="AN44" s="558"/>
      <c r="AO44" s="558"/>
      <c r="AP44" s="558"/>
      <c r="AQ44" s="558"/>
      <c r="AR44" s="558"/>
    </row>
    <row r="45" spans="1:44" x14ac:dyDescent="0.2">
      <c r="A45" s="294" t="s">
        <v>22</v>
      </c>
      <c r="B45" s="294" t="s">
        <v>549</v>
      </c>
      <c r="C45" s="294" t="s">
        <v>550</v>
      </c>
      <c r="D45" s="759" t="s">
        <v>26</v>
      </c>
      <c r="E45" s="294" t="s">
        <v>47</v>
      </c>
      <c r="F45" s="294" t="s">
        <v>43</v>
      </c>
      <c r="G45" s="303">
        <v>2010</v>
      </c>
      <c r="H45" s="294">
        <v>6</v>
      </c>
      <c r="I45" s="760">
        <v>4.8471342338036143</v>
      </c>
      <c r="J45" s="760">
        <v>0.9</v>
      </c>
      <c r="K45" s="294">
        <v>1</v>
      </c>
      <c r="L45" s="760">
        <v>0.1</v>
      </c>
      <c r="M45" s="760">
        <v>0.1</v>
      </c>
      <c r="N45" s="760">
        <v>0.1</v>
      </c>
      <c r="O45" s="760">
        <v>0.1</v>
      </c>
      <c r="P45" s="760">
        <v>0.1</v>
      </c>
      <c r="Q45" s="294"/>
      <c r="R45" s="294">
        <v>0.18</v>
      </c>
      <c r="S45" s="563">
        <f>Resid!U109</f>
        <v>3.8075852660252552</v>
      </c>
      <c r="T45" s="563">
        <f>Resid!V109</f>
        <v>1.9843953073846239</v>
      </c>
      <c r="U45" s="563">
        <f>Resid!W109</f>
        <v>3.0329892851736151</v>
      </c>
      <c r="V45" s="563">
        <f>Resid!X109</f>
        <v>0.67883218552371183</v>
      </c>
      <c r="W45" s="563">
        <f>Resid!Y109</f>
        <v>3.2005553427026707</v>
      </c>
      <c r="X45" s="563">
        <f>Resid!AJ109</f>
        <v>3.6492014307804879</v>
      </c>
      <c r="Y45" s="563">
        <f>Resid!AK109</f>
        <v>1.9183325144147827</v>
      </c>
      <c r="Z45" s="563">
        <f>Resid!AL109</f>
        <v>3.0186706673404871</v>
      </c>
      <c r="AA45" s="563">
        <f>Resid!AM109</f>
        <v>0.65512773466307805</v>
      </c>
      <c r="AB45" s="563">
        <f>Resid!AN109</f>
        <v>3.0402906687537428</v>
      </c>
      <c r="AC45" s="563">
        <f>Resid!AY109</f>
        <v>3.4500212840421156</v>
      </c>
      <c r="AD45" s="563">
        <f>Resid!AZ109</f>
        <v>1.8261176024348384</v>
      </c>
      <c r="AE45" s="563">
        <f>Resid!BA109</f>
        <v>2.7419423801573548</v>
      </c>
      <c r="AF45" s="563">
        <f>Resid!BB109</f>
        <v>0.58699329727367522</v>
      </c>
      <c r="AG45" s="563">
        <f>Resid!BC109</f>
        <v>2.7942602139231218</v>
      </c>
      <c r="AH45" s="563"/>
      <c r="AI45" s="562">
        <v>0</v>
      </c>
      <c r="AJ45" s="562">
        <v>0</v>
      </c>
      <c r="AK45" s="562">
        <v>0</v>
      </c>
      <c r="AL45" s="562">
        <v>0</v>
      </c>
      <c r="AM45" s="562">
        <v>0</v>
      </c>
      <c r="AN45" s="562">
        <v>0</v>
      </c>
      <c r="AO45" s="562">
        <v>0</v>
      </c>
      <c r="AP45" s="562">
        <v>0</v>
      </c>
      <c r="AQ45" s="562">
        <v>0</v>
      </c>
      <c r="AR45" s="562">
        <v>0</v>
      </c>
    </row>
    <row r="46" spans="1:44" ht="15.75" customHeight="1" x14ac:dyDescent="0.2">
      <c r="A46" s="761" t="s">
        <v>551</v>
      </c>
      <c r="B46" s="762"/>
      <c r="C46" s="762"/>
      <c r="D46" s="762"/>
      <c r="E46" s="761"/>
      <c r="F46" s="761"/>
      <c r="G46" s="860"/>
      <c r="H46" s="762"/>
      <c r="I46" s="762"/>
      <c r="J46" s="761"/>
      <c r="K46" s="762"/>
      <c r="L46" s="871"/>
      <c r="M46" s="871"/>
      <c r="N46" s="871"/>
      <c r="O46" s="871"/>
      <c r="P46" s="871"/>
      <c r="Q46" s="762"/>
      <c r="R46" s="761"/>
      <c r="S46" s="558"/>
      <c r="T46" s="558"/>
      <c r="U46" s="558"/>
      <c r="V46" s="558"/>
      <c r="W46" s="558"/>
      <c r="X46" s="558"/>
      <c r="Y46" s="558"/>
      <c r="Z46" s="558"/>
      <c r="AA46" s="558"/>
      <c r="AB46" s="558"/>
      <c r="AC46" s="558"/>
      <c r="AD46" s="558"/>
      <c r="AE46" s="558"/>
      <c r="AF46" s="558"/>
      <c r="AG46" s="558"/>
      <c r="AH46" s="558"/>
      <c r="AI46" s="558"/>
      <c r="AJ46" s="558"/>
      <c r="AK46" s="558"/>
      <c r="AL46" s="558"/>
      <c r="AM46" s="558"/>
      <c r="AN46" s="558"/>
      <c r="AO46" s="558"/>
      <c r="AP46" s="558"/>
      <c r="AQ46" s="558"/>
      <c r="AR46" s="558"/>
    </row>
    <row r="47" spans="1:44" x14ac:dyDescent="0.2">
      <c r="A47" s="294" t="s">
        <v>22</v>
      </c>
      <c r="B47" s="294" t="s">
        <v>552</v>
      </c>
      <c r="C47" s="294" t="s">
        <v>553</v>
      </c>
      <c r="D47" s="759" t="s">
        <v>26</v>
      </c>
      <c r="E47" s="294" t="s">
        <v>56</v>
      </c>
      <c r="F47" s="294" t="s">
        <v>43</v>
      </c>
      <c r="G47" s="303">
        <v>2010</v>
      </c>
      <c r="H47" s="294">
        <v>10</v>
      </c>
      <c r="I47" s="760">
        <v>16.089338380111254</v>
      </c>
      <c r="J47" s="760">
        <v>0.53</v>
      </c>
      <c r="K47" s="294">
        <v>1</v>
      </c>
      <c r="L47" s="760">
        <v>0.1</v>
      </c>
      <c r="M47" s="760">
        <v>0.1</v>
      </c>
      <c r="N47" s="760">
        <v>0.1</v>
      </c>
      <c r="O47" s="760">
        <v>0.1</v>
      </c>
      <c r="P47" s="760">
        <v>0.1</v>
      </c>
      <c r="Q47" s="294"/>
      <c r="R47" s="294">
        <v>0.18</v>
      </c>
      <c r="S47" s="563">
        <f>Resid!U118</f>
        <v>24.434882454707086</v>
      </c>
      <c r="T47" s="563">
        <f>Resid!V118</f>
        <v>12.734702624330936</v>
      </c>
      <c r="U47" s="563">
        <f>Resid!W118</f>
        <v>19.463972962309441</v>
      </c>
      <c r="V47" s="563">
        <f>Resid!X118</f>
        <v>4.3563527802646433</v>
      </c>
      <c r="W47" s="563">
        <f>Resid!Y118</f>
        <v>20.539315110430358</v>
      </c>
      <c r="X47" s="563">
        <f>Resid!AJ118</f>
        <v>15.869577348376968</v>
      </c>
      <c r="Y47" s="563">
        <f>Resid!AK118</f>
        <v>8.3424077280657869</v>
      </c>
      <c r="Z47" s="563">
        <f>Resid!AL118</f>
        <v>13.127537230629304</v>
      </c>
      <c r="AA47" s="563">
        <f>Resid!AM118</f>
        <v>2.8490069554968591</v>
      </c>
      <c r="AB47" s="563">
        <f>Resid!AN118</f>
        <v>13.221557879039031</v>
      </c>
      <c r="AC47" s="563">
        <f>Resid!AY118</f>
        <v>8.6559006811272816</v>
      </c>
      <c r="AD47" s="563">
        <f>Resid!AZ118</f>
        <v>4.5816217632764262</v>
      </c>
      <c r="AE47" s="563">
        <f>Resid!BA118</f>
        <v>6.8793723174393255</v>
      </c>
      <c r="AF47" s="563">
        <f>Resid!BB118</f>
        <v>1.4727316915956536</v>
      </c>
      <c r="AG47" s="563">
        <f>Resid!BC118</f>
        <v>7.0106346882029147</v>
      </c>
      <c r="AH47" s="563"/>
      <c r="AI47" s="562">
        <v>0</v>
      </c>
      <c r="AJ47" s="562">
        <v>0</v>
      </c>
      <c r="AK47" s="562">
        <v>0</v>
      </c>
      <c r="AL47" s="562">
        <v>0</v>
      </c>
      <c r="AM47" s="562">
        <v>0</v>
      </c>
      <c r="AN47" s="562">
        <v>0</v>
      </c>
      <c r="AO47" s="562">
        <v>0</v>
      </c>
      <c r="AP47" s="562">
        <v>0</v>
      </c>
      <c r="AQ47" s="562">
        <v>0</v>
      </c>
      <c r="AR47" s="562">
        <v>0</v>
      </c>
    </row>
    <row r="48" spans="1:44" s="865" customFormat="1" x14ac:dyDescent="0.2">
      <c r="A48" s="763" t="s">
        <v>554</v>
      </c>
      <c r="B48" s="861"/>
      <c r="C48" s="861"/>
      <c r="D48" s="861"/>
      <c r="E48" s="861"/>
      <c r="F48" s="861"/>
      <c r="G48" s="862"/>
      <c r="H48" s="862"/>
      <c r="I48" s="863"/>
      <c r="J48" s="863"/>
      <c r="K48" s="864"/>
      <c r="L48" s="863" t="str">
        <f t="shared" ref="L48" si="2">IF(K48="","",K48)</f>
        <v/>
      </c>
      <c r="M48" s="863"/>
      <c r="N48" s="863"/>
      <c r="O48" s="863"/>
      <c r="P48" s="863"/>
      <c r="Q48" s="862"/>
      <c r="R48" s="862"/>
      <c r="S48" s="862"/>
      <c r="T48" s="861"/>
      <c r="U48" s="861"/>
      <c r="V48" s="861"/>
      <c r="W48" s="861"/>
      <c r="X48" s="861"/>
      <c r="Y48" s="862"/>
      <c r="Z48" s="862"/>
      <c r="AA48" s="862"/>
      <c r="AB48" s="862"/>
      <c r="AC48" s="862"/>
      <c r="AD48" s="861"/>
      <c r="AE48" s="861"/>
      <c r="AF48" s="861"/>
      <c r="AG48" s="861"/>
      <c r="AH48" s="861"/>
      <c r="AI48" s="861"/>
      <c r="AJ48" s="861"/>
      <c r="AK48" s="861"/>
      <c r="AL48" s="861"/>
      <c r="AM48" s="861"/>
      <c r="AN48" s="861"/>
      <c r="AO48" s="861"/>
      <c r="AP48" s="861"/>
      <c r="AQ48" s="861"/>
      <c r="AR48" s="861"/>
    </row>
    <row r="49" spans="1:44" s="865" customFormat="1" ht="14.25" customHeight="1" x14ac:dyDescent="0.2">
      <c r="A49" s="866" t="s">
        <v>384</v>
      </c>
      <c r="B49" s="866" t="s">
        <v>555</v>
      </c>
      <c r="C49" s="866" t="s">
        <v>556</v>
      </c>
      <c r="D49" s="759" t="s">
        <v>26</v>
      </c>
      <c r="E49" s="866" t="s">
        <v>71</v>
      </c>
      <c r="F49" s="294" t="s">
        <v>43</v>
      </c>
      <c r="G49" s="867">
        <v>2010</v>
      </c>
      <c r="H49" s="868">
        <v>30</v>
      </c>
      <c r="I49" s="869">
        <v>2.5215837627460433</v>
      </c>
      <c r="J49" s="869">
        <v>0.78</v>
      </c>
      <c r="K49" s="870"/>
      <c r="L49" s="760">
        <v>0.1</v>
      </c>
      <c r="M49" s="760">
        <v>0.1</v>
      </c>
      <c r="N49" s="760">
        <v>0.1</v>
      </c>
      <c r="O49" s="760">
        <v>0.1</v>
      </c>
      <c r="P49" s="760">
        <v>0.1</v>
      </c>
      <c r="Q49" s="869">
        <v>7.0919543327232479E-2</v>
      </c>
      <c r="R49" s="868">
        <v>0.18</v>
      </c>
      <c r="S49" s="869">
        <f>Resid!U122</f>
        <v>0</v>
      </c>
      <c r="T49" s="869">
        <f>Resid!V122</f>
        <v>0</v>
      </c>
      <c r="U49" s="869">
        <f>Resid!W122</f>
        <v>4.6460994288151882</v>
      </c>
      <c r="V49" s="869">
        <f>Resid!X122</f>
        <v>0</v>
      </c>
      <c r="W49" s="869">
        <f>Resid!Y122</f>
        <v>0</v>
      </c>
      <c r="X49" s="563">
        <f>Resid!AJ122</f>
        <v>0</v>
      </c>
      <c r="Y49" s="563">
        <f>Resid!AK122</f>
        <v>0</v>
      </c>
      <c r="Z49" s="563">
        <f>Resid!AL122</f>
        <v>4.6239228479997054</v>
      </c>
      <c r="AA49" s="563">
        <f>Resid!AM122</f>
        <v>0</v>
      </c>
      <c r="AB49" s="563">
        <f>Resid!AN122</f>
        <v>0</v>
      </c>
      <c r="AC49" s="563">
        <f>Resid!AY122</f>
        <v>0</v>
      </c>
      <c r="AD49" s="563">
        <f>Resid!AZ122</f>
        <v>0</v>
      </c>
      <c r="AE49" s="563">
        <f>Resid!BA122</f>
        <v>4.1627646084972687</v>
      </c>
      <c r="AF49" s="563">
        <f>Resid!BB122</f>
        <v>0</v>
      </c>
      <c r="AG49" s="563">
        <f>Resid!BC122</f>
        <v>0</v>
      </c>
      <c r="AH49" s="563">
        <f t="shared" ref="AH49:AH51" si="3">AE49</f>
        <v>4.1627646084972687</v>
      </c>
      <c r="AI49" s="562">
        <v>0</v>
      </c>
      <c r="AJ49" s="562">
        <v>0</v>
      </c>
      <c r="AK49" s="562">
        <v>0</v>
      </c>
      <c r="AL49" s="562">
        <v>0</v>
      </c>
      <c r="AM49" s="562">
        <v>0</v>
      </c>
      <c r="AN49" s="866">
        <v>0</v>
      </c>
      <c r="AO49" s="866">
        <v>0</v>
      </c>
      <c r="AP49" s="866">
        <v>0</v>
      </c>
      <c r="AQ49" s="866">
        <v>0</v>
      </c>
      <c r="AR49" s="866">
        <v>0</v>
      </c>
    </row>
    <row r="50" spans="1:44" s="865" customFormat="1" ht="13.7" customHeight="1" x14ac:dyDescent="0.2">
      <c r="A50" s="866" t="s">
        <v>384</v>
      </c>
      <c r="B50" s="866" t="s">
        <v>557</v>
      </c>
      <c r="C50" s="866" t="s">
        <v>558</v>
      </c>
      <c r="D50" s="759" t="s">
        <v>26</v>
      </c>
      <c r="E50" s="866" t="s">
        <v>67</v>
      </c>
      <c r="F50" s="294" t="s">
        <v>43</v>
      </c>
      <c r="G50" s="867">
        <v>2010</v>
      </c>
      <c r="H50" s="868">
        <v>30</v>
      </c>
      <c r="I50" s="869">
        <v>2.5215837627460433</v>
      </c>
      <c r="J50" s="869">
        <v>0.78</v>
      </c>
      <c r="K50" s="870"/>
      <c r="L50" s="760">
        <v>0.1</v>
      </c>
      <c r="M50" s="760">
        <v>0.1</v>
      </c>
      <c r="N50" s="760">
        <v>0.1</v>
      </c>
      <c r="O50" s="760">
        <v>0.1</v>
      </c>
      <c r="P50" s="760">
        <v>0.1</v>
      </c>
      <c r="Q50" s="869">
        <v>7.0919543327232479E-2</v>
      </c>
      <c r="R50" s="869">
        <v>0.18</v>
      </c>
      <c r="S50" s="869">
        <f>Resid!U123</f>
        <v>0</v>
      </c>
      <c r="T50" s="869">
        <f>Resid!V123</f>
        <v>0</v>
      </c>
      <c r="U50" s="869">
        <f>Resid!W123</f>
        <v>6.1642983177326904</v>
      </c>
      <c r="V50" s="869">
        <f>Resid!X123</f>
        <v>0</v>
      </c>
      <c r="W50" s="869">
        <f>Resid!Y123</f>
        <v>0</v>
      </c>
      <c r="X50" s="563">
        <f>Resid!AJ123</f>
        <v>0</v>
      </c>
      <c r="Y50" s="563">
        <f>Resid!AK123</f>
        <v>0</v>
      </c>
      <c r="Z50" s="563">
        <f>Resid!AL123</f>
        <v>6.1348751291185799</v>
      </c>
      <c r="AA50" s="563">
        <f>Resid!AM123</f>
        <v>0</v>
      </c>
      <c r="AB50" s="563">
        <f>Resid!AN123</f>
        <v>0</v>
      </c>
      <c r="AC50" s="563">
        <f>Resid!AY123</f>
        <v>0</v>
      </c>
      <c r="AD50" s="563">
        <f>Resid!AZ123</f>
        <v>0</v>
      </c>
      <c r="AE50" s="563">
        <f>Resid!BA123</f>
        <v>5.5230249086211751</v>
      </c>
      <c r="AF50" s="563">
        <f>Resid!BB123</f>
        <v>0</v>
      </c>
      <c r="AG50" s="563">
        <f>Resid!BC123</f>
        <v>0</v>
      </c>
      <c r="AH50" s="563">
        <f t="shared" si="3"/>
        <v>5.5230249086211751</v>
      </c>
      <c r="AI50" s="562"/>
      <c r="AJ50" s="562">
        <v>0</v>
      </c>
      <c r="AK50" s="562">
        <v>0</v>
      </c>
      <c r="AL50" s="562">
        <v>0</v>
      </c>
      <c r="AM50" s="562">
        <v>0</v>
      </c>
      <c r="AN50" s="562">
        <v>0</v>
      </c>
      <c r="AO50" s="562">
        <v>0</v>
      </c>
      <c r="AP50" s="562">
        <v>0</v>
      </c>
      <c r="AQ50" s="562">
        <v>0</v>
      </c>
      <c r="AR50" s="562">
        <v>0</v>
      </c>
    </row>
    <row r="51" spans="1:44" s="865" customFormat="1" ht="14.25" customHeight="1" x14ac:dyDescent="0.2">
      <c r="A51" s="866" t="s">
        <v>384</v>
      </c>
      <c r="B51" s="866" t="s">
        <v>559</v>
      </c>
      <c r="C51" s="866" t="s">
        <v>560</v>
      </c>
      <c r="D51" s="759" t="s">
        <v>26</v>
      </c>
      <c r="E51" s="866" t="s">
        <v>69</v>
      </c>
      <c r="F51" s="294" t="s">
        <v>43</v>
      </c>
      <c r="G51" s="867">
        <v>2010</v>
      </c>
      <c r="H51" s="868">
        <v>30</v>
      </c>
      <c r="I51" s="869">
        <v>2.5215837627460433</v>
      </c>
      <c r="J51" s="869">
        <v>0.78</v>
      </c>
      <c r="K51" s="870"/>
      <c r="L51" s="760">
        <v>0.1</v>
      </c>
      <c r="M51" s="760">
        <v>0.1</v>
      </c>
      <c r="N51" s="760">
        <v>0.1</v>
      </c>
      <c r="O51" s="760">
        <v>0.1</v>
      </c>
      <c r="P51" s="760">
        <v>0.1</v>
      </c>
      <c r="Q51" s="869">
        <v>7.0919543327232479E-2</v>
      </c>
      <c r="R51" s="869">
        <v>0.18</v>
      </c>
      <c r="S51" s="869">
        <f>Resid!U124</f>
        <v>0</v>
      </c>
      <c r="T51" s="869">
        <f>Resid!V124</f>
        <v>0</v>
      </c>
      <c r="U51" s="869">
        <f>Resid!W124</f>
        <v>8.936858685421956E-3</v>
      </c>
      <c r="V51" s="869">
        <f>Resid!X124</f>
        <v>0</v>
      </c>
      <c r="W51" s="869">
        <f>Resid!Y124</f>
        <v>0</v>
      </c>
      <c r="X51" s="563">
        <f>Resid!AJ124</f>
        <v>0</v>
      </c>
      <c r="Y51" s="563">
        <f>Resid!AK124</f>
        <v>0</v>
      </c>
      <c r="Z51" s="563">
        <f>Resid!AL124</f>
        <v>8.8942016196595156E-3</v>
      </c>
      <c r="AA51" s="563">
        <f>Resid!AM124</f>
        <v>0</v>
      </c>
      <c r="AB51" s="563">
        <f>Resid!AN124</f>
        <v>0</v>
      </c>
      <c r="AC51" s="563">
        <f>Resid!AY124</f>
        <v>0</v>
      </c>
      <c r="AD51" s="563">
        <f>Resid!AZ124</f>
        <v>0</v>
      </c>
      <c r="AE51" s="563">
        <f>Resid!BA124</f>
        <v>8.0071551667810336E-3</v>
      </c>
      <c r="AF51" s="563">
        <f>Resid!BB124</f>
        <v>0</v>
      </c>
      <c r="AG51" s="563">
        <f>Resid!BC124</f>
        <v>0</v>
      </c>
      <c r="AH51" s="563">
        <f t="shared" si="3"/>
        <v>8.0071551667810336E-3</v>
      </c>
      <c r="AI51" s="562"/>
      <c r="AJ51" s="562">
        <v>0</v>
      </c>
      <c r="AK51" s="562">
        <v>0</v>
      </c>
      <c r="AL51" s="562">
        <v>0</v>
      </c>
      <c r="AM51" s="562">
        <v>0</v>
      </c>
      <c r="AN51" s="562">
        <v>0</v>
      </c>
      <c r="AO51" s="562">
        <v>0</v>
      </c>
      <c r="AP51" s="562">
        <v>0</v>
      </c>
      <c r="AQ51" s="562">
        <v>0</v>
      </c>
      <c r="AR51" s="562">
        <v>0</v>
      </c>
    </row>
    <row r="52" spans="1:44" ht="15.75" customHeight="1" x14ac:dyDescent="0.2">
      <c r="A52" s="761" t="s">
        <v>561</v>
      </c>
      <c r="B52" s="762"/>
      <c r="C52" s="762"/>
      <c r="D52" s="762"/>
      <c r="E52" s="761"/>
      <c r="F52" s="761"/>
      <c r="G52" s="860"/>
      <c r="H52" s="762"/>
      <c r="I52" s="762"/>
      <c r="J52" s="761"/>
      <c r="K52" s="762"/>
      <c r="L52" s="762"/>
      <c r="M52" s="762"/>
      <c r="N52" s="762"/>
      <c r="O52" s="762"/>
      <c r="P52" s="762"/>
      <c r="Q52" s="762"/>
      <c r="R52" s="761"/>
      <c r="S52" s="558"/>
      <c r="T52" s="558"/>
      <c r="U52" s="558"/>
      <c r="V52" s="558"/>
      <c r="W52" s="558"/>
      <c r="X52" s="558"/>
      <c r="Y52" s="558"/>
      <c r="Z52" s="558"/>
      <c r="AA52" s="558"/>
      <c r="AB52" s="558"/>
      <c r="AC52" s="558"/>
      <c r="AD52" s="558"/>
      <c r="AE52" s="558"/>
      <c r="AF52" s="558"/>
      <c r="AG52" s="558"/>
      <c r="AH52" s="558"/>
      <c r="AI52" s="558"/>
      <c r="AJ52" s="558"/>
      <c r="AK52" s="558"/>
      <c r="AL52" s="558"/>
      <c r="AM52" s="558"/>
      <c r="AN52" s="558"/>
      <c r="AO52" s="558"/>
      <c r="AP52" s="558"/>
      <c r="AQ52" s="558"/>
      <c r="AR52" s="558"/>
    </row>
    <row r="53" spans="1:44" ht="15.75" customHeight="1" x14ac:dyDescent="0.2">
      <c r="A53" s="761" t="s">
        <v>399</v>
      </c>
      <c r="B53" s="762"/>
      <c r="C53" s="762"/>
      <c r="D53" s="762"/>
      <c r="E53" s="761"/>
      <c r="F53" s="761"/>
      <c r="G53" s="860"/>
      <c r="H53" s="762"/>
      <c r="I53" s="762"/>
      <c r="J53" s="761"/>
      <c r="K53" s="762"/>
      <c r="L53" s="762"/>
      <c r="M53" s="762"/>
      <c r="N53" s="762"/>
      <c r="O53" s="762"/>
      <c r="P53" s="762"/>
      <c r="Q53" s="762"/>
      <c r="R53" s="761"/>
      <c r="S53" s="558"/>
      <c r="T53" s="558"/>
      <c r="U53" s="558"/>
      <c r="V53" s="558"/>
      <c r="W53" s="558"/>
      <c r="X53" s="558"/>
      <c r="Y53" s="558"/>
      <c r="Z53" s="558"/>
      <c r="AA53" s="558"/>
      <c r="AB53" s="558"/>
      <c r="AC53" s="558"/>
      <c r="AD53" s="558"/>
      <c r="AE53" s="558"/>
      <c r="AF53" s="558"/>
      <c r="AG53" s="558"/>
      <c r="AH53" s="558"/>
      <c r="AI53" s="558"/>
      <c r="AJ53" s="558"/>
      <c r="AK53" s="558"/>
      <c r="AL53" s="558"/>
      <c r="AM53" s="558"/>
      <c r="AN53" s="558"/>
      <c r="AO53" s="558"/>
      <c r="AP53" s="558"/>
      <c r="AQ53" s="558"/>
      <c r="AR53" s="558"/>
    </row>
    <row r="54" spans="1:44" ht="15.75" customHeight="1" x14ac:dyDescent="0.2">
      <c r="A54" s="761" t="s">
        <v>400</v>
      </c>
      <c r="B54" s="762"/>
      <c r="C54" s="762"/>
      <c r="D54" s="762"/>
      <c r="E54" s="761"/>
      <c r="F54" s="761"/>
      <c r="G54" s="860"/>
      <c r="H54" s="762"/>
      <c r="I54" s="762"/>
      <c r="J54" s="761"/>
      <c r="K54" s="762"/>
      <c r="L54" s="762"/>
      <c r="M54" s="762"/>
      <c r="N54" s="762"/>
      <c r="O54" s="762"/>
      <c r="P54" s="762"/>
      <c r="Q54" s="762"/>
      <c r="R54" s="761"/>
      <c r="S54" s="558"/>
      <c r="T54" s="558"/>
      <c r="U54" s="558"/>
      <c r="V54" s="558"/>
      <c r="W54" s="558"/>
      <c r="X54" s="558"/>
      <c r="Y54" s="558"/>
      <c r="Z54" s="558"/>
      <c r="AA54" s="558"/>
      <c r="AB54" s="558"/>
      <c r="AC54" s="558"/>
      <c r="AD54" s="558"/>
      <c r="AE54" s="558"/>
      <c r="AF54" s="558"/>
      <c r="AG54" s="558"/>
      <c r="AH54" s="558"/>
      <c r="AI54" s="558"/>
      <c r="AJ54" s="558"/>
      <c r="AK54" s="558"/>
      <c r="AL54" s="558"/>
      <c r="AM54" s="558"/>
      <c r="AN54" s="558"/>
      <c r="AO54" s="558"/>
      <c r="AP54" s="558"/>
      <c r="AQ54" s="558"/>
      <c r="AR54" s="558"/>
    </row>
    <row r="55" spans="1:44" ht="15.75" customHeight="1" x14ac:dyDescent="0.2">
      <c r="A55" s="761" t="s">
        <v>401</v>
      </c>
      <c r="B55" s="762"/>
      <c r="C55" s="762"/>
      <c r="D55" s="762"/>
      <c r="E55" s="761"/>
      <c r="F55" s="761"/>
      <c r="G55" s="860"/>
      <c r="H55" s="762"/>
      <c r="I55" s="762"/>
      <c r="J55" s="761"/>
      <c r="K55" s="762"/>
      <c r="L55" s="762"/>
      <c r="M55" s="762"/>
      <c r="N55" s="762"/>
      <c r="O55" s="762"/>
      <c r="P55" s="762"/>
      <c r="Q55" s="762"/>
      <c r="R55" s="761"/>
      <c r="S55" s="558"/>
      <c r="T55" s="558"/>
      <c r="U55" s="558"/>
      <c r="V55" s="558"/>
      <c r="W55" s="558"/>
      <c r="X55" s="558"/>
      <c r="Y55" s="558"/>
      <c r="Z55" s="558"/>
      <c r="AA55" s="558"/>
      <c r="AB55" s="558"/>
      <c r="AC55" s="558"/>
      <c r="AD55" s="558"/>
      <c r="AE55" s="558"/>
      <c r="AF55" s="558"/>
      <c r="AG55" s="558"/>
      <c r="AH55" s="558"/>
      <c r="AI55" s="558"/>
      <c r="AJ55" s="558"/>
      <c r="AK55" s="558"/>
      <c r="AL55" s="558"/>
      <c r="AM55" s="558"/>
      <c r="AN55" s="558"/>
      <c r="AO55" s="558"/>
      <c r="AP55" s="558"/>
      <c r="AQ55" s="558"/>
      <c r="AR55" s="558"/>
    </row>
    <row r="56" spans="1:44" ht="15.75" customHeight="1" x14ac:dyDescent="0.2">
      <c r="A56" s="761" t="s">
        <v>562</v>
      </c>
      <c r="B56" s="762"/>
      <c r="C56" s="762"/>
      <c r="D56" s="762"/>
      <c r="E56" s="761"/>
      <c r="F56" s="761"/>
      <c r="G56" s="860"/>
      <c r="H56" s="762"/>
      <c r="I56" s="762"/>
      <c r="J56" s="761"/>
      <c r="K56" s="762"/>
      <c r="L56" s="762"/>
      <c r="M56" s="762"/>
      <c r="N56" s="762"/>
      <c r="O56" s="762"/>
      <c r="P56" s="762"/>
      <c r="Q56" s="762"/>
      <c r="R56" s="761"/>
      <c r="S56" s="558"/>
      <c r="T56" s="558"/>
      <c r="U56" s="558"/>
      <c r="V56" s="558"/>
      <c r="W56" s="558"/>
      <c r="X56" s="558"/>
      <c r="Y56" s="558"/>
      <c r="Z56" s="558"/>
      <c r="AA56" s="558"/>
      <c r="AB56" s="558"/>
      <c r="AC56" s="558"/>
      <c r="AD56" s="558"/>
      <c r="AE56" s="558"/>
      <c r="AF56" s="558"/>
      <c r="AG56" s="558"/>
      <c r="AH56" s="558"/>
      <c r="AI56" s="558"/>
      <c r="AJ56" s="558"/>
      <c r="AK56" s="558"/>
      <c r="AL56" s="558"/>
      <c r="AM56" s="558"/>
      <c r="AN56" s="558"/>
      <c r="AO56" s="558"/>
      <c r="AP56" s="558"/>
      <c r="AQ56" s="558"/>
      <c r="AR56" s="558"/>
    </row>
    <row r="57" spans="1:44" x14ac:dyDescent="0.2">
      <c r="A57" s="294" t="s">
        <v>22</v>
      </c>
      <c r="B57" s="294" t="s">
        <v>563</v>
      </c>
      <c r="C57" s="294" t="s">
        <v>564</v>
      </c>
      <c r="D57" s="759" t="s">
        <v>34</v>
      </c>
      <c r="E57" s="294" t="str">
        <f>Commodities!$D$19</f>
        <v>RESELC</v>
      </c>
      <c r="F57" s="294" t="str">
        <f>Commodities!$D$12</f>
        <v>RLT</v>
      </c>
      <c r="G57" s="303" t="str">
        <f t="shared" ref="G57" si="4">IF(RIGHT(B57,2)="TI",2010,CONCATENATE(20,RIGHT(B57,2)))</f>
        <v>2010</v>
      </c>
      <c r="H57" s="760">
        <f>Lighting!P24</f>
        <v>1.1643835616438356</v>
      </c>
      <c r="I57" s="760">
        <f>Lighting!N24</f>
        <v>0.29993805021193348</v>
      </c>
      <c r="J57" s="760">
        <f>Lighting!M24</f>
        <v>0.45981100563498845</v>
      </c>
      <c r="K57" s="294">
        <v>1</v>
      </c>
      <c r="L57" s="294">
        <v>1</v>
      </c>
      <c r="M57" s="294">
        <v>1</v>
      </c>
      <c r="N57" s="294">
        <v>1</v>
      </c>
      <c r="O57" s="294">
        <v>1</v>
      </c>
      <c r="P57" s="294">
        <v>1</v>
      </c>
      <c r="Q57" s="294"/>
      <c r="R57" s="294">
        <v>0.18</v>
      </c>
      <c r="S57" s="563">
        <f>Resid!U127</f>
        <v>1.7134104782946105</v>
      </c>
      <c r="T57" s="563">
        <f>Resid!V127</f>
        <v>0.89297638140637692</v>
      </c>
      <c r="U57" s="563">
        <f>Resid!W127</f>
        <v>1.3648428751266428</v>
      </c>
      <c r="V57" s="563">
        <f>Resid!X127</f>
        <v>0.30547396799182913</v>
      </c>
      <c r="W57" s="563">
        <f>Resid!Y127</f>
        <v>1.4402474737678481</v>
      </c>
      <c r="X57" s="563">
        <f>Resid!AJ127</f>
        <v>0.84413282349954788</v>
      </c>
      <c r="Y57" s="563">
        <f>Resid!AK127</f>
        <v>0.44374843990390456</v>
      </c>
      <c r="Z57" s="563">
        <f>Resid!AL127</f>
        <v>0.69827852530804035</v>
      </c>
      <c r="AA57" s="563">
        <f>Resid!AM127</f>
        <v>0.15154406653176405</v>
      </c>
      <c r="AB57" s="563">
        <f>Resid!AN127</f>
        <v>0.70327966136019104</v>
      </c>
      <c r="AC57" s="563">
        <f>Resid!AY127</f>
        <v>0.38615733706355665</v>
      </c>
      <c r="AD57" s="563">
        <f>Resid!AZ127</f>
        <v>0.20439546671287023</v>
      </c>
      <c r="AE57" s="563">
        <f>Resid!BA127</f>
        <v>0.30690279297718942</v>
      </c>
      <c r="AF57" s="563">
        <f>Resid!BB127</f>
        <v>6.5701556566568717E-2</v>
      </c>
      <c r="AG57" s="563">
        <f>Resid!BC127</f>
        <v>0.31275867434852178</v>
      </c>
      <c r="AH57" s="563"/>
      <c r="AI57" s="562">
        <v>0</v>
      </c>
      <c r="AJ57" s="562">
        <v>0</v>
      </c>
      <c r="AK57" s="562">
        <v>0</v>
      </c>
      <c r="AL57" s="562">
        <v>0</v>
      </c>
      <c r="AM57" s="562">
        <v>0</v>
      </c>
      <c r="AN57" s="562">
        <v>0</v>
      </c>
      <c r="AO57" s="562">
        <v>0</v>
      </c>
      <c r="AP57" s="562">
        <v>0</v>
      </c>
      <c r="AQ57" s="562">
        <v>0</v>
      </c>
      <c r="AR57" s="562">
        <v>0</v>
      </c>
    </row>
    <row r="58" spans="1:44" x14ac:dyDescent="0.2">
      <c r="A58" s="294" t="s">
        <v>22</v>
      </c>
      <c r="B58" s="294" t="s">
        <v>565</v>
      </c>
      <c r="C58" s="294" t="s">
        <v>566</v>
      </c>
      <c r="D58" s="759" t="s">
        <v>34</v>
      </c>
      <c r="E58" s="294" t="str">
        <f>Commodities!$D$19</f>
        <v>RESELC</v>
      </c>
      <c r="F58" s="294" t="str">
        <f>Commodities!$D$12</f>
        <v>RLT</v>
      </c>
      <c r="G58" s="303" t="str">
        <f>IF(RIGHT(B58,2)="TI",2010,CONCATENATE(20,RIGHT(B58,2)))</f>
        <v>2010</v>
      </c>
      <c r="H58" s="760">
        <f>Lighting!P30</f>
        <v>13.698630136986301</v>
      </c>
      <c r="I58" s="760">
        <f>Lighting!N30</f>
        <v>2.7903327701534422</v>
      </c>
      <c r="J58" s="760">
        <f>Lighting!M30</f>
        <v>2.1309861778393948</v>
      </c>
      <c r="K58" s="294">
        <v>1</v>
      </c>
      <c r="L58" s="294">
        <v>1</v>
      </c>
      <c r="M58" s="294">
        <v>1</v>
      </c>
      <c r="N58" s="294">
        <v>1</v>
      </c>
      <c r="O58" s="294">
        <v>1</v>
      </c>
      <c r="P58" s="294">
        <v>1</v>
      </c>
      <c r="Q58" s="294"/>
      <c r="R58" s="294">
        <v>0.28000000000000003</v>
      </c>
      <c r="S58" s="563">
        <f>Resid!U128</f>
        <v>0.33241970278325444</v>
      </c>
      <c r="T58" s="563">
        <f>Resid!V128</f>
        <v>0.17324683551312656</v>
      </c>
      <c r="U58" s="563">
        <f>Resid!W128</f>
        <v>0.2647939117000252</v>
      </c>
      <c r="V58" s="563">
        <f>Resid!X128</f>
        <v>5.9265171384346504E-2</v>
      </c>
      <c r="W58" s="563">
        <f>Resid!Y128</f>
        <v>0.27942319906947605</v>
      </c>
      <c r="X58" s="563">
        <f>Resid!AJ128</f>
        <v>0.87136291458017845</v>
      </c>
      <c r="Y58" s="563">
        <f>Resid!AK128</f>
        <v>0.45806290570725627</v>
      </c>
      <c r="Z58" s="563">
        <f>Resid!AL128</f>
        <v>0.72080363902765454</v>
      </c>
      <c r="AA58" s="563">
        <f>Resid!AM128</f>
        <v>0.15643258480698224</v>
      </c>
      <c r="AB58" s="563">
        <f>Resid!AN128</f>
        <v>0.7259661020492294</v>
      </c>
      <c r="AC58" s="563">
        <f>Resid!AY128</f>
        <v>0.30892586965084534</v>
      </c>
      <c r="AD58" s="563">
        <f>Resid!AZ128</f>
        <v>0.1635163733702962</v>
      </c>
      <c r="AE58" s="563">
        <f>Resid!BA128</f>
        <v>0.24552223438175153</v>
      </c>
      <c r="AF58" s="563">
        <f>Resid!BB128</f>
        <v>5.2561245253254972E-2</v>
      </c>
      <c r="AG58" s="563">
        <f>Resid!BC128</f>
        <v>0.25020693947881745</v>
      </c>
      <c r="AH58" s="563"/>
      <c r="AI58" s="562">
        <v>0</v>
      </c>
      <c r="AJ58" s="562">
        <v>0</v>
      </c>
      <c r="AK58" s="562">
        <v>0</v>
      </c>
      <c r="AL58" s="562">
        <v>0</v>
      </c>
      <c r="AM58" s="562">
        <v>0</v>
      </c>
      <c r="AN58" s="562">
        <v>0</v>
      </c>
      <c r="AO58" s="562">
        <v>0</v>
      </c>
      <c r="AP58" s="562">
        <v>0</v>
      </c>
      <c r="AQ58" s="562">
        <v>0</v>
      </c>
      <c r="AR58" s="562">
        <v>0</v>
      </c>
    </row>
    <row r="59" spans="1:44" x14ac:dyDescent="0.2">
      <c r="A59" s="294" t="s">
        <v>22</v>
      </c>
      <c r="B59" s="294" t="s">
        <v>567</v>
      </c>
      <c r="C59" s="294" t="s">
        <v>568</v>
      </c>
      <c r="D59" s="759" t="s">
        <v>34</v>
      </c>
      <c r="E59" s="294" t="str">
        <f>Commodities!$D$19</f>
        <v>RESELC</v>
      </c>
      <c r="F59" s="294" t="str">
        <f>Commodities!$D$12</f>
        <v>RLT</v>
      </c>
      <c r="G59" s="303">
        <v>2010</v>
      </c>
      <c r="H59" s="760">
        <f>Lighting!M51</f>
        <v>0.76793723125015889</v>
      </c>
      <c r="I59" s="760">
        <f>Lighting!N51</f>
        <v>0</v>
      </c>
      <c r="J59" s="760">
        <f>Lighting!M51</f>
        <v>0.76793723125015889</v>
      </c>
      <c r="K59" s="294">
        <v>1</v>
      </c>
      <c r="L59" s="294">
        <v>1</v>
      </c>
      <c r="M59" s="294">
        <v>1</v>
      </c>
      <c r="N59" s="294">
        <v>1</v>
      </c>
      <c r="O59" s="294">
        <v>1</v>
      </c>
      <c r="P59" s="294">
        <v>1</v>
      </c>
      <c r="Q59" s="294"/>
      <c r="R59" s="294">
        <v>0.18</v>
      </c>
      <c r="S59" s="563">
        <f>Resid!U129</f>
        <v>0.14205970204412582</v>
      </c>
      <c r="T59" s="563">
        <f>Resid!V129</f>
        <v>7.4037109193643827E-2</v>
      </c>
      <c r="U59" s="563">
        <f>Resid!W129</f>
        <v>0.1131597913247971</v>
      </c>
      <c r="V59" s="563">
        <f>Resid!X129</f>
        <v>2.53269963180968E-2</v>
      </c>
      <c r="W59" s="563">
        <f>Resid!Y129</f>
        <v>0.11941162353396413</v>
      </c>
      <c r="X59" s="563">
        <f>Resid!AJ129</f>
        <v>0.10892036432252231</v>
      </c>
      <c r="Y59" s="563">
        <f>Resid!AK129</f>
        <v>5.7257863213407034E-2</v>
      </c>
      <c r="Z59" s="563">
        <f>Resid!AL129</f>
        <v>9.0100454878456818E-2</v>
      </c>
      <c r="AA59" s="563">
        <f>Resid!AM129</f>
        <v>1.9554073100872781E-2</v>
      </c>
      <c r="AB59" s="563">
        <f>Resid!AN129</f>
        <v>9.0745762756153675E-2</v>
      </c>
      <c r="AC59" s="563">
        <f>Resid!AY129</f>
        <v>1.2099596561324775</v>
      </c>
      <c r="AD59" s="563">
        <f>Resid!AZ129</f>
        <v>0.64043912903366007</v>
      </c>
      <c r="AE59" s="563">
        <f>Resid!BA129</f>
        <v>0.96162875132852677</v>
      </c>
      <c r="AF59" s="563">
        <f>Resid!BB129</f>
        <v>0.20586487724191532</v>
      </c>
      <c r="AG59" s="563">
        <f>Resid!BC129</f>
        <v>0.97997717962536823</v>
      </c>
      <c r="AH59" s="563"/>
      <c r="AI59" s="562">
        <v>0</v>
      </c>
      <c r="AJ59" s="562">
        <v>0</v>
      </c>
      <c r="AK59" s="562">
        <v>0</v>
      </c>
      <c r="AL59" s="562">
        <v>0</v>
      </c>
      <c r="AM59" s="562">
        <v>0</v>
      </c>
      <c r="AN59" s="562">
        <v>0</v>
      </c>
      <c r="AO59" s="562">
        <v>0</v>
      </c>
      <c r="AP59" s="562">
        <v>0</v>
      </c>
      <c r="AQ59" s="562">
        <v>0</v>
      </c>
      <c r="AR59" s="562">
        <v>0</v>
      </c>
    </row>
    <row r="60" spans="1:44" x14ac:dyDescent="0.2">
      <c r="A60" s="294" t="s">
        <v>22</v>
      </c>
      <c r="B60" s="294" t="s">
        <v>569</v>
      </c>
      <c r="C60" s="294" t="s">
        <v>570</v>
      </c>
      <c r="D60" s="759" t="s">
        <v>34</v>
      </c>
      <c r="E60" s="294" t="str">
        <f>Commodities!$D$19</f>
        <v>RESELC</v>
      </c>
      <c r="F60" s="294" t="str">
        <f>Commodities!$D$12</f>
        <v>RLT</v>
      </c>
      <c r="G60" s="303" t="str">
        <f>IF(RIGHT(B60,2)="TI",2010,CONCATENATE(20,RIGHT(B60,2)))</f>
        <v>2010</v>
      </c>
      <c r="H60" s="760">
        <f>Lighting!P84</f>
        <v>32.876712328767127</v>
      </c>
      <c r="I60" s="760">
        <f>Lighting!N84</f>
        <v>5.2625494264457418</v>
      </c>
      <c r="J60" s="760">
        <f>Lighting!M84</f>
        <v>2.0009706521081223</v>
      </c>
      <c r="K60" s="294">
        <v>1</v>
      </c>
      <c r="L60" s="294">
        <v>1</v>
      </c>
      <c r="M60" s="294">
        <v>1</v>
      </c>
      <c r="N60" s="294">
        <v>1</v>
      </c>
      <c r="O60" s="294">
        <v>1</v>
      </c>
      <c r="P60" s="294">
        <v>1</v>
      </c>
      <c r="Q60" s="294"/>
      <c r="R60" s="294">
        <v>0.18</v>
      </c>
      <c r="S60" s="563">
        <f>Resid!U130</f>
        <v>0.51141492735885286</v>
      </c>
      <c r="T60" s="563">
        <f>Resid!V130</f>
        <v>0.26653359309711772</v>
      </c>
      <c r="U60" s="563">
        <f>Resid!W130</f>
        <v>0.4073752487692695</v>
      </c>
      <c r="V60" s="563">
        <f>Resid!X130</f>
        <v>9.1177186745148464E-2</v>
      </c>
      <c r="W60" s="563">
        <f>Resid!Y130</f>
        <v>0.42988184472227081</v>
      </c>
      <c r="X60" s="563">
        <f>Resid!AJ130</f>
        <v>0.44929650283040445</v>
      </c>
      <c r="Y60" s="563">
        <f>Resid!AK130</f>
        <v>0.23618868575530402</v>
      </c>
      <c r="Z60" s="563">
        <f>Resid!AL130</f>
        <v>0.37166437637363436</v>
      </c>
      <c r="AA60" s="563">
        <f>Resid!AM130</f>
        <v>8.0660551541100217E-2</v>
      </c>
      <c r="AB60" s="563">
        <f>Resid!AN130</f>
        <v>0.37432627136913388</v>
      </c>
      <c r="AC60" s="563">
        <f>Resid!AY130</f>
        <v>0.33466969212174913</v>
      </c>
      <c r="AD60" s="563">
        <f>Resid!AZ130</f>
        <v>0.17714273781782089</v>
      </c>
      <c r="AE60" s="563">
        <f>Resid!BA130</f>
        <v>0.26598242058023086</v>
      </c>
      <c r="AF60" s="563">
        <f>Resid!BB130</f>
        <v>5.6941349024359558E-2</v>
      </c>
      <c r="AG60" s="563">
        <f>Resid!BC130</f>
        <v>0.27105751776871889</v>
      </c>
      <c r="AH60" s="563"/>
      <c r="AI60" s="562">
        <v>0</v>
      </c>
      <c r="AJ60" s="562">
        <v>0</v>
      </c>
      <c r="AK60" s="562">
        <v>0</v>
      </c>
      <c r="AL60" s="562">
        <v>0</v>
      </c>
      <c r="AM60" s="562">
        <v>0</v>
      </c>
      <c r="AN60" s="562">
        <v>0</v>
      </c>
      <c r="AO60" s="562">
        <v>0</v>
      </c>
      <c r="AP60" s="562">
        <v>0</v>
      </c>
      <c r="AQ60" s="562">
        <v>0</v>
      </c>
      <c r="AR60" s="562">
        <v>0</v>
      </c>
    </row>
    <row r="61" spans="1:44" x14ac:dyDescent="0.2">
      <c r="A61" s="294" t="s">
        <v>22</v>
      </c>
      <c r="B61" s="294" t="s">
        <v>571</v>
      </c>
      <c r="C61" s="294" t="s">
        <v>572</v>
      </c>
      <c r="D61" s="759" t="s">
        <v>34</v>
      </c>
      <c r="E61" s="294" t="str">
        <f>Commodities!$D$19</f>
        <v>RESELC</v>
      </c>
      <c r="F61" s="294" t="str">
        <f>Commodities!$D$12</f>
        <v>RLT</v>
      </c>
      <c r="G61" s="303">
        <v>2010</v>
      </c>
      <c r="H61" s="760">
        <f>Lighting!M96</f>
        <v>1.3102451539881022</v>
      </c>
      <c r="I61" s="760">
        <f>Lighting!N96</f>
        <v>0</v>
      </c>
      <c r="J61" s="760">
        <f>Lighting!M96</f>
        <v>1.3102451539881022</v>
      </c>
      <c r="K61" s="294">
        <v>1</v>
      </c>
      <c r="L61" s="294">
        <v>1</v>
      </c>
      <c r="M61" s="294">
        <v>1</v>
      </c>
      <c r="N61" s="294">
        <v>1</v>
      </c>
      <c r="O61" s="294">
        <v>1</v>
      </c>
      <c r="P61" s="294">
        <v>1</v>
      </c>
      <c r="Q61" s="294"/>
      <c r="R61" s="294">
        <v>0.18</v>
      </c>
      <c r="S61" s="563">
        <f>Resid!U131</f>
        <v>0.14188923040167287</v>
      </c>
      <c r="T61" s="563">
        <f>Resid!V131</f>
        <v>7.3948264662611451E-2</v>
      </c>
      <c r="U61" s="563">
        <f>Resid!W131</f>
        <v>0.11302399957520733</v>
      </c>
      <c r="V61" s="563">
        <f>Resid!X131</f>
        <v>2.5296603922515079E-2</v>
      </c>
      <c r="W61" s="563">
        <f>Resid!Y131</f>
        <v>0.11926832958572336</v>
      </c>
      <c r="X61" s="563">
        <f>Resid!AJ131</f>
        <v>0.44929650283040445</v>
      </c>
      <c r="Y61" s="563">
        <f>Resid!AK131</f>
        <v>0.23618868575530402</v>
      </c>
      <c r="Z61" s="563">
        <f>Resid!AL131</f>
        <v>0.37166437637363436</v>
      </c>
      <c r="AA61" s="563">
        <f>Resid!AM131</f>
        <v>8.0660551541100217E-2</v>
      </c>
      <c r="AB61" s="563">
        <f>Resid!AN131</f>
        <v>0.37432627136913388</v>
      </c>
      <c r="AC61" s="563">
        <f>Resid!AY131</f>
        <v>0.33466969212174913</v>
      </c>
      <c r="AD61" s="563">
        <f>Resid!AZ131</f>
        <v>0.17714273781782089</v>
      </c>
      <c r="AE61" s="563">
        <f>Resid!BA131</f>
        <v>0.26598242058023086</v>
      </c>
      <c r="AF61" s="563">
        <f>Resid!BB131</f>
        <v>5.6941349024359558E-2</v>
      </c>
      <c r="AG61" s="563">
        <f>Resid!BC131</f>
        <v>0.27105751776871889</v>
      </c>
      <c r="AH61" s="563"/>
      <c r="AI61" s="562">
        <v>0</v>
      </c>
      <c r="AJ61" s="562">
        <v>0</v>
      </c>
      <c r="AK61" s="562">
        <v>0</v>
      </c>
      <c r="AL61" s="562">
        <v>0</v>
      </c>
      <c r="AM61" s="562">
        <v>0</v>
      </c>
      <c r="AN61" s="562">
        <v>0</v>
      </c>
      <c r="AO61" s="562">
        <v>0</v>
      </c>
      <c r="AP61" s="562">
        <v>0</v>
      </c>
      <c r="AQ61" s="562">
        <v>0</v>
      </c>
      <c r="AR61" s="562">
        <v>0</v>
      </c>
    </row>
    <row r="62" spans="1:44" ht="15.75" customHeight="1" x14ac:dyDescent="0.2">
      <c r="A62" s="761" t="s">
        <v>573</v>
      </c>
      <c r="B62" s="762"/>
      <c r="C62" s="762"/>
      <c r="D62" s="762"/>
      <c r="E62" s="761"/>
      <c r="F62" s="761"/>
      <c r="G62" s="860"/>
      <c r="H62" s="762"/>
      <c r="I62" s="762"/>
      <c r="J62" s="761"/>
      <c r="K62" s="762"/>
      <c r="L62" s="762"/>
      <c r="M62" s="762" t="s">
        <v>514</v>
      </c>
      <c r="N62" s="762" t="s">
        <v>514</v>
      </c>
      <c r="O62" s="762" t="s">
        <v>514</v>
      </c>
      <c r="P62" s="762" t="s">
        <v>514</v>
      </c>
      <c r="Q62" s="762"/>
      <c r="R62" s="761"/>
      <c r="S62" s="558"/>
      <c r="T62" s="558"/>
      <c r="U62" s="558"/>
      <c r="V62" s="558"/>
      <c r="W62" s="558"/>
      <c r="X62" s="558"/>
      <c r="Y62" s="558"/>
      <c r="Z62" s="558"/>
      <c r="AA62" s="558"/>
      <c r="AB62" s="558"/>
      <c r="AC62" s="558"/>
      <c r="AD62" s="558"/>
      <c r="AE62" s="558"/>
      <c r="AF62" s="558"/>
      <c r="AG62" s="558"/>
      <c r="AH62" s="558"/>
      <c r="AI62" s="558"/>
      <c r="AJ62" s="558"/>
      <c r="AK62" s="558"/>
      <c r="AL62" s="558"/>
      <c r="AM62" s="558"/>
      <c r="AN62" s="558"/>
      <c r="AO62" s="558"/>
      <c r="AP62" s="558"/>
      <c r="AQ62" s="558"/>
      <c r="AR62" s="558"/>
    </row>
    <row r="63" spans="1:44" x14ac:dyDescent="0.2">
      <c r="A63" s="294" t="s">
        <v>22</v>
      </c>
      <c r="B63" s="294" t="s">
        <v>574</v>
      </c>
      <c r="C63" s="294" t="s">
        <v>575</v>
      </c>
      <c r="D63" s="759" t="s">
        <v>26</v>
      </c>
      <c r="E63" s="294" t="str">
        <f>Commodities!$D$19</f>
        <v>RESELC</v>
      </c>
      <c r="F63" s="294" t="s">
        <v>35</v>
      </c>
      <c r="G63" s="303">
        <v>2010</v>
      </c>
      <c r="H63" s="294">
        <v>45</v>
      </c>
      <c r="I63" s="760"/>
      <c r="J63" s="294">
        <v>1</v>
      </c>
      <c r="K63" s="294">
        <v>1</v>
      </c>
      <c r="L63" s="294">
        <v>1</v>
      </c>
      <c r="M63" s="294">
        <v>1</v>
      </c>
      <c r="N63" s="294">
        <v>1</v>
      </c>
      <c r="O63" s="294">
        <v>1</v>
      </c>
      <c r="P63" s="294">
        <v>1</v>
      </c>
      <c r="Q63" s="294"/>
      <c r="R63" s="294">
        <v>0.18</v>
      </c>
      <c r="S63" s="563">
        <f>Resid!U133</f>
        <v>8.9321044496064914</v>
      </c>
      <c r="T63" s="563">
        <f>Resid!V133</f>
        <v>4.6551357137095497</v>
      </c>
      <c r="U63" s="563">
        <f>Resid!W133</f>
        <v>7.1150020805675549</v>
      </c>
      <c r="V63" s="563">
        <f>Resid!X133</f>
        <v>1.5924528437893761</v>
      </c>
      <c r="W63" s="563">
        <f>Resid!Y133</f>
        <v>7.5080904616508031</v>
      </c>
      <c r="X63" s="563">
        <f>Resid!AJ133</f>
        <v>8.5605563789280001</v>
      </c>
      <c r="Y63" s="563">
        <f>Resid!AK133</f>
        <v>4.5001609131963249</v>
      </c>
      <c r="Z63" s="563">
        <f>Resid!AL133</f>
        <v>7.0814124479989289</v>
      </c>
      <c r="AA63" s="563">
        <f>Resid!AM133</f>
        <v>1.5368452562464261</v>
      </c>
      <c r="AB63" s="563">
        <f>Resid!AN133</f>
        <v>7.13213018570712</v>
      </c>
      <c r="AC63" s="563">
        <f>Resid!AY133</f>
        <v>8.0933054178451833</v>
      </c>
      <c r="AD63" s="563">
        <f>Resid!AZ133</f>
        <v>4.2838366110288382</v>
      </c>
      <c r="AE63" s="563">
        <f>Resid!BA133</f>
        <v>6.432243541044758</v>
      </c>
      <c r="AF63" s="563">
        <f>Resid!BB133</f>
        <v>1.3770106448438508</v>
      </c>
      <c r="AG63" s="563">
        <f>Resid!BC133</f>
        <v>6.554974438220647</v>
      </c>
      <c r="AH63" s="563"/>
      <c r="AI63" s="562">
        <v>0</v>
      </c>
      <c r="AJ63" s="562">
        <v>0</v>
      </c>
      <c r="AK63" s="562">
        <v>0</v>
      </c>
      <c r="AL63" s="562">
        <v>0</v>
      </c>
      <c r="AM63" s="562">
        <v>0</v>
      </c>
      <c r="AN63" s="562">
        <v>0</v>
      </c>
      <c r="AO63" s="562">
        <v>0</v>
      </c>
      <c r="AP63" s="562">
        <v>0</v>
      </c>
      <c r="AQ63" s="562">
        <v>0</v>
      </c>
      <c r="AR63" s="562">
        <v>0</v>
      </c>
    </row>
    <row r="64" spans="1:44" x14ac:dyDescent="0.2">
      <c r="A64" s="294" t="s">
        <v>22</v>
      </c>
      <c r="B64" s="294" t="s">
        <v>576</v>
      </c>
      <c r="C64" s="294" t="s">
        <v>577</v>
      </c>
      <c r="D64" s="759" t="s">
        <v>26</v>
      </c>
      <c r="E64" s="294" t="str">
        <f>Commodities!$D$20</f>
        <v>RESNGAEA</v>
      </c>
      <c r="F64" s="294" t="s">
        <v>37</v>
      </c>
      <c r="G64" s="303">
        <v>2010</v>
      </c>
      <c r="H64" s="294">
        <v>45</v>
      </c>
      <c r="I64" s="760"/>
      <c r="J64" s="294">
        <v>1</v>
      </c>
      <c r="K64" s="294">
        <v>1</v>
      </c>
      <c r="L64" s="294">
        <v>1</v>
      </c>
      <c r="M64" s="294">
        <v>1</v>
      </c>
      <c r="N64" s="294">
        <v>1</v>
      </c>
      <c r="O64" s="294">
        <v>1</v>
      </c>
      <c r="P64" s="294">
        <v>1</v>
      </c>
      <c r="Q64" s="294"/>
      <c r="R64" s="294">
        <v>0.18</v>
      </c>
      <c r="S64" s="563">
        <f>Resid!U134</f>
        <v>0.80672192434477796</v>
      </c>
      <c r="T64" s="563">
        <f>Resid!V134</f>
        <v>0.42043843779897982</v>
      </c>
      <c r="U64" s="563">
        <f>Resid!W134</f>
        <v>0.64260647673073601</v>
      </c>
      <c r="V64" s="563">
        <f>Resid!X134</f>
        <v>0.14382575011498847</v>
      </c>
      <c r="W64" s="563">
        <f>Resid!Y134</f>
        <v>0.67810908611177856</v>
      </c>
      <c r="X64" s="563">
        <f>Resid!AJ134</f>
        <v>0.90430383912931001</v>
      </c>
      <c r="Y64" s="563">
        <f>Resid!AK134</f>
        <v>0.47537947422673305</v>
      </c>
      <c r="Z64" s="563">
        <f>Resid!AL134</f>
        <v>0.74805283438661596</v>
      </c>
      <c r="AA64" s="563">
        <f>Resid!AM134</f>
        <v>0.16234634804722195</v>
      </c>
      <c r="AB64" s="563">
        <f>Resid!AN134</f>
        <v>0.75341045869177992</v>
      </c>
      <c r="AC64" s="563">
        <f>Resid!AY134</f>
        <v>0.93116313532971973</v>
      </c>
      <c r="AD64" s="563">
        <f>Resid!AZ134</f>
        <v>0.49287040634479085</v>
      </c>
      <c r="AE64" s="563">
        <f>Resid!BA134</f>
        <v>0.7400521484926551</v>
      </c>
      <c r="AF64" s="563">
        <f>Resid!BB134</f>
        <v>0.15842989770384652</v>
      </c>
      <c r="AG64" s="563">
        <f>Resid!BC134</f>
        <v>0.75417276808080846</v>
      </c>
      <c r="AH64" s="563"/>
      <c r="AI64" s="562">
        <v>0</v>
      </c>
      <c r="AJ64" s="562">
        <v>0</v>
      </c>
      <c r="AK64" s="562">
        <v>0</v>
      </c>
      <c r="AL64" s="562">
        <v>0</v>
      </c>
      <c r="AM64" s="562">
        <v>0</v>
      </c>
      <c r="AN64" s="562">
        <v>0</v>
      </c>
      <c r="AO64" s="562">
        <v>0</v>
      </c>
      <c r="AP64" s="562">
        <v>0</v>
      </c>
      <c r="AQ64" s="562">
        <v>0</v>
      </c>
      <c r="AR64" s="562">
        <v>0</v>
      </c>
    </row>
    <row r="65" spans="1:44" ht="15.75" customHeight="1" x14ac:dyDescent="0.2">
      <c r="A65" s="761" t="s">
        <v>578</v>
      </c>
      <c r="B65" s="762"/>
      <c r="C65" s="762"/>
      <c r="D65" s="762"/>
      <c r="E65" s="761"/>
      <c r="F65" s="761"/>
      <c r="G65" s="860"/>
      <c r="H65" s="762"/>
      <c r="I65" s="762"/>
      <c r="J65" s="761"/>
      <c r="K65" s="762"/>
      <c r="L65" s="762"/>
      <c r="M65" s="762"/>
      <c r="N65" s="762"/>
      <c r="O65" s="762"/>
      <c r="P65" s="762"/>
      <c r="Q65" s="762"/>
      <c r="R65" s="761"/>
      <c r="S65" s="558"/>
      <c r="T65" s="558"/>
      <c r="U65" s="558"/>
      <c r="V65" s="558"/>
      <c r="W65" s="558"/>
      <c r="X65" s="558"/>
      <c r="Y65" s="558"/>
      <c r="Z65" s="558"/>
      <c r="AA65" s="558"/>
      <c r="AB65" s="558"/>
      <c r="AC65" s="558"/>
      <c r="AD65" s="558"/>
      <c r="AE65" s="558"/>
      <c r="AF65" s="558"/>
      <c r="AG65" s="558"/>
      <c r="AH65" s="558"/>
      <c r="AI65" s="558"/>
      <c r="AJ65" s="558"/>
      <c r="AK65" s="558"/>
      <c r="AL65" s="558"/>
      <c r="AM65" s="558"/>
      <c r="AN65" s="558"/>
      <c r="AO65" s="558"/>
      <c r="AP65" s="558"/>
      <c r="AQ65" s="558"/>
      <c r="AR65" s="558"/>
    </row>
    <row r="66" spans="1:44" x14ac:dyDescent="0.2">
      <c r="A66" s="294" t="s">
        <v>22</v>
      </c>
      <c r="B66" s="294" t="s">
        <v>579</v>
      </c>
      <c r="C66" s="294" t="s">
        <v>580</v>
      </c>
      <c r="D66" s="759" t="s">
        <v>581</v>
      </c>
      <c r="E66" s="294" t="s">
        <v>82</v>
      </c>
      <c r="F66" s="294" t="s">
        <v>101</v>
      </c>
      <c r="G66" s="303">
        <v>2010</v>
      </c>
      <c r="H66" s="294">
        <v>55</v>
      </c>
      <c r="I66" s="294">
        <v>0</v>
      </c>
      <c r="J66" s="294">
        <v>1</v>
      </c>
      <c r="K66" s="294"/>
      <c r="L66" s="294">
        <v>1</v>
      </c>
      <c r="M66" s="294">
        <v>1</v>
      </c>
      <c r="N66" s="294">
        <v>1</v>
      </c>
      <c r="O66" s="294">
        <v>1</v>
      </c>
      <c r="P66" s="294">
        <v>1</v>
      </c>
      <c r="Q66" s="294">
        <v>0</v>
      </c>
      <c r="R66" s="294">
        <v>0.01</v>
      </c>
      <c r="S66" s="562"/>
      <c r="T66" s="562"/>
      <c r="U66" s="562"/>
      <c r="V66" s="562"/>
      <c r="W66" s="562"/>
      <c r="X66" s="562"/>
      <c r="Y66" s="562"/>
      <c r="Z66" s="562"/>
      <c r="AA66" s="562"/>
      <c r="AB66" s="562"/>
      <c r="AC66" s="562"/>
      <c r="AD66" s="562"/>
      <c r="AE66" s="562"/>
      <c r="AF66" s="562"/>
      <c r="AG66" s="562"/>
      <c r="AH66" s="562"/>
      <c r="AI66" s="562"/>
      <c r="AJ66" s="562"/>
      <c r="AK66" s="562"/>
      <c r="AL66" s="562"/>
      <c r="AM66" s="562"/>
      <c r="AN66" s="562"/>
      <c r="AO66" s="562"/>
      <c r="AP66" s="562"/>
      <c r="AQ66" s="562"/>
      <c r="AR66" s="562"/>
    </row>
    <row r="67" spans="1:44" x14ac:dyDescent="0.2">
      <c r="A67" s="294" t="s">
        <v>22</v>
      </c>
      <c r="B67" s="294" t="s">
        <v>582</v>
      </c>
      <c r="C67" s="294" t="s">
        <v>583</v>
      </c>
      <c r="D67" s="759" t="s">
        <v>581</v>
      </c>
      <c r="E67" s="294" t="s">
        <v>77</v>
      </c>
      <c r="F67" s="294" t="s">
        <v>101</v>
      </c>
      <c r="G67" s="303">
        <v>2010</v>
      </c>
      <c r="H67" s="294">
        <v>55</v>
      </c>
      <c r="I67" s="294">
        <v>0</v>
      </c>
      <c r="J67" s="294">
        <v>1</v>
      </c>
      <c r="K67" s="294"/>
      <c r="L67" s="294">
        <v>1</v>
      </c>
      <c r="M67" s="294">
        <v>1</v>
      </c>
      <c r="N67" s="294">
        <v>1</v>
      </c>
      <c r="O67" s="294">
        <v>1</v>
      </c>
      <c r="P67" s="294">
        <v>1</v>
      </c>
      <c r="Q67" s="294">
        <v>0</v>
      </c>
      <c r="R67" s="294">
        <v>0.01</v>
      </c>
      <c r="S67" s="562"/>
      <c r="T67" s="562"/>
      <c r="U67" s="562"/>
      <c r="V67" s="562"/>
      <c r="W67" s="562"/>
      <c r="X67" s="562"/>
      <c r="Y67" s="562"/>
      <c r="Z67" s="562"/>
      <c r="AA67" s="562"/>
      <c r="AB67" s="562"/>
      <c r="AC67" s="562"/>
      <c r="AD67" s="562"/>
      <c r="AE67" s="562"/>
      <c r="AF67" s="562"/>
      <c r="AG67" s="562"/>
      <c r="AH67" s="562"/>
      <c r="AI67" s="562"/>
      <c r="AJ67" s="562"/>
      <c r="AK67" s="562"/>
      <c r="AL67" s="562"/>
      <c r="AM67" s="562"/>
      <c r="AN67" s="562"/>
      <c r="AO67" s="562"/>
      <c r="AP67" s="562"/>
      <c r="AQ67" s="562"/>
      <c r="AR67" s="562"/>
    </row>
    <row r="68" spans="1:44" x14ac:dyDescent="0.2">
      <c r="A68" s="294" t="s">
        <v>22</v>
      </c>
      <c r="B68" s="294" t="s">
        <v>584</v>
      </c>
      <c r="C68" s="294" t="s">
        <v>585</v>
      </c>
      <c r="D68" s="759" t="s">
        <v>581</v>
      </c>
      <c r="E68" s="294" t="s">
        <v>84</v>
      </c>
      <c r="F68" s="294" t="s">
        <v>291</v>
      </c>
      <c r="G68" s="303">
        <v>2010</v>
      </c>
      <c r="H68" s="294">
        <v>55</v>
      </c>
      <c r="I68" s="294">
        <v>0</v>
      </c>
      <c r="J68" s="294">
        <v>1</v>
      </c>
      <c r="K68" s="294"/>
      <c r="L68" s="294">
        <v>1</v>
      </c>
      <c r="M68" s="294">
        <v>1</v>
      </c>
      <c r="N68" s="294">
        <v>1</v>
      </c>
      <c r="O68" s="294">
        <v>1</v>
      </c>
      <c r="P68" s="294">
        <v>1</v>
      </c>
      <c r="Q68" s="294">
        <v>0.1</v>
      </c>
      <c r="R68" s="294">
        <v>0.01</v>
      </c>
      <c r="S68" s="562"/>
      <c r="T68" s="562"/>
      <c r="U68" s="562"/>
      <c r="V68" s="562"/>
      <c r="W68" s="562"/>
      <c r="X68" s="562"/>
      <c r="Y68" s="562"/>
      <c r="Z68" s="562"/>
      <c r="AA68" s="562"/>
      <c r="AB68" s="562"/>
      <c r="AC68" s="562"/>
      <c r="AD68" s="562"/>
      <c r="AE68" s="562"/>
      <c r="AF68" s="562"/>
      <c r="AG68" s="562"/>
      <c r="AH68" s="562"/>
      <c r="AI68" s="562"/>
      <c r="AJ68" s="562"/>
      <c r="AK68" s="562"/>
      <c r="AL68" s="562"/>
      <c r="AM68" s="562"/>
      <c r="AN68" s="562"/>
      <c r="AO68" s="562"/>
      <c r="AP68" s="562"/>
      <c r="AQ68" s="562"/>
      <c r="AR68" s="562"/>
    </row>
    <row r="69" spans="1:44" x14ac:dyDescent="0.2">
      <c r="A69" s="294" t="s">
        <v>22</v>
      </c>
      <c r="B69" s="294" t="s">
        <v>586</v>
      </c>
      <c r="C69" s="294" t="s">
        <v>587</v>
      </c>
      <c r="D69" s="759" t="s">
        <v>581</v>
      </c>
      <c r="E69" s="294" t="s">
        <v>86</v>
      </c>
      <c r="F69" s="294" t="s">
        <v>291</v>
      </c>
      <c r="G69" s="303">
        <v>2010</v>
      </c>
      <c r="H69" s="294">
        <v>55</v>
      </c>
      <c r="I69" s="294">
        <v>0</v>
      </c>
      <c r="J69" s="294">
        <v>1</v>
      </c>
      <c r="K69" s="294"/>
      <c r="L69" s="294">
        <v>1</v>
      </c>
      <c r="M69" s="294">
        <v>1</v>
      </c>
      <c r="N69" s="294">
        <v>1</v>
      </c>
      <c r="O69" s="294">
        <v>1</v>
      </c>
      <c r="P69" s="294">
        <v>1</v>
      </c>
      <c r="Q69" s="294">
        <v>0.1</v>
      </c>
      <c r="R69" s="294">
        <v>0.01</v>
      </c>
      <c r="S69" s="562"/>
      <c r="T69" s="562"/>
      <c r="U69" s="562"/>
      <c r="V69" s="562"/>
      <c r="W69" s="562"/>
      <c r="X69" s="562"/>
      <c r="Y69" s="562"/>
      <c r="Z69" s="562"/>
      <c r="AA69" s="562"/>
      <c r="AB69" s="562"/>
      <c r="AC69" s="562"/>
      <c r="AD69" s="562"/>
      <c r="AE69" s="562"/>
      <c r="AF69" s="562"/>
      <c r="AG69" s="562"/>
      <c r="AH69" s="562"/>
      <c r="AI69" s="562"/>
      <c r="AJ69" s="562"/>
      <c r="AK69" s="562"/>
      <c r="AL69" s="562"/>
      <c r="AM69" s="562"/>
      <c r="AN69" s="562"/>
      <c r="AO69" s="562"/>
      <c r="AP69" s="562"/>
      <c r="AQ69" s="562"/>
      <c r="AR69" s="562"/>
    </row>
    <row r="70" spans="1:44" x14ac:dyDescent="0.2">
      <c r="A70" s="294" t="s">
        <v>22</v>
      </c>
      <c r="B70" s="294" t="s">
        <v>588</v>
      </c>
      <c r="C70" s="294" t="s">
        <v>589</v>
      </c>
      <c r="D70" s="759" t="s">
        <v>581</v>
      </c>
      <c r="E70" s="294" t="s">
        <v>88</v>
      </c>
      <c r="F70" s="294" t="s">
        <v>291</v>
      </c>
      <c r="G70" s="303">
        <v>2010</v>
      </c>
      <c r="H70" s="294">
        <v>55</v>
      </c>
      <c r="I70" s="294">
        <v>0</v>
      </c>
      <c r="J70" s="294">
        <v>1</v>
      </c>
      <c r="K70" s="294"/>
      <c r="L70" s="294">
        <v>1</v>
      </c>
      <c r="M70" s="294">
        <v>1</v>
      </c>
      <c r="N70" s="294">
        <v>1</v>
      </c>
      <c r="O70" s="294">
        <v>1</v>
      </c>
      <c r="P70" s="294">
        <v>1</v>
      </c>
      <c r="Q70" s="294">
        <v>0.15</v>
      </c>
      <c r="R70" s="294">
        <v>0.01</v>
      </c>
      <c r="S70" s="562"/>
      <c r="T70" s="562"/>
      <c r="U70" s="562"/>
      <c r="V70" s="562"/>
      <c r="W70" s="562"/>
      <c r="X70" s="562"/>
      <c r="Y70" s="562"/>
      <c r="Z70" s="562"/>
      <c r="AA70" s="562"/>
      <c r="AB70" s="562"/>
      <c r="AC70" s="562"/>
      <c r="AD70" s="562"/>
      <c r="AE70" s="562"/>
      <c r="AF70" s="562"/>
      <c r="AG70" s="562"/>
      <c r="AH70" s="562"/>
      <c r="AI70" s="562"/>
      <c r="AJ70" s="562"/>
      <c r="AK70" s="562"/>
      <c r="AL70" s="562"/>
      <c r="AM70" s="562"/>
      <c r="AN70" s="562"/>
      <c r="AO70" s="562"/>
      <c r="AP70" s="562"/>
      <c r="AQ70" s="562"/>
      <c r="AR70" s="562"/>
    </row>
    <row r="71" spans="1:44" x14ac:dyDescent="0.2">
      <c r="A71" s="294" t="s">
        <v>22</v>
      </c>
      <c r="B71" s="294" t="s">
        <v>590</v>
      </c>
      <c r="C71" s="294" t="s">
        <v>591</v>
      </c>
      <c r="D71" s="759" t="s">
        <v>581</v>
      </c>
      <c r="E71" s="294" t="s">
        <v>90</v>
      </c>
      <c r="F71" s="294" t="s">
        <v>291</v>
      </c>
      <c r="G71" s="303">
        <v>2010</v>
      </c>
      <c r="H71" s="294">
        <v>55</v>
      </c>
      <c r="I71" s="294">
        <v>0</v>
      </c>
      <c r="J71" s="294">
        <v>1</v>
      </c>
      <c r="K71" s="294"/>
      <c r="L71" s="294">
        <v>1</v>
      </c>
      <c r="M71" s="294">
        <v>1</v>
      </c>
      <c r="N71" s="294">
        <v>1</v>
      </c>
      <c r="O71" s="294">
        <v>1</v>
      </c>
      <c r="P71" s="294">
        <v>1</v>
      </c>
      <c r="Q71" s="294">
        <v>0.2</v>
      </c>
      <c r="R71" s="294">
        <v>0.01</v>
      </c>
      <c r="S71" s="562"/>
      <c r="T71" s="562"/>
      <c r="U71" s="562"/>
      <c r="V71" s="562"/>
      <c r="W71" s="562"/>
      <c r="X71" s="562"/>
      <c r="Y71" s="562"/>
      <c r="Z71" s="562"/>
      <c r="AA71" s="562"/>
      <c r="AB71" s="562"/>
      <c r="AC71" s="562"/>
      <c r="AD71" s="562"/>
      <c r="AE71" s="562"/>
      <c r="AF71" s="562"/>
      <c r="AG71" s="562"/>
      <c r="AH71" s="562"/>
      <c r="AI71" s="562"/>
      <c r="AJ71" s="562"/>
      <c r="AK71" s="562"/>
      <c r="AL71" s="562"/>
      <c r="AM71" s="562"/>
      <c r="AN71" s="562"/>
      <c r="AO71" s="562"/>
      <c r="AP71" s="562"/>
      <c r="AQ71" s="562"/>
      <c r="AR71" s="562"/>
    </row>
    <row r="72" spans="1:44" ht="15.75" customHeight="1" x14ac:dyDescent="0.2">
      <c r="A72" s="761" t="s">
        <v>592</v>
      </c>
      <c r="B72" s="762"/>
      <c r="C72" s="762"/>
      <c r="D72" s="762"/>
      <c r="E72" s="761"/>
      <c r="F72" s="761"/>
      <c r="G72" s="860"/>
      <c r="H72" s="762"/>
      <c r="I72" s="762"/>
      <c r="J72" s="761"/>
      <c r="K72" s="762"/>
      <c r="L72" s="762"/>
      <c r="M72" s="762"/>
      <c r="N72" s="762"/>
      <c r="O72" s="762"/>
      <c r="P72" s="762"/>
      <c r="Q72" s="762"/>
      <c r="R72" s="761"/>
      <c r="S72" s="558"/>
      <c r="T72" s="558"/>
      <c r="U72" s="558"/>
      <c r="V72" s="558"/>
      <c r="W72" s="558"/>
      <c r="X72" s="558"/>
      <c r="Y72" s="558"/>
      <c r="Z72" s="558"/>
      <c r="AA72" s="558"/>
      <c r="AB72" s="558"/>
      <c r="AC72" s="558"/>
      <c r="AD72" s="558"/>
      <c r="AE72" s="558"/>
      <c r="AF72" s="558"/>
      <c r="AG72" s="558"/>
      <c r="AH72" s="558"/>
      <c r="AI72" s="558"/>
      <c r="AJ72" s="558"/>
      <c r="AK72" s="558"/>
      <c r="AL72" s="558"/>
      <c r="AM72" s="558"/>
      <c r="AN72" s="558"/>
      <c r="AO72" s="558"/>
      <c r="AP72" s="558"/>
      <c r="AQ72" s="558"/>
      <c r="AR72" s="558"/>
    </row>
    <row r="79" spans="1:44" x14ac:dyDescent="0.2">
      <c r="A79" s="194" t="s">
        <v>371</v>
      </c>
      <c r="B79" s="192"/>
      <c r="C79" s="192"/>
      <c r="D79" s="192"/>
      <c r="E79" s="194"/>
      <c r="F79" s="194"/>
      <c r="G79" s="872"/>
      <c r="H79" s="873"/>
      <c r="I79" s="873"/>
      <c r="J79" s="874"/>
      <c r="K79" s="873"/>
      <c r="L79" s="873"/>
      <c r="M79" s="873"/>
      <c r="N79" s="873"/>
      <c r="O79" s="873"/>
      <c r="P79" s="873"/>
      <c r="Q79" s="873"/>
      <c r="R79" s="874"/>
      <c r="S79" s="875"/>
      <c r="T79" s="875"/>
      <c r="U79" s="875"/>
      <c r="V79" s="875"/>
      <c r="W79" s="875"/>
      <c r="X79" s="875"/>
      <c r="Y79" s="875"/>
      <c r="Z79" s="875"/>
      <c r="AA79" s="875"/>
      <c r="AB79" s="875"/>
      <c r="AC79" s="875"/>
      <c r="AD79" s="875"/>
      <c r="AE79" s="875"/>
      <c r="AF79" s="875"/>
      <c r="AG79" s="875"/>
      <c r="AH79" s="875"/>
      <c r="AI79" s="876"/>
      <c r="AJ79" s="876"/>
      <c r="AK79" s="876"/>
      <c r="AL79" s="876"/>
      <c r="AM79" s="876"/>
      <c r="AN79" s="876"/>
      <c r="AO79" s="876"/>
      <c r="AP79" s="876"/>
      <c r="AQ79" s="876"/>
      <c r="AR79" s="876"/>
    </row>
    <row r="80" spans="1:44" x14ac:dyDescent="0.2">
      <c r="A80" s="194" t="s">
        <v>507</v>
      </c>
      <c r="B80" s="192"/>
      <c r="C80" s="192"/>
      <c r="D80" s="192"/>
      <c r="E80" s="194"/>
      <c r="F80" s="194"/>
      <c r="G80" s="872"/>
      <c r="H80" s="873"/>
      <c r="I80" s="873"/>
      <c r="J80" s="874"/>
      <c r="K80" s="873"/>
      <c r="L80" s="873"/>
      <c r="M80" s="873"/>
      <c r="N80" s="873"/>
      <c r="O80" s="873"/>
      <c r="P80" s="873"/>
      <c r="Q80" s="873"/>
      <c r="R80" s="874"/>
      <c r="S80" s="875"/>
      <c r="T80" s="875"/>
      <c r="U80" s="875"/>
      <c r="V80" s="875"/>
      <c r="W80" s="875"/>
      <c r="X80" s="875"/>
      <c r="Y80" s="875"/>
      <c r="Z80" s="875"/>
      <c r="AA80" s="875"/>
      <c r="AB80" s="875"/>
      <c r="AC80" s="875"/>
      <c r="AD80" s="875"/>
      <c r="AE80" s="875"/>
      <c r="AF80" s="875"/>
      <c r="AG80" s="875"/>
      <c r="AH80" s="875"/>
      <c r="AI80" s="875"/>
      <c r="AJ80" s="875"/>
      <c r="AK80" s="875"/>
      <c r="AL80" s="875"/>
      <c r="AM80" s="875"/>
      <c r="AN80" s="875"/>
      <c r="AO80" s="875"/>
      <c r="AP80" s="875"/>
      <c r="AQ80" s="875"/>
      <c r="AR80" s="877"/>
    </row>
    <row r="81" spans="1:44" x14ac:dyDescent="0.2">
      <c r="A81" s="184" t="s">
        <v>27</v>
      </c>
      <c r="B81" s="184" t="s">
        <v>593</v>
      </c>
      <c r="C81" s="184" t="s">
        <v>594</v>
      </c>
      <c r="D81" s="183" t="s">
        <v>26</v>
      </c>
      <c r="E81" s="184" t="s">
        <v>47</v>
      </c>
      <c r="F81" s="184" t="str">
        <f>Commodities!$D$11</f>
        <v>RSH</v>
      </c>
      <c r="G81" s="204">
        <v>2010</v>
      </c>
      <c r="H81" s="203">
        <v>20</v>
      </c>
      <c r="I81" s="205"/>
      <c r="J81" s="205">
        <v>1</v>
      </c>
      <c r="K81" s="184">
        <v>1</v>
      </c>
      <c r="L81" s="184">
        <v>0.16</v>
      </c>
      <c r="M81" s="184">
        <v>0.16</v>
      </c>
      <c r="N81" s="184">
        <v>0.16</v>
      </c>
      <c r="O81" s="184">
        <v>0.16</v>
      </c>
      <c r="P81" s="184">
        <v>0.16</v>
      </c>
      <c r="Q81" s="184"/>
      <c r="R81" s="184">
        <v>0.18</v>
      </c>
      <c r="S81" s="878"/>
      <c r="T81" s="878"/>
      <c r="U81" s="878"/>
      <c r="V81" s="878"/>
      <c r="W81" s="878"/>
      <c r="X81" s="878"/>
      <c r="Y81" s="878"/>
      <c r="Z81" s="878"/>
      <c r="AA81" s="878"/>
      <c r="AB81" s="878"/>
      <c r="AC81" s="878"/>
      <c r="AD81" s="878"/>
      <c r="AE81" s="878"/>
      <c r="AF81" s="878"/>
      <c r="AG81" s="878"/>
      <c r="AH81" s="878"/>
      <c r="AI81" s="879">
        <v>0</v>
      </c>
      <c r="AJ81" s="879">
        <v>0</v>
      </c>
      <c r="AK81" s="879">
        <v>0</v>
      </c>
      <c r="AL81" s="879">
        <v>0</v>
      </c>
      <c r="AM81" s="879">
        <v>0</v>
      </c>
      <c r="AN81" s="879">
        <v>0</v>
      </c>
      <c r="AO81" s="879">
        <v>0</v>
      </c>
      <c r="AP81" s="879">
        <v>0</v>
      </c>
      <c r="AQ81" s="879">
        <v>0</v>
      </c>
      <c r="AR81" s="879">
        <v>0</v>
      </c>
    </row>
    <row r="82" spans="1:44" x14ac:dyDescent="0.2">
      <c r="A82" s="194" t="s">
        <v>375</v>
      </c>
      <c r="B82" s="192"/>
      <c r="C82" s="192"/>
      <c r="D82" s="192"/>
      <c r="E82" s="194"/>
      <c r="F82" s="194"/>
      <c r="G82" s="872"/>
      <c r="H82" s="873"/>
      <c r="I82" s="873"/>
      <c r="J82" s="874"/>
      <c r="K82" s="873"/>
      <c r="L82" s="873"/>
      <c r="M82" s="873"/>
      <c r="N82" s="873"/>
      <c r="O82" s="873"/>
      <c r="P82" s="873"/>
      <c r="Q82" s="873"/>
      <c r="R82" s="874"/>
      <c r="S82" s="875"/>
      <c r="T82" s="875"/>
      <c r="U82" s="875"/>
      <c r="V82" s="875"/>
      <c r="W82" s="875"/>
      <c r="X82" s="875"/>
      <c r="Y82" s="875"/>
      <c r="Z82" s="875"/>
      <c r="AA82" s="875"/>
      <c r="AB82" s="875"/>
      <c r="AC82" s="875"/>
      <c r="AD82" s="875"/>
      <c r="AE82" s="875"/>
      <c r="AF82" s="875"/>
      <c r="AG82" s="875"/>
      <c r="AH82" s="875"/>
      <c r="AI82" s="875"/>
      <c r="AJ82" s="875"/>
      <c r="AK82" s="875"/>
      <c r="AL82" s="875"/>
      <c r="AM82" s="875"/>
      <c r="AN82" s="875"/>
      <c r="AO82" s="875"/>
      <c r="AP82" s="875"/>
      <c r="AQ82" s="875"/>
      <c r="AR82" s="877"/>
    </row>
    <row r="83" spans="1:44" x14ac:dyDescent="0.2">
      <c r="A83" s="184" t="s">
        <v>27</v>
      </c>
      <c r="B83" s="184" t="s">
        <v>595</v>
      </c>
      <c r="C83" s="184" t="s">
        <v>596</v>
      </c>
      <c r="D83" s="183" t="s">
        <v>26</v>
      </c>
      <c r="E83" s="184" t="s">
        <v>47</v>
      </c>
      <c r="F83" s="184" t="str">
        <f>Commodities!$D$11</f>
        <v>RSH</v>
      </c>
      <c r="G83" s="204">
        <v>2020</v>
      </c>
      <c r="H83" s="203">
        <v>15</v>
      </c>
      <c r="I83" s="205">
        <v>2.7754069649761228</v>
      </c>
      <c r="J83" s="205">
        <v>0.98</v>
      </c>
      <c r="K83" s="184">
        <v>1</v>
      </c>
      <c r="L83" s="184">
        <v>0.16</v>
      </c>
      <c r="M83" s="184">
        <v>0.16</v>
      </c>
      <c r="N83" s="184">
        <v>0.16</v>
      </c>
      <c r="O83" s="184">
        <v>0.16</v>
      </c>
      <c r="P83" s="184">
        <v>0.16</v>
      </c>
      <c r="Q83" s="184"/>
      <c r="R83" s="184">
        <v>0.18</v>
      </c>
      <c r="S83" s="878"/>
      <c r="T83" s="878"/>
      <c r="U83" s="878"/>
      <c r="V83" s="878"/>
      <c r="W83" s="878"/>
      <c r="X83" s="878"/>
      <c r="Y83" s="878"/>
      <c r="Z83" s="878"/>
      <c r="AA83" s="878"/>
      <c r="AB83" s="878"/>
      <c r="AC83" s="878"/>
      <c r="AD83" s="878"/>
      <c r="AE83" s="878"/>
      <c r="AF83" s="878"/>
      <c r="AG83" s="878"/>
      <c r="AH83" s="878"/>
      <c r="AI83" s="879"/>
      <c r="AJ83" s="879"/>
      <c r="AK83" s="879"/>
      <c r="AL83" s="879"/>
      <c r="AM83" s="879"/>
      <c r="AN83" s="879"/>
      <c r="AO83" s="879"/>
      <c r="AP83" s="879"/>
      <c r="AQ83" s="879"/>
      <c r="AR83" s="879"/>
    </row>
    <row r="84" spans="1:44" x14ac:dyDescent="0.2">
      <c r="A84" s="184" t="s">
        <v>27</v>
      </c>
      <c r="B84" s="184" t="s">
        <v>597</v>
      </c>
      <c r="C84" s="184" t="s">
        <v>598</v>
      </c>
      <c r="D84" s="183" t="s">
        <v>26</v>
      </c>
      <c r="E84" s="184" t="s">
        <v>47</v>
      </c>
      <c r="F84" s="184" t="str">
        <f>Commodities!$D$11</f>
        <v>RSH</v>
      </c>
      <c r="G84" s="204">
        <v>2030</v>
      </c>
      <c r="H84" s="203">
        <v>15</v>
      </c>
      <c r="I84" s="205">
        <v>2.7754069649761228</v>
      </c>
      <c r="J84" s="205">
        <v>0.98</v>
      </c>
      <c r="K84" s="184">
        <v>1</v>
      </c>
      <c r="L84" s="184">
        <v>0.16</v>
      </c>
      <c r="M84" s="184">
        <v>0.16</v>
      </c>
      <c r="N84" s="184">
        <v>0.16</v>
      </c>
      <c r="O84" s="184">
        <v>0.16</v>
      </c>
      <c r="P84" s="184">
        <v>0.16</v>
      </c>
      <c r="Q84" s="184"/>
      <c r="R84" s="184">
        <v>0.18</v>
      </c>
      <c r="S84" s="878"/>
      <c r="T84" s="878"/>
      <c r="U84" s="878"/>
      <c r="V84" s="878"/>
      <c r="W84" s="878"/>
      <c r="X84" s="878"/>
      <c r="Y84" s="878"/>
      <c r="Z84" s="878"/>
      <c r="AA84" s="878"/>
      <c r="AB84" s="878"/>
      <c r="AC84" s="878"/>
      <c r="AD84" s="878"/>
      <c r="AE84" s="878"/>
      <c r="AF84" s="878"/>
      <c r="AG84" s="878"/>
      <c r="AH84" s="878"/>
      <c r="AI84" s="879"/>
      <c r="AJ84" s="879"/>
      <c r="AK84" s="879"/>
      <c r="AL84" s="879"/>
      <c r="AM84" s="879"/>
      <c r="AN84" s="879"/>
      <c r="AO84" s="879"/>
      <c r="AP84" s="879"/>
      <c r="AQ84" s="879"/>
      <c r="AR84" s="879"/>
    </row>
    <row r="85" spans="1:44" x14ac:dyDescent="0.2">
      <c r="A85" s="184" t="s">
        <v>27</v>
      </c>
      <c r="B85" s="184" t="s">
        <v>599</v>
      </c>
      <c r="C85" s="184" t="s">
        <v>600</v>
      </c>
      <c r="D85" s="183" t="s">
        <v>26</v>
      </c>
      <c r="E85" s="184" t="s">
        <v>47</v>
      </c>
      <c r="F85" s="184" t="str">
        <f>Commodities!$D$11</f>
        <v>RSH</v>
      </c>
      <c r="G85" s="204">
        <v>2030</v>
      </c>
      <c r="H85" s="203">
        <v>30</v>
      </c>
      <c r="I85" s="205">
        <v>3.2831033610083407</v>
      </c>
      <c r="J85" s="205">
        <v>0.98</v>
      </c>
      <c r="K85" s="184">
        <v>1</v>
      </c>
      <c r="L85" s="184">
        <v>0.16</v>
      </c>
      <c r="M85" s="184">
        <v>0.16</v>
      </c>
      <c r="N85" s="184">
        <v>0.16</v>
      </c>
      <c r="O85" s="184">
        <v>0.16</v>
      </c>
      <c r="P85" s="184">
        <v>0.16</v>
      </c>
      <c r="Q85" s="184"/>
      <c r="R85" s="184">
        <v>0.18</v>
      </c>
      <c r="S85" s="878"/>
      <c r="T85" s="878"/>
      <c r="U85" s="878"/>
      <c r="V85" s="878"/>
      <c r="W85" s="878"/>
      <c r="X85" s="878"/>
      <c r="Y85" s="878"/>
      <c r="Z85" s="878"/>
      <c r="AA85" s="878"/>
      <c r="AB85" s="878"/>
      <c r="AC85" s="878"/>
      <c r="AD85" s="878"/>
      <c r="AE85" s="878"/>
      <c r="AF85" s="878"/>
      <c r="AG85" s="878"/>
      <c r="AH85" s="878"/>
      <c r="AI85" s="879"/>
      <c r="AJ85" s="879"/>
      <c r="AK85" s="879"/>
      <c r="AL85" s="879"/>
      <c r="AM85" s="879"/>
      <c r="AN85" s="879"/>
      <c r="AO85" s="879"/>
      <c r="AP85" s="879"/>
      <c r="AQ85" s="879"/>
      <c r="AR85" s="879"/>
    </row>
    <row r="86" spans="1:44" x14ac:dyDescent="0.2">
      <c r="A86" s="184" t="s">
        <v>27</v>
      </c>
      <c r="B86" s="184" t="s">
        <v>601</v>
      </c>
      <c r="C86" s="184" t="s">
        <v>602</v>
      </c>
      <c r="D86" s="183" t="s">
        <v>26</v>
      </c>
      <c r="E86" s="184" t="s">
        <v>47</v>
      </c>
      <c r="F86" s="184" t="str">
        <f>Commodities!$D$11</f>
        <v>RSH</v>
      </c>
      <c r="G86" s="204">
        <v>2040</v>
      </c>
      <c r="H86" s="203">
        <v>15</v>
      </c>
      <c r="I86" s="205">
        <v>2.7754069649761228</v>
      </c>
      <c r="J86" s="205">
        <v>0.98</v>
      </c>
      <c r="K86" s="184">
        <v>1</v>
      </c>
      <c r="L86" s="184">
        <v>0.16</v>
      </c>
      <c r="M86" s="184">
        <v>0.16</v>
      </c>
      <c r="N86" s="184">
        <v>0.16</v>
      </c>
      <c r="O86" s="184">
        <v>0.16</v>
      </c>
      <c r="P86" s="184">
        <v>0.16</v>
      </c>
      <c r="Q86" s="184"/>
      <c r="R86" s="184">
        <v>0.18</v>
      </c>
      <c r="S86" s="878"/>
      <c r="T86" s="878"/>
      <c r="U86" s="878"/>
      <c r="V86" s="878"/>
      <c r="W86" s="878"/>
      <c r="X86" s="878"/>
      <c r="Y86" s="878"/>
      <c r="Z86" s="878"/>
      <c r="AA86" s="878"/>
      <c r="AB86" s="878"/>
      <c r="AC86" s="878"/>
      <c r="AD86" s="878"/>
      <c r="AE86" s="878"/>
      <c r="AF86" s="878"/>
      <c r="AG86" s="878"/>
      <c r="AH86" s="878"/>
      <c r="AI86" s="879"/>
      <c r="AJ86" s="879"/>
      <c r="AK86" s="879"/>
      <c r="AL86" s="879"/>
      <c r="AM86" s="879"/>
      <c r="AN86" s="879"/>
      <c r="AO86" s="879"/>
      <c r="AP86" s="879"/>
      <c r="AQ86" s="879"/>
      <c r="AR86" s="879"/>
    </row>
    <row r="87" spans="1:44" x14ac:dyDescent="0.2">
      <c r="A87" s="184" t="s">
        <v>27</v>
      </c>
      <c r="B87" s="184" t="s">
        <v>603</v>
      </c>
      <c r="C87" s="184" t="s">
        <v>604</v>
      </c>
      <c r="D87" s="183" t="s">
        <v>26</v>
      </c>
      <c r="E87" s="184" t="s">
        <v>47</v>
      </c>
      <c r="F87" s="184" t="str">
        <f>Commodities!$D$11</f>
        <v>RSH</v>
      </c>
      <c r="G87" s="204">
        <v>2040</v>
      </c>
      <c r="H87" s="203">
        <v>30</v>
      </c>
      <c r="I87" s="205">
        <v>3.2831033610083407</v>
      </c>
      <c r="J87" s="205">
        <v>0.98</v>
      </c>
      <c r="K87" s="184">
        <v>1</v>
      </c>
      <c r="L87" s="184">
        <v>0.16</v>
      </c>
      <c r="M87" s="184">
        <v>0.16</v>
      </c>
      <c r="N87" s="184">
        <v>0.16</v>
      </c>
      <c r="O87" s="184">
        <v>0.16</v>
      </c>
      <c r="P87" s="184">
        <v>0.16</v>
      </c>
      <c r="Q87" s="184"/>
      <c r="R87" s="184">
        <v>0.18</v>
      </c>
      <c r="S87" s="878"/>
      <c r="T87" s="878"/>
      <c r="U87" s="878"/>
      <c r="V87" s="878"/>
      <c r="W87" s="878"/>
      <c r="X87" s="878"/>
      <c r="Y87" s="878"/>
      <c r="Z87" s="878"/>
      <c r="AA87" s="878"/>
      <c r="AB87" s="878"/>
      <c r="AC87" s="878"/>
      <c r="AD87" s="878"/>
      <c r="AE87" s="878"/>
      <c r="AF87" s="878"/>
      <c r="AG87" s="878"/>
      <c r="AH87" s="878"/>
      <c r="AI87" s="879"/>
      <c r="AJ87" s="879"/>
      <c r="AK87" s="879"/>
      <c r="AL87" s="879"/>
      <c r="AM87" s="879"/>
      <c r="AN87" s="879"/>
      <c r="AO87" s="879"/>
      <c r="AP87" s="879"/>
      <c r="AQ87" s="879"/>
      <c r="AR87" s="879"/>
    </row>
    <row r="88" spans="1:44" x14ac:dyDescent="0.2">
      <c r="A88" s="184" t="s">
        <v>27</v>
      </c>
      <c r="B88" s="184" t="s">
        <v>605</v>
      </c>
      <c r="C88" s="184" t="s">
        <v>606</v>
      </c>
      <c r="D88" s="183" t="s">
        <v>26</v>
      </c>
      <c r="E88" s="184" t="s">
        <v>47</v>
      </c>
      <c r="F88" s="184" t="str">
        <f>Commodities!$D$11</f>
        <v>RSH</v>
      </c>
      <c r="G88" s="204">
        <v>2050</v>
      </c>
      <c r="H88" s="203">
        <v>30</v>
      </c>
      <c r="I88" s="205">
        <v>3.2831033610083407</v>
      </c>
      <c r="J88" s="205">
        <v>0.98</v>
      </c>
      <c r="K88" s="184">
        <v>1</v>
      </c>
      <c r="L88" s="184">
        <v>0.16</v>
      </c>
      <c r="M88" s="184">
        <v>0.16</v>
      </c>
      <c r="N88" s="184">
        <v>0.16</v>
      </c>
      <c r="O88" s="184">
        <v>0.16</v>
      </c>
      <c r="P88" s="184">
        <v>0.16</v>
      </c>
      <c r="Q88" s="184"/>
      <c r="R88" s="184">
        <v>0.18</v>
      </c>
      <c r="S88" s="878"/>
      <c r="T88" s="878"/>
      <c r="U88" s="878"/>
      <c r="V88" s="878"/>
      <c r="W88" s="878"/>
      <c r="X88" s="878"/>
      <c r="Y88" s="878"/>
      <c r="Z88" s="878"/>
      <c r="AA88" s="878"/>
      <c r="AB88" s="878"/>
      <c r="AC88" s="878"/>
      <c r="AD88" s="878"/>
      <c r="AE88" s="878"/>
      <c r="AF88" s="878"/>
      <c r="AG88" s="878"/>
      <c r="AH88" s="878"/>
      <c r="AI88" s="879"/>
      <c r="AJ88" s="879"/>
      <c r="AK88" s="879"/>
      <c r="AL88" s="879"/>
      <c r="AM88" s="879"/>
      <c r="AN88" s="879"/>
      <c r="AO88" s="879"/>
      <c r="AP88" s="879"/>
      <c r="AQ88" s="879"/>
      <c r="AR88" s="879"/>
    </row>
    <row r="89" spans="1:44" x14ac:dyDescent="0.2">
      <c r="A89" s="184" t="s">
        <v>27</v>
      </c>
      <c r="B89" s="184" t="s">
        <v>607</v>
      </c>
      <c r="C89" s="184" t="s">
        <v>608</v>
      </c>
      <c r="D89" s="183" t="s">
        <v>26</v>
      </c>
      <c r="E89" s="184" t="s">
        <v>47</v>
      </c>
      <c r="F89" s="184" t="str">
        <f>Commodities!$D$11</f>
        <v>RSH</v>
      </c>
      <c r="G89" s="204">
        <v>2020</v>
      </c>
      <c r="H89" s="203">
        <v>30</v>
      </c>
      <c r="I89" s="205">
        <v>2.2343255291851065</v>
      </c>
      <c r="J89" s="205">
        <v>0.98</v>
      </c>
      <c r="K89" s="184">
        <v>1</v>
      </c>
      <c r="L89" s="184">
        <v>0.16</v>
      </c>
      <c r="M89" s="184">
        <v>0.16</v>
      </c>
      <c r="N89" s="184">
        <v>0.16</v>
      </c>
      <c r="O89" s="184">
        <v>0.16</v>
      </c>
      <c r="P89" s="184">
        <v>0.16</v>
      </c>
      <c r="Q89" s="184"/>
      <c r="R89" s="184">
        <v>0.18</v>
      </c>
      <c r="S89" s="878"/>
      <c r="T89" s="878"/>
      <c r="U89" s="878"/>
      <c r="V89" s="878"/>
      <c r="W89" s="878"/>
      <c r="X89" s="878"/>
      <c r="Y89" s="878"/>
      <c r="Z89" s="878"/>
      <c r="AA89" s="878"/>
      <c r="AB89" s="878"/>
      <c r="AC89" s="878"/>
      <c r="AD89" s="878"/>
      <c r="AE89" s="878"/>
      <c r="AF89" s="878"/>
      <c r="AG89" s="878"/>
      <c r="AH89" s="878"/>
      <c r="AI89" s="879"/>
      <c r="AJ89" s="879"/>
      <c r="AK89" s="879"/>
      <c r="AL89" s="879"/>
      <c r="AM89" s="879"/>
      <c r="AN89" s="879"/>
      <c r="AO89" s="879"/>
      <c r="AP89" s="879"/>
      <c r="AQ89" s="879"/>
      <c r="AR89" s="879"/>
    </row>
    <row r="90" spans="1:44" x14ac:dyDescent="0.2">
      <c r="A90" s="184" t="s">
        <v>27</v>
      </c>
      <c r="B90" s="184" t="s">
        <v>597</v>
      </c>
      <c r="C90" s="184" t="s">
        <v>598</v>
      </c>
      <c r="D90" s="183" t="s">
        <v>26</v>
      </c>
      <c r="E90" s="184" t="s">
        <v>47</v>
      </c>
      <c r="F90" s="184" t="str">
        <f>Commodities!$D$11</f>
        <v>RSH</v>
      </c>
      <c r="G90" s="204">
        <v>2030</v>
      </c>
      <c r="H90" s="203">
        <v>15</v>
      </c>
      <c r="I90" s="205">
        <v>1.8619379409875887</v>
      </c>
      <c r="J90" s="205">
        <v>0.98</v>
      </c>
      <c r="K90" s="184">
        <v>1</v>
      </c>
      <c r="L90" s="184">
        <v>0.16</v>
      </c>
      <c r="M90" s="184">
        <v>0.16</v>
      </c>
      <c r="N90" s="184">
        <v>0.16</v>
      </c>
      <c r="O90" s="184">
        <v>0.16</v>
      </c>
      <c r="P90" s="184">
        <v>0.16</v>
      </c>
      <c r="Q90" s="184"/>
      <c r="R90" s="184">
        <v>0.18</v>
      </c>
      <c r="S90" s="878"/>
      <c r="T90" s="878"/>
      <c r="U90" s="878"/>
      <c r="V90" s="878"/>
      <c r="W90" s="878"/>
      <c r="X90" s="878"/>
      <c r="Y90" s="878"/>
      <c r="Z90" s="878"/>
      <c r="AA90" s="878"/>
      <c r="AB90" s="878"/>
      <c r="AC90" s="878"/>
      <c r="AD90" s="878"/>
      <c r="AE90" s="878"/>
      <c r="AF90" s="878"/>
      <c r="AG90" s="878"/>
      <c r="AH90" s="878"/>
      <c r="AI90" s="879"/>
      <c r="AJ90" s="879"/>
      <c r="AK90" s="879"/>
      <c r="AL90" s="879"/>
      <c r="AM90" s="879"/>
      <c r="AN90" s="879"/>
      <c r="AO90" s="879"/>
      <c r="AP90" s="879"/>
      <c r="AQ90" s="879"/>
      <c r="AR90" s="879"/>
    </row>
    <row r="91" spans="1:44" x14ac:dyDescent="0.2">
      <c r="A91" s="184" t="s">
        <v>27</v>
      </c>
      <c r="B91" s="184" t="s">
        <v>599</v>
      </c>
      <c r="C91" s="184" t="s">
        <v>600</v>
      </c>
      <c r="D91" s="183" t="s">
        <v>26</v>
      </c>
      <c r="E91" s="184" t="s">
        <v>47</v>
      </c>
      <c r="F91" s="184" t="str">
        <f>Commodities!$D$11</f>
        <v>RSH</v>
      </c>
      <c r="G91" s="204">
        <v>2030</v>
      </c>
      <c r="H91" s="203">
        <v>30</v>
      </c>
      <c r="I91" s="205">
        <v>2.2343255291851065</v>
      </c>
      <c r="J91" s="205">
        <v>0.98</v>
      </c>
      <c r="K91" s="184">
        <v>1</v>
      </c>
      <c r="L91" s="184">
        <v>0.16</v>
      </c>
      <c r="M91" s="184">
        <v>0.16</v>
      </c>
      <c r="N91" s="184">
        <v>0.16</v>
      </c>
      <c r="O91" s="184">
        <v>0.16</v>
      </c>
      <c r="P91" s="184">
        <v>0.16</v>
      </c>
      <c r="Q91" s="184"/>
      <c r="R91" s="184">
        <v>0.18</v>
      </c>
      <c r="S91" s="878"/>
      <c r="T91" s="878"/>
      <c r="U91" s="878"/>
      <c r="V91" s="878"/>
      <c r="W91" s="878"/>
      <c r="X91" s="878"/>
      <c r="Y91" s="878"/>
      <c r="Z91" s="878"/>
      <c r="AA91" s="878"/>
      <c r="AB91" s="878"/>
      <c r="AC91" s="878"/>
      <c r="AD91" s="878"/>
      <c r="AE91" s="878"/>
      <c r="AF91" s="878"/>
      <c r="AG91" s="878"/>
      <c r="AH91" s="878"/>
      <c r="AI91" s="879"/>
      <c r="AJ91" s="879"/>
      <c r="AK91" s="879"/>
      <c r="AL91" s="879"/>
      <c r="AM91" s="879"/>
      <c r="AN91" s="879"/>
      <c r="AO91" s="879"/>
      <c r="AP91" s="879"/>
      <c r="AQ91" s="879"/>
      <c r="AR91" s="879"/>
    </row>
    <row r="92" spans="1:44" x14ac:dyDescent="0.2">
      <c r="A92" s="184" t="s">
        <v>27</v>
      </c>
      <c r="B92" s="184" t="s">
        <v>601</v>
      </c>
      <c r="C92" s="184" t="s">
        <v>602</v>
      </c>
      <c r="D92" s="183" t="s">
        <v>26</v>
      </c>
      <c r="E92" s="184" t="s">
        <v>47</v>
      </c>
      <c r="F92" s="184" t="str">
        <f>Commodities!$D$11</f>
        <v>RSH</v>
      </c>
      <c r="G92" s="204">
        <v>2040</v>
      </c>
      <c r="H92" s="203">
        <v>15</v>
      </c>
      <c r="I92" s="205">
        <v>1.8619379409875887</v>
      </c>
      <c r="J92" s="205">
        <v>0.98</v>
      </c>
      <c r="K92" s="184">
        <v>1</v>
      </c>
      <c r="L92" s="184">
        <v>0.16</v>
      </c>
      <c r="M92" s="184">
        <v>0.16</v>
      </c>
      <c r="N92" s="184">
        <v>0.16</v>
      </c>
      <c r="O92" s="184">
        <v>0.16</v>
      </c>
      <c r="P92" s="184">
        <v>0.16</v>
      </c>
      <c r="Q92" s="184"/>
      <c r="R92" s="184">
        <v>0.18</v>
      </c>
      <c r="S92" s="878"/>
      <c r="T92" s="878"/>
      <c r="U92" s="878"/>
      <c r="V92" s="878"/>
      <c r="W92" s="878"/>
      <c r="X92" s="878"/>
      <c r="Y92" s="878"/>
      <c r="Z92" s="878"/>
      <c r="AA92" s="878"/>
      <c r="AB92" s="878"/>
      <c r="AC92" s="878"/>
      <c r="AD92" s="878"/>
      <c r="AE92" s="878"/>
      <c r="AF92" s="878"/>
      <c r="AG92" s="878"/>
      <c r="AH92" s="878"/>
      <c r="AI92" s="879"/>
      <c r="AJ92" s="879"/>
      <c r="AK92" s="879"/>
      <c r="AL92" s="879"/>
      <c r="AM92" s="879"/>
      <c r="AN92" s="879"/>
      <c r="AO92" s="879"/>
      <c r="AP92" s="879"/>
      <c r="AQ92" s="879"/>
      <c r="AR92" s="879"/>
    </row>
    <row r="93" spans="1:44" x14ac:dyDescent="0.2">
      <c r="A93" s="184" t="s">
        <v>27</v>
      </c>
      <c r="B93" s="184" t="s">
        <v>603</v>
      </c>
      <c r="C93" s="184" t="s">
        <v>604</v>
      </c>
      <c r="D93" s="183" t="s">
        <v>26</v>
      </c>
      <c r="E93" s="184" t="s">
        <v>47</v>
      </c>
      <c r="F93" s="184" t="str">
        <f>Commodities!$D$11</f>
        <v>RSH</v>
      </c>
      <c r="G93" s="204">
        <v>2040</v>
      </c>
      <c r="H93" s="203">
        <v>30</v>
      </c>
      <c r="I93" s="205">
        <v>2.2343255291851065</v>
      </c>
      <c r="J93" s="205">
        <v>0.98</v>
      </c>
      <c r="K93" s="184">
        <v>1</v>
      </c>
      <c r="L93" s="184">
        <v>0.16</v>
      </c>
      <c r="M93" s="184">
        <v>0.16</v>
      </c>
      <c r="N93" s="184">
        <v>0.16</v>
      </c>
      <c r="O93" s="184">
        <v>0.16</v>
      </c>
      <c r="P93" s="184">
        <v>0.16</v>
      </c>
      <c r="Q93" s="184"/>
      <c r="R93" s="184">
        <v>0.18</v>
      </c>
      <c r="S93" s="878"/>
      <c r="T93" s="878"/>
      <c r="U93" s="878"/>
      <c r="V93" s="878"/>
      <c r="W93" s="878"/>
      <c r="X93" s="878"/>
      <c r="Y93" s="878"/>
      <c r="Z93" s="878"/>
      <c r="AA93" s="878"/>
      <c r="AB93" s="878"/>
      <c r="AC93" s="878"/>
      <c r="AD93" s="878"/>
      <c r="AE93" s="878"/>
      <c r="AF93" s="878"/>
      <c r="AG93" s="878"/>
      <c r="AH93" s="878"/>
      <c r="AI93" s="879"/>
      <c r="AJ93" s="879"/>
      <c r="AK93" s="879"/>
      <c r="AL93" s="879"/>
      <c r="AM93" s="879"/>
      <c r="AN93" s="879"/>
      <c r="AO93" s="879"/>
      <c r="AP93" s="879"/>
      <c r="AQ93" s="879"/>
      <c r="AR93" s="879"/>
    </row>
    <row r="94" spans="1:44" x14ac:dyDescent="0.2">
      <c r="A94" s="184" t="s">
        <v>27</v>
      </c>
      <c r="B94" s="184" t="s">
        <v>609</v>
      </c>
      <c r="C94" s="184" t="s">
        <v>610</v>
      </c>
      <c r="D94" s="183" t="s">
        <v>26</v>
      </c>
      <c r="E94" s="184" t="s">
        <v>47</v>
      </c>
      <c r="F94" s="184" t="str">
        <f>Commodities!$D$11</f>
        <v>RSH</v>
      </c>
      <c r="G94" s="204">
        <v>2050</v>
      </c>
      <c r="H94" s="203">
        <v>15</v>
      </c>
      <c r="I94" s="205">
        <v>1.8619379409875887</v>
      </c>
      <c r="J94" s="205">
        <v>0.98</v>
      </c>
      <c r="K94" s="184">
        <v>1</v>
      </c>
      <c r="L94" s="184">
        <v>0.16</v>
      </c>
      <c r="M94" s="184">
        <v>0.16</v>
      </c>
      <c r="N94" s="184">
        <v>0.16</v>
      </c>
      <c r="O94" s="184">
        <v>0.16</v>
      </c>
      <c r="P94" s="184">
        <v>0.16</v>
      </c>
      <c r="Q94" s="184"/>
      <c r="R94" s="184">
        <v>0.18</v>
      </c>
      <c r="S94" s="878"/>
      <c r="T94" s="878"/>
      <c r="U94" s="878"/>
      <c r="V94" s="878"/>
      <c r="W94" s="878"/>
      <c r="X94" s="878"/>
      <c r="Y94" s="878"/>
      <c r="Z94" s="878"/>
      <c r="AA94" s="878"/>
      <c r="AB94" s="878"/>
      <c r="AC94" s="878"/>
      <c r="AD94" s="878"/>
      <c r="AE94" s="878"/>
      <c r="AF94" s="878"/>
      <c r="AG94" s="878"/>
      <c r="AH94" s="878"/>
      <c r="AI94" s="879"/>
      <c r="AJ94" s="879"/>
      <c r="AK94" s="879"/>
      <c r="AL94" s="879"/>
      <c r="AM94" s="879"/>
      <c r="AN94" s="879"/>
      <c r="AO94" s="879"/>
      <c r="AP94" s="879"/>
      <c r="AQ94" s="879"/>
      <c r="AR94" s="879"/>
    </row>
    <row r="95" spans="1:44" x14ac:dyDescent="0.2">
      <c r="A95" s="184" t="s">
        <v>27</v>
      </c>
      <c r="B95" s="184" t="s">
        <v>605</v>
      </c>
      <c r="C95" s="184" t="s">
        <v>606</v>
      </c>
      <c r="D95" s="183" t="s">
        <v>26</v>
      </c>
      <c r="E95" s="184" t="s">
        <v>47</v>
      </c>
      <c r="F95" s="184" t="str">
        <f>Commodities!$D$11</f>
        <v>RSH</v>
      </c>
      <c r="G95" s="204">
        <v>2050</v>
      </c>
      <c r="H95" s="203">
        <v>30</v>
      </c>
      <c r="I95" s="205">
        <v>2.2343255291851065</v>
      </c>
      <c r="J95" s="205">
        <v>0.98</v>
      </c>
      <c r="K95" s="184">
        <v>1</v>
      </c>
      <c r="L95" s="184">
        <v>0.16</v>
      </c>
      <c r="M95" s="184">
        <v>0.16</v>
      </c>
      <c r="N95" s="184">
        <v>0.16</v>
      </c>
      <c r="O95" s="184">
        <v>0.16</v>
      </c>
      <c r="P95" s="184">
        <v>0.16</v>
      </c>
      <c r="Q95" s="184"/>
      <c r="R95" s="184">
        <v>0.18</v>
      </c>
      <c r="S95" s="878"/>
      <c r="T95" s="878"/>
      <c r="U95" s="878"/>
      <c r="V95" s="878"/>
      <c r="W95" s="878"/>
      <c r="X95" s="878"/>
      <c r="Y95" s="878"/>
      <c r="Z95" s="878"/>
      <c r="AA95" s="878"/>
      <c r="AB95" s="878"/>
      <c r="AC95" s="878"/>
      <c r="AD95" s="878"/>
      <c r="AE95" s="878"/>
      <c r="AF95" s="878"/>
      <c r="AG95" s="878"/>
      <c r="AH95" s="878"/>
      <c r="AI95" s="879"/>
      <c r="AJ95" s="879"/>
      <c r="AK95" s="879"/>
      <c r="AL95" s="879"/>
      <c r="AM95" s="879"/>
      <c r="AN95" s="879"/>
      <c r="AO95" s="879"/>
      <c r="AP95" s="879"/>
      <c r="AQ95" s="879"/>
      <c r="AR95" s="879"/>
    </row>
    <row r="96" spans="1:44" x14ac:dyDescent="0.2">
      <c r="A96" s="194" t="s">
        <v>510</v>
      </c>
      <c r="B96" s="192"/>
      <c r="C96" s="192"/>
      <c r="D96" s="192"/>
      <c r="E96" s="194"/>
      <c r="F96" s="194"/>
      <c r="G96" s="872"/>
      <c r="H96" s="873"/>
      <c r="I96" s="873"/>
      <c r="J96" s="874"/>
      <c r="K96" s="873"/>
      <c r="L96" s="873"/>
      <c r="M96" s="873"/>
      <c r="N96" s="873"/>
      <c r="O96" s="873"/>
      <c r="P96" s="873"/>
      <c r="Q96" s="873"/>
      <c r="R96" s="874"/>
      <c r="S96" s="875"/>
      <c r="T96" s="875"/>
      <c r="U96" s="875"/>
      <c r="V96" s="875"/>
      <c r="W96" s="875"/>
      <c r="X96" s="875"/>
      <c r="Y96" s="875"/>
      <c r="Z96" s="875"/>
      <c r="AA96" s="875"/>
      <c r="AB96" s="875"/>
      <c r="AC96" s="875"/>
      <c r="AD96" s="875"/>
      <c r="AE96" s="875"/>
      <c r="AF96" s="875"/>
      <c r="AG96" s="875"/>
      <c r="AH96" s="875"/>
      <c r="AI96" s="875"/>
      <c r="AJ96" s="875"/>
      <c r="AK96" s="875"/>
      <c r="AL96" s="875"/>
      <c r="AM96" s="875"/>
      <c r="AN96" s="875"/>
      <c r="AO96" s="875"/>
      <c r="AP96" s="875"/>
      <c r="AQ96" s="875"/>
      <c r="AR96" s="877"/>
    </row>
    <row r="97" spans="1:44" x14ac:dyDescent="0.2">
      <c r="A97" s="184" t="s">
        <v>27</v>
      </c>
      <c r="B97" s="184" t="s">
        <v>611</v>
      </c>
      <c r="C97" s="184" t="s">
        <v>612</v>
      </c>
      <c r="D97" s="183" t="s">
        <v>26</v>
      </c>
      <c r="E97" s="184" t="s">
        <v>47</v>
      </c>
      <c r="F97" s="184" t="str">
        <f>Commodities!$D$11</f>
        <v>RSH</v>
      </c>
      <c r="G97" s="204">
        <v>2010</v>
      </c>
      <c r="H97" s="203">
        <v>15</v>
      </c>
      <c r="I97" s="205">
        <v>4.0729892459103505</v>
      </c>
      <c r="J97" s="205">
        <v>2.2657000026278018</v>
      </c>
      <c r="K97" s="184">
        <v>1</v>
      </c>
      <c r="L97" s="184">
        <v>0.16</v>
      </c>
      <c r="M97" s="184">
        <v>0.16</v>
      </c>
      <c r="N97" s="184">
        <v>0.16</v>
      </c>
      <c r="O97" s="184">
        <v>0.16</v>
      </c>
      <c r="P97" s="184">
        <v>0.16</v>
      </c>
      <c r="Q97" s="184"/>
      <c r="R97" s="184">
        <v>0.18</v>
      </c>
      <c r="S97" s="878"/>
      <c r="T97" s="878"/>
      <c r="U97" s="878"/>
      <c r="V97" s="878"/>
      <c r="W97" s="878"/>
      <c r="X97" s="878"/>
      <c r="Y97" s="878"/>
      <c r="Z97" s="878"/>
      <c r="AA97" s="878"/>
      <c r="AB97" s="878"/>
      <c r="AC97" s="878"/>
      <c r="AD97" s="878"/>
      <c r="AE97" s="878"/>
      <c r="AF97" s="878"/>
      <c r="AG97" s="878"/>
      <c r="AH97" s="878"/>
      <c r="AI97" s="879"/>
      <c r="AJ97" s="879"/>
      <c r="AK97" s="879">
        <v>0</v>
      </c>
      <c r="AL97" s="879">
        <v>0</v>
      </c>
      <c r="AM97" s="879">
        <v>0</v>
      </c>
      <c r="AN97" s="879">
        <v>0</v>
      </c>
      <c r="AO97" s="879">
        <v>0</v>
      </c>
      <c r="AP97" s="879">
        <v>0</v>
      </c>
      <c r="AQ97" s="879">
        <v>0</v>
      </c>
      <c r="AR97" s="879">
        <v>0</v>
      </c>
    </row>
    <row r="98" spans="1:44" x14ac:dyDescent="0.2">
      <c r="A98" s="184" t="s">
        <v>27</v>
      </c>
      <c r="B98" s="184" t="s">
        <v>613</v>
      </c>
      <c r="C98" s="184" t="s">
        <v>614</v>
      </c>
      <c r="D98" s="183" t="s">
        <v>26</v>
      </c>
      <c r="E98" s="184" t="s">
        <v>47</v>
      </c>
      <c r="F98" s="184" t="str">
        <f>Commodities!$D$11</f>
        <v>RSH</v>
      </c>
      <c r="G98" s="204" t="s">
        <v>615</v>
      </c>
      <c r="H98" s="203">
        <v>15</v>
      </c>
      <c r="I98" s="205">
        <v>4.0729892459103505</v>
      </c>
      <c r="J98" s="205">
        <v>2.2599999999999998</v>
      </c>
      <c r="K98" s="184">
        <v>1</v>
      </c>
      <c r="L98" s="184">
        <v>0.16</v>
      </c>
      <c r="M98" s="184">
        <v>0.16</v>
      </c>
      <c r="N98" s="184">
        <v>0.16</v>
      </c>
      <c r="O98" s="184">
        <v>0.16</v>
      </c>
      <c r="P98" s="184">
        <v>0.16</v>
      </c>
      <c r="Q98" s="184"/>
      <c r="R98" s="184">
        <v>0.18</v>
      </c>
      <c r="S98" s="879"/>
      <c r="T98" s="879"/>
      <c r="U98" s="879"/>
      <c r="V98" s="879"/>
      <c r="W98" s="879"/>
      <c r="X98" s="879"/>
      <c r="Y98" s="879"/>
      <c r="Z98" s="879"/>
      <c r="AA98" s="879"/>
      <c r="AB98" s="879"/>
      <c r="AC98" s="879"/>
      <c r="AD98" s="879"/>
      <c r="AE98" s="879"/>
      <c r="AF98" s="879"/>
      <c r="AG98" s="879"/>
      <c r="AH98" s="879"/>
      <c r="AI98" s="879">
        <v>0</v>
      </c>
      <c r="AJ98" s="879"/>
      <c r="AK98" s="879"/>
      <c r="AL98" s="879"/>
      <c r="AM98" s="879"/>
      <c r="AN98" s="879"/>
      <c r="AO98" s="879"/>
      <c r="AP98" s="879"/>
      <c r="AQ98" s="879"/>
      <c r="AR98" s="879"/>
    </row>
    <row r="99" spans="1:44" x14ac:dyDescent="0.2">
      <c r="A99" s="184" t="s">
        <v>27</v>
      </c>
      <c r="B99" s="184" t="s">
        <v>616</v>
      </c>
      <c r="C99" s="184" t="s">
        <v>617</v>
      </c>
      <c r="D99" s="183" t="s">
        <v>26</v>
      </c>
      <c r="E99" s="184" t="s">
        <v>47</v>
      </c>
      <c r="F99" s="184" t="str">
        <f>Commodities!$D$11</f>
        <v>RSH</v>
      </c>
      <c r="G99" s="204" t="s">
        <v>615</v>
      </c>
      <c r="H99" s="203">
        <v>15</v>
      </c>
      <c r="I99" s="205">
        <v>6.1935761064381811</v>
      </c>
      <c r="J99" s="205">
        <v>2.7442857142857138</v>
      </c>
      <c r="K99" s="184">
        <v>1</v>
      </c>
      <c r="L99" s="184">
        <v>0.16</v>
      </c>
      <c r="M99" s="184">
        <v>0.16</v>
      </c>
      <c r="N99" s="184">
        <v>0.16</v>
      </c>
      <c r="O99" s="184">
        <v>0.16</v>
      </c>
      <c r="P99" s="184">
        <v>0.16</v>
      </c>
      <c r="Q99" s="184"/>
      <c r="R99" s="184">
        <v>0.18</v>
      </c>
      <c r="S99" s="879"/>
      <c r="T99" s="879"/>
      <c r="U99" s="879"/>
      <c r="V99" s="879"/>
      <c r="W99" s="879"/>
      <c r="X99" s="879"/>
      <c r="Y99" s="879"/>
      <c r="Z99" s="879"/>
      <c r="AA99" s="879"/>
      <c r="AB99" s="879"/>
      <c r="AC99" s="879"/>
      <c r="AD99" s="879"/>
      <c r="AE99" s="879"/>
      <c r="AF99" s="879"/>
      <c r="AG99" s="879"/>
      <c r="AH99" s="879"/>
      <c r="AI99" s="879"/>
      <c r="AJ99" s="879"/>
      <c r="AK99" s="879"/>
      <c r="AL99" s="879"/>
      <c r="AM99" s="879"/>
      <c r="AN99" s="879"/>
      <c r="AO99" s="879"/>
      <c r="AP99" s="879"/>
      <c r="AQ99" s="879"/>
      <c r="AR99" s="879"/>
    </row>
    <row r="100" spans="1:44" x14ac:dyDescent="0.2">
      <c r="A100" s="184" t="s">
        <v>27</v>
      </c>
      <c r="B100" s="184" t="s">
        <v>618</v>
      </c>
      <c r="C100" s="184" t="s">
        <v>619</v>
      </c>
      <c r="D100" s="183" t="s">
        <v>26</v>
      </c>
      <c r="E100" s="184" t="s">
        <v>47</v>
      </c>
      <c r="F100" s="184" t="str">
        <f>Commodities!$D$11</f>
        <v>RSH</v>
      </c>
      <c r="G100" s="204" t="s">
        <v>620</v>
      </c>
      <c r="H100" s="203">
        <v>9</v>
      </c>
      <c r="I100" s="205">
        <v>6.3763853185526491</v>
      </c>
      <c r="J100" s="205">
        <v>2.7765714285714282</v>
      </c>
      <c r="K100" s="184">
        <v>1</v>
      </c>
      <c r="L100" s="184">
        <v>0.16</v>
      </c>
      <c r="M100" s="184">
        <v>0.16</v>
      </c>
      <c r="N100" s="184">
        <v>0.16</v>
      </c>
      <c r="O100" s="184">
        <v>0.16</v>
      </c>
      <c r="P100" s="184">
        <v>0.16</v>
      </c>
      <c r="Q100" s="184"/>
      <c r="R100" s="184">
        <v>0.18</v>
      </c>
      <c r="S100" s="879"/>
      <c r="T100" s="879"/>
      <c r="U100" s="879"/>
      <c r="V100" s="879"/>
      <c r="W100" s="879"/>
      <c r="X100" s="879"/>
      <c r="Y100" s="879"/>
      <c r="Z100" s="879"/>
      <c r="AA100" s="879"/>
      <c r="AB100" s="879"/>
      <c r="AC100" s="879"/>
      <c r="AD100" s="879"/>
      <c r="AE100" s="879"/>
      <c r="AF100" s="879"/>
      <c r="AG100" s="879"/>
      <c r="AH100" s="879"/>
      <c r="AI100" s="879"/>
      <c r="AJ100" s="879"/>
      <c r="AK100" s="879"/>
      <c r="AL100" s="879"/>
      <c r="AM100" s="879"/>
      <c r="AN100" s="879"/>
      <c r="AO100" s="879"/>
      <c r="AP100" s="879"/>
      <c r="AQ100" s="879"/>
      <c r="AR100" s="879"/>
    </row>
    <row r="101" spans="1:44" x14ac:dyDescent="0.2">
      <c r="A101" s="184" t="s">
        <v>27</v>
      </c>
      <c r="B101" s="184" t="s">
        <v>621</v>
      </c>
      <c r="C101" s="184" t="s">
        <v>622</v>
      </c>
      <c r="D101" s="183" t="s">
        <v>26</v>
      </c>
      <c r="E101" s="184" t="s">
        <v>47</v>
      </c>
      <c r="F101" s="184" t="str">
        <f>Commodities!$D$11</f>
        <v>RSH</v>
      </c>
      <c r="G101" s="204" t="s">
        <v>620</v>
      </c>
      <c r="H101" s="203">
        <v>9</v>
      </c>
      <c r="I101" s="205">
        <v>7.8022971730454991</v>
      </c>
      <c r="J101" s="205">
        <v>2.9057142857142852</v>
      </c>
      <c r="K101" s="184">
        <v>1</v>
      </c>
      <c r="L101" s="184">
        <v>0.16</v>
      </c>
      <c r="M101" s="184">
        <v>0.16</v>
      </c>
      <c r="N101" s="184">
        <v>0.16</v>
      </c>
      <c r="O101" s="184">
        <v>0.16</v>
      </c>
      <c r="P101" s="184">
        <v>0.16</v>
      </c>
      <c r="Q101" s="184"/>
      <c r="R101" s="184">
        <v>0.18</v>
      </c>
      <c r="S101" s="879"/>
      <c r="T101" s="879"/>
      <c r="U101" s="879"/>
      <c r="V101" s="879"/>
      <c r="W101" s="879"/>
      <c r="X101" s="879"/>
      <c r="Y101" s="879"/>
      <c r="Z101" s="879"/>
      <c r="AA101" s="879"/>
      <c r="AB101" s="879"/>
      <c r="AC101" s="879"/>
      <c r="AD101" s="879"/>
      <c r="AE101" s="879"/>
      <c r="AF101" s="879"/>
      <c r="AG101" s="879"/>
      <c r="AH101" s="879"/>
      <c r="AI101" s="879"/>
      <c r="AJ101" s="879"/>
      <c r="AK101" s="879"/>
      <c r="AL101" s="879"/>
      <c r="AM101" s="879"/>
      <c r="AN101" s="879"/>
      <c r="AO101" s="879"/>
      <c r="AP101" s="879"/>
      <c r="AQ101" s="879"/>
      <c r="AR101" s="879"/>
    </row>
    <row r="102" spans="1:44" x14ac:dyDescent="0.2">
      <c r="A102" s="184" t="s">
        <v>27</v>
      </c>
      <c r="B102" s="184" t="s">
        <v>623</v>
      </c>
      <c r="C102" s="184" t="s">
        <v>624</v>
      </c>
      <c r="D102" s="183" t="s">
        <v>26</v>
      </c>
      <c r="E102" s="184" t="s">
        <v>47</v>
      </c>
      <c r="F102" s="184" t="str">
        <f>Commodities!$D$11</f>
        <v>RSH</v>
      </c>
      <c r="G102" s="204">
        <v>2030</v>
      </c>
      <c r="H102" s="203">
        <v>22</v>
      </c>
      <c r="I102" s="205">
        <v>6.5628507149094064</v>
      </c>
      <c r="J102" s="205">
        <v>2.8411428571428567</v>
      </c>
      <c r="K102" s="184">
        <v>1</v>
      </c>
      <c r="L102" s="184">
        <v>0.16</v>
      </c>
      <c r="M102" s="184">
        <v>0.16</v>
      </c>
      <c r="N102" s="184">
        <v>0.16</v>
      </c>
      <c r="O102" s="184">
        <v>0.16</v>
      </c>
      <c r="P102" s="184">
        <v>0.16</v>
      </c>
      <c r="Q102" s="184"/>
      <c r="R102" s="184">
        <v>0.18</v>
      </c>
      <c r="S102" s="879"/>
      <c r="T102" s="879"/>
      <c r="U102" s="879"/>
      <c r="V102" s="879"/>
      <c r="W102" s="879"/>
      <c r="X102" s="879"/>
      <c r="Y102" s="879"/>
      <c r="Z102" s="879"/>
      <c r="AA102" s="879"/>
      <c r="AB102" s="879"/>
      <c r="AC102" s="879"/>
      <c r="AD102" s="879"/>
      <c r="AE102" s="879"/>
      <c r="AF102" s="879"/>
      <c r="AG102" s="879"/>
      <c r="AH102" s="879"/>
      <c r="AI102" s="879"/>
      <c r="AJ102" s="879"/>
      <c r="AK102" s="879"/>
      <c r="AL102" s="879"/>
      <c r="AM102" s="879"/>
      <c r="AN102" s="879"/>
      <c r="AO102" s="879"/>
      <c r="AP102" s="879"/>
      <c r="AQ102" s="879"/>
      <c r="AR102" s="879"/>
    </row>
    <row r="103" spans="1:44" x14ac:dyDescent="0.2">
      <c r="A103" s="184" t="s">
        <v>27</v>
      </c>
      <c r="B103" s="184" t="s">
        <v>625</v>
      </c>
      <c r="C103" s="184" t="s">
        <v>626</v>
      </c>
      <c r="D103" s="183" t="s">
        <v>26</v>
      </c>
      <c r="E103" s="184" t="s">
        <v>47</v>
      </c>
      <c r="F103" s="184" t="str">
        <f>Commodities!$D$11</f>
        <v>RSH</v>
      </c>
      <c r="G103" s="204">
        <v>2030</v>
      </c>
      <c r="H103" s="203">
        <v>22</v>
      </c>
      <c r="I103" s="205">
        <v>7.8790770421335763</v>
      </c>
      <c r="J103" s="205">
        <v>2.9057142857142852</v>
      </c>
      <c r="K103" s="184">
        <v>1</v>
      </c>
      <c r="L103" s="184">
        <v>0.16</v>
      </c>
      <c r="M103" s="184">
        <v>0.16</v>
      </c>
      <c r="N103" s="184">
        <v>0.16</v>
      </c>
      <c r="O103" s="184">
        <v>0.16</v>
      </c>
      <c r="P103" s="184">
        <v>0.16</v>
      </c>
      <c r="Q103" s="184"/>
      <c r="R103" s="184">
        <v>0.18</v>
      </c>
      <c r="S103" s="879"/>
      <c r="T103" s="879"/>
      <c r="U103" s="879"/>
      <c r="V103" s="879"/>
      <c r="W103" s="879"/>
      <c r="X103" s="879"/>
      <c r="Y103" s="879"/>
      <c r="Z103" s="879"/>
      <c r="AA103" s="879"/>
      <c r="AB103" s="879"/>
      <c r="AC103" s="879"/>
      <c r="AD103" s="879"/>
      <c r="AE103" s="879"/>
      <c r="AF103" s="879"/>
      <c r="AG103" s="879"/>
      <c r="AH103" s="879"/>
      <c r="AI103" s="879"/>
      <c r="AJ103" s="879"/>
      <c r="AK103" s="879"/>
      <c r="AL103" s="879"/>
      <c r="AM103" s="879"/>
      <c r="AN103" s="879"/>
      <c r="AO103" s="879"/>
      <c r="AP103" s="879"/>
      <c r="AQ103" s="879"/>
      <c r="AR103" s="879"/>
    </row>
    <row r="104" spans="1:44" x14ac:dyDescent="0.2">
      <c r="A104" s="184" t="s">
        <v>27</v>
      </c>
      <c r="B104" s="184" t="s">
        <v>627</v>
      </c>
      <c r="C104" s="184" t="s">
        <v>628</v>
      </c>
      <c r="D104" s="183" t="s">
        <v>26</v>
      </c>
      <c r="E104" s="184" t="s">
        <v>47</v>
      </c>
      <c r="F104" s="184" t="str">
        <f>Commodities!$D$11</f>
        <v>RSH</v>
      </c>
      <c r="G104" s="204">
        <v>2040</v>
      </c>
      <c r="H104" s="203">
        <v>22</v>
      </c>
      <c r="I104" s="205">
        <v>6.5628507149094064</v>
      </c>
      <c r="J104" s="205">
        <v>2.8411428571428567</v>
      </c>
      <c r="K104" s="184">
        <v>1</v>
      </c>
      <c r="L104" s="184">
        <v>0.16</v>
      </c>
      <c r="M104" s="184">
        <v>0.16</v>
      </c>
      <c r="N104" s="184">
        <v>0.16</v>
      </c>
      <c r="O104" s="184">
        <v>0.16</v>
      </c>
      <c r="P104" s="184">
        <v>0.16</v>
      </c>
      <c r="Q104" s="184"/>
      <c r="R104" s="184">
        <v>0.18</v>
      </c>
      <c r="S104" s="879"/>
      <c r="T104" s="879"/>
      <c r="U104" s="879"/>
      <c r="V104" s="879"/>
      <c r="W104" s="879"/>
      <c r="X104" s="879"/>
      <c r="Y104" s="879"/>
      <c r="Z104" s="879"/>
      <c r="AA104" s="879"/>
      <c r="AB104" s="879"/>
      <c r="AC104" s="879"/>
      <c r="AD104" s="879"/>
      <c r="AE104" s="879"/>
      <c r="AF104" s="879"/>
      <c r="AG104" s="879"/>
      <c r="AH104" s="879"/>
      <c r="AI104" s="879"/>
      <c r="AJ104" s="879"/>
      <c r="AK104" s="879"/>
      <c r="AL104" s="879"/>
      <c r="AM104" s="879"/>
      <c r="AN104" s="879"/>
      <c r="AO104" s="879"/>
      <c r="AP104" s="879"/>
      <c r="AQ104" s="879"/>
      <c r="AR104" s="879"/>
    </row>
    <row r="105" spans="1:44" x14ac:dyDescent="0.2">
      <c r="A105" s="184" t="s">
        <v>27</v>
      </c>
      <c r="B105" s="184" t="s">
        <v>629</v>
      </c>
      <c r="C105" s="184" t="s">
        <v>630</v>
      </c>
      <c r="D105" s="183" t="s">
        <v>26</v>
      </c>
      <c r="E105" s="184" t="s">
        <v>47</v>
      </c>
      <c r="F105" s="184" t="str">
        <f>Commodities!$D$11</f>
        <v>RSH</v>
      </c>
      <c r="G105" s="204">
        <v>2040</v>
      </c>
      <c r="H105" s="203">
        <v>22</v>
      </c>
      <c r="I105" s="205">
        <v>7.8022971730454991</v>
      </c>
      <c r="J105" s="205">
        <v>2.9057142857142852</v>
      </c>
      <c r="K105" s="184">
        <v>1</v>
      </c>
      <c r="L105" s="184">
        <v>0.16</v>
      </c>
      <c r="M105" s="184">
        <v>0.16</v>
      </c>
      <c r="N105" s="184">
        <v>0.16</v>
      </c>
      <c r="O105" s="184">
        <v>0.16</v>
      </c>
      <c r="P105" s="184">
        <v>0.16</v>
      </c>
      <c r="Q105" s="184"/>
      <c r="R105" s="184">
        <v>0.18</v>
      </c>
      <c r="S105" s="879"/>
      <c r="T105" s="879"/>
      <c r="U105" s="879"/>
      <c r="V105" s="879"/>
      <c r="W105" s="879"/>
      <c r="X105" s="879"/>
      <c r="Y105" s="879"/>
      <c r="Z105" s="879"/>
      <c r="AA105" s="879"/>
      <c r="AB105" s="879"/>
      <c r="AC105" s="879"/>
      <c r="AD105" s="879"/>
      <c r="AE105" s="879"/>
      <c r="AF105" s="879"/>
      <c r="AG105" s="879"/>
      <c r="AH105" s="879"/>
      <c r="AI105" s="879"/>
      <c r="AJ105" s="879"/>
      <c r="AK105" s="879"/>
      <c r="AL105" s="879"/>
      <c r="AM105" s="879"/>
      <c r="AN105" s="879"/>
      <c r="AO105" s="879"/>
      <c r="AP105" s="879"/>
      <c r="AQ105" s="879"/>
      <c r="AR105" s="879"/>
    </row>
    <row r="106" spans="1:44" x14ac:dyDescent="0.2">
      <c r="A106" s="184" t="s">
        <v>27</v>
      </c>
      <c r="B106" s="184" t="s">
        <v>631</v>
      </c>
      <c r="C106" s="184" t="s">
        <v>632</v>
      </c>
      <c r="D106" s="183" t="s">
        <v>26</v>
      </c>
      <c r="E106" s="184" t="s">
        <v>47</v>
      </c>
      <c r="F106" s="184" t="str">
        <f>Commodities!$D$11</f>
        <v>RSH</v>
      </c>
      <c r="G106" s="204" t="s">
        <v>633</v>
      </c>
      <c r="H106" s="203">
        <v>15</v>
      </c>
      <c r="I106" s="205">
        <v>8.8097832710939876</v>
      </c>
      <c r="J106" s="205">
        <v>2.4</v>
      </c>
      <c r="K106" s="184">
        <v>1</v>
      </c>
      <c r="L106" s="184">
        <v>0.16</v>
      </c>
      <c r="M106" s="184">
        <v>0.16</v>
      </c>
      <c r="N106" s="184">
        <v>0.16</v>
      </c>
      <c r="O106" s="184">
        <v>0.16</v>
      </c>
      <c r="P106" s="184">
        <v>0.16</v>
      </c>
      <c r="Q106" s="184"/>
      <c r="R106" s="184">
        <v>0.18</v>
      </c>
      <c r="S106" s="879"/>
      <c r="T106" s="879"/>
      <c r="U106" s="879"/>
      <c r="V106" s="879"/>
      <c r="W106" s="879"/>
      <c r="X106" s="879"/>
      <c r="Y106" s="879"/>
      <c r="Z106" s="879"/>
      <c r="AA106" s="879"/>
      <c r="AB106" s="879"/>
      <c r="AC106" s="879"/>
      <c r="AD106" s="879"/>
      <c r="AE106" s="879"/>
      <c r="AF106" s="879"/>
      <c r="AG106" s="879"/>
      <c r="AH106" s="879"/>
      <c r="AI106" s="879">
        <v>0</v>
      </c>
      <c r="AJ106" s="879">
        <v>0</v>
      </c>
      <c r="AK106" s="879">
        <v>0</v>
      </c>
      <c r="AL106" s="879">
        <v>0</v>
      </c>
      <c r="AM106" s="879">
        <v>0</v>
      </c>
      <c r="AN106" s="879">
        <v>0</v>
      </c>
      <c r="AO106" s="879">
        <v>0</v>
      </c>
      <c r="AP106" s="879">
        <v>0</v>
      </c>
      <c r="AQ106" s="879">
        <v>0</v>
      </c>
      <c r="AR106" s="879">
        <v>0</v>
      </c>
    </row>
    <row r="107" spans="1:44" x14ac:dyDescent="0.2">
      <c r="A107" s="184" t="s">
        <v>27</v>
      </c>
      <c r="B107" s="184" t="s">
        <v>616</v>
      </c>
      <c r="C107" s="184" t="s">
        <v>617</v>
      </c>
      <c r="D107" s="183" t="s">
        <v>26</v>
      </c>
      <c r="E107" s="184" t="s">
        <v>47</v>
      </c>
      <c r="F107" s="184" t="str">
        <f>Commodities!$D$11</f>
        <v>RSH</v>
      </c>
      <c r="G107" s="204" t="s">
        <v>615</v>
      </c>
      <c r="H107" s="203">
        <v>15</v>
      </c>
      <c r="I107" s="205">
        <v>9.356126419688966</v>
      </c>
      <c r="J107" s="205">
        <v>2.58</v>
      </c>
      <c r="K107" s="184">
        <v>1</v>
      </c>
      <c r="L107" s="184">
        <v>0.16</v>
      </c>
      <c r="M107" s="184">
        <v>0.16</v>
      </c>
      <c r="N107" s="184">
        <v>0.16</v>
      </c>
      <c r="O107" s="184">
        <v>0.16</v>
      </c>
      <c r="P107" s="184">
        <v>0.16</v>
      </c>
      <c r="Q107" s="184"/>
      <c r="R107" s="184">
        <v>0.18</v>
      </c>
      <c r="S107" s="879"/>
      <c r="T107" s="879"/>
      <c r="U107" s="879"/>
      <c r="V107" s="879"/>
      <c r="W107" s="879"/>
      <c r="X107" s="879"/>
      <c r="Y107" s="879"/>
      <c r="Z107" s="879"/>
      <c r="AA107" s="879"/>
      <c r="AB107" s="879"/>
      <c r="AC107" s="879"/>
      <c r="AD107" s="879"/>
      <c r="AE107" s="879"/>
      <c r="AF107" s="879"/>
      <c r="AG107" s="879"/>
      <c r="AH107" s="879"/>
      <c r="AI107" s="879">
        <v>0</v>
      </c>
      <c r="AJ107" s="879"/>
      <c r="AK107" s="879"/>
      <c r="AL107" s="879"/>
      <c r="AM107" s="879"/>
      <c r="AN107" s="879"/>
      <c r="AO107" s="879"/>
      <c r="AP107" s="879"/>
      <c r="AQ107" s="879"/>
      <c r="AR107" s="879"/>
    </row>
    <row r="108" spans="1:44" x14ac:dyDescent="0.2">
      <c r="A108" s="184" t="s">
        <v>27</v>
      </c>
      <c r="B108" s="184" t="s">
        <v>634</v>
      </c>
      <c r="C108" s="184" t="s">
        <v>635</v>
      </c>
      <c r="D108" s="183" t="s">
        <v>26</v>
      </c>
      <c r="E108" s="184" t="s">
        <v>47</v>
      </c>
      <c r="F108" s="184" t="str">
        <f>Commodities!$D$11</f>
        <v>RSH</v>
      </c>
      <c r="G108" s="204" t="s">
        <v>633</v>
      </c>
      <c r="H108" s="203">
        <v>15</v>
      </c>
      <c r="I108" s="205">
        <v>9.7658837811351979</v>
      </c>
      <c r="J108" s="205">
        <v>2.4900000000000002</v>
      </c>
      <c r="K108" s="184">
        <v>1</v>
      </c>
      <c r="L108" s="184">
        <v>0.16</v>
      </c>
      <c r="M108" s="184">
        <v>0.16</v>
      </c>
      <c r="N108" s="184">
        <v>0.16</v>
      </c>
      <c r="O108" s="184">
        <v>0.16</v>
      </c>
      <c r="P108" s="184">
        <v>0.16</v>
      </c>
      <c r="Q108" s="184"/>
      <c r="R108" s="184">
        <v>0.18</v>
      </c>
      <c r="S108" s="879"/>
      <c r="T108" s="879"/>
      <c r="U108" s="879"/>
      <c r="V108" s="879"/>
      <c r="W108" s="879"/>
      <c r="X108" s="879"/>
      <c r="Y108" s="879"/>
      <c r="Z108" s="879"/>
      <c r="AA108" s="879"/>
      <c r="AB108" s="879"/>
      <c r="AC108" s="879"/>
      <c r="AD108" s="879"/>
      <c r="AE108" s="879"/>
      <c r="AF108" s="879"/>
      <c r="AG108" s="879"/>
      <c r="AH108" s="879"/>
      <c r="AI108" s="879">
        <v>0</v>
      </c>
      <c r="AJ108" s="879">
        <v>0</v>
      </c>
      <c r="AK108" s="879">
        <v>0</v>
      </c>
      <c r="AL108" s="879">
        <v>0</v>
      </c>
      <c r="AM108" s="879">
        <v>0</v>
      </c>
      <c r="AN108" s="879">
        <v>0</v>
      </c>
      <c r="AO108" s="879">
        <v>0</v>
      </c>
      <c r="AP108" s="879">
        <v>0</v>
      </c>
      <c r="AQ108" s="879">
        <v>0</v>
      </c>
      <c r="AR108" s="879">
        <v>0</v>
      </c>
    </row>
    <row r="109" spans="1:44" x14ac:dyDescent="0.2">
      <c r="A109" s="184" t="s">
        <v>27</v>
      </c>
      <c r="B109" s="184" t="s">
        <v>636</v>
      </c>
      <c r="C109" s="184" t="s">
        <v>637</v>
      </c>
      <c r="D109" s="183" t="s">
        <v>26</v>
      </c>
      <c r="E109" s="184" t="s">
        <v>47</v>
      </c>
      <c r="F109" s="184" t="str">
        <f>Commodities!$D$11</f>
        <v>RSH</v>
      </c>
      <c r="G109" s="204" t="s">
        <v>615</v>
      </c>
      <c r="H109" s="203">
        <v>15</v>
      </c>
      <c r="I109" s="205">
        <v>9.7658837811351979</v>
      </c>
      <c r="J109" s="205">
        <v>2.4900000000000002</v>
      </c>
      <c r="K109" s="184">
        <v>1</v>
      </c>
      <c r="L109" s="184">
        <v>0.16</v>
      </c>
      <c r="M109" s="184">
        <v>0.16</v>
      </c>
      <c r="N109" s="184">
        <v>0.16</v>
      </c>
      <c r="O109" s="184">
        <v>0.16</v>
      </c>
      <c r="P109" s="184">
        <v>0.16</v>
      </c>
      <c r="Q109" s="184"/>
      <c r="R109" s="184">
        <v>0.18</v>
      </c>
      <c r="S109" s="879"/>
      <c r="T109" s="879"/>
      <c r="U109" s="879"/>
      <c r="V109" s="879"/>
      <c r="W109" s="879"/>
      <c r="X109" s="879"/>
      <c r="Y109" s="879"/>
      <c r="Z109" s="879"/>
      <c r="AA109" s="879"/>
      <c r="AB109" s="879"/>
      <c r="AC109" s="879"/>
      <c r="AD109" s="879"/>
      <c r="AE109" s="879"/>
      <c r="AF109" s="879"/>
      <c r="AG109" s="879"/>
      <c r="AH109" s="879"/>
      <c r="AI109" s="879">
        <v>0</v>
      </c>
      <c r="AJ109" s="879"/>
      <c r="AK109" s="879"/>
      <c r="AL109" s="879">
        <v>0</v>
      </c>
      <c r="AM109" s="879">
        <v>0</v>
      </c>
      <c r="AN109" s="879">
        <v>0</v>
      </c>
      <c r="AO109" s="879">
        <v>0</v>
      </c>
      <c r="AP109" s="879">
        <v>0</v>
      </c>
      <c r="AQ109" s="879">
        <v>0</v>
      </c>
      <c r="AR109" s="879">
        <v>0</v>
      </c>
    </row>
    <row r="110" spans="1:44" x14ac:dyDescent="0.2">
      <c r="A110" s="184" t="s">
        <v>27</v>
      </c>
      <c r="B110" s="184" t="s">
        <v>618</v>
      </c>
      <c r="C110" s="184" t="s">
        <v>619</v>
      </c>
      <c r="D110" s="183" t="s">
        <v>26</v>
      </c>
      <c r="E110" s="184" t="s">
        <v>47</v>
      </c>
      <c r="F110" s="184" t="str">
        <f>Commodities!$D$11</f>
        <v>RSH</v>
      </c>
      <c r="G110" s="204" t="s">
        <v>620</v>
      </c>
      <c r="H110" s="203">
        <v>15</v>
      </c>
      <c r="I110" s="205">
        <v>10.2439340361558</v>
      </c>
      <c r="J110" s="205">
        <v>2.78</v>
      </c>
      <c r="K110" s="184">
        <v>1</v>
      </c>
      <c r="L110" s="184">
        <v>0.16</v>
      </c>
      <c r="M110" s="184">
        <v>0.16</v>
      </c>
      <c r="N110" s="184">
        <v>0.16</v>
      </c>
      <c r="O110" s="184">
        <v>0.16</v>
      </c>
      <c r="P110" s="184">
        <v>0.16</v>
      </c>
      <c r="Q110" s="184"/>
      <c r="R110" s="184">
        <v>0.18</v>
      </c>
      <c r="S110" s="879"/>
      <c r="T110" s="879"/>
      <c r="U110" s="879"/>
      <c r="V110" s="879"/>
      <c r="W110" s="879"/>
      <c r="X110" s="879"/>
      <c r="Y110" s="879"/>
      <c r="Z110" s="879"/>
      <c r="AA110" s="879"/>
      <c r="AB110" s="879"/>
      <c r="AC110" s="879"/>
      <c r="AD110" s="879"/>
      <c r="AE110" s="879"/>
      <c r="AF110" s="879"/>
      <c r="AG110" s="879"/>
      <c r="AH110" s="879"/>
      <c r="AI110" s="879">
        <v>0</v>
      </c>
      <c r="AJ110" s="879"/>
      <c r="AK110" s="879"/>
      <c r="AL110" s="879"/>
      <c r="AM110" s="879">
        <v>0</v>
      </c>
      <c r="AN110" s="879">
        <v>0</v>
      </c>
      <c r="AO110" s="879">
        <v>0</v>
      </c>
      <c r="AP110" s="879">
        <v>0</v>
      </c>
      <c r="AQ110" s="879">
        <v>0</v>
      </c>
      <c r="AR110" s="879">
        <v>0</v>
      </c>
    </row>
    <row r="111" spans="1:44" x14ac:dyDescent="0.2">
      <c r="A111" s="184" t="s">
        <v>27</v>
      </c>
      <c r="B111" s="184" t="s">
        <v>638</v>
      </c>
      <c r="C111" s="184" t="s">
        <v>639</v>
      </c>
      <c r="D111" s="183" t="s">
        <v>26</v>
      </c>
      <c r="E111" s="184" t="s">
        <v>47</v>
      </c>
      <c r="F111" s="184" t="str">
        <f>Commodities!$D$11</f>
        <v>RSH</v>
      </c>
      <c r="G111" s="204" t="s">
        <v>640</v>
      </c>
      <c r="H111" s="203">
        <v>15</v>
      </c>
      <c r="I111" s="205">
        <v>10.2439340361558</v>
      </c>
      <c r="J111" s="205">
        <v>2.8</v>
      </c>
      <c r="K111" s="184">
        <v>1</v>
      </c>
      <c r="L111" s="184">
        <v>0.16</v>
      </c>
      <c r="M111" s="184">
        <v>0.16</v>
      </c>
      <c r="N111" s="184">
        <v>0.16</v>
      </c>
      <c r="O111" s="184">
        <v>0.16</v>
      </c>
      <c r="P111" s="184">
        <v>0.16</v>
      </c>
      <c r="Q111" s="184"/>
      <c r="R111" s="184">
        <v>0.18</v>
      </c>
      <c r="S111" s="879"/>
      <c r="T111" s="879"/>
      <c r="U111" s="879"/>
      <c r="V111" s="879"/>
      <c r="W111" s="879"/>
      <c r="X111" s="879"/>
      <c r="Y111" s="879"/>
      <c r="Z111" s="879"/>
      <c r="AA111" s="879"/>
      <c r="AB111" s="879"/>
      <c r="AC111" s="879"/>
      <c r="AD111" s="879"/>
      <c r="AE111" s="879"/>
      <c r="AF111" s="879"/>
      <c r="AG111" s="879"/>
      <c r="AH111" s="879"/>
      <c r="AI111" s="879">
        <v>0</v>
      </c>
      <c r="AJ111" s="879"/>
      <c r="AK111" s="879"/>
      <c r="AL111" s="879"/>
      <c r="AM111" s="879"/>
      <c r="AN111" s="879"/>
      <c r="AO111" s="879"/>
      <c r="AP111" s="879"/>
      <c r="AQ111" s="879"/>
      <c r="AR111" s="879"/>
    </row>
    <row r="112" spans="1:44" x14ac:dyDescent="0.2">
      <c r="A112" s="184" t="s">
        <v>27</v>
      </c>
      <c r="B112" s="184" t="s">
        <v>641</v>
      </c>
      <c r="C112" s="184" t="s">
        <v>642</v>
      </c>
      <c r="D112" s="183" t="s">
        <v>26</v>
      </c>
      <c r="E112" s="184" t="s">
        <v>47</v>
      </c>
      <c r="F112" s="184" t="str">
        <f>Commodities!$D$11</f>
        <v>RSH</v>
      </c>
      <c r="G112" s="204" t="s">
        <v>633</v>
      </c>
      <c r="H112" s="203">
        <v>15</v>
      </c>
      <c r="I112" s="205">
        <v>10.926862971899521</v>
      </c>
      <c r="J112" s="205">
        <v>3.14</v>
      </c>
      <c r="K112" s="184">
        <v>1</v>
      </c>
      <c r="L112" s="184">
        <v>0.16</v>
      </c>
      <c r="M112" s="184">
        <v>0.16</v>
      </c>
      <c r="N112" s="184">
        <v>0.16</v>
      </c>
      <c r="O112" s="184">
        <v>0.16</v>
      </c>
      <c r="P112" s="184">
        <v>0.16</v>
      </c>
      <c r="Q112" s="184"/>
      <c r="R112" s="184">
        <v>0.18</v>
      </c>
      <c r="S112" s="879"/>
      <c r="T112" s="879"/>
      <c r="U112" s="879"/>
      <c r="V112" s="879"/>
      <c r="W112" s="879"/>
      <c r="X112" s="879"/>
      <c r="Y112" s="879"/>
      <c r="Z112" s="879"/>
      <c r="AA112" s="879"/>
      <c r="AB112" s="879"/>
      <c r="AC112" s="879"/>
      <c r="AD112" s="879"/>
      <c r="AE112" s="879"/>
      <c r="AF112" s="879"/>
      <c r="AG112" s="879"/>
      <c r="AH112" s="879"/>
      <c r="AI112" s="879">
        <v>0</v>
      </c>
      <c r="AJ112" s="879"/>
      <c r="AK112" s="879">
        <v>0</v>
      </c>
      <c r="AL112" s="879">
        <v>0</v>
      </c>
      <c r="AM112" s="879">
        <v>0</v>
      </c>
      <c r="AN112" s="879">
        <v>0</v>
      </c>
      <c r="AO112" s="879">
        <v>0</v>
      </c>
      <c r="AP112" s="879">
        <v>0</v>
      </c>
      <c r="AQ112" s="879">
        <v>0</v>
      </c>
      <c r="AR112" s="879">
        <v>0</v>
      </c>
    </row>
    <row r="113" spans="1:44" x14ac:dyDescent="0.2">
      <c r="A113" s="184" t="s">
        <v>27</v>
      </c>
      <c r="B113" s="184" t="s">
        <v>643</v>
      </c>
      <c r="C113" s="184" t="s">
        <v>644</v>
      </c>
      <c r="D113" s="183" t="s">
        <v>26</v>
      </c>
      <c r="E113" s="184" t="s">
        <v>47</v>
      </c>
      <c r="F113" s="184" t="str">
        <f>Commodities!$D$11</f>
        <v>RSH</v>
      </c>
      <c r="G113" s="204" t="s">
        <v>620</v>
      </c>
      <c r="H113" s="203">
        <v>15</v>
      </c>
      <c r="I113" s="205">
        <v>11.20003454619701</v>
      </c>
      <c r="J113" s="205">
        <v>3.17</v>
      </c>
      <c r="K113" s="184">
        <v>1</v>
      </c>
      <c r="L113" s="184">
        <v>0.16</v>
      </c>
      <c r="M113" s="184">
        <v>0.16</v>
      </c>
      <c r="N113" s="184">
        <v>0.16</v>
      </c>
      <c r="O113" s="184">
        <v>0.16</v>
      </c>
      <c r="P113" s="184">
        <v>0.16</v>
      </c>
      <c r="Q113" s="184"/>
      <c r="R113" s="184">
        <v>0.18</v>
      </c>
      <c r="S113" s="879"/>
      <c r="T113" s="879"/>
      <c r="U113" s="879"/>
      <c r="V113" s="879"/>
      <c r="W113" s="879"/>
      <c r="X113" s="879"/>
      <c r="Y113" s="879"/>
      <c r="Z113" s="879"/>
      <c r="AA113" s="879"/>
      <c r="AB113" s="879"/>
      <c r="AC113" s="879"/>
      <c r="AD113" s="879"/>
      <c r="AE113" s="879"/>
      <c r="AF113" s="879"/>
      <c r="AG113" s="879"/>
      <c r="AH113" s="879"/>
      <c r="AI113" s="879">
        <v>0</v>
      </c>
      <c r="AJ113" s="879"/>
      <c r="AK113" s="879"/>
      <c r="AL113" s="879"/>
      <c r="AM113" s="879">
        <v>0</v>
      </c>
      <c r="AN113" s="879">
        <v>0</v>
      </c>
      <c r="AO113" s="879">
        <v>0</v>
      </c>
      <c r="AP113" s="879">
        <v>0</v>
      </c>
      <c r="AQ113" s="879">
        <v>0</v>
      </c>
      <c r="AR113" s="879">
        <v>0</v>
      </c>
    </row>
    <row r="114" spans="1:44" x14ac:dyDescent="0.2">
      <c r="A114" s="184" t="s">
        <v>27</v>
      </c>
      <c r="B114" s="184" t="s">
        <v>623</v>
      </c>
      <c r="C114" s="184" t="s">
        <v>624</v>
      </c>
      <c r="D114" s="183" t="s">
        <v>26</v>
      </c>
      <c r="E114" s="184" t="s">
        <v>47</v>
      </c>
      <c r="F114" s="184" t="str">
        <f>Commodities!$D$11</f>
        <v>RSH</v>
      </c>
      <c r="G114" s="204" t="s">
        <v>640</v>
      </c>
      <c r="H114" s="203">
        <v>15</v>
      </c>
      <c r="I114" s="205">
        <v>11.268327439771381</v>
      </c>
      <c r="J114" s="205">
        <v>3.22</v>
      </c>
      <c r="K114" s="184">
        <v>1</v>
      </c>
      <c r="L114" s="184">
        <v>0.16</v>
      </c>
      <c r="M114" s="184">
        <v>0.16</v>
      </c>
      <c r="N114" s="184">
        <v>0.16</v>
      </c>
      <c r="O114" s="184">
        <v>0.16</v>
      </c>
      <c r="P114" s="184">
        <v>0.16</v>
      </c>
      <c r="Q114" s="184"/>
      <c r="R114" s="184">
        <v>0.18</v>
      </c>
      <c r="S114" s="879"/>
      <c r="T114" s="879"/>
      <c r="U114" s="879"/>
      <c r="V114" s="879"/>
      <c r="W114" s="879"/>
      <c r="X114" s="879"/>
      <c r="Y114" s="879"/>
      <c r="Z114" s="879"/>
      <c r="AA114" s="879"/>
      <c r="AB114" s="879"/>
      <c r="AC114" s="879"/>
      <c r="AD114" s="879"/>
      <c r="AE114" s="879"/>
      <c r="AF114" s="879"/>
      <c r="AG114" s="879"/>
      <c r="AH114" s="879"/>
      <c r="AI114" s="879">
        <v>0</v>
      </c>
      <c r="AJ114" s="879"/>
      <c r="AK114" s="879"/>
      <c r="AL114" s="879"/>
      <c r="AM114" s="879"/>
      <c r="AN114" s="879">
        <v>0</v>
      </c>
      <c r="AO114" s="879">
        <v>0</v>
      </c>
      <c r="AP114" s="879">
        <v>0</v>
      </c>
      <c r="AQ114" s="879">
        <v>0</v>
      </c>
      <c r="AR114" s="879">
        <v>0</v>
      </c>
    </row>
    <row r="115" spans="1:44" x14ac:dyDescent="0.2">
      <c r="A115" s="184" t="s">
        <v>27</v>
      </c>
      <c r="B115" s="184" t="s">
        <v>645</v>
      </c>
      <c r="C115" s="184" t="s">
        <v>646</v>
      </c>
      <c r="D115" s="183" t="s">
        <v>26</v>
      </c>
      <c r="E115" s="184" t="s">
        <v>47</v>
      </c>
      <c r="F115" s="184" t="str">
        <f>Commodities!$D$11</f>
        <v>RSH</v>
      </c>
      <c r="G115" s="204" t="s">
        <v>647</v>
      </c>
      <c r="H115" s="203">
        <v>15</v>
      </c>
      <c r="I115" s="205">
        <v>11.268327439771381</v>
      </c>
      <c r="J115" s="205">
        <v>3.22</v>
      </c>
      <c r="K115" s="184">
        <v>1</v>
      </c>
      <c r="L115" s="184">
        <v>0.16</v>
      </c>
      <c r="M115" s="184">
        <v>0.16</v>
      </c>
      <c r="N115" s="184">
        <v>0.16</v>
      </c>
      <c r="O115" s="184">
        <v>0.16</v>
      </c>
      <c r="P115" s="184">
        <v>0.16</v>
      </c>
      <c r="Q115" s="184"/>
      <c r="R115" s="184">
        <v>0.18</v>
      </c>
      <c r="S115" s="879"/>
      <c r="T115" s="879"/>
      <c r="U115" s="879"/>
      <c r="V115" s="879"/>
      <c r="W115" s="879"/>
      <c r="X115" s="879"/>
      <c r="Y115" s="879"/>
      <c r="Z115" s="879"/>
      <c r="AA115" s="879"/>
      <c r="AB115" s="879"/>
      <c r="AC115" s="879"/>
      <c r="AD115" s="879"/>
      <c r="AE115" s="879"/>
      <c r="AF115" s="879"/>
      <c r="AG115" s="879"/>
      <c r="AH115" s="879"/>
      <c r="AI115" s="879">
        <v>0</v>
      </c>
      <c r="AJ115" s="879"/>
      <c r="AK115" s="879"/>
      <c r="AL115" s="879"/>
      <c r="AM115" s="879"/>
      <c r="AN115" s="879"/>
      <c r="AO115" s="879"/>
      <c r="AP115" s="879"/>
      <c r="AQ115" s="879"/>
      <c r="AR115" s="879"/>
    </row>
    <row r="116" spans="1:44" x14ac:dyDescent="0.2">
      <c r="A116" s="194" t="s">
        <v>513</v>
      </c>
      <c r="B116" s="192"/>
      <c r="C116" s="192"/>
      <c r="D116" s="192"/>
      <c r="E116" s="194"/>
      <c r="F116" s="194"/>
      <c r="G116" s="872"/>
      <c r="H116" s="873"/>
      <c r="I116" s="873"/>
      <c r="J116" s="874"/>
      <c r="K116" s="873"/>
      <c r="L116" s="873"/>
      <c r="M116" s="873" t="s">
        <v>514</v>
      </c>
      <c r="N116" s="873" t="s">
        <v>514</v>
      </c>
      <c r="O116" s="873" t="s">
        <v>514</v>
      </c>
      <c r="P116" s="873" t="s">
        <v>514</v>
      </c>
      <c r="Q116" s="873"/>
      <c r="R116" s="874"/>
      <c r="S116" s="875"/>
      <c r="T116" s="875"/>
      <c r="U116" s="875"/>
      <c r="V116" s="875"/>
      <c r="W116" s="875"/>
      <c r="X116" s="875"/>
      <c r="Y116" s="875"/>
      <c r="Z116" s="875"/>
      <c r="AA116" s="875"/>
      <c r="AB116" s="875"/>
      <c r="AC116" s="875"/>
      <c r="AD116" s="875"/>
      <c r="AE116" s="875"/>
      <c r="AF116" s="875"/>
      <c r="AG116" s="875"/>
      <c r="AH116" s="875"/>
      <c r="AI116" s="875"/>
      <c r="AJ116" s="875"/>
      <c r="AK116" s="875"/>
      <c r="AL116" s="875"/>
      <c r="AM116" s="875"/>
      <c r="AN116" s="875"/>
      <c r="AO116" s="875"/>
      <c r="AP116" s="875"/>
      <c r="AQ116" s="875"/>
      <c r="AR116" s="877"/>
    </row>
    <row r="117" spans="1:44" x14ac:dyDescent="0.2">
      <c r="A117" s="184" t="s">
        <v>27</v>
      </c>
      <c r="B117" s="184" t="s">
        <v>648</v>
      </c>
      <c r="C117" s="184" t="s">
        <v>649</v>
      </c>
      <c r="D117" s="183" t="s">
        <v>26</v>
      </c>
      <c r="E117" s="184" t="s">
        <v>52</v>
      </c>
      <c r="F117" s="184" t="str">
        <f>Commodities!$D$11</f>
        <v>RSH</v>
      </c>
      <c r="G117" s="204">
        <v>2010</v>
      </c>
      <c r="H117" s="203">
        <v>15</v>
      </c>
      <c r="I117" s="205"/>
      <c r="J117" s="205">
        <v>0.81440001726150502</v>
      </c>
      <c r="K117" s="184">
        <v>1</v>
      </c>
      <c r="L117" s="184">
        <v>0.16</v>
      </c>
      <c r="M117" s="184">
        <v>0.16</v>
      </c>
      <c r="N117" s="184">
        <v>0.16</v>
      </c>
      <c r="O117" s="184">
        <v>0.16</v>
      </c>
      <c r="P117" s="184">
        <v>0.16</v>
      </c>
      <c r="Q117" s="184"/>
      <c r="R117" s="184">
        <v>0.15</v>
      </c>
      <c r="S117" s="878"/>
      <c r="T117" s="878"/>
      <c r="U117" s="878"/>
      <c r="V117" s="878"/>
      <c r="W117" s="878"/>
      <c r="X117" s="878"/>
      <c r="Y117" s="878"/>
      <c r="Z117" s="878"/>
      <c r="AA117" s="878"/>
      <c r="AB117" s="878"/>
      <c r="AC117" s="878"/>
      <c r="AD117" s="878"/>
      <c r="AE117" s="878"/>
      <c r="AF117" s="878"/>
      <c r="AG117" s="878"/>
      <c r="AH117" s="878"/>
      <c r="AI117" s="879">
        <v>0</v>
      </c>
      <c r="AJ117" s="879">
        <v>0</v>
      </c>
      <c r="AK117" s="879">
        <v>0</v>
      </c>
      <c r="AL117" s="879">
        <v>0</v>
      </c>
      <c r="AM117" s="879">
        <v>0</v>
      </c>
      <c r="AN117" s="879">
        <v>0</v>
      </c>
      <c r="AO117" s="879">
        <v>0</v>
      </c>
      <c r="AP117" s="879">
        <v>0</v>
      </c>
      <c r="AQ117" s="879">
        <v>0</v>
      </c>
      <c r="AR117" s="879">
        <v>0</v>
      </c>
    </row>
    <row r="118" spans="1:44" x14ac:dyDescent="0.2">
      <c r="A118" s="184" t="s">
        <v>27</v>
      </c>
      <c r="B118" s="184" t="s">
        <v>650</v>
      </c>
      <c r="C118" s="184" t="s">
        <v>651</v>
      </c>
      <c r="D118" s="183" t="s">
        <v>26</v>
      </c>
      <c r="E118" s="184" t="s">
        <v>52</v>
      </c>
      <c r="F118" s="184" t="str">
        <f>Commodities!$D$11</f>
        <v>RSH</v>
      </c>
      <c r="G118" s="204" t="s">
        <v>615</v>
      </c>
      <c r="H118" s="203">
        <v>15</v>
      </c>
      <c r="I118" s="205">
        <v>3.5376820878764188</v>
      </c>
      <c r="J118" s="205">
        <v>0.78</v>
      </c>
      <c r="K118" s="184">
        <v>1</v>
      </c>
      <c r="L118" s="184">
        <v>0.16</v>
      </c>
      <c r="M118" s="184">
        <v>0.16</v>
      </c>
      <c r="N118" s="184">
        <v>0.16</v>
      </c>
      <c r="O118" s="184">
        <v>0.16</v>
      </c>
      <c r="P118" s="184">
        <v>0.16</v>
      </c>
      <c r="Q118" s="184"/>
      <c r="R118" s="184">
        <v>0.15</v>
      </c>
      <c r="S118" s="878"/>
      <c r="T118" s="878"/>
      <c r="U118" s="878"/>
      <c r="V118" s="878"/>
      <c r="W118" s="878"/>
      <c r="X118" s="878"/>
      <c r="Y118" s="878"/>
      <c r="Z118" s="878"/>
      <c r="AA118" s="878"/>
      <c r="AB118" s="878"/>
      <c r="AC118" s="878"/>
      <c r="AD118" s="878"/>
      <c r="AE118" s="878"/>
      <c r="AF118" s="878"/>
      <c r="AG118" s="878"/>
      <c r="AH118" s="878"/>
      <c r="AI118" s="879"/>
      <c r="AJ118" s="879"/>
      <c r="AK118" s="879"/>
      <c r="AL118" s="879"/>
      <c r="AM118" s="879"/>
      <c r="AN118" s="879"/>
      <c r="AO118" s="879"/>
      <c r="AP118" s="879"/>
      <c r="AQ118" s="879"/>
      <c r="AR118" s="879"/>
    </row>
    <row r="119" spans="1:44" x14ac:dyDescent="0.2">
      <c r="A119" s="184" t="s">
        <v>27</v>
      </c>
      <c r="B119" s="184" t="s">
        <v>652</v>
      </c>
      <c r="C119" s="184" t="s">
        <v>653</v>
      </c>
      <c r="D119" s="183" t="s">
        <v>26</v>
      </c>
      <c r="E119" s="184" t="s">
        <v>52</v>
      </c>
      <c r="F119" s="184" t="str">
        <f>Commodities!$D$11</f>
        <v>RSH</v>
      </c>
      <c r="G119" s="204" t="s">
        <v>615</v>
      </c>
      <c r="H119" s="203">
        <v>15</v>
      </c>
      <c r="I119" s="205">
        <v>5.0362835278796227</v>
      </c>
      <c r="J119" s="205">
        <v>0.92625000000000013</v>
      </c>
      <c r="K119" s="184">
        <v>1</v>
      </c>
      <c r="L119" s="184">
        <v>0.16</v>
      </c>
      <c r="M119" s="184">
        <v>0.16</v>
      </c>
      <c r="N119" s="184">
        <v>0.16</v>
      </c>
      <c r="O119" s="184">
        <v>0.16</v>
      </c>
      <c r="P119" s="184">
        <v>0.16</v>
      </c>
      <c r="Q119" s="184"/>
      <c r="R119" s="184">
        <v>0.15</v>
      </c>
      <c r="S119" s="878"/>
      <c r="T119" s="878"/>
      <c r="U119" s="878"/>
      <c r="V119" s="878"/>
      <c r="W119" s="878"/>
      <c r="X119" s="878"/>
      <c r="Y119" s="878"/>
      <c r="Z119" s="878"/>
      <c r="AA119" s="878"/>
      <c r="AB119" s="878"/>
      <c r="AC119" s="878"/>
      <c r="AD119" s="878"/>
      <c r="AE119" s="878"/>
      <c r="AF119" s="878"/>
      <c r="AG119" s="878"/>
      <c r="AH119" s="878"/>
      <c r="AI119" s="879"/>
      <c r="AJ119" s="879"/>
      <c r="AK119" s="879"/>
      <c r="AL119" s="879"/>
      <c r="AM119" s="879"/>
      <c r="AN119" s="879"/>
      <c r="AO119" s="879"/>
      <c r="AP119" s="879"/>
      <c r="AQ119" s="879"/>
      <c r="AR119" s="879"/>
    </row>
    <row r="120" spans="1:44" x14ac:dyDescent="0.2">
      <c r="A120" s="184" t="s">
        <v>27</v>
      </c>
      <c r="B120" s="184" t="s">
        <v>654</v>
      </c>
      <c r="C120" s="184" t="s">
        <v>655</v>
      </c>
      <c r="D120" s="183" t="s">
        <v>26</v>
      </c>
      <c r="E120" s="184" t="s">
        <v>52</v>
      </c>
      <c r="F120" s="184" t="str">
        <f>Commodities!$D$11</f>
        <v>RSH</v>
      </c>
      <c r="G120" s="204" t="s">
        <v>620</v>
      </c>
      <c r="H120" s="203">
        <v>16</v>
      </c>
      <c r="I120" s="205">
        <v>5.0854180013223509</v>
      </c>
      <c r="J120" s="205">
        <v>0.89700000000000002</v>
      </c>
      <c r="K120" s="184">
        <v>1</v>
      </c>
      <c r="L120" s="184">
        <v>0.16</v>
      </c>
      <c r="M120" s="184">
        <v>0.16</v>
      </c>
      <c r="N120" s="184">
        <v>0.16</v>
      </c>
      <c r="O120" s="184">
        <v>0.16</v>
      </c>
      <c r="P120" s="184">
        <v>0.16</v>
      </c>
      <c r="Q120" s="184"/>
      <c r="R120" s="184">
        <v>0.15</v>
      </c>
      <c r="S120" s="878"/>
      <c r="T120" s="878"/>
      <c r="U120" s="878"/>
      <c r="V120" s="878"/>
      <c r="W120" s="878"/>
      <c r="X120" s="878"/>
      <c r="Y120" s="878"/>
      <c r="Z120" s="878"/>
      <c r="AA120" s="878"/>
      <c r="AB120" s="878"/>
      <c r="AC120" s="878"/>
      <c r="AD120" s="878"/>
      <c r="AE120" s="878"/>
      <c r="AF120" s="878"/>
      <c r="AG120" s="878"/>
      <c r="AH120" s="878"/>
      <c r="AI120" s="879"/>
      <c r="AJ120" s="879"/>
      <c r="AK120" s="879"/>
      <c r="AL120" s="879"/>
      <c r="AM120" s="879"/>
      <c r="AN120" s="879"/>
      <c r="AO120" s="879"/>
      <c r="AP120" s="879"/>
      <c r="AQ120" s="879"/>
      <c r="AR120" s="879"/>
    </row>
    <row r="121" spans="1:44" x14ac:dyDescent="0.2">
      <c r="A121" s="184" t="s">
        <v>27</v>
      </c>
      <c r="B121" s="184" t="s">
        <v>656</v>
      </c>
      <c r="C121" s="184" t="s">
        <v>657</v>
      </c>
      <c r="D121" s="183" t="s">
        <v>26</v>
      </c>
      <c r="E121" s="184" t="s">
        <v>52</v>
      </c>
      <c r="F121" s="184" t="str">
        <f>Commodities!$D$11</f>
        <v>RSH</v>
      </c>
      <c r="G121" s="204" t="s">
        <v>620</v>
      </c>
      <c r="H121" s="203">
        <v>16</v>
      </c>
      <c r="I121" s="205">
        <v>5.7733006295205431</v>
      </c>
      <c r="J121" s="205">
        <v>0.96524999999999994</v>
      </c>
      <c r="K121" s="184">
        <v>1</v>
      </c>
      <c r="L121" s="184">
        <v>0.16</v>
      </c>
      <c r="M121" s="184">
        <v>0.16</v>
      </c>
      <c r="N121" s="184">
        <v>0.16</v>
      </c>
      <c r="O121" s="184">
        <v>0.16</v>
      </c>
      <c r="P121" s="184">
        <v>0.16</v>
      </c>
      <c r="Q121" s="184"/>
      <c r="R121" s="184">
        <v>0.15</v>
      </c>
      <c r="S121" s="878"/>
      <c r="T121" s="878"/>
      <c r="U121" s="878"/>
      <c r="V121" s="878"/>
      <c r="W121" s="878"/>
      <c r="X121" s="878"/>
      <c r="Y121" s="878"/>
      <c r="Z121" s="878"/>
      <c r="AA121" s="878"/>
      <c r="AB121" s="878"/>
      <c r="AC121" s="878"/>
      <c r="AD121" s="878"/>
      <c r="AE121" s="878"/>
      <c r="AF121" s="878"/>
      <c r="AG121" s="878"/>
      <c r="AH121" s="878"/>
      <c r="AI121" s="879"/>
      <c r="AJ121" s="879"/>
      <c r="AK121" s="879"/>
      <c r="AL121" s="879"/>
      <c r="AM121" s="879"/>
      <c r="AN121" s="879"/>
      <c r="AO121" s="879"/>
      <c r="AP121" s="879"/>
      <c r="AQ121" s="879"/>
      <c r="AR121" s="879"/>
    </row>
    <row r="122" spans="1:44" x14ac:dyDescent="0.2">
      <c r="A122" s="184" t="s">
        <v>27</v>
      </c>
      <c r="B122" s="184" t="s">
        <v>658</v>
      </c>
      <c r="C122" s="184" t="s">
        <v>659</v>
      </c>
      <c r="D122" s="183" t="s">
        <v>26</v>
      </c>
      <c r="E122" s="184" t="s">
        <v>52</v>
      </c>
      <c r="F122" s="184" t="str">
        <f>Commodities!$D$11</f>
        <v>RSH</v>
      </c>
      <c r="G122" s="204">
        <v>2030</v>
      </c>
      <c r="H122" s="203">
        <v>27</v>
      </c>
      <c r="I122" s="205">
        <v>5.0854180013223509</v>
      </c>
      <c r="J122" s="205">
        <v>0.89700000000000002</v>
      </c>
      <c r="K122" s="184">
        <v>1</v>
      </c>
      <c r="L122" s="184">
        <v>0.16</v>
      </c>
      <c r="M122" s="184">
        <v>0.16</v>
      </c>
      <c r="N122" s="184">
        <v>0.16</v>
      </c>
      <c r="O122" s="184">
        <v>0.16</v>
      </c>
      <c r="P122" s="184">
        <v>0.16</v>
      </c>
      <c r="Q122" s="184"/>
      <c r="R122" s="184">
        <v>0.15</v>
      </c>
      <c r="S122" s="878"/>
      <c r="T122" s="878"/>
      <c r="U122" s="878"/>
      <c r="V122" s="878"/>
      <c r="W122" s="878"/>
      <c r="X122" s="878"/>
      <c r="Y122" s="878"/>
      <c r="Z122" s="878"/>
      <c r="AA122" s="878"/>
      <c r="AB122" s="878"/>
      <c r="AC122" s="878"/>
      <c r="AD122" s="878"/>
      <c r="AE122" s="878"/>
      <c r="AF122" s="878"/>
      <c r="AG122" s="878"/>
      <c r="AH122" s="878"/>
      <c r="AI122" s="879"/>
      <c r="AJ122" s="879"/>
      <c r="AK122" s="879"/>
      <c r="AL122" s="879"/>
      <c r="AM122" s="879"/>
      <c r="AN122" s="879"/>
      <c r="AO122" s="879"/>
      <c r="AP122" s="879"/>
      <c r="AQ122" s="879"/>
      <c r="AR122" s="879"/>
    </row>
    <row r="123" spans="1:44" x14ac:dyDescent="0.2">
      <c r="A123" s="184" t="s">
        <v>27</v>
      </c>
      <c r="B123" s="184" t="s">
        <v>660</v>
      </c>
      <c r="C123" s="184" t="s">
        <v>661</v>
      </c>
      <c r="D123" s="183" t="s">
        <v>26</v>
      </c>
      <c r="E123" s="184" t="s">
        <v>52</v>
      </c>
      <c r="F123" s="184" t="str">
        <f>Commodities!$D$11</f>
        <v>RSH</v>
      </c>
      <c r="G123" s="204">
        <v>2030</v>
      </c>
      <c r="H123" s="203">
        <v>27</v>
      </c>
      <c r="I123" s="205">
        <v>5.7733006295205431</v>
      </c>
      <c r="J123" s="205">
        <v>0.96524999999999994</v>
      </c>
      <c r="K123" s="184">
        <v>1</v>
      </c>
      <c r="L123" s="184">
        <v>0.16</v>
      </c>
      <c r="M123" s="184">
        <v>0.16</v>
      </c>
      <c r="N123" s="184">
        <v>0.16</v>
      </c>
      <c r="O123" s="184">
        <v>0.16</v>
      </c>
      <c r="P123" s="184">
        <v>0.16</v>
      </c>
      <c r="Q123" s="184"/>
      <c r="R123" s="184">
        <v>0.15</v>
      </c>
      <c r="S123" s="878"/>
      <c r="T123" s="878"/>
      <c r="U123" s="878"/>
      <c r="V123" s="878"/>
      <c r="W123" s="878"/>
      <c r="X123" s="878"/>
      <c r="Y123" s="878"/>
      <c r="Z123" s="878"/>
      <c r="AA123" s="878"/>
      <c r="AB123" s="878"/>
      <c r="AC123" s="878"/>
      <c r="AD123" s="878"/>
      <c r="AE123" s="878"/>
      <c r="AF123" s="878"/>
      <c r="AG123" s="878"/>
      <c r="AH123" s="878"/>
      <c r="AI123" s="879"/>
      <c r="AJ123" s="879"/>
      <c r="AK123" s="879"/>
      <c r="AL123" s="879"/>
      <c r="AM123" s="879"/>
      <c r="AN123" s="879"/>
      <c r="AO123" s="879"/>
      <c r="AP123" s="879"/>
      <c r="AQ123" s="879"/>
      <c r="AR123" s="879"/>
    </row>
    <row r="124" spans="1:44" x14ac:dyDescent="0.2">
      <c r="A124" s="184" t="s">
        <v>27</v>
      </c>
      <c r="B124" s="184" t="s">
        <v>662</v>
      </c>
      <c r="C124" s="184" t="s">
        <v>663</v>
      </c>
      <c r="D124" s="183" t="s">
        <v>26</v>
      </c>
      <c r="E124" s="184" t="s">
        <v>52</v>
      </c>
      <c r="F124" s="184" t="str">
        <f>Commodities!$D$11</f>
        <v>RSH</v>
      </c>
      <c r="G124" s="204">
        <v>2040</v>
      </c>
      <c r="H124" s="203">
        <v>27</v>
      </c>
      <c r="I124" s="205">
        <v>5.0854180013223509</v>
      </c>
      <c r="J124" s="205">
        <v>0.89700000000000002</v>
      </c>
      <c r="K124" s="184">
        <v>1</v>
      </c>
      <c r="L124" s="184">
        <v>0.16</v>
      </c>
      <c r="M124" s="184">
        <v>0.16</v>
      </c>
      <c r="N124" s="184">
        <v>0.16</v>
      </c>
      <c r="O124" s="184">
        <v>0.16</v>
      </c>
      <c r="P124" s="184">
        <v>0.16</v>
      </c>
      <c r="Q124" s="184"/>
      <c r="R124" s="184">
        <v>0.15</v>
      </c>
      <c r="S124" s="878"/>
      <c r="T124" s="878"/>
      <c r="U124" s="878"/>
      <c r="V124" s="878"/>
      <c r="W124" s="878"/>
      <c r="X124" s="878"/>
      <c r="Y124" s="878"/>
      <c r="Z124" s="878"/>
      <c r="AA124" s="878"/>
      <c r="AB124" s="878"/>
      <c r="AC124" s="878"/>
      <c r="AD124" s="878"/>
      <c r="AE124" s="878"/>
      <c r="AF124" s="878"/>
      <c r="AG124" s="878"/>
      <c r="AH124" s="878"/>
      <c r="AI124" s="879"/>
      <c r="AJ124" s="879"/>
      <c r="AK124" s="879"/>
      <c r="AL124" s="879"/>
      <c r="AM124" s="879"/>
      <c r="AN124" s="879"/>
      <c r="AO124" s="879"/>
      <c r="AP124" s="879"/>
      <c r="AQ124" s="879"/>
      <c r="AR124" s="879"/>
    </row>
    <row r="125" spans="1:44" x14ac:dyDescent="0.2">
      <c r="A125" s="184" t="s">
        <v>27</v>
      </c>
      <c r="B125" s="184" t="s">
        <v>664</v>
      </c>
      <c r="C125" s="184" t="s">
        <v>665</v>
      </c>
      <c r="D125" s="183" t="s">
        <v>26</v>
      </c>
      <c r="E125" s="184" t="s">
        <v>52</v>
      </c>
      <c r="F125" s="184" t="str">
        <f>Commodities!$D$11</f>
        <v>RSH</v>
      </c>
      <c r="G125" s="204">
        <v>2040</v>
      </c>
      <c r="H125" s="203">
        <v>27</v>
      </c>
      <c r="I125" s="205">
        <v>5.7733006295205431</v>
      </c>
      <c r="J125" s="205">
        <v>0.96524999999999994</v>
      </c>
      <c r="K125" s="184">
        <v>1</v>
      </c>
      <c r="L125" s="184">
        <v>0.16</v>
      </c>
      <c r="M125" s="184">
        <v>0.16</v>
      </c>
      <c r="N125" s="184">
        <v>0.16</v>
      </c>
      <c r="O125" s="184">
        <v>0.16</v>
      </c>
      <c r="P125" s="184">
        <v>0.16</v>
      </c>
      <c r="Q125" s="184"/>
      <c r="R125" s="184">
        <v>0.15</v>
      </c>
      <c r="S125" s="878"/>
      <c r="T125" s="878"/>
      <c r="U125" s="878"/>
      <c r="V125" s="878"/>
      <c r="W125" s="878"/>
      <c r="X125" s="878"/>
      <c r="Y125" s="878"/>
      <c r="Z125" s="878"/>
      <c r="AA125" s="878"/>
      <c r="AB125" s="878"/>
      <c r="AC125" s="878"/>
      <c r="AD125" s="878"/>
      <c r="AE125" s="878"/>
      <c r="AF125" s="878"/>
      <c r="AG125" s="878"/>
      <c r="AH125" s="878"/>
      <c r="AI125" s="879"/>
      <c r="AJ125" s="879"/>
      <c r="AK125" s="879"/>
      <c r="AL125" s="879"/>
      <c r="AM125" s="879"/>
      <c r="AN125" s="879"/>
      <c r="AO125" s="879"/>
      <c r="AP125" s="879"/>
      <c r="AQ125" s="879"/>
      <c r="AR125" s="879"/>
    </row>
    <row r="126" spans="1:44" x14ac:dyDescent="0.2">
      <c r="A126" s="184" t="s">
        <v>27</v>
      </c>
      <c r="B126" s="184" t="s">
        <v>666</v>
      </c>
      <c r="C126" s="184" t="s">
        <v>667</v>
      </c>
      <c r="D126" s="183" t="s">
        <v>26</v>
      </c>
      <c r="E126" s="184" t="s">
        <v>52</v>
      </c>
      <c r="F126" s="184" t="str">
        <f>Commodities!$D$11</f>
        <v>RSH</v>
      </c>
      <c r="G126" s="204" t="s">
        <v>633</v>
      </c>
      <c r="H126" s="203">
        <v>15</v>
      </c>
      <c r="I126" s="205">
        <v>4.9170883373547847</v>
      </c>
      <c r="J126" s="205">
        <v>0.8</v>
      </c>
      <c r="K126" s="184">
        <v>1</v>
      </c>
      <c r="L126" s="184">
        <v>0.16</v>
      </c>
      <c r="M126" s="184">
        <v>0.16</v>
      </c>
      <c r="N126" s="184">
        <v>0.16</v>
      </c>
      <c r="O126" s="184">
        <v>0.16</v>
      </c>
      <c r="P126" s="184">
        <v>0.16</v>
      </c>
      <c r="Q126" s="184"/>
      <c r="R126" s="184">
        <v>0.15</v>
      </c>
      <c r="S126" s="879"/>
      <c r="T126" s="879"/>
      <c r="U126" s="879"/>
      <c r="V126" s="879"/>
      <c r="W126" s="879"/>
      <c r="X126" s="879"/>
      <c r="Y126" s="879"/>
      <c r="Z126" s="879"/>
      <c r="AA126" s="879"/>
      <c r="AB126" s="879"/>
      <c r="AC126" s="879"/>
      <c r="AD126" s="879"/>
      <c r="AE126" s="879"/>
      <c r="AF126" s="879"/>
      <c r="AG126" s="879"/>
      <c r="AH126" s="879"/>
      <c r="AI126" s="879">
        <v>0</v>
      </c>
      <c r="AJ126" s="879"/>
      <c r="AK126" s="879"/>
      <c r="AL126" s="879"/>
      <c r="AM126" s="879"/>
      <c r="AN126" s="879"/>
      <c r="AO126" s="879"/>
      <c r="AP126" s="879"/>
      <c r="AQ126" s="879"/>
      <c r="AR126" s="879"/>
    </row>
    <row r="127" spans="1:44" x14ac:dyDescent="0.2">
      <c r="A127" s="184" t="s">
        <v>27</v>
      </c>
      <c r="B127" s="184" t="s">
        <v>668</v>
      </c>
      <c r="C127" s="184" t="s">
        <v>669</v>
      </c>
      <c r="D127" s="183" t="s">
        <v>26</v>
      </c>
      <c r="E127" s="184" t="s">
        <v>52</v>
      </c>
      <c r="F127" s="184" t="str">
        <f>Commodities!$D$11</f>
        <v>RSH</v>
      </c>
      <c r="G127" s="204" t="s">
        <v>633</v>
      </c>
      <c r="H127" s="203">
        <v>20</v>
      </c>
      <c r="I127" s="205">
        <v>5.4087971710902627</v>
      </c>
      <c r="J127" s="205">
        <v>0.9</v>
      </c>
      <c r="K127" s="184">
        <v>1</v>
      </c>
      <c r="L127" s="184">
        <v>0.16</v>
      </c>
      <c r="M127" s="184">
        <v>0.16</v>
      </c>
      <c r="N127" s="184">
        <v>0.16</v>
      </c>
      <c r="O127" s="184">
        <v>0.16</v>
      </c>
      <c r="P127" s="184">
        <v>0.16</v>
      </c>
      <c r="Q127" s="184"/>
      <c r="R127" s="184">
        <v>0.15</v>
      </c>
      <c r="S127" s="879"/>
      <c r="T127" s="879"/>
      <c r="U127" s="879"/>
      <c r="V127" s="879"/>
      <c r="W127" s="879"/>
      <c r="X127" s="879"/>
      <c r="Y127" s="879"/>
      <c r="Z127" s="879"/>
      <c r="AA127" s="879"/>
      <c r="AB127" s="879"/>
      <c r="AC127" s="879"/>
      <c r="AD127" s="879"/>
      <c r="AE127" s="879"/>
      <c r="AF127" s="879"/>
      <c r="AG127" s="879"/>
      <c r="AH127" s="879"/>
      <c r="AI127" s="879">
        <v>0</v>
      </c>
      <c r="AJ127" s="879"/>
      <c r="AK127" s="879"/>
      <c r="AL127" s="879"/>
      <c r="AM127" s="879"/>
      <c r="AN127" s="879"/>
      <c r="AO127" s="879"/>
      <c r="AP127" s="879"/>
      <c r="AQ127" s="879"/>
      <c r="AR127" s="879"/>
    </row>
    <row r="128" spans="1:44" x14ac:dyDescent="0.2">
      <c r="A128" s="184" t="s">
        <v>27</v>
      </c>
      <c r="B128" s="184" t="s">
        <v>670</v>
      </c>
      <c r="C128" s="184" t="s">
        <v>671</v>
      </c>
      <c r="D128" s="183" t="s">
        <v>26</v>
      </c>
      <c r="E128" s="184" t="s">
        <v>52</v>
      </c>
      <c r="F128" s="184" t="str">
        <f>Commodities!$D$11</f>
        <v>RSH</v>
      </c>
      <c r="G128" s="204" t="s">
        <v>633</v>
      </c>
      <c r="H128" s="203">
        <v>20</v>
      </c>
      <c r="I128" s="205">
        <v>6.2938730718141249</v>
      </c>
      <c r="J128" s="205">
        <v>0.95</v>
      </c>
      <c r="K128" s="184">
        <v>1</v>
      </c>
      <c r="L128" s="184">
        <v>0.16</v>
      </c>
      <c r="M128" s="184">
        <v>0.16</v>
      </c>
      <c r="N128" s="184">
        <v>0.16</v>
      </c>
      <c r="O128" s="184">
        <v>0.16</v>
      </c>
      <c r="P128" s="184">
        <v>0.16</v>
      </c>
      <c r="Q128" s="184"/>
      <c r="R128" s="184">
        <v>0.15</v>
      </c>
      <c r="S128" s="879"/>
      <c r="T128" s="879"/>
      <c r="U128" s="879"/>
      <c r="V128" s="879"/>
      <c r="W128" s="879"/>
      <c r="X128" s="879"/>
      <c r="Y128" s="879"/>
      <c r="Z128" s="879"/>
      <c r="AA128" s="879"/>
      <c r="AB128" s="879"/>
      <c r="AC128" s="879"/>
      <c r="AD128" s="879"/>
      <c r="AE128" s="879"/>
      <c r="AF128" s="879"/>
      <c r="AG128" s="879"/>
      <c r="AH128" s="879"/>
      <c r="AI128" s="879">
        <v>0</v>
      </c>
      <c r="AJ128" s="879">
        <v>0</v>
      </c>
      <c r="AK128" s="879"/>
      <c r="AL128" s="879"/>
      <c r="AM128" s="879"/>
      <c r="AN128" s="879"/>
      <c r="AO128" s="879"/>
      <c r="AP128" s="879"/>
      <c r="AQ128" s="879"/>
      <c r="AR128" s="879"/>
    </row>
    <row r="129" spans="1:44" x14ac:dyDescent="0.2">
      <c r="A129" s="184" t="s">
        <v>27</v>
      </c>
      <c r="B129" s="184" t="s">
        <v>672</v>
      </c>
      <c r="C129" s="184" t="s">
        <v>673</v>
      </c>
      <c r="D129" s="183" t="s">
        <v>26</v>
      </c>
      <c r="E129" s="184" t="s">
        <v>52</v>
      </c>
      <c r="F129" s="184" t="str">
        <f>Commodities!$D$11</f>
        <v>RSH</v>
      </c>
      <c r="G129" s="204" t="s">
        <v>633</v>
      </c>
      <c r="H129" s="203">
        <v>20</v>
      </c>
      <c r="I129" s="205">
        <v>7.3756325060321766</v>
      </c>
      <c r="J129" s="205">
        <v>0.98</v>
      </c>
      <c r="K129" s="184">
        <v>1</v>
      </c>
      <c r="L129" s="184">
        <v>0.16</v>
      </c>
      <c r="M129" s="184">
        <v>0.16</v>
      </c>
      <c r="N129" s="184">
        <v>0.16</v>
      </c>
      <c r="O129" s="184">
        <v>0.16</v>
      </c>
      <c r="P129" s="184">
        <v>0.16</v>
      </c>
      <c r="Q129" s="184"/>
      <c r="R129" s="184">
        <v>0.15</v>
      </c>
      <c r="S129" s="879"/>
      <c r="T129" s="879"/>
      <c r="U129" s="879"/>
      <c r="V129" s="879"/>
      <c r="W129" s="879"/>
      <c r="X129" s="879"/>
      <c r="Y129" s="879"/>
      <c r="Z129" s="879"/>
      <c r="AA129" s="879"/>
      <c r="AB129" s="879"/>
      <c r="AC129" s="879"/>
      <c r="AD129" s="879"/>
      <c r="AE129" s="879"/>
      <c r="AF129" s="879"/>
      <c r="AG129" s="879"/>
      <c r="AH129" s="879"/>
      <c r="AI129" s="879">
        <v>0</v>
      </c>
      <c r="AJ129" s="879">
        <v>0</v>
      </c>
      <c r="AK129" s="879"/>
      <c r="AL129" s="879"/>
      <c r="AM129" s="879"/>
      <c r="AN129" s="879"/>
      <c r="AO129" s="879"/>
      <c r="AP129" s="879"/>
      <c r="AQ129" s="879"/>
      <c r="AR129" s="879"/>
    </row>
    <row r="130" spans="1:44" x14ac:dyDescent="0.2">
      <c r="A130" s="184" t="s">
        <v>27</v>
      </c>
      <c r="B130" s="184" t="s">
        <v>674</v>
      </c>
      <c r="C130" s="184" t="s">
        <v>675</v>
      </c>
      <c r="D130" s="183" t="s">
        <v>26</v>
      </c>
      <c r="E130" s="184" t="s">
        <v>52</v>
      </c>
      <c r="F130" s="184" t="str">
        <f>Commodities!$D$11</f>
        <v>RSH</v>
      </c>
      <c r="G130" s="204">
        <v>2020</v>
      </c>
      <c r="H130" s="203">
        <v>27</v>
      </c>
      <c r="I130" s="205">
        <v>5.1389487171257446</v>
      </c>
      <c r="J130" s="205">
        <v>0.92</v>
      </c>
      <c r="K130" s="184">
        <v>1</v>
      </c>
      <c r="L130" s="184">
        <v>0.16</v>
      </c>
      <c r="M130" s="184">
        <v>0.16</v>
      </c>
      <c r="N130" s="184">
        <v>0.16</v>
      </c>
      <c r="O130" s="184">
        <v>0.16</v>
      </c>
      <c r="P130" s="184">
        <v>0.16</v>
      </c>
      <c r="Q130" s="184"/>
      <c r="R130" s="184">
        <v>0.15</v>
      </c>
      <c r="S130" s="879"/>
      <c r="T130" s="879"/>
      <c r="U130" s="879"/>
      <c r="V130" s="879"/>
      <c r="W130" s="879"/>
      <c r="X130" s="879"/>
      <c r="Y130" s="879"/>
      <c r="Z130" s="879"/>
      <c r="AA130" s="879"/>
      <c r="AB130" s="879"/>
      <c r="AC130" s="879"/>
      <c r="AD130" s="879"/>
      <c r="AE130" s="879"/>
      <c r="AF130" s="879"/>
      <c r="AG130" s="879"/>
      <c r="AH130" s="879"/>
      <c r="AI130" s="879">
        <v>0</v>
      </c>
      <c r="AJ130" s="879">
        <v>0</v>
      </c>
      <c r="AK130" s="879"/>
      <c r="AL130" s="879"/>
      <c r="AM130" s="879"/>
      <c r="AN130" s="879"/>
      <c r="AO130" s="879"/>
      <c r="AP130" s="879"/>
      <c r="AQ130" s="879"/>
      <c r="AR130" s="879"/>
    </row>
    <row r="131" spans="1:44" x14ac:dyDescent="0.2">
      <c r="A131" s="184" t="s">
        <v>27</v>
      </c>
      <c r="B131" s="184" t="s">
        <v>676</v>
      </c>
      <c r="C131" s="184" t="s">
        <v>677</v>
      </c>
      <c r="D131" s="183" t="s">
        <v>26</v>
      </c>
      <c r="E131" s="184" t="s">
        <v>52</v>
      </c>
      <c r="F131" s="184" t="str">
        <f>Commodities!$D$11</f>
        <v>RSH</v>
      </c>
      <c r="G131" s="204">
        <v>2020</v>
      </c>
      <c r="H131" s="203">
        <v>27</v>
      </c>
      <c r="I131" s="205">
        <v>5.660291340602269</v>
      </c>
      <c r="J131" s="205">
        <v>0.99</v>
      </c>
      <c r="K131" s="184">
        <v>1</v>
      </c>
      <c r="L131" s="184">
        <v>0.16</v>
      </c>
      <c r="M131" s="184">
        <v>0.16</v>
      </c>
      <c r="N131" s="184">
        <v>0.16</v>
      </c>
      <c r="O131" s="184">
        <v>0.16</v>
      </c>
      <c r="P131" s="184">
        <v>0.16</v>
      </c>
      <c r="Q131" s="184"/>
      <c r="R131" s="184">
        <v>0.15</v>
      </c>
      <c r="S131" s="879"/>
      <c r="T131" s="879"/>
      <c r="U131" s="879"/>
      <c r="V131" s="879"/>
      <c r="W131" s="879"/>
      <c r="X131" s="879"/>
      <c r="Y131" s="879"/>
      <c r="Z131" s="879"/>
      <c r="AA131" s="879"/>
      <c r="AB131" s="879"/>
      <c r="AC131" s="879"/>
      <c r="AD131" s="879"/>
      <c r="AE131" s="879"/>
      <c r="AF131" s="879"/>
      <c r="AG131" s="879"/>
      <c r="AH131" s="879"/>
      <c r="AI131" s="879">
        <v>0</v>
      </c>
      <c r="AJ131" s="879">
        <v>0</v>
      </c>
      <c r="AK131" s="879"/>
      <c r="AL131" s="879"/>
      <c r="AM131" s="879"/>
      <c r="AN131" s="879"/>
      <c r="AO131" s="879"/>
      <c r="AP131" s="879"/>
      <c r="AQ131" s="879"/>
      <c r="AR131" s="879"/>
    </row>
    <row r="132" spans="1:44" x14ac:dyDescent="0.2">
      <c r="A132" s="184" t="s">
        <v>27</v>
      </c>
      <c r="B132" s="184" t="s">
        <v>678</v>
      </c>
      <c r="C132" s="184" t="s">
        <v>679</v>
      </c>
      <c r="D132" s="183" t="s">
        <v>26</v>
      </c>
      <c r="E132" s="184" t="s">
        <v>52</v>
      </c>
      <c r="F132" s="184" t="str">
        <f>Commodities!$D$11</f>
        <v>RSH</v>
      </c>
      <c r="G132" s="204">
        <v>2030</v>
      </c>
      <c r="H132" s="203">
        <v>27</v>
      </c>
      <c r="I132" s="205">
        <v>5.1389487171257446</v>
      </c>
      <c r="J132" s="205">
        <v>0.92</v>
      </c>
      <c r="K132" s="184">
        <v>1</v>
      </c>
      <c r="L132" s="184">
        <v>0.16</v>
      </c>
      <c r="M132" s="184">
        <v>0.16</v>
      </c>
      <c r="N132" s="184">
        <v>0.16</v>
      </c>
      <c r="O132" s="184">
        <v>0.16</v>
      </c>
      <c r="P132" s="184">
        <v>0.16</v>
      </c>
      <c r="Q132" s="184"/>
      <c r="R132" s="184">
        <v>0.15</v>
      </c>
      <c r="S132" s="879"/>
      <c r="T132" s="879"/>
      <c r="U132" s="879"/>
      <c r="V132" s="879"/>
      <c r="W132" s="879"/>
      <c r="X132" s="879"/>
      <c r="Y132" s="879"/>
      <c r="Z132" s="879"/>
      <c r="AA132" s="879"/>
      <c r="AB132" s="879"/>
      <c r="AC132" s="879"/>
      <c r="AD132" s="879"/>
      <c r="AE132" s="879"/>
      <c r="AF132" s="879"/>
      <c r="AG132" s="879"/>
      <c r="AH132" s="879"/>
      <c r="AI132" s="879">
        <v>0</v>
      </c>
      <c r="AJ132" s="879">
        <v>0</v>
      </c>
      <c r="AK132" s="879"/>
      <c r="AL132" s="879"/>
      <c r="AM132" s="879"/>
      <c r="AN132" s="879"/>
      <c r="AO132" s="879"/>
      <c r="AP132" s="879"/>
      <c r="AQ132" s="879"/>
      <c r="AR132" s="879"/>
    </row>
    <row r="133" spans="1:44" x14ac:dyDescent="0.2">
      <c r="A133" s="184" t="s">
        <v>27</v>
      </c>
      <c r="B133" s="184" t="s">
        <v>680</v>
      </c>
      <c r="C133" s="184" t="s">
        <v>679</v>
      </c>
      <c r="D133" s="183" t="s">
        <v>26</v>
      </c>
      <c r="E133" s="184" t="s">
        <v>52</v>
      </c>
      <c r="F133" s="184" t="str">
        <f>Commodities!$D$11</f>
        <v>RSH</v>
      </c>
      <c r="G133" s="204">
        <v>2030</v>
      </c>
      <c r="H133" s="203">
        <v>27</v>
      </c>
      <c r="I133" s="205">
        <v>5.660291340602269</v>
      </c>
      <c r="J133" s="205">
        <v>0.99</v>
      </c>
      <c r="K133" s="184">
        <v>1</v>
      </c>
      <c r="L133" s="184">
        <v>0.16</v>
      </c>
      <c r="M133" s="184">
        <v>0.16</v>
      </c>
      <c r="N133" s="184">
        <v>0.16</v>
      </c>
      <c r="O133" s="184">
        <v>0.16</v>
      </c>
      <c r="P133" s="184">
        <v>0.16</v>
      </c>
      <c r="Q133" s="184"/>
      <c r="R133" s="184">
        <v>0.15</v>
      </c>
      <c r="S133" s="879"/>
      <c r="T133" s="879"/>
      <c r="U133" s="879"/>
      <c r="V133" s="879"/>
      <c r="W133" s="879"/>
      <c r="X133" s="879"/>
      <c r="Y133" s="879"/>
      <c r="Z133" s="879"/>
      <c r="AA133" s="879"/>
      <c r="AB133" s="879"/>
      <c r="AC133" s="879"/>
      <c r="AD133" s="879"/>
      <c r="AE133" s="879"/>
      <c r="AF133" s="879"/>
      <c r="AG133" s="879"/>
      <c r="AH133" s="879"/>
      <c r="AI133" s="879">
        <v>0</v>
      </c>
      <c r="AJ133" s="879">
        <v>0</v>
      </c>
      <c r="AK133" s="879"/>
      <c r="AL133" s="879"/>
      <c r="AM133" s="879"/>
      <c r="AN133" s="879"/>
      <c r="AO133" s="879"/>
      <c r="AP133" s="879"/>
      <c r="AQ133" s="879"/>
      <c r="AR133" s="879"/>
    </row>
    <row r="134" spans="1:44" x14ac:dyDescent="0.2">
      <c r="A134" s="184" t="s">
        <v>27</v>
      </c>
      <c r="B134" s="184" t="s">
        <v>681</v>
      </c>
      <c r="C134" s="184" t="s">
        <v>682</v>
      </c>
      <c r="D134" s="183" t="s">
        <v>26</v>
      </c>
      <c r="E134" s="184" t="s">
        <v>52</v>
      </c>
      <c r="F134" s="184" t="str">
        <f>Commodities!$D$11</f>
        <v>RSH</v>
      </c>
      <c r="G134" s="204">
        <v>2040</v>
      </c>
      <c r="H134" s="203">
        <v>27</v>
      </c>
      <c r="I134" s="205">
        <v>5.1389487171257446</v>
      </c>
      <c r="J134" s="205">
        <v>0.92</v>
      </c>
      <c r="K134" s="184">
        <v>1</v>
      </c>
      <c r="L134" s="184">
        <v>0.16</v>
      </c>
      <c r="M134" s="184">
        <v>0.16</v>
      </c>
      <c r="N134" s="184">
        <v>0.16</v>
      </c>
      <c r="O134" s="184">
        <v>0.16</v>
      </c>
      <c r="P134" s="184">
        <v>0.16</v>
      </c>
      <c r="Q134" s="184"/>
      <c r="R134" s="184">
        <v>0.15</v>
      </c>
      <c r="S134" s="879"/>
      <c r="T134" s="879"/>
      <c r="U134" s="879"/>
      <c r="V134" s="879"/>
      <c r="W134" s="879"/>
      <c r="X134" s="879"/>
      <c r="Y134" s="879"/>
      <c r="Z134" s="879"/>
      <c r="AA134" s="879"/>
      <c r="AB134" s="879"/>
      <c r="AC134" s="879"/>
      <c r="AD134" s="879"/>
      <c r="AE134" s="879"/>
      <c r="AF134" s="879"/>
      <c r="AG134" s="879"/>
      <c r="AH134" s="879"/>
      <c r="AI134" s="879">
        <v>0</v>
      </c>
      <c r="AJ134" s="879">
        <v>0</v>
      </c>
      <c r="AK134" s="879"/>
      <c r="AL134" s="879"/>
      <c r="AM134" s="879"/>
      <c r="AN134" s="879"/>
      <c r="AO134" s="879"/>
      <c r="AP134" s="879"/>
      <c r="AQ134" s="879"/>
      <c r="AR134" s="879"/>
    </row>
    <row r="135" spans="1:44" x14ac:dyDescent="0.2">
      <c r="A135" s="184" t="s">
        <v>27</v>
      </c>
      <c r="B135" s="184" t="s">
        <v>683</v>
      </c>
      <c r="C135" s="184" t="s">
        <v>682</v>
      </c>
      <c r="D135" s="183" t="s">
        <v>26</v>
      </c>
      <c r="E135" s="184" t="s">
        <v>52</v>
      </c>
      <c r="F135" s="184" t="str">
        <f>Commodities!$D$11</f>
        <v>RSH</v>
      </c>
      <c r="G135" s="204">
        <v>2040</v>
      </c>
      <c r="H135" s="203">
        <v>27</v>
      </c>
      <c r="I135" s="205">
        <v>5.660291340602269</v>
      </c>
      <c r="J135" s="205">
        <v>0.99</v>
      </c>
      <c r="K135" s="184">
        <v>1</v>
      </c>
      <c r="L135" s="184">
        <v>0.16</v>
      </c>
      <c r="M135" s="184">
        <v>0.16</v>
      </c>
      <c r="N135" s="184">
        <v>0.16</v>
      </c>
      <c r="O135" s="184">
        <v>0.16</v>
      </c>
      <c r="P135" s="184">
        <v>0.16</v>
      </c>
      <c r="Q135" s="184"/>
      <c r="R135" s="184">
        <v>0.15</v>
      </c>
      <c r="S135" s="879"/>
      <c r="T135" s="879"/>
      <c r="U135" s="879"/>
      <c r="V135" s="879"/>
      <c r="W135" s="879"/>
      <c r="X135" s="879"/>
      <c r="Y135" s="879"/>
      <c r="Z135" s="879"/>
      <c r="AA135" s="879"/>
      <c r="AB135" s="879"/>
      <c r="AC135" s="879"/>
      <c r="AD135" s="879"/>
      <c r="AE135" s="879"/>
      <c r="AF135" s="879"/>
      <c r="AG135" s="879"/>
      <c r="AH135" s="879"/>
      <c r="AI135" s="879">
        <v>0</v>
      </c>
      <c r="AJ135" s="879">
        <v>0</v>
      </c>
      <c r="AK135" s="879"/>
      <c r="AL135" s="879"/>
      <c r="AM135" s="879"/>
      <c r="AN135" s="879"/>
      <c r="AO135" s="879"/>
      <c r="AP135" s="879"/>
      <c r="AQ135" s="879"/>
      <c r="AR135" s="879"/>
    </row>
    <row r="136" spans="1:44" x14ac:dyDescent="0.2">
      <c r="A136" s="184" t="s">
        <v>27</v>
      </c>
      <c r="B136" s="184" t="s">
        <v>684</v>
      </c>
      <c r="C136" s="184" t="s">
        <v>685</v>
      </c>
      <c r="D136" s="183" t="s">
        <v>26</v>
      </c>
      <c r="E136" s="184" t="s">
        <v>52</v>
      </c>
      <c r="F136" s="184" t="str">
        <f>Commodities!$D$11</f>
        <v>RSH</v>
      </c>
      <c r="G136" s="204">
        <v>2050</v>
      </c>
      <c r="H136" s="203">
        <v>27</v>
      </c>
      <c r="I136" s="205">
        <v>5.1389487171257446</v>
      </c>
      <c r="J136" s="205">
        <v>0.93</v>
      </c>
      <c r="K136" s="184">
        <v>1</v>
      </c>
      <c r="L136" s="184">
        <v>0.16</v>
      </c>
      <c r="M136" s="184">
        <v>0.16</v>
      </c>
      <c r="N136" s="184">
        <v>0.16</v>
      </c>
      <c r="O136" s="184">
        <v>0.16</v>
      </c>
      <c r="P136" s="184">
        <v>0.16</v>
      </c>
      <c r="Q136" s="184"/>
      <c r="R136" s="184">
        <v>0.15</v>
      </c>
      <c r="S136" s="879"/>
      <c r="T136" s="879"/>
      <c r="U136" s="879"/>
      <c r="V136" s="879"/>
      <c r="W136" s="879"/>
      <c r="X136" s="879"/>
      <c r="Y136" s="879"/>
      <c r="Z136" s="879"/>
      <c r="AA136" s="879"/>
      <c r="AB136" s="879"/>
      <c r="AC136" s="879"/>
      <c r="AD136" s="879"/>
      <c r="AE136" s="879"/>
      <c r="AF136" s="879"/>
      <c r="AG136" s="879"/>
      <c r="AH136" s="879"/>
      <c r="AI136" s="879">
        <v>0</v>
      </c>
      <c r="AJ136" s="879">
        <v>0</v>
      </c>
      <c r="AK136" s="879"/>
      <c r="AL136" s="879"/>
      <c r="AM136" s="879"/>
      <c r="AN136" s="879"/>
      <c r="AO136" s="879"/>
      <c r="AP136" s="879"/>
      <c r="AQ136" s="879"/>
      <c r="AR136" s="879"/>
    </row>
    <row r="137" spans="1:44" x14ac:dyDescent="0.2">
      <c r="A137" s="184" t="s">
        <v>27</v>
      </c>
      <c r="B137" s="184" t="s">
        <v>686</v>
      </c>
      <c r="C137" s="184" t="s">
        <v>685</v>
      </c>
      <c r="D137" s="183" t="s">
        <v>26</v>
      </c>
      <c r="E137" s="184" t="s">
        <v>52</v>
      </c>
      <c r="F137" s="184" t="str">
        <f>Commodities!$D$11</f>
        <v>RSH</v>
      </c>
      <c r="G137" s="204">
        <v>2050</v>
      </c>
      <c r="H137" s="203">
        <v>27</v>
      </c>
      <c r="I137" s="205">
        <v>5.660291340602269</v>
      </c>
      <c r="J137" s="205">
        <v>0.99</v>
      </c>
      <c r="K137" s="184">
        <v>1</v>
      </c>
      <c r="L137" s="184">
        <v>0.16</v>
      </c>
      <c r="M137" s="184">
        <v>0.16</v>
      </c>
      <c r="N137" s="184">
        <v>0.16</v>
      </c>
      <c r="O137" s="184">
        <v>0.16</v>
      </c>
      <c r="P137" s="184">
        <v>0.16</v>
      </c>
      <c r="Q137" s="184"/>
      <c r="R137" s="184">
        <v>0.15</v>
      </c>
      <c r="S137" s="879"/>
      <c r="T137" s="879"/>
      <c r="U137" s="879"/>
      <c r="V137" s="879"/>
      <c r="W137" s="879"/>
      <c r="X137" s="879"/>
      <c r="Y137" s="879"/>
      <c r="Z137" s="879"/>
      <c r="AA137" s="879"/>
      <c r="AB137" s="879"/>
      <c r="AC137" s="879"/>
      <c r="AD137" s="879"/>
      <c r="AE137" s="879"/>
      <c r="AF137" s="879"/>
      <c r="AG137" s="879"/>
      <c r="AH137" s="879"/>
      <c r="AI137" s="879">
        <v>0</v>
      </c>
      <c r="AJ137" s="879">
        <v>0</v>
      </c>
      <c r="AK137" s="879"/>
      <c r="AL137" s="879"/>
      <c r="AM137" s="879"/>
      <c r="AN137" s="879"/>
      <c r="AO137" s="879"/>
      <c r="AP137" s="879"/>
      <c r="AQ137" s="879"/>
      <c r="AR137" s="879"/>
    </row>
    <row r="138" spans="1:44" x14ac:dyDescent="0.2">
      <c r="A138" s="194" t="s">
        <v>517</v>
      </c>
      <c r="B138" s="192"/>
      <c r="C138" s="192"/>
      <c r="D138" s="192"/>
      <c r="E138" s="194"/>
      <c r="F138" s="194"/>
      <c r="G138" s="872"/>
      <c r="H138" s="873"/>
      <c r="I138" s="873"/>
      <c r="J138" s="874"/>
      <c r="K138" s="873"/>
      <c r="L138" s="873"/>
      <c r="M138" s="873" t="s">
        <v>514</v>
      </c>
      <c r="N138" s="873" t="s">
        <v>514</v>
      </c>
      <c r="O138" s="873" t="s">
        <v>514</v>
      </c>
      <c r="P138" s="873" t="s">
        <v>514</v>
      </c>
      <c r="Q138" s="873"/>
      <c r="R138" s="874"/>
      <c r="S138" s="875"/>
      <c r="T138" s="875"/>
      <c r="U138" s="875"/>
      <c r="V138" s="875"/>
      <c r="W138" s="875"/>
      <c r="X138" s="875"/>
      <c r="Y138" s="875"/>
      <c r="Z138" s="875"/>
      <c r="AA138" s="875"/>
      <c r="AB138" s="875"/>
      <c r="AC138" s="875"/>
      <c r="AD138" s="875"/>
      <c r="AE138" s="875"/>
      <c r="AF138" s="875"/>
      <c r="AG138" s="875"/>
      <c r="AH138" s="875"/>
      <c r="AI138" s="875"/>
      <c r="AJ138" s="875"/>
      <c r="AK138" s="875"/>
      <c r="AL138" s="875"/>
      <c r="AM138" s="875"/>
      <c r="AN138" s="875"/>
      <c r="AO138" s="875"/>
      <c r="AP138" s="875"/>
      <c r="AQ138" s="875"/>
      <c r="AR138" s="877"/>
    </row>
    <row r="139" spans="1:44" x14ac:dyDescent="0.2">
      <c r="A139" s="184" t="s">
        <v>27</v>
      </c>
      <c r="B139" s="184" t="s">
        <v>687</v>
      </c>
      <c r="C139" s="184" t="s">
        <v>688</v>
      </c>
      <c r="D139" s="183" t="s">
        <v>26</v>
      </c>
      <c r="E139" s="184" t="s">
        <v>52</v>
      </c>
      <c r="F139" s="184" t="str">
        <f>Commodities!$D$11</f>
        <v>RSH</v>
      </c>
      <c r="G139" s="204">
        <v>2010</v>
      </c>
      <c r="H139" s="203">
        <v>20</v>
      </c>
      <c r="I139" s="205"/>
      <c r="J139" s="205">
        <v>0.8</v>
      </c>
      <c r="K139" s="184">
        <v>1</v>
      </c>
      <c r="L139" s="184">
        <v>0.16</v>
      </c>
      <c r="M139" s="184">
        <v>0.16</v>
      </c>
      <c r="N139" s="184">
        <v>0.16</v>
      </c>
      <c r="O139" s="184">
        <v>0.16</v>
      </c>
      <c r="P139" s="184">
        <v>0.16</v>
      </c>
      <c r="Q139" s="184"/>
      <c r="R139" s="184">
        <v>0.15</v>
      </c>
      <c r="S139" s="878"/>
      <c r="T139" s="878"/>
      <c r="U139" s="878"/>
      <c r="V139" s="878"/>
      <c r="W139" s="878"/>
      <c r="X139" s="878"/>
      <c r="Y139" s="878"/>
      <c r="Z139" s="878"/>
      <c r="AA139" s="878"/>
      <c r="AB139" s="878"/>
      <c r="AC139" s="878"/>
      <c r="AD139" s="878"/>
      <c r="AE139" s="878"/>
      <c r="AF139" s="878"/>
      <c r="AG139" s="878"/>
      <c r="AH139" s="878"/>
      <c r="AI139" s="879">
        <v>0</v>
      </c>
      <c r="AJ139" s="879">
        <v>0</v>
      </c>
      <c r="AK139" s="879">
        <v>0</v>
      </c>
      <c r="AL139" s="879">
        <v>0</v>
      </c>
      <c r="AM139" s="879">
        <v>0</v>
      </c>
      <c r="AN139" s="879">
        <v>0</v>
      </c>
      <c r="AO139" s="879">
        <v>0</v>
      </c>
      <c r="AP139" s="879">
        <v>0</v>
      </c>
      <c r="AQ139" s="879">
        <v>0</v>
      </c>
      <c r="AR139" s="879">
        <v>0</v>
      </c>
    </row>
    <row r="140" spans="1:44" x14ac:dyDescent="0.2">
      <c r="A140" s="184" t="s">
        <v>27</v>
      </c>
      <c r="B140" s="184" t="s">
        <v>689</v>
      </c>
      <c r="C140" s="184" t="s">
        <v>690</v>
      </c>
      <c r="D140" s="183" t="s">
        <v>26</v>
      </c>
      <c r="E140" s="184" t="s">
        <v>52</v>
      </c>
      <c r="F140" s="184" t="str">
        <f>Commodities!$D$11</f>
        <v>RSH</v>
      </c>
      <c r="G140" s="204" t="s">
        <v>615</v>
      </c>
      <c r="H140" s="203">
        <v>20</v>
      </c>
      <c r="I140" s="205">
        <v>8.2856238373947697</v>
      </c>
      <c r="J140" s="205">
        <v>0.82</v>
      </c>
      <c r="K140" s="184">
        <v>1</v>
      </c>
      <c r="L140" s="184">
        <v>0.16</v>
      </c>
      <c r="M140" s="184">
        <v>0.16</v>
      </c>
      <c r="N140" s="184">
        <v>0.16</v>
      </c>
      <c r="O140" s="184">
        <v>0.16</v>
      </c>
      <c r="P140" s="184">
        <v>0.16</v>
      </c>
      <c r="Q140" s="184"/>
      <c r="R140" s="184">
        <v>0.15</v>
      </c>
      <c r="S140" s="879"/>
      <c r="T140" s="879"/>
      <c r="U140" s="879"/>
      <c r="V140" s="879"/>
      <c r="W140" s="879"/>
      <c r="X140" s="879"/>
      <c r="Y140" s="879"/>
      <c r="Z140" s="879"/>
      <c r="AA140" s="879"/>
      <c r="AB140" s="879"/>
      <c r="AC140" s="879"/>
      <c r="AD140" s="879"/>
      <c r="AE140" s="879"/>
      <c r="AF140" s="879"/>
      <c r="AG140" s="879"/>
      <c r="AH140" s="879"/>
      <c r="AI140" s="879">
        <v>0</v>
      </c>
      <c r="AJ140" s="879"/>
      <c r="AK140" s="879"/>
      <c r="AL140" s="879"/>
      <c r="AM140" s="879"/>
      <c r="AN140" s="879"/>
      <c r="AO140" s="879"/>
      <c r="AP140" s="879"/>
      <c r="AQ140" s="879"/>
      <c r="AR140" s="879"/>
    </row>
    <row r="141" spans="1:44" x14ac:dyDescent="0.2">
      <c r="A141" s="184" t="s">
        <v>27</v>
      </c>
      <c r="B141" s="184" t="s">
        <v>691</v>
      </c>
      <c r="C141" s="184" t="s">
        <v>692</v>
      </c>
      <c r="D141" s="183" t="s">
        <v>26</v>
      </c>
      <c r="E141" s="184" t="s">
        <v>52</v>
      </c>
      <c r="F141" s="184" t="str">
        <f>Commodities!$D$11</f>
        <v>RSH</v>
      </c>
      <c r="G141" s="204">
        <v>2020</v>
      </c>
      <c r="H141" s="203">
        <v>20</v>
      </c>
      <c r="I141" s="205">
        <v>9.4958834990367009</v>
      </c>
      <c r="J141" s="205">
        <v>0.85</v>
      </c>
      <c r="K141" s="184">
        <v>1</v>
      </c>
      <c r="L141" s="184">
        <v>0.16</v>
      </c>
      <c r="M141" s="184">
        <v>0.16</v>
      </c>
      <c r="N141" s="184">
        <v>0.16</v>
      </c>
      <c r="O141" s="184">
        <v>0.16</v>
      </c>
      <c r="P141" s="184">
        <v>0.16</v>
      </c>
      <c r="Q141" s="184"/>
      <c r="R141" s="184">
        <v>0.15</v>
      </c>
      <c r="S141" s="879"/>
      <c r="T141" s="879"/>
      <c r="U141" s="879"/>
      <c r="V141" s="879"/>
      <c r="W141" s="879"/>
      <c r="X141" s="879"/>
      <c r="Y141" s="879"/>
      <c r="Z141" s="879"/>
      <c r="AA141" s="879"/>
      <c r="AB141" s="879"/>
      <c r="AC141" s="879"/>
      <c r="AD141" s="879"/>
      <c r="AE141" s="879"/>
      <c r="AF141" s="879"/>
      <c r="AG141" s="879"/>
      <c r="AH141" s="879"/>
      <c r="AI141" s="879"/>
      <c r="AJ141" s="879"/>
      <c r="AK141" s="879"/>
      <c r="AL141" s="879"/>
      <c r="AM141" s="879"/>
      <c r="AN141" s="879"/>
      <c r="AO141" s="879"/>
      <c r="AP141" s="879"/>
      <c r="AQ141" s="879"/>
      <c r="AR141" s="879"/>
    </row>
    <row r="142" spans="1:44" x14ac:dyDescent="0.2">
      <c r="A142" s="184" t="s">
        <v>27</v>
      </c>
      <c r="B142" s="184" t="s">
        <v>693</v>
      </c>
      <c r="C142" s="184" t="s">
        <v>694</v>
      </c>
      <c r="D142" s="183" t="s">
        <v>26</v>
      </c>
      <c r="E142" s="184" t="s">
        <v>52</v>
      </c>
      <c r="F142" s="184" t="str">
        <f>Commodities!$D$11</f>
        <v>RSH</v>
      </c>
      <c r="G142" s="204">
        <v>2015</v>
      </c>
      <c r="H142" s="203">
        <v>20</v>
      </c>
      <c r="I142" s="205">
        <v>11.916402822320567</v>
      </c>
      <c r="J142" s="205">
        <v>0.98</v>
      </c>
      <c r="K142" s="184">
        <v>1</v>
      </c>
      <c r="L142" s="184">
        <v>0.16</v>
      </c>
      <c r="M142" s="184">
        <v>0.16</v>
      </c>
      <c r="N142" s="184">
        <v>0.16</v>
      </c>
      <c r="O142" s="184">
        <v>0.16</v>
      </c>
      <c r="P142" s="184">
        <v>0.16</v>
      </c>
      <c r="Q142" s="184"/>
      <c r="R142" s="184">
        <v>0.15</v>
      </c>
      <c r="S142" s="879"/>
      <c r="T142" s="879"/>
      <c r="U142" s="879"/>
      <c r="V142" s="879"/>
      <c r="W142" s="879"/>
      <c r="X142" s="879"/>
      <c r="Y142" s="879"/>
      <c r="Z142" s="879"/>
      <c r="AA142" s="879"/>
      <c r="AB142" s="879"/>
      <c r="AC142" s="879"/>
      <c r="AD142" s="879"/>
      <c r="AE142" s="879"/>
      <c r="AF142" s="879"/>
      <c r="AG142" s="879"/>
      <c r="AH142" s="879"/>
      <c r="AI142" s="879"/>
      <c r="AJ142" s="879"/>
      <c r="AK142" s="879"/>
      <c r="AL142" s="879"/>
      <c r="AM142" s="879"/>
      <c r="AN142" s="879"/>
      <c r="AO142" s="879"/>
      <c r="AP142" s="879"/>
      <c r="AQ142" s="879"/>
      <c r="AR142" s="879"/>
    </row>
    <row r="143" spans="1:44" x14ac:dyDescent="0.2">
      <c r="A143" s="184" t="s">
        <v>27</v>
      </c>
      <c r="B143" s="184" t="s">
        <v>695</v>
      </c>
      <c r="C143" s="184" t="s">
        <v>696</v>
      </c>
      <c r="D143" s="183" t="s">
        <v>26</v>
      </c>
      <c r="E143" s="184" t="s">
        <v>52</v>
      </c>
      <c r="F143" s="184" t="str">
        <f>Commodities!$D$11</f>
        <v>RSH</v>
      </c>
      <c r="G143" s="204">
        <v>2020</v>
      </c>
      <c r="H143" s="203">
        <v>20</v>
      </c>
      <c r="I143" s="205">
        <v>12.987017138388431</v>
      </c>
      <c r="J143" s="205">
        <v>0.9</v>
      </c>
      <c r="K143" s="184">
        <v>1</v>
      </c>
      <c r="L143" s="184">
        <v>0.16</v>
      </c>
      <c r="M143" s="184">
        <v>0.16</v>
      </c>
      <c r="N143" s="184">
        <v>0.16</v>
      </c>
      <c r="O143" s="184">
        <v>0.16</v>
      </c>
      <c r="P143" s="184">
        <v>0.16</v>
      </c>
      <c r="Q143" s="184"/>
      <c r="R143" s="184">
        <v>0.15</v>
      </c>
      <c r="S143" s="879"/>
      <c r="T143" s="879"/>
      <c r="U143" s="879"/>
      <c r="V143" s="879"/>
      <c r="W143" s="879"/>
      <c r="X143" s="879"/>
      <c r="Y143" s="879"/>
      <c r="Z143" s="879"/>
      <c r="AA143" s="879"/>
      <c r="AB143" s="879"/>
      <c r="AC143" s="879"/>
      <c r="AD143" s="879"/>
      <c r="AE143" s="879"/>
      <c r="AF143" s="879"/>
      <c r="AG143" s="879"/>
      <c r="AH143" s="879"/>
      <c r="AI143" s="879"/>
      <c r="AJ143" s="879"/>
      <c r="AK143" s="879"/>
      <c r="AL143" s="879"/>
      <c r="AM143" s="879"/>
      <c r="AN143" s="879"/>
      <c r="AO143" s="879"/>
      <c r="AP143" s="879"/>
      <c r="AQ143" s="879"/>
      <c r="AR143" s="879"/>
    </row>
    <row r="144" spans="1:44" x14ac:dyDescent="0.2">
      <c r="A144" s="184" t="s">
        <v>27</v>
      </c>
      <c r="B144" s="184" t="s">
        <v>697</v>
      </c>
      <c r="C144" s="184" t="s">
        <v>698</v>
      </c>
      <c r="D144" s="183" t="s">
        <v>26</v>
      </c>
      <c r="E144" s="184" t="s">
        <v>52</v>
      </c>
      <c r="F144" s="184" t="str">
        <f>Commodities!$D$11</f>
        <v>RSH</v>
      </c>
      <c r="G144" s="204">
        <v>2015</v>
      </c>
      <c r="H144" s="203">
        <v>20</v>
      </c>
      <c r="I144" s="205">
        <v>12.988879076329416</v>
      </c>
      <c r="J144" s="205">
        <v>0.96</v>
      </c>
      <c r="K144" s="184">
        <v>1</v>
      </c>
      <c r="L144" s="184">
        <v>0.16</v>
      </c>
      <c r="M144" s="184">
        <v>0.16</v>
      </c>
      <c r="N144" s="184">
        <v>0.16</v>
      </c>
      <c r="O144" s="184">
        <v>0.16</v>
      </c>
      <c r="P144" s="184">
        <v>0.16</v>
      </c>
      <c r="Q144" s="184"/>
      <c r="R144" s="184">
        <v>0.15</v>
      </c>
      <c r="S144" s="879"/>
      <c r="T144" s="879"/>
      <c r="U144" s="879"/>
      <c r="V144" s="879"/>
      <c r="W144" s="879"/>
      <c r="X144" s="879"/>
      <c r="Y144" s="879"/>
      <c r="Z144" s="879"/>
      <c r="AA144" s="879"/>
      <c r="AB144" s="879"/>
      <c r="AC144" s="879"/>
      <c r="AD144" s="879"/>
      <c r="AE144" s="879"/>
      <c r="AF144" s="879"/>
      <c r="AG144" s="879"/>
      <c r="AH144" s="879"/>
      <c r="AI144" s="879"/>
      <c r="AJ144" s="879"/>
      <c r="AK144" s="879"/>
      <c r="AL144" s="879"/>
      <c r="AM144" s="879"/>
      <c r="AN144" s="879"/>
      <c r="AO144" s="879"/>
      <c r="AP144" s="879"/>
      <c r="AQ144" s="879"/>
      <c r="AR144" s="879"/>
    </row>
    <row r="145" spans="1:44" x14ac:dyDescent="0.2">
      <c r="A145" s="184" t="s">
        <v>27</v>
      </c>
      <c r="B145" s="184" t="s">
        <v>699</v>
      </c>
      <c r="C145" s="184" t="s">
        <v>700</v>
      </c>
      <c r="D145" s="183" t="s">
        <v>26</v>
      </c>
      <c r="E145" s="184" t="s">
        <v>52</v>
      </c>
      <c r="F145" s="184" t="str">
        <f>Commodities!$D$11</f>
        <v>RSH</v>
      </c>
      <c r="G145" s="204" t="s">
        <v>633</v>
      </c>
      <c r="H145" s="203">
        <v>20</v>
      </c>
      <c r="I145" s="205">
        <v>8.3590501735031335</v>
      </c>
      <c r="J145" s="205">
        <v>0.85</v>
      </c>
      <c r="K145" s="184">
        <v>1</v>
      </c>
      <c r="L145" s="184">
        <v>0.16</v>
      </c>
      <c r="M145" s="184">
        <v>0.16</v>
      </c>
      <c r="N145" s="184">
        <v>0.16</v>
      </c>
      <c r="O145" s="184">
        <v>0.16</v>
      </c>
      <c r="P145" s="184">
        <v>0.16</v>
      </c>
      <c r="Q145" s="184"/>
      <c r="R145" s="184">
        <v>0.15</v>
      </c>
      <c r="S145" s="879"/>
      <c r="T145" s="879"/>
      <c r="U145" s="879"/>
      <c r="V145" s="879"/>
      <c r="W145" s="879"/>
      <c r="X145" s="879"/>
      <c r="Y145" s="879"/>
      <c r="Z145" s="879"/>
      <c r="AA145" s="879"/>
      <c r="AB145" s="879"/>
      <c r="AC145" s="879"/>
      <c r="AD145" s="879"/>
      <c r="AE145" s="879"/>
      <c r="AF145" s="879"/>
      <c r="AG145" s="879"/>
      <c r="AH145" s="879"/>
      <c r="AI145" s="879">
        <v>0</v>
      </c>
      <c r="AJ145" s="879">
        <v>0</v>
      </c>
      <c r="AK145" s="879"/>
      <c r="AL145" s="879"/>
      <c r="AM145" s="879"/>
      <c r="AN145" s="879"/>
      <c r="AO145" s="879"/>
      <c r="AP145" s="879"/>
      <c r="AQ145" s="879"/>
      <c r="AR145" s="879"/>
    </row>
    <row r="146" spans="1:44" x14ac:dyDescent="0.2">
      <c r="A146" s="184" t="s">
        <v>27</v>
      </c>
      <c r="B146" s="184" t="s">
        <v>701</v>
      </c>
      <c r="C146" s="184" t="s">
        <v>702</v>
      </c>
      <c r="D146" s="183" t="s">
        <v>26</v>
      </c>
      <c r="E146" s="184" t="s">
        <v>52</v>
      </c>
      <c r="F146" s="184" t="str">
        <f>Commodities!$D$11</f>
        <v>RSH</v>
      </c>
      <c r="G146" s="204" t="s">
        <v>633</v>
      </c>
      <c r="H146" s="203">
        <v>20</v>
      </c>
      <c r="I146" s="205">
        <v>7.8673413397676546</v>
      </c>
      <c r="J146" s="205">
        <v>0.98</v>
      </c>
      <c r="K146" s="184">
        <v>1</v>
      </c>
      <c r="L146" s="184">
        <v>0.16</v>
      </c>
      <c r="M146" s="184">
        <v>0.16</v>
      </c>
      <c r="N146" s="184">
        <v>0.16</v>
      </c>
      <c r="O146" s="184">
        <v>0.16</v>
      </c>
      <c r="P146" s="184">
        <v>0.16</v>
      </c>
      <c r="Q146" s="184"/>
      <c r="R146" s="184">
        <v>0.15</v>
      </c>
      <c r="S146" s="879"/>
      <c r="T146" s="879"/>
      <c r="U146" s="879"/>
      <c r="V146" s="879"/>
      <c r="W146" s="879"/>
      <c r="X146" s="879"/>
      <c r="Y146" s="879"/>
      <c r="Z146" s="879"/>
      <c r="AA146" s="879"/>
      <c r="AB146" s="879"/>
      <c r="AC146" s="879"/>
      <c r="AD146" s="879"/>
      <c r="AE146" s="879"/>
      <c r="AF146" s="879"/>
      <c r="AG146" s="879"/>
      <c r="AH146" s="879"/>
      <c r="AI146" s="879">
        <v>0</v>
      </c>
      <c r="AJ146" s="879">
        <v>0</v>
      </c>
      <c r="AK146" s="879">
        <v>0</v>
      </c>
      <c r="AL146" s="879">
        <v>0</v>
      </c>
      <c r="AM146" s="879">
        <v>0</v>
      </c>
      <c r="AN146" s="879">
        <v>0</v>
      </c>
      <c r="AO146" s="879">
        <v>0</v>
      </c>
      <c r="AP146" s="879">
        <v>0</v>
      </c>
      <c r="AQ146" s="879">
        <v>0</v>
      </c>
      <c r="AR146" s="879">
        <v>0</v>
      </c>
    </row>
    <row r="147" spans="1:44" x14ac:dyDescent="0.2">
      <c r="A147" s="194" t="s">
        <v>520</v>
      </c>
      <c r="B147" s="192"/>
      <c r="C147" s="192"/>
      <c r="D147" s="192"/>
      <c r="E147" s="194"/>
      <c r="F147" s="194"/>
      <c r="G147" s="872"/>
      <c r="H147" s="873"/>
      <c r="I147" s="873"/>
      <c r="J147" s="874"/>
      <c r="K147" s="873"/>
      <c r="L147" s="873"/>
      <c r="M147" s="873" t="s">
        <v>514</v>
      </c>
      <c r="N147" s="873" t="s">
        <v>514</v>
      </c>
      <c r="O147" s="873" t="s">
        <v>514</v>
      </c>
      <c r="P147" s="873" t="s">
        <v>514</v>
      </c>
      <c r="Q147" s="873"/>
      <c r="R147" s="874"/>
      <c r="S147" s="875"/>
      <c r="T147" s="875"/>
      <c r="U147" s="875"/>
      <c r="V147" s="875"/>
      <c r="W147" s="875"/>
      <c r="X147" s="875"/>
      <c r="Y147" s="875"/>
      <c r="Z147" s="875"/>
      <c r="AA147" s="875"/>
      <c r="AB147" s="875"/>
      <c r="AC147" s="875"/>
      <c r="AD147" s="875"/>
      <c r="AE147" s="875"/>
      <c r="AF147" s="875"/>
      <c r="AG147" s="875"/>
      <c r="AH147" s="875"/>
      <c r="AI147" s="875"/>
      <c r="AJ147" s="875"/>
      <c r="AK147" s="875"/>
      <c r="AL147" s="875"/>
      <c r="AM147" s="875"/>
      <c r="AN147" s="875"/>
      <c r="AO147" s="875"/>
      <c r="AP147" s="875"/>
      <c r="AQ147" s="875"/>
      <c r="AR147" s="877"/>
    </row>
    <row r="148" spans="1:44" x14ac:dyDescent="0.2">
      <c r="A148" s="184" t="s">
        <v>27</v>
      </c>
      <c r="B148" s="184" t="s">
        <v>703</v>
      </c>
      <c r="C148" s="184" t="s">
        <v>704</v>
      </c>
      <c r="D148" s="183" t="s">
        <v>26</v>
      </c>
      <c r="E148" s="184" t="s">
        <v>59</v>
      </c>
      <c r="F148" s="184" t="str">
        <f>Commodities!$D$11</f>
        <v>RSH</v>
      </c>
      <c r="G148" s="204">
        <v>2010</v>
      </c>
      <c r="H148" s="203">
        <v>20</v>
      </c>
      <c r="I148" s="205"/>
      <c r="J148" s="205">
        <v>0.8</v>
      </c>
      <c r="K148" s="184">
        <v>1</v>
      </c>
      <c r="L148" s="184">
        <v>0.16</v>
      </c>
      <c r="M148" s="184">
        <v>0.16</v>
      </c>
      <c r="N148" s="184">
        <v>0.16</v>
      </c>
      <c r="O148" s="184">
        <v>0.16</v>
      </c>
      <c r="P148" s="184">
        <v>0.16</v>
      </c>
      <c r="Q148" s="184"/>
      <c r="R148" s="184">
        <v>0.45</v>
      </c>
      <c r="S148" s="878"/>
      <c r="T148" s="878"/>
      <c r="U148" s="878"/>
      <c r="V148" s="878"/>
      <c r="W148" s="878"/>
      <c r="X148" s="878"/>
      <c r="Y148" s="878"/>
      <c r="Z148" s="878"/>
      <c r="AA148" s="878"/>
      <c r="AB148" s="878"/>
      <c r="AC148" s="878"/>
      <c r="AD148" s="878"/>
      <c r="AE148" s="878"/>
      <c r="AF148" s="878"/>
      <c r="AG148" s="878"/>
      <c r="AH148" s="878"/>
      <c r="AI148" s="879"/>
      <c r="AJ148" s="879"/>
      <c r="AK148" s="879">
        <v>0</v>
      </c>
      <c r="AL148" s="879">
        <v>0</v>
      </c>
      <c r="AM148" s="879">
        <v>0</v>
      </c>
      <c r="AN148" s="879">
        <v>0</v>
      </c>
      <c r="AO148" s="879">
        <v>0</v>
      </c>
      <c r="AP148" s="879">
        <v>0</v>
      </c>
      <c r="AQ148" s="879">
        <v>0</v>
      </c>
      <c r="AR148" s="879">
        <v>0</v>
      </c>
    </row>
    <row r="149" spans="1:44" x14ac:dyDescent="0.2">
      <c r="A149" s="184" t="s">
        <v>27</v>
      </c>
      <c r="B149" s="184" t="s">
        <v>705</v>
      </c>
      <c r="C149" s="184" t="s">
        <v>706</v>
      </c>
      <c r="D149" s="183" t="s">
        <v>26</v>
      </c>
      <c r="E149" s="184" t="s">
        <v>59</v>
      </c>
      <c r="F149" s="184" t="str">
        <f>Commodities!$D$11</f>
        <v>RSH</v>
      </c>
      <c r="G149" s="204" t="s">
        <v>633</v>
      </c>
      <c r="H149" s="203">
        <v>20</v>
      </c>
      <c r="I149" s="205">
        <v>6.3922148385612205</v>
      </c>
      <c r="J149" s="205">
        <v>0.8</v>
      </c>
      <c r="K149" s="184">
        <v>1</v>
      </c>
      <c r="L149" s="184">
        <v>0.16</v>
      </c>
      <c r="M149" s="184">
        <v>0.16</v>
      </c>
      <c r="N149" s="184">
        <v>0.16</v>
      </c>
      <c r="O149" s="184">
        <v>0.16</v>
      </c>
      <c r="P149" s="184">
        <v>0.16</v>
      </c>
      <c r="Q149" s="184"/>
      <c r="R149" s="184">
        <v>0.45</v>
      </c>
      <c r="S149" s="879"/>
      <c r="T149" s="879"/>
      <c r="U149" s="879"/>
      <c r="V149" s="879"/>
      <c r="W149" s="879"/>
      <c r="X149" s="879"/>
      <c r="Y149" s="879"/>
      <c r="Z149" s="879"/>
      <c r="AA149" s="879"/>
      <c r="AB149" s="879"/>
      <c r="AC149" s="879"/>
      <c r="AD149" s="879"/>
      <c r="AE149" s="879"/>
      <c r="AF149" s="879"/>
      <c r="AG149" s="879"/>
      <c r="AH149" s="879"/>
      <c r="AI149" s="879"/>
      <c r="AJ149" s="879"/>
      <c r="AK149" s="879">
        <v>0</v>
      </c>
      <c r="AL149" s="879">
        <v>0</v>
      </c>
      <c r="AM149" s="879">
        <v>0</v>
      </c>
      <c r="AN149" s="879">
        <v>0</v>
      </c>
      <c r="AO149" s="879">
        <v>0</v>
      </c>
      <c r="AP149" s="879">
        <v>0</v>
      </c>
      <c r="AQ149" s="879">
        <v>0</v>
      </c>
      <c r="AR149" s="879">
        <v>0</v>
      </c>
    </row>
    <row r="150" spans="1:44" x14ac:dyDescent="0.2">
      <c r="A150" s="184" t="s">
        <v>27</v>
      </c>
      <c r="B150" s="184" t="s">
        <v>707</v>
      </c>
      <c r="C150" s="184" t="s">
        <v>708</v>
      </c>
      <c r="D150" s="183" t="s">
        <v>26</v>
      </c>
      <c r="E150" s="184" t="s">
        <v>59</v>
      </c>
      <c r="F150" s="184" t="str">
        <f>Commodities!$D$11</f>
        <v>RSH</v>
      </c>
      <c r="G150" s="204" t="s">
        <v>615</v>
      </c>
      <c r="H150" s="203">
        <v>20</v>
      </c>
      <c r="I150" s="205">
        <v>6.8839236722966968</v>
      </c>
      <c r="J150" s="205">
        <v>0.83</v>
      </c>
      <c r="K150" s="184">
        <v>1</v>
      </c>
      <c r="L150" s="184">
        <v>0.16</v>
      </c>
      <c r="M150" s="184">
        <v>0.16</v>
      </c>
      <c r="N150" s="184">
        <v>0.16</v>
      </c>
      <c r="O150" s="184">
        <v>0.16</v>
      </c>
      <c r="P150" s="184">
        <v>0.16</v>
      </c>
      <c r="Q150" s="184"/>
      <c r="R150" s="184">
        <v>0.45</v>
      </c>
      <c r="S150" s="879"/>
      <c r="T150" s="879"/>
      <c r="U150" s="879"/>
      <c r="V150" s="879"/>
      <c r="W150" s="879"/>
      <c r="X150" s="879"/>
      <c r="Y150" s="879"/>
      <c r="Z150" s="879"/>
      <c r="AA150" s="879"/>
      <c r="AB150" s="879"/>
      <c r="AC150" s="879"/>
      <c r="AD150" s="879"/>
      <c r="AE150" s="879"/>
      <c r="AF150" s="879"/>
      <c r="AG150" s="879"/>
      <c r="AH150" s="879"/>
      <c r="AI150" s="879"/>
      <c r="AJ150" s="879"/>
      <c r="AK150" s="879"/>
      <c r="AL150" s="879"/>
      <c r="AM150" s="879"/>
      <c r="AN150" s="879"/>
      <c r="AO150" s="879"/>
      <c r="AP150" s="879"/>
      <c r="AQ150" s="879"/>
      <c r="AR150" s="879"/>
    </row>
    <row r="151" spans="1:44" x14ac:dyDescent="0.2">
      <c r="A151" s="184" t="s">
        <v>27</v>
      </c>
      <c r="B151" s="184" t="s">
        <v>709</v>
      </c>
      <c r="C151" s="184" t="s">
        <v>710</v>
      </c>
      <c r="D151" s="183" t="s">
        <v>26</v>
      </c>
      <c r="E151" s="184" t="s">
        <v>59</v>
      </c>
      <c r="F151" s="184" t="str">
        <f>Commodities!$D$11</f>
        <v>RSH</v>
      </c>
      <c r="G151" s="204" t="s">
        <v>633</v>
      </c>
      <c r="H151" s="203">
        <v>20</v>
      </c>
      <c r="I151" s="205">
        <v>7.3756325060321766</v>
      </c>
      <c r="J151" s="205">
        <v>0.85</v>
      </c>
      <c r="K151" s="184">
        <v>1</v>
      </c>
      <c r="L151" s="184">
        <v>0.16</v>
      </c>
      <c r="M151" s="184">
        <v>0.16</v>
      </c>
      <c r="N151" s="184">
        <v>0.16</v>
      </c>
      <c r="O151" s="184">
        <v>0.16</v>
      </c>
      <c r="P151" s="184">
        <v>0.16</v>
      </c>
      <c r="Q151" s="184"/>
      <c r="R151" s="184">
        <v>0.45</v>
      </c>
      <c r="S151" s="879"/>
      <c r="T151" s="879"/>
      <c r="U151" s="879"/>
      <c r="V151" s="879"/>
      <c r="W151" s="879"/>
      <c r="X151" s="879"/>
      <c r="Y151" s="879"/>
      <c r="Z151" s="879"/>
      <c r="AA151" s="879"/>
      <c r="AB151" s="879"/>
      <c r="AC151" s="879"/>
      <c r="AD151" s="879"/>
      <c r="AE151" s="879"/>
      <c r="AF151" s="879"/>
      <c r="AG151" s="879"/>
      <c r="AH151" s="879"/>
      <c r="AI151" s="879"/>
      <c r="AJ151" s="879"/>
      <c r="AK151" s="879"/>
      <c r="AL151" s="879"/>
      <c r="AM151" s="879"/>
      <c r="AN151" s="879"/>
      <c r="AO151" s="879"/>
      <c r="AP151" s="879"/>
      <c r="AQ151" s="879"/>
      <c r="AR151" s="879"/>
    </row>
    <row r="152" spans="1:44" x14ac:dyDescent="0.2">
      <c r="A152" s="184" t="s">
        <v>27</v>
      </c>
      <c r="B152" s="184" t="s">
        <v>711</v>
      </c>
      <c r="C152" s="184" t="s">
        <v>712</v>
      </c>
      <c r="D152" s="183" t="s">
        <v>26</v>
      </c>
      <c r="E152" s="184" t="s">
        <v>59</v>
      </c>
      <c r="F152" s="184" t="str">
        <f>Commodities!$D$11</f>
        <v>RSH</v>
      </c>
      <c r="G152" s="204" t="s">
        <v>633</v>
      </c>
      <c r="H152" s="203">
        <v>20</v>
      </c>
      <c r="I152" s="205">
        <v>9.3424678409740913</v>
      </c>
      <c r="J152" s="205">
        <v>0.98</v>
      </c>
      <c r="K152" s="184">
        <v>1</v>
      </c>
      <c r="L152" s="184">
        <v>0.16</v>
      </c>
      <c r="M152" s="184">
        <v>0.16</v>
      </c>
      <c r="N152" s="184">
        <v>0.16</v>
      </c>
      <c r="O152" s="184">
        <v>0.16</v>
      </c>
      <c r="P152" s="184">
        <v>0.16</v>
      </c>
      <c r="Q152" s="184"/>
      <c r="R152" s="184">
        <v>0.45</v>
      </c>
      <c r="S152" s="879"/>
      <c r="T152" s="879"/>
      <c r="U152" s="879"/>
      <c r="V152" s="879"/>
      <c r="W152" s="879"/>
      <c r="X152" s="879"/>
      <c r="Y152" s="879"/>
      <c r="Z152" s="879"/>
      <c r="AA152" s="879"/>
      <c r="AB152" s="879"/>
      <c r="AC152" s="879"/>
      <c r="AD152" s="879"/>
      <c r="AE152" s="879"/>
      <c r="AF152" s="879"/>
      <c r="AG152" s="879"/>
      <c r="AH152" s="879"/>
      <c r="AI152" s="879"/>
      <c r="AJ152" s="879"/>
      <c r="AK152" s="879"/>
      <c r="AL152" s="879"/>
      <c r="AM152" s="879"/>
      <c r="AN152" s="879"/>
      <c r="AO152" s="879"/>
      <c r="AP152" s="879"/>
      <c r="AQ152" s="879"/>
      <c r="AR152" s="879"/>
    </row>
    <row r="153" spans="1:44" x14ac:dyDescent="0.2">
      <c r="A153" s="194" t="s">
        <v>521</v>
      </c>
      <c r="B153" s="192"/>
      <c r="C153" s="192"/>
      <c r="D153" s="192"/>
      <c r="E153" s="194"/>
      <c r="F153" s="194"/>
      <c r="G153" s="872"/>
      <c r="H153" s="873"/>
      <c r="I153" s="873"/>
      <c r="J153" s="874"/>
      <c r="K153" s="873"/>
      <c r="L153" s="873"/>
      <c r="M153" s="873" t="s">
        <v>514</v>
      </c>
      <c r="N153" s="873" t="s">
        <v>514</v>
      </c>
      <c r="O153" s="873" t="s">
        <v>514</v>
      </c>
      <c r="P153" s="873" t="s">
        <v>514</v>
      </c>
      <c r="Q153" s="873"/>
      <c r="R153" s="874"/>
      <c r="S153" s="875"/>
      <c r="T153" s="875"/>
      <c r="U153" s="875"/>
      <c r="V153" s="875"/>
      <c r="W153" s="875"/>
      <c r="X153" s="875"/>
      <c r="Y153" s="875"/>
      <c r="Z153" s="875"/>
      <c r="AA153" s="875"/>
      <c r="AB153" s="875"/>
      <c r="AC153" s="875"/>
      <c r="AD153" s="875"/>
      <c r="AE153" s="875"/>
      <c r="AF153" s="875"/>
      <c r="AG153" s="875"/>
      <c r="AH153" s="875"/>
      <c r="AI153" s="875"/>
      <c r="AJ153" s="875"/>
      <c r="AK153" s="875"/>
      <c r="AL153" s="875"/>
      <c r="AM153" s="875"/>
      <c r="AN153" s="875"/>
      <c r="AO153" s="875"/>
      <c r="AP153" s="875"/>
      <c r="AQ153" s="875"/>
      <c r="AR153" s="877"/>
    </row>
    <row r="154" spans="1:44" x14ac:dyDescent="0.2">
      <c r="A154" s="184" t="s">
        <v>27</v>
      </c>
      <c r="B154" s="184" t="s">
        <v>713</v>
      </c>
      <c r="C154" s="184" t="s">
        <v>714</v>
      </c>
      <c r="D154" s="183" t="s">
        <v>26</v>
      </c>
      <c r="E154" s="184" t="s">
        <v>61</v>
      </c>
      <c r="F154" s="184" t="str">
        <f>Commodities!$D$11</f>
        <v>RSH</v>
      </c>
      <c r="G154" s="204">
        <v>2010</v>
      </c>
      <c r="H154" s="203">
        <v>20</v>
      </c>
      <c r="I154" s="205"/>
      <c r="J154" s="205">
        <v>0.78</v>
      </c>
      <c r="K154" s="184">
        <v>1</v>
      </c>
      <c r="L154" s="184">
        <v>0.16</v>
      </c>
      <c r="M154" s="184">
        <v>0.16</v>
      </c>
      <c r="N154" s="184">
        <v>0.16</v>
      </c>
      <c r="O154" s="184">
        <v>0.16</v>
      </c>
      <c r="P154" s="184">
        <v>0.16</v>
      </c>
      <c r="Q154" s="184"/>
      <c r="R154" s="184">
        <v>0.45</v>
      </c>
      <c r="S154" s="878"/>
      <c r="T154" s="878"/>
      <c r="U154" s="878"/>
      <c r="V154" s="878"/>
      <c r="W154" s="878"/>
      <c r="X154" s="878"/>
      <c r="Y154" s="878"/>
      <c r="Z154" s="878"/>
      <c r="AA154" s="878"/>
      <c r="AB154" s="878"/>
      <c r="AC154" s="878"/>
      <c r="AD154" s="878"/>
      <c r="AE154" s="878"/>
      <c r="AF154" s="878"/>
      <c r="AG154" s="878"/>
      <c r="AH154" s="878"/>
      <c r="AI154" s="879"/>
      <c r="AJ154" s="879"/>
      <c r="AK154" s="879">
        <v>0</v>
      </c>
      <c r="AL154" s="879">
        <v>0</v>
      </c>
      <c r="AM154" s="879">
        <v>0</v>
      </c>
      <c r="AN154" s="879">
        <v>0</v>
      </c>
      <c r="AO154" s="879">
        <v>0</v>
      </c>
      <c r="AP154" s="879">
        <v>0</v>
      </c>
      <c r="AQ154" s="879">
        <v>0</v>
      </c>
      <c r="AR154" s="879">
        <v>0</v>
      </c>
    </row>
    <row r="155" spans="1:44" x14ac:dyDescent="0.2">
      <c r="A155" s="184" t="s">
        <v>27</v>
      </c>
      <c r="B155" s="184" t="s">
        <v>715</v>
      </c>
      <c r="C155" s="184" t="s">
        <v>716</v>
      </c>
      <c r="D155" s="183" t="s">
        <v>26</v>
      </c>
      <c r="E155" s="184" t="s">
        <v>61</v>
      </c>
      <c r="F155" s="184" t="str">
        <f>Commodities!$D$11</f>
        <v>RSH</v>
      </c>
      <c r="G155" s="204" t="s">
        <v>633</v>
      </c>
      <c r="H155" s="203">
        <v>20</v>
      </c>
      <c r="I155" s="205">
        <v>4.9170883373547847</v>
      </c>
      <c r="J155" s="205">
        <v>0.78</v>
      </c>
      <c r="K155" s="184">
        <v>1</v>
      </c>
      <c r="L155" s="184">
        <v>0.16</v>
      </c>
      <c r="M155" s="184">
        <v>0.16</v>
      </c>
      <c r="N155" s="184">
        <v>0.16</v>
      </c>
      <c r="O155" s="184">
        <v>0.16</v>
      </c>
      <c r="P155" s="184">
        <v>0.16</v>
      </c>
      <c r="Q155" s="184"/>
      <c r="R155" s="184">
        <v>0.45</v>
      </c>
      <c r="S155" s="879"/>
      <c r="T155" s="879"/>
      <c r="U155" s="879"/>
      <c r="V155" s="879"/>
      <c r="W155" s="879"/>
      <c r="X155" s="879"/>
      <c r="Y155" s="879"/>
      <c r="Z155" s="879"/>
      <c r="AA155" s="879"/>
      <c r="AB155" s="879"/>
      <c r="AC155" s="879"/>
      <c r="AD155" s="879"/>
      <c r="AE155" s="879"/>
      <c r="AF155" s="879"/>
      <c r="AG155" s="879"/>
      <c r="AH155" s="879"/>
      <c r="AI155" s="879"/>
      <c r="AJ155" s="879"/>
      <c r="AK155" s="879"/>
      <c r="AL155" s="879"/>
      <c r="AM155" s="879"/>
      <c r="AN155" s="879"/>
      <c r="AO155" s="879"/>
      <c r="AP155" s="879"/>
      <c r="AQ155" s="879"/>
      <c r="AR155" s="879"/>
    </row>
    <row r="156" spans="1:44" x14ac:dyDescent="0.2">
      <c r="A156" s="184" t="s">
        <v>27</v>
      </c>
      <c r="B156" s="184" t="s">
        <v>717</v>
      </c>
      <c r="C156" s="184" t="s">
        <v>718</v>
      </c>
      <c r="D156" s="183" t="s">
        <v>26</v>
      </c>
      <c r="E156" s="184" t="s">
        <v>61</v>
      </c>
      <c r="F156" s="184" t="str">
        <f>Commodities!$D$11</f>
        <v>RSH</v>
      </c>
      <c r="G156" s="204" t="s">
        <v>633</v>
      </c>
      <c r="H156" s="203">
        <v>20</v>
      </c>
      <c r="I156" s="205">
        <v>4.9170883373547847</v>
      </c>
      <c r="J156" s="205">
        <v>0.8</v>
      </c>
      <c r="K156" s="184">
        <v>1</v>
      </c>
      <c r="L156" s="184">
        <v>0.16</v>
      </c>
      <c r="M156" s="184">
        <v>0.16</v>
      </c>
      <c r="N156" s="184">
        <v>0.16</v>
      </c>
      <c r="O156" s="184">
        <v>0.16</v>
      </c>
      <c r="P156" s="184">
        <v>0.16</v>
      </c>
      <c r="Q156" s="184"/>
      <c r="R156" s="184">
        <v>0.45</v>
      </c>
      <c r="S156" s="879"/>
      <c r="T156" s="879"/>
      <c r="U156" s="879"/>
      <c r="V156" s="879"/>
      <c r="W156" s="879"/>
      <c r="X156" s="879"/>
      <c r="Y156" s="879"/>
      <c r="Z156" s="879"/>
      <c r="AA156" s="879"/>
      <c r="AB156" s="879"/>
      <c r="AC156" s="879"/>
      <c r="AD156" s="879"/>
      <c r="AE156" s="879"/>
      <c r="AF156" s="879"/>
      <c r="AG156" s="879"/>
      <c r="AH156" s="879"/>
      <c r="AI156" s="879"/>
      <c r="AJ156" s="879"/>
      <c r="AK156" s="879"/>
      <c r="AL156" s="879"/>
      <c r="AM156" s="879"/>
      <c r="AN156" s="879"/>
      <c r="AO156" s="879"/>
      <c r="AP156" s="879"/>
      <c r="AQ156" s="879"/>
      <c r="AR156" s="879"/>
    </row>
    <row r="157" spans="1:44" x14ac:dyDescent="0.2">
      <c r="A157" s="184" t="s">
        <v>27</v>
      </c>
      <c r="B157" s="184" t="s">
        <v>719</v>
      </c>
      <c r="C157" s="184" t="s">
        <v>720</v>
      </c>
      <c r="D157" s="183" t="s">
        <v>26</v>
      </c>
      <c r="E157" s="184" t="s">
        <v>61</v>
      </c>
      <c r="F157" s="184" t="str">
        <f>Commodities!$D$11</f>
        <v>RSH</v>
      </c>
      <c r="G157" s="204" t="s">
        <v>633</v>
      </c>
      <c r="H157" s="203">
        <v>20</v>
      </c>
      <c r="I157" s="205">
        <v>5.4087971710902627</v>
      </c>
      <c r="J157" s="205">
        <v>0.9</v>
      </c>
      <c r="K157" s="184">
        <v>1</v>
      </c>
      <c r="L157" s="184">
        <v>0.16</v>
      </c>
      <c r="M157" s="184">
        <v>0.16</v>
      </c>
      <c r="N157" s="184">
        <v>0.16</v>
      </c>
      <c r="O157" s="184">
        <v>0.16</v>
      </c>
      <c r="P157" s="184">
        <v>0.16</v>
      </c>
      <c r="Q157" s="184"/>
      <c r="R157" s="184">
        <v>0.45</v>
      </c>
      <c r="S157" s="879"/>
      <c r="T157" s="879"/>
      <c r="U157" s="879"/>
      <c r="V157" s="879"/>
      <c r="W157" s="879"/>
      <c r="X157" s="879"/>
      <c r="Y157" s="879"/>
      <c r="Z157" s="879"/>
      <c r="AA157" s="879"/>
      <c r="AB157" s="879"/>
      <c r="AC157" s="879"/>
      <c r="AD157" s="879"/>
      <c r="AE157" s="879"/>
      <c r="AF157" s="879"/>
      <c r="AG157" s="879"/>
      <c r="AH157" s="879"/>
      <c r="AI157" s="879"/>
      <c r="AJ157" s="879"/>
      <c r="AK157" s="879"/>
      <c r="AL157" s="879"/>
      <c r="AM157" s="879"/>
      <c r="AN157" s="879"/>
      <c r="AO157" s="879"/>
      <c r="AP157" s="879"/>
      <c r="AQ157" s="879"/>
      <c r="AR157" s="879"/>
    </row>
    <row r="158" spans="1:44" x14ac:dyDescent="0.2">
      <c r="A158" s="184" t="s">
        <v>27</v>
      </c>
      <c r="B158" s="184" t="s">
        <v>721</v>
      </c>
      <c r="C158" s="184" t="s">
        <v>722</v>
      </c>
      <c r="D158" s="183" t="s">
        <v>26</v>
      </c>
      <c r="E158" s="184" t="s">
        <v>61</v>
      </c>
      <c r="F158" s="184" t="str">
        <f>Commodities!$D$11</f>
        <v>RSH</v>
      </c>
      <c r="G158" s="204" t="s">
        <v>633</v>
      </c>
      <c r="H158" s="203">
        <v>20</v>
      </c>
      <c r="I158" s="205">
        <v>6.2938730718141249</v>
      </c>
      <c r="J158" s="205">
        <v>0.95</v>
      </c>
      <c r="K158" s="184">
        <v>1</v>
      </c>
      <c r="L158" s="184">
        <v>0.16</v>
      </c>
      <c r="M158" s="184">
        <v>0.16</v>
      </c>
      <c r="N158" s="184">
        <v>0.16</v>
      </c>
      <c r="O158" s="184">
        <v>0.16</v>
      </c>
      <c r="P158" s="184">
        <v>0.16</v>
      </c>
      <c r="Q158" s="184"/>
      <c r="R158" s="184">
        <v>0.45</v>
      </c>
      <c r="S158" s="879"/>
      <c r="T158" s="879"/>
      <c r="U158" s="879"/>
      <c r="V158" s="879"/>
      <c r="W158" s="879"/>
      <c r="X158" s="879"/>
      <c r="Y158" s="879"/>
      <c r="Z158" s="879"/>
      <c r="AA158" s="879"/>
      <c r="AB158" s="879"/>
      <c r="AC158" s="879"/>
      <c r="AD158" s="879"/>
      <c r="AE158" s="879"/>
      <c r="AF158" s="879"/>
      <c r="AG158" s="879"/>
      <c r="AH158" s="879"/>
      <c r="AI158" s="879"/>
      <c r="AJ158" s="879"/>
      <c r="AK158" s="879"/>
      <c r="AL158" s="879"/>
      <c r="AM158" s="879"/>
      <c r="AN158" s="879"/>
      <c r="AO158" s="879"/>
      <c r="AP158" s="879"/>
      <c r="AQ158" s="879"/>
      <c r="AR158" s="879"/>
    </row>
    <row r="159" spans="1:44" x14ac:dyDescent="0.2">
      <c r="A159" s="184" t="s">
        <v>27</v>
      </c>
      <c r="B159" s="184" t="s">
        <v>723</v>
      </c>
      <c r="C159" s="184" t="s">
        <v>724</v>
      </c>
      <c r="D159" s="183" t="s">
        <v>26</v>
      </c>
      <c r="E159" s="184" t="s">
        <v>61</v>
      </c>
      <c r="F159" s="184" t="str">
        <f>Commodities!$D$11</f>
        <v>RSH</v>
      </c>
      <c r="G159" s="204" t="s">
        <v>633</v>
      </c>
      <c r="H159" s="203">
        <v>20</v>
      </c>
      <c r="I159" s="205">
        <v>7.3756325060321766</v>
      </c>
      <c r="J159" s="205">
        <v>0.98</v>
      </c>
      <c r="K159" s="184">
        <v>1</v>
      </c>
      <c r="L159" s="184">
        <v>0.16</v>
      </c>
      <c r="M159" s="184">
        <v>0.16</v>
      </c>
      <c r="N159" s="184">
        <v>0.16</v>
      </c>
      <c r="O159" s="184">
        <v>0.16</v>
      </c>
      <c r="P159" s="184">
        <v>0.16</v>
      </c>
      <c r="Q159" s="184"/>
      <c r="R159" s="184">
        <v>0.45</v>
      </c>
      <c r="S159" s="879"/>
      <c r="T159" s="879"/>
      <c r="U159" s="879"/>
      <c r="V159" s="879"/>
      <c r="W159" s="879"/>
      <c r="X159" s="879"/>
      <c r="Y159" s="879"/>
      <c r="Z159" s="879"/>
      <c r="AA159" s="879"/>
      <c r="AB159" s="879"/>
      <c r="AC159" s="879"/>
      <c r="AD159" s="879"/>
      <c r="AE159" s="879"/>
      <c r="AF159" s="879"/>
      <c r="AG159" s="879"/>
      <c r="AH159" s="879"/>
      <c r="AI159" s="879"/>
      <c r="AJ159" s="879"/>
      <c r="AK159" s="879"/>
      <c r="AL159" s="879"/>
      <c r="AM159" s="879"/>
      <c r="AN159" s="879"/>
      <c r="AO159" s="879"/>
      <c r="AP159" s="879"/>
      <c r="AQ159" s="879"/>
      <c r="AR159" s="879"/>
    </row>
    <row r="160" spans="1:44" x14ac:dyDescent="0.2">
      <c r="A160" s="194" t="s">
        <v>522</v>
      </c>
      <c r="B160" s="192"/>
      <c r="C160" s="192"/>
      <c r="D160" s="192"/>
      <c r="E160" s="194"/>
      <c r="F160" s="194"/>
      <c r="G160" s="872"/>
      <c r="H160" s="873"/>
      <c r="I160" s="873"/>
      <c r="J160" s="874"/>
      <c r="K160" s="873"/>
      <c r="L160" s="873"/>
      <c r="M160" s="873" t="s">
        <v>514</v>
      </c>
      <c r="N160" s="873" t="s">
        <v>514</v>
      </c>
      <c r="O160" s="873" t="s">
        <v>514</v>
      </c>
      <c r="P160" s="873" t="s">
        <v>514</v>
      </c>
      <c r="Q160" s="873"/>
      <c r="R160" s="874"/>
      <c r="S160" s="875"/>
      <c r="T160" s="875"/>
      <c r="U160" s="875"/>
      <c r="V160" s="875"/>
      <c r="W160" s="875"/>
      <c r="X160" s="875"/>
      <c r="Y160" s="875"/>
      <c r="Z160" s="875"/>
      <c r="AA160" s="875"/>
      <c r="AB160" s="875"/>
      <c r="AC160" s="875"/>
      <c r="AD160" s="875"/>
      <c r="AE160" s="875"/>
      <c r="AF160" s="875"/>
      <c r="AG160" s="875"/>
      <c r="AH160" s="875"/>
      <c r="AI160" s="875"/>
      <c r="AJ160" s="875"/>
      <c r="AK160" s="875"/>
      <c r="AL160" s="875"/>
      <c r="AM160" s="875"/>
      <c r="AN160" s="875"/>
      <c r="AO160" s="875"/>
      <c r="AP160" s="875"/>
      <c r="AQ160" s="875"/>
      <c r="AR160" s="877"/>
    </row>
    <row r="161" spans="1:44" x14ac:dyDescent="0.2">
      <c r="A161" s="184" t="s">
        <v>27</v>
      </c>
      <c r="B161" s="184" t="s">
        <v>725</v>
      </c>
      <c r="C161" s="184" t="s">
        <v>726</v>
      </c>
      <c r="D161" s="183" t="s">
        <v>26</v>
      </c>
      <c r="E161" s="184" t="s">
        <v>56</v>
      </c>
      <c r="F161" s="184" t="str">
        <f>Commodities!$D$11</f>
        <v>RSH</v>
      </c>
      <c r="G161" s="204">
        <v>2010</v>
      </c>
      <c r="H161" s="203">
        <v>20</v>
      </c>
      <c r="I161" s="205"/>
      <c r="J161" s="205">
        <v>0.81739997863769498</v>
      </c>
      <c r="K161" s="184">
        <v>1</v>
      </c>
      <c r="L161" s="184">
        <v>0.16</v>
      </c>
      <c r="M161" s="184">
        <v>0.16</v>
      </c>
      <c r="N161" s="184">
        <v>0.16</v>
      </c>
      <c r="O161" s="184">
        <v>0.16</v>
      </c>
      <c r="P161" s="184">
        <v>0.16</v>
      </c>
      <c r="Q161" s="184"/>
      <c r="R161" s="184">
        <v>0.18</v>
      </c>
      <c r="S161" s="878"/>
      <c r="T161" s="878"/>
      <c r="U161" s="878"/>
      <c r="V161" s="878"/>
      <c r="W161" s="878"/>
      <c r="X161" s="878"/>
      <c r="Y161" s="878"/>
      <c r="Z161" s="878"/>
      <c r="AA161" s="878"/>
      <c r="AB161" s="878"/>
      <c r="AC161" s="878"/>
      <c r="AD161" s="878"/>
      <c r="AE161" s="878"/>
      <c r="AF161" s="878"/>
      <c r="AG161" s="878"/>
      <c r="AH161" s="878"/>
      <c r="AI161" s="879">
        <v>0</v>
      </c>
      <c r="AJ161" s="879">
        <v>0</v>
      </c>
      <c r="AK161" s="879">
        <v>0</v>
      </c>
      <c r="AL161" s="879">
        <v>0</v>
      </c>
      <c r="AM161" s="879">
        <v>0</v>
      </c>
      <c r="AN161" s="879">
        <v>0</v>
      </c>
      <c r="AO161" s="879">
        <v>0</v>
      </c>
      <c r="AP161" s="879">
        <v>0</v>
      </c>
      <c r="AQ161" s="879">
        <v>0</v>
      </c>
      <c r="AR161" s="879">
        <v>0</v>
      </c>
    </row>
    <row r="162" spans="1:44" x14ac:dyDescent="0.2">
      <c r="A162" s="184" t="s">
        <v>27</v>
      </c>
      <c r="B162" s="184" t="s">
        <v>727</v>
      </c>
      <c r="C162" s="184" t="s">
        <v>728</v>
      </c>
      <c r="D162" s="183" t="s">
        <v>26</v>
      </c>
      <c r="E162" s="184" t="s">
        <v>56</v>
      </c>
      <c r="F162" s="184" t="str">
        <f>Commodities!$D$11</f>
        <v>RSH</v>
      </c>
      <c r="G162" s="204" t="s">
        <v>615</v>
      </c>
      <c r="H162" s="203">
        <v>20</v>
      </c>
      <c r="I162" s="205">
        <v>6.8839236722966968</v>
      </c>
      <c r="J162" s="205">
        <v>0.83</v>
      </c>
      <c r="K162" s="184">
        <v>1</v>
      </c>
      <c r="L162" s="184">
        <v>0.16</v>
      </c>
      <c r="M162" s="184">
        <v>0.16</v>
      </c>
      <c r="N162" s="184">
        <v>0.16</v>
      </c>
      <c r="O162" s="184">
        <v>0.16</v>
      </c>
      <c r="P162" s="184">
        <v>0.16</v>
      </c>
      <c r="Q162" s="184"/>
      <c r="R162" s="184">
        <v>0.18</v>
      </c>
      <c r="S162" s="879"/>
      <c r="T162" s="879"/>
      <c r="U162" s="879"/>
      <c r="V162" s="879"/>
      <c r="W162" s="879"/>
      <c r="X162" s="879"/>
      <c r="Y162" s="879"/>
      <c r="Z162" s="879"/>
      <c r="AA162" s="879"/>
      <c r="AB162" s="879"/>
      <c r="AC162" s="879"/>
      <c r="AD162" s="879"/>
      <c r="AE162" s="879"/>
      <c r="AF162" s="879"/>
      <c r="AG162" s="879"/>
      <c r="AH162" s="879"/>
      <c r="AI162" s="879">
        <v>0</v>
      </c>
      <c r="AJ162" s="879"/>
      <c r="AK162" s="879"/>
      <c r="AL162" s="879">
        <v>0</v>
      </c>
      <c r="AM162" s="879">
        <v>0</v>
      </c>
      <c r="AN162" s="879">
        <v>0</v>
      </c>
      <c r="AO162" s="879">
        <v>0</v>
      </c>
      <c r="AP162" s="879">
        <v>0</v>
      </c>
      <c r="AQ162" s="879">
        <v>0</v>
      </c>
      <c r="AR162" s="879">
        <v>0</v>
      </c>
    </row>
    <row r="163" spans="1:44" x14ac:dyDescent="0.2">
      <c r="A163" s="184" t="s">
        <v>27</v>
      </c>
      <c r="B163" s="184" t="s">
        <v>729</v>
      </c>
      <c r="C163" s="184" t="s">
        <v>730</v>
      </c>
      <c r="D163" s="183" t="s">
        <v>26</v>
      </c>
      <c r="E163" s="184" t="s">
        <v>56</v>
      </c>
      <c r="F163" s="184" t="str">
        <f>Commodities!$D$11</f>
        <v>RSH</v>
      </c>
      <c r="G163" s="204" t="s">
        <v>633</v>
      </c>
      <c r="H163" s="203">
        <v>20</v>
      </c>
      <c r="I163" s="205">
        <v>9.3424678409740913</v>
      </c>
      <c r="J163" s="205">
        <v>0.85</v>
      </c>
      <c r="K163" s="184">
        <v>1</v>
      </c>
      <c r="L163" s="184">
        <v>0.16</v>
      </c>
      <c r="M163" s="184">
        <v>0.16</v>
      </c>
      <c r="N163" s="184">
        <v>0.16</v>
      </c>
      <c r="O163" s="184">
        <v>0.16</v>
      </c>
      <c r="P163" s="184">
        <v>0.16</v>
      </c>
      <c r="Q163" s="184"/>
      <c r="R163" s="184">
        <v>0.18</v>
      </c>
      <c r="S163" s="879"/>
      <c r="T163" s="879"/>
      <c r="U163" s="879"/>
      <c r="V163" s="879"/>
      <c r="W163" s="879"/>
      <c r="X163" s="879"/>
      <c r="Y163" s="879"/>
      <c r="Z163" s="879"/>
      <c r="AA163" s="879"/>
      <c r="AB163" s="879"/>
      <c r="AC163" s="879"/>
      <c r="AD163" s="879"/>
      <c r="AE163" s="879"/>
      <c r="AF163" s="879"/>
      <c r="AG163" s="879"/>
      <c r="AH163" s="879"/>
      <c r="AI163" s="879">
        <v>0</v>
      </c>
      <c r="AJ163" s="879"/>
      <c r="AK163" s="879"/>
      <c r="AL163" s="879">
        <v>0</v>
      </c>
      <c r="AM163" s="879">
        <v>0</v>
      </c>
      <c r="AN163" s="879">
        <v>0</v>
      </c>
      <c r="AO163" s="879">
        <v>0</v>
      </c>
      <c r="AP163" s="879">
        <v>0</v>
      </c>
      <c r="AQ163" s="879">
        <v>0</v>
      </c>
      <c r="AR163" s="879">
        <v>0</v>
      </c>
    </row>
    <row r="164" spans="1:44" x14ac:dyDescent="0.2">
      <c r="A164" s="184" t="s">
        <v>27</v>
      </c>
      <c r="B164" s="184" t="s">
        <v>731</v>
      </c>
      <c r="C164" s="184" t="s">
        <v>732</v>
      </c>
      <c r="D164" s="183" t="s">
        <v>26</v>
      </c>
      <c r="E164" s="184" t="s">
        <v>56</v>
      </c>
      <c r="F164" s="184" t="str">
        <f>Commodities!$D$11</f>
        <v>RSH</v>
      </c>
      <c r="G164" s="204" t="s">
        <v>633</v>
      </c>
      <c r="H164" s="203">
        <v>20</v>
      </c>
      <c r="I164" s="205">
        <v>9.3424678409740913</v>
      </c>
      <c r="J164" s="205">
        <v>0.98</v>
      </c>
      <c r="K164" s="184">
        <v>1</v>
      </c>
      <c r="L164" s="184">
        <v>0.16</v>
      </c>
      <c r="M164" s="184">
        <v>0.16</v>
      </c>
      <c r="N164" s="184">
        <v>0.16</v>
      </c>
      <c r="O164" s="184">
        <v>0.16</v>
      </c>
      <c r="P164" s="184">
        <v>0.16</v>
      </c>
      <c r="Q164" s="184"/>
      <c r="R164" s="184">
        <v>0.18</v>
      </c>
      <c r="S164" s="879"/>
      <c r="T164" s="879"/>
      <c r="U164" s="879"/>
      <c r="V164" s="879"/>
      <c r="W164" s="879"/>
      <c r="X164" s="879"/>
      <c r="Y164" s="879"/>
      <c r="Z164" s="879"/>
      <c r="AA164" s="879"/>
      <c r="AB164" s="879"/>
      <c r="AC164" s="879"/>
      <c r="AD164" s="879"/>
      <c r="AE164" s="879"/>
      <c r="AF164" s="879"/>
      <c r="AG164" s="879"/>
      <c r="AH164" s="879"/>
      <c r="AI164" s="879">
        <v>0</v>
      </c>
      <c r="AJ164" s="879"/>
      <c r="AK164" s="879"/>
      <c r="AL164" s="879">
        <v>0</v>
      </c>
      <c r="AM164" s="879">
        <v>0</v>
      </c>
      <c r="AN164" s="879">
        <v>0</v>
      </c>
      <c r="AO164" s="879">
        <v>0</v>
      </c>
      <c r="AP164" s="879">
        <v>0</v>
      </c>
      <c r="AQ164" s="879">
        <v>0</v>
      </c>
      <c r="AR164" s="879">
        <v>0</v>
      </c>
    </row>
    <row r="165" spans="1:44" x14ac:dyDescent="0.2">
      <c r="A165" s="194" t="s">
        <v>525</v>
      </c>
      <c r="B165" s="192"/>
      <c r="C165" s="192"/>
      <c r="D165" s="192"/>
      <c r="E165" s="194"/>
      <c r="F165" s="194"/>
      <c r="G165" s="872"/>
      <c r="H165" s="873"/>
      <c r="I165" s="873"/>
      <c r="J165" s="874"/>
      <c r="K165" s="873"/>
      <c r="L165" s="873"/>
      <c r="M165" s="873" t="s">
        <v>514</v>
      </c>
      <c r="N165" s="873" t="s">
        <v>514</v>
      </c>
      <c r="O165" s="873" t="s">
        <v>514</v>
      </c>
      <c r="P165" s="873" t="s">
        <v>514</v>
      </c>
      <c r="Q165" s="873"/>
      <c r="R165" s="874"/>
      <c r="S165" s="875"/>
      <c r="T165" s="875"/>
      <c r="U165" s="875"/>
      <c r="V165" s="875"/>
      <c r="W165" s="875"/>
      <c r="X165" s="875"/>
      <c r="Y165" s="875"/>
      <c r="Z165" s="875"/>
      <c r="AA165" s="875"/>
      <c r="AB165" s="875"/>
      <c r="AC165" s="875"/>
      <c r="AD165" s="875"/>
      <c r="AE165" s="875"/>
      <c r="AF165" s="875"/>
      <c r="AG165" s="875"/>
      <c r="AH165" s="875"/>
      <c r="AI165" s="875"/>
      <c r="AJ165" s="875"/>
      <c r="AK165" s="875"/>
      <c r="AL165" s="875"/>
      <c r="AM165" s="875"/>
      <c r="AN165" s="875"/>
      <c r="AO165" s="875"/>
      <c r="AP165" s="875"/>
      <c r="AQ165" s="875"/>
      <c r="AR165" s="877"/>
    </row>
    <row r="166" spans="1:44" x14ac:dyDescent="0.2">
      <c r="A166" s="184" t="s">
        <v>27</v>
      </c>
      <c r="B166" s="184" t="s">
        <v>733</v>
      </c>
      <c r="C166" s="184" t="s">
        <v>734</v>
      </c>
      <c r="D166" s="183" t="s">
        <v>26</v>
      </c>
      <c r="E166" s="184" t="s">
        <v>56</v>
      </c>
      <c r="F166" s="184" t="str">
        <f>Commodities!$D$11</f>
        <v>RSH</v>
      </c>
      <c r="G166" s="204">
        <v>2010</v>
      </c>
      <c r="H166" s="203">
        <v>20</v>
      </c>
      <c r="I166" s="205"/>
      <c r="J166" s="205">
        <v>0.8</v>
      </c>
      <c r="K166" s="184">
        <v>1</v>
      </c>
      <c r="L166" s="184">
        <v>0.16</v>
      </c>
      <c r="M166" s="184">
        <v>0.16</v>
      </c>
      <c r="N166" s="184">
        <v>0.16</v>
      </c>
      <c r="O166" s="184">
        <v>0.16</v>
      </c>
      <c r="P166" s="184">
        <v>0.16</v>
      </c>
      <c r="Q166" s="184"/>
      <c r="R166" s="184">
        <v>0.18</v>
      </c>
      <c r="S166" s="878"/>
      <c r="T166" s="878"/>
      <c r="U166" s="878"/>
      <c r="V166" s="878"/>
      <c r="W166" s="878"/>
      <c r="X166" s="878"/>
      <c r="Y166" s="878"/>
      <c r="Z166" s="878"/>
      <c r="AA166" s="878"/>
      <c r="AB166" s="878"/>
      <c r="AC166" s="878"/>
      <c r="AD166" s="878"/>
      <c r="AE166" s="878"/>
      <c r="AF166" s="878"/>
      <c r="AG166" s="878"/>
      <c r="AH166" s="878"/>
      <c r="AI166" s="879">
        <v>0</v>
      </c>
      <c r="AJ166" s="879">
        <v>0</v>
      </c>
      <c r="AK166" s="879">
        <v>0</v>
      </c>
      <c r="AL166" s="879">
        <v>0</v>
      </c>
      <c r="AM166" s="879">
        <v>0</v>
      </c>
      <c r="AN166" s="879">
        <v>0</v>
      </c>
      <c r="AO166" s="879">
        <v>0</v>
      </c>
      <c r="AP166" s="879">
        <v>0</v>
      </c>
      <c r="AQ166" s="879">
        <v>0</v>
      </c>
      <c r="AR166" s="879">
        <v>0</v>
      </c>
    </row>
    <row r="167" spans="1:44" x14ac:dyDescent="0.2">
      <c r="A167" s="184" t="s">
        <v>27</v>
      </c>
      <c r="B167" s="184" t="s">
        <v>735</v>
      </c>
      <c r="C167" s="184" t="s">
        <v>736</v>
      </c>
      <c r="D167" s="183" t="s">
        <v>26</v>
      </c>
      <c r="E167" s="184" t="s">
        <v>56</v>
      </c>
      <c r="F167" s="184" t="str">
        <f>Commodities!$D$11</f>
        <v>RSH</v>
      </c>
      <c r="G167" s="204" t="s">
        <v>615</v>
      </c>
      <c r="H167" s="203">
        <v>20</v>
      </c>
      <c r="I167" s="205">
        <v>13.705932065603083</v>
      </c>
      <c r="J167" s="205">
        <v>0.85</v>
      </c>
      <c r="K167" s="184">
        <v>1</v>
      </c>
      <c r="L167" s="184">
        <v>0.16</v>
      </c>
      <c r="M167" s="184">
        <v>0.16</v>
      </c>
      <c r="N167" s="184">
        <v>0.16</v>
      </c>
      <c r="O167" s="184">
        <v>0.16</v>
      </c>
      <c r="P167" s="184">
        <v>0.16</v>
      </c>
      <c r="Q167" s="184"/>
      <c r="R167" s="184">
        <v>0.18</v>
      </c>
      <c r="S167" s="879"/>
      <c r="T167" s="879"/>
      <c r="U167" s="879"/>
      <c r="V167" s="879"/>
      <c r="W167" s="879"/>
      <c r="X167" s="879"/>
      <c r="Y167" s="879"/>
      <c r="Z167" s="879"/>
      <c r="AA167" s="879"/>
      <c r="AB167" s="879"/>
      <c r="AC167" s="879"/>
      <c r="AD167" s="879"/>
      <c r="AE167" s="879"/>
      <c r="AF167" s="879"/>
      <c r="AG167" s="879"/>
      <c r="AH167" s="879"/>
      <c r="AI167" s="879">
        <v>0</v>
      </c>
      <c r="AJ167" s="879"/>
      <c r="AK167" s="879"/>
      <c r="AL167" s="879">
        <v>0</v>
      </c>
      <c r="AM167" s="879">
        <v>0</v>
      </c>
      <c r="AN167" s="879">
        <v>0</v>
      </c>
      <c r="AO167" s="879">
        <v>0</v>
      </c>
      <c r="AP167" s="879">
        <v>0</v>
      </c>
      <c r="AQ167" s="879">
        <v>0</v>
      </c>
      <c r="AR167" s="879">
        <v>0</v>
      </c>
    </row>
    <row r="168" spans="1:44" x14ac:dyDescent="0.2">
      <c r="A168" s="184" t="s">
        <v>27</v>
      </c>
      <c r="B168" s="184" t="s">
        <v>737</v>
      </c>
      <c r="C168" s="184" t="s">
        <v>738</v>
      </c>
      <c r="D168" s="183" t="s">
        <v>26</v>
      </c>
      <c r="E168" s="184" t="s">
        <v>56</v>
      </c>
      <c r="F168" s="184" t="str">
        <f>Commodities!$D$11</f>
        <v>RSH</v>
      </c>
      <c r="G168" s="204" t="s">
        <v>633</v>
      </c>
      <c r="H168" s="203">
        <v>20</v>
      </c>
      <c r="I168" s="205">
        <v>13.705932065603083</v>
      </c>
      <c r="J168" s="205">
        <v>0.85</v>
      </c>
      <c r="K168" s="184">
        <v>1</v>
      </c>
      <c r="L168" s="184">
        <v>0.16</v>
      </c>
      <c r="M168" s="184">
        <v>0.16</v>
      </c>
      <c r="N168" s="184">
        <v>0.16</v>
      </c>
      <c r="O168" s="184">
        <v>0.16</v>
      </c>
      <c r="P168" s="184">
        <v>0.16</v>
      </c>
      <c r="Q168" s="184"/>
      <c r="R168" s="184">
        <v>0.18</v>
      </c>
      <c r="S168" s="879"/>
      <c r="T168" s="879"/>
      <c r="U168" s="879"/>
      <c r="V168" s="879"/>
      <c r="W168" s="879"/>
      <c r="X168" s="879"/>
      <c r="Y168" s="879"/>
      <c r="Z168" s="879"/>
      <c r="AA168" s="879"/>
      <c r="AB168" s="879"/>
      <c r="AC168" s="879"/>
      <c r="AD168" s="879"/>
      <c r="AE168" s="879"/>
      <c r="AF168" s="879"/>
      <c r="AG168" s="879"/>
      <c r="AH168" s="879"/>
      <c r="AI168" s="879">
        <v>0</v>
      </c>
      <c r="AJ168" s="879"/>
      <c r="AK168" s="879"/>
      <c r="AL168" s="879">
        <v>0</v>
      </c>
      <c r="AM168" s="879">
        <v>0</v>
      </c>
      <c r="AN168" s="879">
        <v>0</v>
      </c>
      <c r="AO168" s="879">
        <v>0</v>
      </c>
      <c r="AP168" s="879">
        <v>0</v>
      </c>
      <c r="AQ168" s="879">
        <v>0</v>
      </c>
      <c r="AR168" s="879">
        <v>0</v>
      </c>
    </row>
    <row r="169" spans="1:44" x14ac:dyDescent="0.2">
      <c r="A169" s="184" t="s">
        <v>27</v>
      </c>
      <c r="B169" s="184" t="s">
        <v>739</v>
      </c>
      <c r="C169" s="184" t="s">
        <v>740</v>
      </c>
      <c r="D169" s="183" t="s">
        <v>26</v>
      </c>
      <c r="E169" s="184" t="s">
        <v>56</v>
      </c>
      <c r="F169" s="184" t="str">
        <f>Commodities!$D$11</f>
        <v>RSH</v>
      </c>
      <c r="G169" s="204" t="s">
        <v>633</v>
      </c>
      <c r="H169" s="203">
        <v>20</v>
      </c>
      <c r="I169" s="205">
        <v>17.391017573807687</v>
      </c>
      <c r="J169" s="205">
        <v>0.98</v>
      </c>
      <c r="K169" s="184">
        <v>1</v>
      </c>
      <c r="L169" s="184">
        <v>0.16</v>
      </c>
      <c r="M169" s="184">
        <v>0.16</v>
      </c>
      <c r="N169" s="184">
        <v>0.16</v>
      </c>
      <c r="O169" s="184">
        <v>0.16</v>
      </c>
      <c r="P169" s="184">
        <v>0.16</v>
      </c>
      <c r="Q169" s="184"/>
      <c r="R169" s="184">
        <v>0.18</v>
      </c>
      <c r="S169" s="879"/>
      <c r="T169" s="879"/>
      <c r="U169" s="879"/>
      <c r="V169" s="879"/>
      <c r="W169" s="879"/>
      <c r="X169" s="879"/>
      <c r="Y169" s="879"/>
      <c r="Z169" s="879"/>
      <c r="AA169" s="879"/>
      <c r="AB169" s="879"/>
      <c r="AC169" s="879"/>
      <c r="AD169" s="879"/>
      <c r="AE169" s="879"/>
      <c r="AF169" s="879"/>
      <c r="AG169" s="879"/>
      <c r="AH169" s="879"/>
      <c r="AI169" s="879">
        <v>0</v>
      </c>
      <c r="AJ169" s="879"/>
      <c r="AK169" s="879"/>
      <c r="AL169" s="879">
        <v>0</v>
      </c>
      <c r="AM169" s="879">
        <v>0</v>
      </c>
      <c r="AN169" s="879">
        <v>0</v>
      </c>
      <c r="AO169" s="879">
        <v>0</v>
      </c>
      <c r="AP169" s="879">
        <v>0</v>
      </c>
      <c r="AQ169" s="879">
        <v>0</v>
      </c>
      <c r="AR169" s="879">
        <v>0</v>
      </c>
    </row>
    <row r="170" spans="1:44" x14ac:dyDescent="0.2">
      <c r="A170" s="194" t="s">
        <v>534</v>
      </c>
      <c r="B170" s="192"/>
      <c r="C170" s="192"/>
      <c r="D170" s="192"/>
      <c r="E170" s="194"/>
      <c r="F170" s="194"/>
      <c r="G170" s="872"/>
      <c r="H170" s="873"/>
      <c r="I170" s="873"/>
      <c r="J170" s="874"/>
      <c r="K170" s="873"/>
      <c r="L170" s="873"/>
      <c r="M170" s="873" t="s">
        <v>514</v>
      </c>
      <c r="N170" s="873" t="s">
        <v>514</v>
      </c>
      <c r="O170" s="873" t="s">
        <v>514</v>
      </c>
      <c r="P170" s="873" t="s">
        <v>514</v>
      </c>
      <c r="Q170" s="873"/>
      <c r="R170" s="874"/>
      <c r="S170" s="875"/>
      <c r="T170" s="875"/>
      <c r="U170" s="875"/>
      <c r="V170" s="875"/>
      <c r="W170" s="875"/>
      <c r="X170" s="875"/>
      <c r="Y170" s="875"/>
      <c r="Z170" s="875"/>
      <c r="AA170" s="875"/>
      <c r="AB170" s="875"/>
      <c r="AC170" s="875"/>
      <c r="AD170" s="875"/>
      <c r="AE170" s="875"/>
      <c r="AF170" s="875"/>
      <c r="AG170" s="875"/>
      <c r="AH170" s="875"/>
      <c r="AI170" s="875"/>
      <c r="AJ170" s="875"/>
      <c r="AK170" s="875"/>
      <c r="AL170" s="875"/>
      <c r="AM170" s="875"/>
      <c r="AN170" s="875"/>
      <c r="AO170" s="875"/>
      <c r="AP170" s="875"/>
      <c r="AQ170" s="875"/>
      <c r="AR170" s="877"/>
    </row>
    <row r="171" spans="1:44" x14ac:dyDescent="0.2">
      <c r="A171" s="184" t="s">
        <v>27</v>
      </c>
      <c r="B171" s="184" t="s">
        <v>741</v>
      </c>
      <c r="C171" s="184" t="s">
        <v>742</v>
      </c>
      <c r="D171" s="183" t="s">
        <v>26</v>
      </c>
      <c r="E171" s="184" t="s">
        <v>63</v>
      </c>
      <c r="F171" s="184" t="str">
        <f>Commodities!$D$11</f>
        <v>RSH</v>
      </c>
      <c r="G171" s="204">
        <v>2010</v>
      </c>
      <c r="H171" s="203">
        <v>20</v>
      </c>
      <c r="I171" s="205"/>
      <c r="J171" s="205">
        <v>1</v>
      </c>
      <c r="K171" s="184">
        <v>1</v>
      </c>
      <c r="L171" s="184">
        <v>0.16</v>
      </c>
      <c r="M171" s="184">
        <v>0.16</v>
      </c>
      <c r="N171" s="184">
        <v>0.16</v>
      </c>
      <c r="O171" s="184">
        <v>0.16</v>
      </c>
      <c r="P171" s="184">
        <v>0.16</v>
      </c>
      <c r="Q171" s="184"/>
      <c r="R171" s="184">
        <v>0.45</v>
      </c>
      <c r="S171" s="878"/>
      <c r="T171" s="878"/>
      <c r="U171" s="878"/>
      <c r="V171" s="878"/>
      <c r="W171" s="878"/>
      <c r="X171" s="878"/>
      <c r="Y171" s="878"/>
      <c r="Z171" s="878"/>
      <c r="AA171" s="878"/>
      <c r="AB171" s="878"/>
      <c r="AC171" s="878"/>
      <c r="AD171" s="878"/>
      <c r="AE171" s="878"/>
      <c r="AF171" s="878"/>
      <c r="AG171" s="878"/>
      <c r="AH171" s="878"/>
      <c r="AI171" s="879"/>
      <c r="AJ171" s="879"/>
      <c r="AK171" s="879">
        <v>0</v>
      </c>
      <c r="AL171" s="879">
        <v>0</v>
      </c>
      <c r="AM171" s="879">
        <v>0</v>
      </c>
      <c r="AN171" s="879">
        <v>0</v>
      </c>
      <c r="AO171" s="879">
        <v>0</v>
      </c>
      <c r="AP171" s="879">
        <v>0</v>
      </c>
      <c r="AQ171" s="879">
        <v>0</v>
      </c>
      <c r="AR171" s="879">
        <v>0</v>
      </c>
    </row>
    <row r="172" spans="1:44" x14ac:dyDescent="0.2">
      <c r="A172" s="184" t="s">
        <v>27</v>
      </c>
      <c r="B172" s="184" t="s">
        <v>743</v>
      </c>
      <c r="C172" s="184" t="s">
        <v>744</v>
      </c>
      <c r="D172" s="183" t="s">
        <v>26</v>
      </c>
      <c r="E172" s="184" t="s">
        <v>63</v>
      </c>
      <c r="F172" s="184" t="str">
        <f>Commodities!$D$11</f>
        <v>RSH</v>
      </c>
      <c r="G172" s="204" t="s">
        <v>633</v>
      </c>
      <c r="H172" s="203">
        <v>20</v>
      </c>
      <c r="I172" s="205">
        <v>8.8507590072386133</v>
      </c>
      <c r="J172" s="205">
        <v>1</v>
      </c>
      <c r="K172" s="184">
        <v>1</v>
      </c>
      <c r="L172" s="184">
        <v>0.16</v>
      </c>
      <c r="M172" s="184">
        <v>0.16</v>
      </c>
      <c r="N172" s="184">
        <v>0.16</v>
      </c>
      <c r="O172" s="184">
        <v>0.16</v>
      </c>
      <c r="P172" s="184">
        <v>0.16</v>
      </c>
      <c r="Q172" s="184"/>
      <c r="R172" s="184">
        <v>0.45</v>
      </c>
      <c r="S172" s="879"/>
      <c r="T172" s="879"/>
      <c r="U172" s="879"/>
      <c r="V172" s="879"/>
      <c r="W172" s="879"/>
      <c r="X172" s="879"/>
      <c r="Y172" s="879"/>
      <c r="Z172" s="879"/>
      <c r="AA172" s="879"/>
      <c r="AB172" s="879"/>
      <c r="AC172" s="879"/>
      <c r="AD172" s="879"/>
      <c r="AE172" s="879"/>
      <c r="AF172" s="879"/>
      <c r="AG172" s="879"/>
      <c r="AH172" s="879"/>
      <c r="AI172" s="879"/>
      <c r="AJ172" s="879"/>
      <c r="AK172" s="879"/>
      <c r="AL172" s="879"/>
      <c r="AM172" s="879"/>
      <c r="AN172" s="879"/>
      <c r="AO172" s="879"/>
      <c r="AP172" s="879"/>
      <c r="AQ172" s="879"/>
      <c r="AR172" s="879"/>
    </row>
    <row r="173" spans="1:44" x14ac:dyDescent="0.2">
      <c r="A173" s="194" t="s">
        <v>535</v>
      </c>
      <c r="B173" s="192"/>
      <c r="C173" s="192"/>
      <c r="D173" s="192"/>
      <c r="E173" s="194"/>
      <c r="F173" s="194"/>
      <c r="G173" s="872"/>
      <c r="H173" s="873"/>
      <c r="I173" s="873"/>
      <c r="J173" s="874"/>
      <c r="K173" s="873"/>
      <c r="L173" s="873"/>
      <c r="M173" s="873" t="s">
        <v>514</v>
      </c>
      <c r="N173" s="873" t="s">
        <v>514</v>
      </c>
      <c r="O173" s="873" t="s">
        <v>514</v>
      </c>
      <c r="P173" s="873" t="s">
        <v>514</v>
      </c>
      <c r="Q173" s="873"/>
      <c r="R173" s="874"/>
      <c r="S173" s="875"/>
      <c r="T173" s="875"/>
      <c r="U173" s="875"/>
      <c r="V173" s="875"/>
      <c r="W173" s="875"/>
      <c r="X173" s="875"/>
      <c r="Y173" s="875"/>
      <c r="Z173" s="875"/>
      <c r="AA173" s="875"/>
      <c r="AB173" s="875"/>
      <c r="AC173" s="875"/>
      <c r="AD173" s="875"/>
      <c r="AE173" s="875"/>
      <c r="AF173" s="875"/>
      <c r="AG173" s="875"/>
      <c r="AH173" s="875"/>
      <c r="AI173" s="875"/>
      <c r="AJ173" s="875"/>
      <c r="AK173" s="875"/>
      <c r="AL173" s="875"/>
      <c r="AM173" s="875"/>
      <c r="AN173" s="875"/>
      <c r="AO173" s="875"/>
      <c r="AP173" s="875"/>
      <c r="AQ173" s="875"/>
      <c r="AR173" s="877"/>
    </row>
    <row r="174" spans="1:44" x14ac:dyDescent="0.2">
      <c r="A174" s="184" t="s">
        <v>27</v>
      </c>
      <c r="B174" s="184" t="s">
        <v>745</v>
      </c>
      <c r="C174" s="184" t="s">
        <v>746</v>
      </c>
      <c r="D174" s="183" t="s">
        <v>26</v>
      </c>
      <c r="E174" s="184" t="s">
        <v>47</v>
      </c>
      <c r="F174" s="184" t="str">
        <f>Commodities!$D$11</f>
        <v>RSH</v>
      </c>
      <c r="G174" s="204">
        <v>2010</v>
      </c>
      <c r="H174" s="203">
        <v>15</v>
      </c>
      <c r="I174" s="205"/>
      <c r="J174" s="205">
        <v>3.2999999523162802</v>
      </c>
      <c r="K174" s="184">
        <v>1</v>
      </c>
      <c r="L174" s="184">
        <v>0.16</v>
      </c>
      <c r="M174" s="184">
        <v>0.16</v>
      </c>
      <c r="N174" s="184">
        <v>0.16</v>
      </c>
      <c r="O174" s="184">
        <v>0.16</v>
      </c>
      <c r="P174" s="184">
        <v>0.16</v>
      </c>
      <c r="Q174" s="184"/>
      <c r="R174" s="184">
        <v>0.6</v>
      </c>
      <c r="S174" s="878"/>
      <c r="T174" s="878"/>
      <c r="U174" s="878"/>
      <c r="V174" s="878"/>
      <c r="W174" s="878"/>
      <c r="X174" s="878"/>
      <c r="Y174" s="878"/>
      <c r="Z174" s="878"/>
      <c r="AA174" s="878"/>
      <c r="AB174" s="878"/>
      <c r="AC174" s="878"/>
      <c r="AD174" s="878"/>
      <c r="AE174" s="878"/>
      <c r="AF174" s="878"/>
      <c r="AG174" s="878"/>
      <c r="AH174" s="878"/>
      <c r="AI174" s="879"/>
      <c r="AJ174" s="879"/>
      <c r="AK174" s="879">
        <v>0</v>
      </c>
      <c r="AL174" s="879">
        <v>0</v>
      </c>
      <c r="AM174" s="879">
        <v>0</v>
      </c>
      <c r="AN174" s="879">
        <v>0</v>
      </c>
      <c r="AO174" s="879">
        <v>0</v>
      </c>
      <c r="AP174" s="879">
        <v>0</v>
      </c>
      <c r="AQ174" s="879">
        <v>0</v>
      </c>
      <c r="AR174" s="879">
        <v>0</v>
      </c>
    </row>
    <row r="175" spans="1:44" x14ac:dyDescent="0.2">
      <c r="A175" s="184" t="s">
        <v>27</v>
      </c>
      <c r="B175" s="184" t="s">
        <v>747</v>
      </c>
      <c r="C175" s="184" t="s">
        <v>748</v>
      </c>
      <c r="D175" s="183" t="s">
        <v>26</v>
      </c>
      <c r="E175" s="184" t="s">
        <v>47</v>
      </c>
      <c r="F175" s="184" t="str">
        <f>Commodities!$D$11</f>
        <v>RSH</v>
      </c>
      <c r="G175" s="204" t="s">
        <v>633</v>
      </c>
      <c r="H175" s="203">
        <v>15</v>
      </c>
      <c r="I175" s="205">
        <v>13.6585787148744</v>
      </c>
      <c r="J175" s="205">
        <v>3.3</v>
      </c>
      <c r="K175" s="184">
        <v>1</v>
      </c>
      <c r="L175" s="184">
        <v>0.16</v>
      </c>
      <c r="M175" s="184">
        <v>0.16</v>
      </c>
      <c r="N175" s="184">
        <v>0.16</v>
      </c>
      <c r="O175" s="184">
        <v>0.16</v>
      </c>
      <c r="P175" s="184">
        <v>0.16</v>
      </c>
      <c r="Q175" s="184"/>
      <c r="R175" s="184">
        <v>0.6</v>
      </c>
      <c r="S175" s="879"/>
      <c r="T175" s="879"/>
      <c r="U175" s="879"/>
      <c r="V175" s="879"/>
      <c r="W175" s="879"/>
      <c r="X175" s="879"/>
      <c r="Y175" s="879"/>
      <c r="Z175" s="879"/>
      <c r="AA175" s="879"/>
      <c r="AB175" s="879"/>
      <c r="AC175" s="879"/>
      <c r="AD175" s="879"/>
      <c r="AE175" s="879"/>
      <c r="AF175" s="879"/>
      <c r="AG175" s="879"/>
      <c r="AH175" s="879"/>
      <c r="AI175" s="879"/>
      <c r="AJ175" s="879"/>
      <c r="AK175" s="879"/>
      <c r="AL175" s="879"/>
      <c r="AM175" s="879"/>
      <c r="AN175" s="879"/>
      <c r="AO175" s="879"/>
      <c r="AP175" s="879"/>
      <c r="AQ175" s="879"/>
      <c r="AR175" s="879"/>
    </row>
    <row r="176" spans="1:44" x14ac:dyDescent="0.2">
      <c r="A176" s="184" t="s">
        <v>27</v>
      </c>
      <c r="B176" s="184" t="s">
        <v>749</v>
      </c>
      <c r="C176" s="184" t="s">
        <v>750</v>
      </c>
      <c r="D176" s="183" t="s">
        <v>26</v>
      </c>
      <c r="E176" s="184" t="s">
        <v>47</v>
      </c>
      <c r="F176" s="184" t="str">
        <f>Commodities!$D$11</f>
        <v>RSH</v>
      </c>
      <c r="G176" s="204" t="s">
        <v>633</v>
      </c>
      <c r="H176" s="203">
        <v>15</v>
      </c>
      <c r="I176" s="205">
        <v>17.756152329336725</v>
      </c>
      <c r="J176" s="205">
        <v>5</v>
      </c>
      <c r="K176" s="184">
        <v>1</v>
      </c>
      <c r="L176" s="184">
        <v>0.16</v>
      </c>
      <c r="M176" s="184">
        <v>0.16</v>
      </c>
      <c r="N176" s="184">
        <v>0.16</v>
      </c>
      <c r="O176" s="184">
        <v>0.16</v>
      </c>
      <c r="P176" s="184">
        <v>0.16</v>
      </c>
      <c r="Q176" s="184"/>
      <c r="R176" s="184">
        <v>0.6</v>
      </c>
      <c r="S176" s="879"/>
      <c r="T176" s="879"/>
      <c r="U176" s="879"/>
      <c r="V176" s="879"/>
      <c r="W176" s="879"/>
      <c r="X176" s="879"/>
      <c r="Y176" s="879"/>
      <c r="Z176" s="879"/>
      <c r="AA176" s="879"/>
      <c r="AB176" s="879"/>
      <c r="AC176" s="879"/>
      <c r="AD176" s="879"/>
      <c r="AE176" s="879"/>
      <c r="AF176" s="879"/>
      <c r="AG176" s="879"/>
      <c r="AH176" s="879"/>
      <c r="AI176" s="879"/>
      <c r="AJ176" s="879"/>
      <c r="AK176" s="879">
        <v>0</v>
      </c>
      <c r="AL176" s="879">
        <v>0</v>
      </c>
      <c r="AM176" s="879">
        <v>0</v>
      </c>
      <c r="AN176" s="879">
        <v>0</v>
      </c>
      <c r="AO176" s="879">
        <v>0</v>
      </c>
      <c r="AP176" s="879">
        <v>0</v>
      </c>
      <c r="AQ176" s="879">
        <v>0</v>
      </c>
      <c r="AR176" s="879">
        <v>0</v>
      </c>
    </row>
    <row r="177" spans="1:44" x14ac:dyDescent="0.2">
      <c r="A177" s="184" t="s">
        <v>27</v>
      </c>
      <c r="B177" s="184" t="s">
        <v>751</v>
      </c>
      <c r="C177" s="184" t="s">
        <v>752</v>
      </c>
      <c r="D177" s="183" t="s">
        <v>26</v>
      </c>
      <c r="E177" s="184" t="s">
        <v>47</v>
      </c>
      <c r="F177" s="184" t="str">
        <f>Commodities!$D$11</f>
        <v>RSH</v>
      </c>
      <c r="G177" s="204" t="s">
        <v>620</v>
      </c>
      <c r="H177" s="203">
        <v>15</v>
      </c>
      <c r="I177" s="205">
        <v>17.756152329336725</v>
      </c>
      <c r="J177" s="205">
        <v>5</v>
      </c>
      <c r="K177" s="184">
        <v>1</v>
      </c>
      <c r="L177" s="184">
        <v>0.16</v>
      </c>
      <c r="M177" s="184">
        <v>0.16</v>
      </c>
      <c r="N177" s="184">
        <v>0.16</v>
      </c>
      <c r="O177" s="184">
        <v>0.16</v>
      </c>
      <c r="P177" s="184">
        <v>0.16</v>
      </c>
      <c r="Q177" s="184"/>
      <c r="R177" s="184">
        <v>0.6</v>
      </c>
      <c r="S177" s="879"/>
      <c r="T177" s="879"/>
      <c r="U177" s="879"/>
      <c r="V177" s="879"/>
      <c r="W177" s="879"/>
      <c r="X177" s="879"/>
      <c r="Y177" s="879"/>
      <c r="Z177" s="879"/>
      <c r="AA177" s="879"/>
      <c r="AB177" s="879"/>
      <c r="AC177" s="879"/>
      <c r="AD177" s="879"/>
      <c r="AE177" s="879"/>
      <c r="AF177" s="879"/>
      <c r="AG177" s="879"/>
      <c r="AH177" s="879"/>
      <c r="AI177" s="879"/>
      <c r="AJ177" s="879"/>
      <c r="AK177" s="879"/>
      <c r="AL177" s="879"/>
      <c r="AM177" s="879"/>
      <c r="AN177" s="879"/>
      <c r="AO177" s="879"/>
      <c r="AP177" s="879"/>
      <c r="AQ177" s="879"/>
      <c r="AR177" s="879"/>
    </row>
    <row r="178" spans="1:44" x14ac:dyDescent="0.2">
      <c r="A178" s="194" t="s">
        <v>536</v>
      </c>
      <c r="B178" s="192"/>
      <c r="C178" s="192"/>
      <c r="D178" s="192"/>
      <c r="E178" s="194"/>
      <c r="F178" s="194"/>
      <c r="G178" s="872"/>
      <c r="H178" s="873"/>
      <c r="I178" s="873"/>
      <c r="J178" s="874"/>
      <c r="K178" s="873"/>
      <c r="L178" s="873"/>
      <c r="M178" s="873" t="s">
        <v>514</v>
      </c>
      <c r="N178" s="873" t="s">
        <v>514</v>
      </c>
      <c r="O178" s="873" t="s">
        <v>514</v>
      </c>
      <c r="P178" s="873" t="s">
        <v>514</v>
      </c>
      <c r="Q178" s="873"/>
      <c r="R178" s="874"/>
      <c r="S178" s="875"/>
      <c r="T178" s="875"/>
      <c r="U178" s="875"/>
      <c r="V178" s="875"/>
      <c r="W178" s="875"/>
      <c r="X178" s="875"/>
      <c r="Y178" s="875"/>
      <c r="Z178" s="875"/>
      <c r="AA178" s="875"/>
      <c r="AB178" s="875"/>
      <c r="AC178" s="875"/>
      <c r="AD178" s="875"/>
      <c r="AE178" s="875"/>
      <c r="AF178" s="875"/>
      <c r="AG178" s="875"/>
      <c r="AH178" s="875"/>
      <c r="AI178" s="875"/>
      <c r="AJ178" s="875"/>
      <c r="AK178" s="875"/>
      <c r="AL178" s="875"/>
      <c r="AM178" s="875"/>
      <c r="AN178" s="875"/>
      <c r="AO178" s="875"/>
      <c r="AP178" s="875"/>
      <c r="AQ178" s="875"/>
      <c r="AR178" s="877"/>
    </row>
    <row r="179" spans="1:44" x14ac:dyDescent="0.2">
      <c r="A179" s="184" t="s">
        <v>27</v>
      </c>
      <c r="B179" s="184" t="s">
        <v>753</v>
      </c>
      <c r="C179" s="184" t="s">
        <v>754</v>
      </c>
      <c r="D179" s="183" t="s">
        <v>26</v>
      </c>
      <c r="E179" s="184" t="s">
        <v>52</v>
      </c>
      <c r="F179" s="184" t="str">
        <f>Commodities!$D$11</f>
        <v>RSH</v>
      </c>
      <c r="G179" s="204">
        <v>2010</v>
      </c>
      <c r="H179" s="203">
        <v>15</v>
      </c>
      <c r="I179" s="205"/>
      <c r="J179" s="205">
        <v>1.29999995231628</v>
      </c>
      <c r="K179" s="184">
        <v>1</v>
      </c>
      <c r="L179" s="184">
        <v>0.16</v>
      </c>
      <c r="M179" s="184">
        <v>0.16</v>
      </c>
      <c r="N179" s="184">
        <v>0.16</v>
      </c>
      <c r="O179" s="184">
        <v>0.16</v>
      </c>
      <c r="P179" s="184">
        <v>0.16</v>
      </c>
      <c r="Q179" s="184"/>
      <c r="R179" s="184">
        <v>0.18</v>
      </c>
      <c r="S179" s="878"/>
      <c r="T179" s="878"/>
      <c r="U179" s="878"/>
      <c r="V179" s="878"/>
      <c r="W179" s="878"/>
      <c r="X179" s="878"/>
      <c r="Y179" s="878"/>
      <c r="Z179" s="878"/>
      <c r="AA179" s="878"/>
      <c r="AB179" s="878"/>
      <c r="AC179" s="878"/>
      <c r="AD179" s="878"/>
      <c r="AE179" s="878"/>
      <c r="AF179" s="878"/>
      <c r="AG179" s="878"/>
      <c r="AH179" s="878"/>
      <c r="AI179" s="879">
        <v>0</v>
      </c>
      <c r="AJ179" s="879">
        <v>0</v>
      </c>
      <c r="AK179" s="879">
        <v>0</v>
      </c>
      <c r="AL179" s="879">
        <v>0</v>
      </c>
      <c r="AM179" s="879">
        <v>0</v>
      </c>
      <c r="AN179" s="879">
        <v>0</v>
      </c>
      <c r="AO179" s="879">
        <v>0</v>
      </c>
      <c r="AP179" s="879">
        <v>0</v>
      </c>
      <c r="AQ179" s="879">
        <v>0</v>
      </c>
      <c r="AR179" s="879">
        <v>0</v>
      </c>
    </row>
    <row r="180" spans="1:44" x14ac:dyDescent="0.2">
      <c r="A180" s="184" t="s">
        <v>27</v>
      </c>
      <c r="B180" s="184" t="s">
        <v>755</v>
      </c>
      <c r="C180" s="184" t="s">
        <v>756</v>
      </c>
      <c r="D180" s="183" t="s">
        <v>26</v>
      </c>
      <c r="E180" s="184" t="s">
        <v>52</v>
      </c>
      <c r="F180" s="184" t="str">
        <f>Commodities!$D$11</f>
        <v>RSH</v>
      </c>
      <c r="G180" s="204" t="s">
        <v>633</v>
      </c>
      <c r="H180" s="203">
        <v>15</v>
      </c>
      <c r="I180" s="205">
        <v>12.292720843386961</v>
      </c>
      <c r="J180" s="205">
        <v>1.3</v>
      </c>
      <c r="K180" s="184">
        <v>1</v>
      </c>
      <c r="L180" s="184">
        <v>0.16</v>
      </c>
      <c r="M180" s="184">
        <v>0.16</v>
      </c>
      <c r="N180" s="184">
        <v>0.16</v>
      </c>
      <c r="O180" s="184">
        <v>0.16</v>
      </c>
      <c r="P180" s="184">
        <v>0.16</v>
      </c>
      <c r="Q180" s="184"/>
      <c r="R180" s="184">
        <v>0.18</v>
      </c>
      <c r="S180" s="879"/>
      <c r="T180" s="879"/>
      <c r="U180" s="879"/>
      <c r="V180" s="879"/>
      <c r="W180" s="879"/>
      <c r="X180" s="879"/>
      <c r="Y180" s="879"/>
      <c r="Z180" s="879"/>
      <c r="AA180" s="879"/>
      <c r="AB180" s="879"/>
      <c r="AC180" s="879"/>
      <c r="AD180" s="879"/>
      <c r="AE180" s="879"/>
      <c r="AF180" s="879"/>
      <c r="AG180" s="879"/>
      <c r="AH180" s="879"/>
      <c r="AI180" s="879">
        <v>0</v>
      </c>
      <c r="AJ180" s="879"/>
      <c r="AK180" s="879">
        <v>0</v>
      </c>
      <c r="AL180" s="879">
        <v>0</v>
      </c>
      <c r="AM180" s="879">
        <v>0</v>
      </c>
      <c r="AN180" s="879">
        <v>0</v>
      </c>
      <c r="AO180" s="879">
        <v>0</v>
      </c>
      <c r="AP180" s="879">
        <v>0</v>
      </c>
      <c r="AQ180" s="879">
        <v>0</v>
      </c>
      <c r="AR180" s="879">
        <v>0</v>
      </c>
    </row>
    <row r="181" spans="1:44" x14ac:dyDescent="0.2">
      <c r="A181" s="184" t="s">
        <v>27</v>
      </c>
      <c r="B181" s="184" t="s">
        <v>757</v>
      </c>
      <c r="C181" s="184" t="s">
        <v>758</v>
      </c>
      <c r="D181" s="183" t="s">
        <v>26</v>
      </c>
      <c r="E181" s="184" t="s">
        <v>52</v>
      </c>
      <c r="F181" s="184" t="str">
        <f>Commodities!$D$11</f>
        <v>RSH</v>
      </c>
      <c r="G181" s="204" t="s">
        <v>620</v>
      </c>
      <c r="H181" s="203">
        <v>15</v>
      </c>
      <c r="I181" s="205">
        <v>12.292720843386961</v>
      </c>
      <c r="J181" s="205">
        <v>1.3</v>
      </c>
      <c r="K181" s="184">
        <v>1</v>
      </c>
      <c r="L181" s="184">
        <v>0.16</v>
      </c>
      <c r="M181" s="184">
        <v>0.16</v>
      </c>
      <c r="N181" s="184">
        <v>0.16</v>
      </c>
      <c r="O181" s="184">
        <v>0.16</v>
      </c>
      <c r="P181" s="184">
        <v>0.16</v>
      </c>
      <c r="Q181" s="184"/>
      <c r="R181" s="184">
        <v>0.18</v>
      </c>
      <c r="S181" s="879"/>
      <c r="T181" s="879"/>
      <c r="U181" s="879"/>
      <c r="V181" s="879"/>
      <c r="W181" s="879"/>
      <c r="X181" s="879"/>
      <c r="Y181" s="879"/>
      <c r="Z181" s="879"/>
      <c r="AA181" s="879"/>
      <c r="AB181" s="879"/>
      <c r="AC181" s="879"/>
      <c r="AD181" s="879"/>
      <c r="AE181" s="879"/>
      <c r="AF181" s="879"/>
      <c r="AG181" s="879"/>
      <c r="AH181" s="879"/>
      <c r="AI181" s="879">
        <v>0</v>
      </c>
      <c r="AJ181" s="879"/>
      <c r="AK181" s="879"/>
      <c r="AL181" s="879"/>
      <c r="AM181" s="879"/>
      <c r="AN181" s="879"/>
      <c r="AO181" s="879"/>
      <c r="AP181" s="879"/>
      <c r="AQ181" s="879"/>
      <c r="AR181" s="879"/>
    </row>
    <row r="182" spans="1:44" x14ac:dyDescent="0.2">
      <c r="A182" s="184" t="s">
        <v>27</v>
      </c>
      <c r="B182" s="184" t="s">
        <v>759</v>
      </c>
      <c r="C182" s="184" t="s">
        <v>760</v>
      </c>
      <c r="D182" s="183" t="s">
        <v>26</v>
      </c>
      <c r="E182" s="184" t="s">
        <v>52</v>
      </c>
      <c r="F182" s="184" t="s">
        <v>30</v>
      </c>
      <c r="G182" s="204">
        <v>2020</v>
      </c>
      <c r="H182" s="203">
        <v>18</v>
      </c>
      <c r="I182" s="205">
        <v>14.07</v>
      </c>
      <c r="J182" s="205">
        <v>1.3</v>
      </c>
      <c r="K182" s="184">
        <v>1</v>
      </c>
      <c r="L182" s="184">
        <v>0.16</v>
      </c>
      <c r="M182" s="184">
        <v>0.16</v>
      </c>
      <c r="N182" s="184">
        <v>0.16</v>
      </c>
      <c r="O182" s="184">
        <v>0.16</v>
      </c>
      <c r="P182" s="184">
        <v>0.16</v>
      </c>
      <c r="Q182" s="184"/>
      <c r="R182" s="184">
        <v>0.18</v>
      </c>
      <c r="S182" s="879"/>
      <c r="T182" s="879"/>
      <c r="U182" s="879"/>
      <c r="V182" s="879"/>
      <c r="W182" s="879"/>
      <c r="X182" s="879"/>
      <c r="Y182" s="879"/>
      <c r="Z182" s="879"/>
      <c r="AA182" s="879"/>
      <c r="AB182" s="879"/>
      <c r="AC182" s="879"/>
      <c r="AD182" s="879"/>
      <c r="AE182" s="879"/>
      <c r="AF182" s="879"/>
      <c r="AG182" s="879"/>
      <c r="AH182" s="879"/>
      <c r="AI182" s="879">
        <v>0</v>
      </c>
      <c r="AJ182" s="879">
        <v>0</v>
      </c>
      <c r="AK182" s="879"/>
      <c r="AL182" s="879"/>
      <c r="AM182" s="879"/>
      <c r="AN182" s="879"/>
      <c r="AO182" s="879"/>
      <c r="AP182" s="879"/>
      <c r="AQ182" s="879"/>
      <c r="AR182" s="879"/>
    </row>
    <row r="183" spans="1:44" x14ac:dyDescent="0.2">
      <c r="A183" s="184" t="s">
        <v>27</v>
      </c>
      <c r="B183" s="184" t="s">
        <v>761</v>
      </c>
      <c r="C183" s="184" t="s">
        <v>762</v>
      </c>
      <c r="D183" s="183" t="s">
        <v>26</v>
      </c>
      <c r="E183" s="184" t="s">
        <v>52</v>
      </c>
      <c r="F183" s="184" t="s">
        <v>30</v>
      </c>
      <c r="G183" s="204">
        <v>2030</v>
      </c>
      <c r="H183" s="203">
        <v>12</v>
      </c>
      <c r="I183" s="205">
        <v>12.292720843386961</v>
      </c>
      <c r="J183" s="205">
        <v>1.3</v>
      </c>
      <c r="K183" s="184">
        <v>1</v>
      </c>
      <c r="L183" s="184">
        <v>0.16</v>
      </c>
      <c r="M183" s="184">
        <v>0.16</v>
      </c>
      <c r="N183" s="184">
        <v>0.16</v>
      </c>
      <c r="O183" s="184">
        <v>0.16</v>
      </c>
      <c r="P183" s="184">
        <v>0.16</v>
      </c>
      <c r="Q183" s="184"/>
      <c r="R183" s="184">
        <v>0.18</v>
      </c>
      <c r="S183" s="879"/>
      <c r="T183" s="879"/>
      <c r="U183" s="879"/>
      <c r="V183" s="879"/>
      <c r="W183" s="879"/>
      <c r="X183" s="879"/>
      <c r="Y183" s="879"/>
      <c r="Z183" s="879"/>
      <c r="AA183" s="879"/>
      <c r="AB183" s="879"/>
      <c r="AC183" s="879"/>
      <c r="AD183" s="879"/>
      <c r="AE183" s="879"/>
      <c r="AF183" s="879"/>
      <c r="AG183" s="879"/>
      <c r="AH183" s="879"/>
      <c r="AI183" s="879">
        <v>0</v>
      </c>
      <c r="AJ183" s="879">
        <v>0</v>
      </c>
      <c r="AK183" s="879">
        <v>0</v>
      </c>
      <c r="AL183" s="879">
        <v>0</v>
      </c>
      <c r="AM183" s="879"/>
      <c r="AN183" s="879"/>
      <c r="AO183" s="879"/>
      <c r="AP183" s="879"/>
      <c r="AQ183" s="879"/>
      <c r="AR183" s="879"/>
    </row>
    <row r="184" spans="1:44" x14ac:dyDescent="0.2">
      <c r="A184" s="184" t="s">
        <v>27</v>
      </c>
      <c r="B184" s="184" t="s">
        <v>763</v>
      </c>
      <c r="C184" s="184" t="s">
        <v>764</v>
      </c>
      <c r="D184" s="183" t="s">
        <v>26</v>
      </c>
      <c r="E184" s="184" t="s">
        <v>52</v>
      </c>
      <c r="F184" s="184" t="s">
        <v>30</v>
      </c>
      <c r="G184" s="204">
        <v>2030</v>
      </c>
      <c r="H184" s="203">
        <v>18</v>
      </c>
      <c r="I184" s="205">
        <v>14.07</v>
      </c>
      <c r="J184" s="205">
        <v>1.3</v>
      </c>
      <c r="K184" s="184">
        <v>1</v>
      </c>
      <c r="L184" s="184">
        <v>0.16</v>
      </c>
      <c r="M184" s="184">
        <v>0.16</v>
      </c>
      <c r="N184" s="184">
        <v>0.16</v>
      </c>
      <c r="O184" s="184">
        <v>0.16</v>
      </c>
      <c r="P184" s="184">
        <v>0.16</v>
      </c>
      <c r="Q184" s="184"/>
      <c r="R184" s="184">
        <v>0.18</v>
      </c>
      <c r="S184" s="879"/>
      <c r="T184" s="879"/>
      <c r="U184" s="879"/>
      <c r="V184" s="879"/>
      <c r="W184" s="879"/>
      <c r="X184" s="879"/>
      <c r="Y184" s="879"/>
      <c r="Z184" s="879"/>
      <c r="AA184" s="879"/>
      <c r="AB184" s="879"/>
      <c r="AC184" s="879"/>
      <c r="AD184" s="879"/>
      <c r="AE184" s="879"/>
      <c r="AF184" s="879"/>
      <c r="AG184" s="879"/>
      <c r="AH184" s="879"/>
      <c r="AI184" s="879">
        <v>0</v>
      </c>
      <c r="AJ184" s="879">
        <v>0</v>
      </c>
      <c r="AK184" s="879">
        <v>0</v>
      </c>
      <c r="AL184" s="879">
        <v>0</v>
      </c>
      <c r="AM184" s="879"/>
      <c r="AN184" s="879"/>
      <c r="AO184" s="879"/>
      <c r="AP184" s="879"/>
      <c r="AQ184" s="879"/>
      <c r="AR184" s="879"/>
    </row>
    <row r="185" spans="1:44" x14ac:dyDescent="0.2">
      <c r="A185" s="184" t="s">
        <v>27</v>
      </c>
      <c r="B185" s="184" t="s">
        <v>765</v>
      </c>
      <c r="C185" s="184" t="s">
        <v>766</v>
      </c>
      <c r="D185" s="183" t="s">
        <v>26</v>
      </c>
      <c r="E185" s="184" t="s">
        <v>52</v>
      </c>
      <c r="F185" s="184" t="s">
        <v>30</v>
      </c>
      <c r="G185" s="204">
        <v>2040</v>
      </c>
      <c r="H185" s="203">
        <v>12</v>
      </c>
      <c r="I185" s="205">
        <v>12.292720843386961</v>
      </c>
      <c r="J185" s="205">
        <v>1.3</v>
      </c>
      <c r="K185" s="184">
        <v>1</v>
      </c>
      <c r="L185" s="184">
        <v>0.16</v>
      </c>
      <c r="M185" s="184">
        <v>0.16</v>
      </c>
      <c r="N185" s="184">
        <v>0.16</v>
      </c>
      <c r="O185" s="184">
        <v>0.16</v>
      </c>
      <c r="P185" s="184">
        <v>0.16</v>
      </c>
      <c r="Q185" s="184"/>
      <c r="R185" s="184">
        <v>0.18</v>
      </c>
      <c r="S185" s="879"/>
      <c r="T185" s="879"/>
      <c r="U185" s="879"/>
      <c r="V185" s="879"/>
      <c r="W185" s="879"/>
      <c r="X185" s="879"/>
      <c r="Y185" s="879"/>
      <c r="Z185" s="879"/>
      <c r="AA185" s="879"/>
      <c r="AB185" s="879"/>
      <c r="AC185" s="879"/>
      <c r="AD185" s="879"/>
      <c r="AE185" s="879"/>
      <c r="AF185" s="879"/>
      <c r="AG185" s="879"/>
      <c r="AH185" s="879"/>
      <c r="AI185" s="879">
        <v>0</v>
      </c>
      <c r="AJ185" s="879">
        <v>0</v>
      </c>
      <c r="AK185" s="879">
        <v>0</v>
      </c>
      <c r="AL185" s="879">
        <v>0</v>
      </c>
      <c r="AM185" s="879">
        <v>0</v>
      </c>
      <c r="AN185" s="879">
        <v>0</v>
      </c>
      <c r="AO185" s="879"/>
      <c r="AP185" s="879"/>
      <c r="AQ185" s="879"/>
      <c r="AR185" s="879"/>
    </row>
    <row r="186" spans="1:44" x14ac:dyDescent="0.2">
      <c r="A186" s="184" t="s">
        <v>27</v>
      </c>
      <c r="B186" s="184" t="s">
        <v>767</v>
      </c>
      <c r="C186" s="184" t="s">
        <v>768</v>
      </c>
      <c r="D186" s="183" t="s">
        <v>26</v>
      </c>
      <c r="E186" s="184" t="s">
        <v>52</v>
      </c>
      <c r="F186" s="184" t="s">
        <v>30</v>
      </c>
      <c r="G186" s="204">
        <v>2040</v>
      </c>
      <c r="H186" s="203">
        <v>18</v>
      </c>
      <c r="I186" s="205">
        <v>14.07</v>
      </c>
      <c r="J186" s="205">
        <v>1.3</v>
      </c>
      <c r="K186" s="184">
        <v>1</v>
      </c>
      <c r="L186" s="184">
        <v>0.16</v>
      </c>
      <c r="M186" s="184">
        <v>0.16</v>
      </c>
      <c r="N186" s="184">
        <v>0.16</v>
      </c>
      <c r="O186" s="184">
        <v>0.16</v>
      </c>
      <c r="P186" s="184">
        <v>0.16</v>
      </c>
      <c r="Q186" s="184"/>
      <c r="R186" s="184">
        <v>0.18</v>
      </c>
      <c r="S186" s="879"/>
      <c r="T186" s="879"/>
      <c r="U186" s="879"/>
      <c r="V186" s="879"/>
      <c r="W186" s="879"/>
      <c r="X186" s="879"/>
      <c r="Y186" s="879"/>
      <c r="Z186" s="879"/>
      <c r="AA186" s="879"/>
      <c r="AB186" s="879"/>
      <c r="AC186" s="879"/>
      <c r="AD186" s="879"/>
      <c r="AE186" s="879"/>
      <c r="AF186" s="879"/>
      <c r="AG186" s="879"/>
      <c r="AH186" s="879"/>
      <c r="AI186" s="879">
        <v>0</v>
      </c>
      <c r="AJ186" s="879">
        <v>0</v>
      </c>
      <c r="AK186" s="879">
        <v>0</v>
      </c>
      <c r="AL186" s="879">
        <v>0</v>
      </c>
      <c r="AM186" s="879">
        <v>0</v>
      </c>
      <c r="AN186" s="879">
        <v>0</v>
      </c>
      <c r="AO186" s="879"/>
      <c r="AP186" s="879"/>
      <c r="AQ186" s="879"/>
      <c r="AR186" s="879"/>
    </row>
    <row r="187" spans="1:44" x14ac:dyDescent="0.2">
      <c r="A187" s="184" t="s">
        <v>27</v>
      </c>
      <c r="B187" s="184" t="s">
        <v>769</v>
      </c>
      <c r="C187" s="184" t="s">
        <v>770</v>
      </c>
      <c r="D187" s="183" t="s">
        <v>26</v>
      </c>
      <c r="E187" s="184" t="s">
        <v>52</v>
      </c>
      <c r="F187" s="184" t="s">
        <v>30</v>
      </c>
      <c r="G187" s="204">
        <v>2050</v>
      </c>
      <c r="H187" s="203">
        <v>12</v>
      </c>
      <c r="I187" s="205">
        <v>12.292720843386961</v>
      </c>
      <c r="J187" s="205">
        <v>1.3</v>
      </c>
      <c r="K187" s="184">
        <v>1</v>
      </c>
      <c r="L187" s="184">
        <v>0.16</v>
      </c>
      <c r="M187" s="184">
        <v>0.16</v>
      </c>
      <c r="N187" s="184">
        <v>0.16</v>
      </c>
      <c r="O187" s="184">
        <v>0.16</v>
      </c>
      <c r="P187" s="184">
        <v>0.16</v>
      </c>
      <c r="Q187" s="184"/>
      <c r="R187" s="184">
        <v>0.18</v>
      </c>
      <c r="S187" s="879"/>
      <c r="T187" s="879"/>
      <c r="U187" s="879"/>
      <c r="V187" s="879"/>
      <c r="W187" s="879"/>
      <c r="X187" s="879"/>
      <c r="Y187" s="879"/>
      <c r="Z187" s="879"/>
      <c r="AA187" s="879"/>
      <c r="AB187" s="879"/>
      <c r="AC187" s="879"/>
      <c r="AD187" s="879"/>
      <c r="AE187" s="879"/>
      <c r="AF187" s="879"/>
      <c r="AG187" s="879"/>
      <c r="AH187" s="879"/>
      <c r="AI187" s="879">
        <v>0</v>
      </c>
      <c r="AJ187" s="879">
        <v>0</v>
      </c>
      <c r="AK187" s="879">
        <v>0</v>
      </c>
      <c r="AL187" s="879">
        <v>0</v>
      </c>
      <c r="AM187" s="879">
        <v>0</v>
      </c>
      <c r="AN187" s="879">
        <v>0</v>
      </c>
      <c r="AO187" s="879">
        <v>0</v>
      </c>
      <c r="AP187" s="879">
        <v>0</v>
      </c>
      <c r="AQ187" s="879"/>
      <c r="AR187" s="879"/>
    </row>
    <row r="188" spans="1:44" x14ac:dyDescent="0.2">
      <c r="A188" s="184" t="s">
        <v>27</v>
      </c>
      <c r="B188" s="184" t="s">
        <v>771</v>
      </c>
      <c r="C188" s="184" t="s">
        <v>772</v>
      </c>
      <c r="D188" s="183" t="s">
        <v>26</v>
      </c>
      <c r="E188" s="184" t="s">
        <v>52</v>
      </c>
      <c r="F188" s="184" t="s">
        <v>30</v>
      </c>
      <c r="G188" s="204">
        <v>2050</v>
      </c>
      <c r="H188" s="203">
        <v>18</v>
      </c>
      <c r="I188" s="205">
        <v>14.07</v>
      </c>
      <c r="J188" s="205">
        <v>1.3</v>
      </c>
      <c r="K188" s="184">
        <v>1</v>
      </c>
      <c r="L188" s="184">
        <v>0.16</v>
      </c>
      <c r="M188" s="184">
        <v>0.16</v>
      </c>
      <c r="N188" s="184">
        <v>0.16</v>
      </c>
      <c r="O188" s="184">
        <v>0.16</v>
      </c>
      <c r="P188" s="184">
        <v>0.16</v>
      </c>
      <c r="Q188" s="184"/>
      <c r="R188" s="184">
        <v>0.18</v>
      </c>
      <c r="S188" s="879"/>
      <c r="T188" s="879"/>
      <c r="U188" s="879"/>
      <c r="V188" s="879"/>
      <c r="W188" s="879"/>
      <c r="X188" s="879"/>
      <c r="Y188" s="879"/>
      <c r="Z188" s="879"/>
      <c r="AA188" s="879"/>
      <c r="AB188" s="879"/>
      <c r="AC188" s="879"/>
      <c r="AD188" s="879"/>
      <c r="AE188" s="879"/>
      <c r="AF188" s="879"/>
      <c r="AG188" s="879"/>
      <c r="AH188" s="879"/>
      <c r="AI188" s="879">
        <v>0</v>
      </c>
      <c r="AJ188" s="879">
        <v>0</v>
      </c>
      <c r="AK188" s="879">
        <v>0</v>
      </c>
      <c r="AL188" s="879">
        <v>0</v>
      </c>
      <c r="AM188" s="879">
        <v>0</v>
      </c>
      <c r="AN188" s="879">
        <v>0</v>
      </c>
      <c r="AO188" s="879">
        <v>0</v>
      </c>
      <c r="AP188" s="879">
        <v>0</v>
      </c>
      <c r="AQ188" s="879"/>
      <c r="AR188" s="879"/>
    </row>
    <row r="189" spans="1:44" x14ac:dyDescent="0.2">
      <c r="A189" s="194" t="s">
        <v>390</v>
      </c>
      <c r="B189" s="192"/>
      <c r="C189" s="192"/>
      <c r="D189" s="192"/>
      <c r="E189" s="194"/>
      <c r="F189" s="194"/>
      <c r="G189" s="872"/>
      <c r="H189" s="873"/>
      <c r="I189" s="873"/>
      <c r="J189" s="874"/>
      <c r="K189" s="873"/>
      <c r="L189" s="873"/>
      <c r="M189" s="873" t="s">
        <v>514</v>
      </c>
      <c r="N189" s="873" t="s">
        <v>514</v>
      </c>
      <c r="O189" s="873" t="s">
        <v>514</v>
      </c>
      <c r="P189" s="873" t="s">
        <v>514</v>
      </c>
      <c r="Q189" s="873"/>
      <c r="R189" s="874"/>
      <c r="S189" s="875"/>
      <c r="T189" s="875"/>
      <c r="U189" s="875"/>
      <c r="V189" s="875"/>
      <c r="W189" s="875"/>
      <c r="X189" s="875"/>
      <c r="Y189" s="875"/>
      <c r="Z189" s="875"/>
      <c r="AA189" s="875"/>
      <c r="AB189" s="875"/>
      <c r="AC189" s="875"/>
      <c r="AD189" s="875"/>
      <c r="AE189" s="875"/>
      <c r="AF189" s="875"/>
      <c r="AG189" s="875"/>
      <c r="AH189" s="875"/>
      <c r="AI189" s="875"/>
      <c r="AJ189" s="875"/>
      <c r="AK189" s="875"/>
      <c r="AL189" s="875"/>
      <c r="AM189" s="875"/>
      <c r="AN189" s="875"/>
      <c r="AO189" s="875"/>
      <c r="AP189" s="875"/>
      <c r="AQ189" s="875"/>
      <c r="AR189" s="877"/>
    </row>
    <row r="190" spans="1:44" x14ac:dyDescent="0.2">
      <c r="A190" s="194" t="s">
        <v>537</v>
      </c>
      <c r="B190" s="192"/>
      <c r="C190" s="192"/>
      <c r="D190" s="192"/>
      <c r="E190" s="194"/>
      <c r="F190" s="194"/>
      <c r="G190" s="872"/>
      <c r="H190" s="873"/>
      <c r="I190" s="873"/>
      <c r="J190" s="874"/>
      <c r="K190" s="873"/>
      <c r="L190" s="873"/>
      <c r="M190" s="873" t="s">
        <v>514</v>
      </c>
      <c r="N190" s="873" t="s">
        <v>514</v>
      </c>
      <c r="O190" s="873" t="s">
        <v>514</v>
      </c>
      <c r="P190" s="873" t="s">
        <v>514</v>
      </c>
      <c r="Q190" s="873"/>
      <c r="R190" s="874"/>
      <c r="S190" s="875"/>
      <c r="T190" s="875"/>
      <c r="U190" s="875"/>
      <c r="V190" s="875"/>
      <c r="W190" s="875"/>
      <c r="X190" s="875"/>
      <c r="Y190" s="875"/>
      <c r="Z190" s="875"/>
      <c r="AA190" s="875"/>
      <c r="AB190" s="875"/>
      <c r="AC190" s="875"/>
      <c r="AD190" s="875"/>
      <c r="AE190" s="875"/>
      <c r="AF190" s="875"/>
      <c r="AG190" s="875"/>
      <c r="AH190" s="875"/>
      <c r="AI190" s="875"/>
      <c r="AJ190" s="875"/>
      <c r="AK190" s="875"/>
      <c r="AL190" s="875"/>
      <c r="AM190" s="875"/>
      <c r="AN190" s="875"/>
      <c r="AO190" s="875"/>
      <c r="AP190" s="875"/>
      <c r="AQ190" s="875"/>
      <c r="AR190" s="877"/>
    </row>
    <row r="191" spans="1:44" x14ac:dyDescent="0.2">
      <c r="A191" s="184" t="s">
        <v>27</v>
      </c>
      <c r="B191" s="184" t="s">
        <v>773</v>
      </c>
      <c r="C191" s="184" t="s">
        <v>774</v>
      </c>
      <c r="D191" s="183" t="s">
        <v>26</v>
      </c>
      <c r="E191" s="184" t="s">
        <v>47</v>
      </c>
      <c r="F191" s="184" t="s">
        <v>24</v>
      </c>
      <c r="G191" s="204">
        <v>2010</v>
      </c>
      <c r="H191" s="203">
        <v>10</v>
      </c>
      <c r="I191" s="205"/>
      <c r="J191" s="205">
        <v>2.7435958263219513</v>
      </c>
      <c r="K191" s="184">
        <v>1</v>
      </c>
      <c r="L191" s="184">
        <v>0.15</v>
      </c>
      <c r="M191" s="184">
        <v>0.15</v>
      </c>
      <c r="N191" s="184">
        <v>0.15</v>
      </c>
      <c r="O191" s="184">
        <v>0.15</v>
      </c>
      <c r="P191" s="184">
        <v>0.15</v>
      </c>
      <c r="Q191" s="184"/>
      <c r="R191" s="184">
        <v>0.6</v>
      </c>
      <c r="S191" s="878"/>
      <c r="T191" s="878"/>
      <c r="U191" s="878"/>
      <c r="V191" s="878"/>
      <c r="W191" s="878"/>
      <c r="X191" s="878"/>
      <c r="Y191" s="878"/>
      <c r="Z191" s="878"/>
      <c r="AA191" s="878"/>
      <c r="AB191" s="878"/>
      <c r="AC191" s="878"/>
      <c r="AD191" s="878"/>
      <c r="AE191" s="878"/>
      <c r="AF191" s="878"/>
      <c r="AG191" s="878"/>
      <c r="AH191" s="878"/>
      <c r="AI191" s="879">
        <v>0</v>
      </c>
      <c r="AJ191" s="879">
        <v>0</v>
      </c>
      <c r="AK191" s="879">
        <v>0</v>
      </c>
      <c r="AL191" s="879">
        <v>0</v>
      </c>
      <c r="AM191" s="879">
        <v>0</v>
      </c>
      <c r="AN191" s="879">
        <v>0</v>
      </c>
      <c r="AO191" s="879">
        <v>0</v>
      </c>
      <c r="AP191" s="879">
        <v>0</v>
      </c>
      <c r="AQ191" s="879">
        <v>0</v>
      </c>
      <c r="AR191" s="879">
        <v>0</v>
      </c>
    </row>
    <row r="192" spans="1:44" x14ac:dyDescent="0.2">
      <c r="A192" s="184" t="s">
        <v>27</v>
      </c>
      <c r="B192" s="184" t="s">
        <v>775</v>
      </c>
      <c r="C192" s="184" t="s">
        <v>776</v>
      </c>
      <c r="D192" s="183" t="s">
        <v>26</v>
      </c>
      <c r="E192" s="184" t="s">
        <v>47</v>
      </c>
      <c r="F192" s="184" t="s">
        <v>24</v>
      </c>
      <c r="G192" s="204">
        <v>2015</v>
      </c>
      <c r="H192" s="203">
        <v>6</v>
      </c>
      <c r="I192" s="205">
        <v>3.5146338269564263</v>
      </c>
      <c r="J192" s="205">
        <v>3.3923979660312087</v>
      </c>
      <c r="K192" s="184">
        <v>1</v>
      </c>
      <c r="L192" s="184">
        <v>0.15</v>
      </c>
      <c r="M192" s="184">
        <v>0.15</v>
      </c>
      <c r="N192" s="184">
        <v>0.15</v>
      </c>
      <c r="O192" s="184">
        <v>0.15</v>
      </c>
      <c r="P192" s="184">
        <v>0.15</v>
      </c>
      <c r="Q192" s="184"/>
      <c r="R192" s="184">
        <v>0.6</v>
      </c>
      <c r="S192" s="878"/>
      <c r="T192" s="878"/>
      <c r="U192" s="878"/>
      <c r="V192" s="878"/>
      <c r="W192" s="878"/>
      <c r="X192" s="878"/>
      <c r="Y192" s="878"/>
      <c r="Z192" s="878"/>
      <c r="AA192" s="878"/>
      <c r="AB192" s="878"/>
      <c r="AC192" s="878"/>
      <c r="AD192" s="878"/>
      <c r="AE192" s="878"/>
      <c r="AF192" s="878"/>
      <c r="AG192" s="878"/>
      <c r="AH192" s="878"/>
      <c r="AI192" s="879">
        <v>0</v>
      </c>
      <c r="AJ192" s="879"/>
      <c r="AK192" s="879"/>
      <c r="AL192" s="879"/>
      <c r="AM192" s="879"/>
      <c r="AN192" s="879"/>
      <c r="AO192" s="879"/>
      <c r="AP192" s="879"/>
      <c r="AQ192" s="879"/>
      <c r="AR192" s="879"/>
    </row>
    <row r="193" spans="1:44" x14ac:dyDescent="0.2">
      <c r="A193" s="184" t="s">
        <v>27</v>
      </c>
      <c r="B193" s="184" t="s">
        <v>777</v>
      </c>
      <c r="C193" s="184" t="s">
        <v>778</v>
      </c>
      <c r="D193" s="183" t="s">
        <v>26</v>
      </c>
      <c r="E193" s="184" t="s">
        <v>47</v>
      </c>
      <c r="F193" s="184" t="s">
        <v>24</v>
      </c>
      <c r="G193" s="204" t="s">
        <v>615</v>
      </c>
      <c r="H193" s="203">
        <v>6</v>
      </c>
      <c r="I193" s="205">
        <v>3.7930206647351534</v>
      </c>
      <c r="J193" s="205">
        <v>3.7347500543462844</v>
      </c>
      <c r="K193" s="184">
        <v>1</v>
      </c>
      <c r="L193" s="184">
        <v>0.15</v>
      </c>
      <c r="M193" s="184">
        <v>0.15</v>
      </c>
      <c r="N193" s="184">
        <v>0.15</v>
      </c>
      <c r="O193" s="184">
        <v>0.15</v>
      </c>
      <c r="P193" s="184">
        <v>0.15</v>
      </c>
      <c r="Q193" s="184"/>
      <c r="R193" s="184">
        <v>0.6</v>
      </c>
      <c r="S193" s="878"/>
      <c r="T193" s="878"/>
      <c r="U193" s="878"/>
      <c r="V193" s="878"/>
      <c r="W193" s="878"/>
      <c r="X193" s="878"/>
      <c r="Y193" s="878"/>
      <c r="Z193" s="878"/>
      <c r="AA193" s="878"/>
      <c r="AB193" s="878"/>
      <c r="AC193" s="878"/>
      <c r="AD193" s="878"/>
      <c r="AE193" s="878"/>
      <c r="AF193" s="878"/>
      <c r="AG193" s="878"/>
      <c r="AH193" s="878"/>
      <c r="AI193" s="879">
        <v>0</v>
      </c>
      <c r="AJ193" s="879"/>
      <c r="AK193" s="879"/>
      <c r="AL193" s="879"/>
      <c r="AM193" s="879"/>
      <c r="AN193" s="879"/>
      <c r="AO193" s="879"/>
      <c r="AP193" s="879"/>
      <c r="AQ193" s="879"/>
      <c r="AR193" s="879"/>
    </row>
    <row r="194" spans="1:44" x14ac:dyDescent="0.2">
      <c r="A194" s="184" t="s">
        <v>27</v>
      </c>
      <c r="B194" s="184" t="s">
        <v>779</v>
      </c>
      <c r="C194" s="184" t="s">
        <v>780</v>
      </c>
      <c r="D194" s="183" t="s">
        <v>26</v>
      </c>
      <c r="E194" s="184" t="s">
        <v>47</v>
      </c>
      <c r="F194" s="184" t="s">
        <v>24</v>
      </c>
      <c r="G194" s="204">
        <v>2020</v>
      </c>
      <c r="H194" s="203">
        <v>6</v>
      </c>
      <c r="I194" s="205">
        <v>3.7930206647351534</v>
      </c>
      <c r="J194" s="205">
        <v>3.7347500543462844</v>
      </c>
      <c r="K194" s="184">
        <v>1</v>
      </c>
      <c r="L194" s="184">
        <v>0.15</v>
      </c>
      <c r="M194" s="184">
        <v>0.15</v>
      </c>
      <c r="N194" s="184">
        <v>0.15</v>
      </c>
      <c r="O194" s="184">
        <v>0.15</v>
      </c>
      <c r="P194" s="184">
        <v>0.15</v>
      </c>
      <c r="Q194" s="184"/>
      <c r="R194" s="184">
        <v>0.6</v>
      </c>
      <c r="S194" s="878"/>
      <c r="T194" s="878"/>
      <c r="U194" s="878"/>
      <c r="V194" s="878"/>
      <c r="W194" s="878"/>
      <c r="X194" s="878"/>
      <c r="Y194" s="878"/>
      <c r="Z194" s="878"/>
      <c r="AA194" s="878"/>
      <c r="AB194" s="878"/>
      <c r="AC194" s="878"/>
      <c r="AD194" s="878"/>
      <c r="AE194" s="878"/>
      <c r="AF194" s="878"/>
      <c r="AG194" s="878"/>
      <c r="AH194" s="878"/>
      <c r="AI194" s="879">
        <v>0</v>
      </c>
      <c r="AJ194" s="879"/>
      <c r="AK194" s="879"/>
      <c r="AL194" s="879"/>
      <c r="AM194" s="879"/>
      <c r="AN194" s="879"/>
      <c r="AO194" s="879"/>
      <c r="AP194" s="879"/>
      <c r="AQ194" s="879"/>
      <c r="AR194" s="879"/>
    </row>
    <row r="195" spans="1:44" x14ac:dyDescent="0.2">
      <c r="A195" s="184" t="s">
        <v>27</v>
      </c>
      <c r="B195" s="184" t="s">
        <v>781</v>
      </c>
      <c r="C195" s="184" t="s">
        <v>782</v>
      </c>
      <c r="D195" s="183" t="s">
        <v>26</v>
      </c>
      <c r="E195" s="184" t="s">
        <v>47</v>
      </c>
      <c r="F195" s="184" t="s">
        <v>24</v>
      </c>
      <c r="G195" s="204">
        <v>2020</v>
      </c>
      <c r="H195" s="203">
        <v>6</v>
      </c>
      <c r="I195" s="205">
        <v>3.7930206647351534</v>
      </c>
      <c r="J195" s="205">
        <v>3.8903646399440461</v>
      </c>
      <c r="K195" s="184">
        <v>1</v>
      </c>
      <c r="L195" s="184">
        <v>0.15</v>
      </c>
      <c r="M195" s="184">
        <v>0.15</v>
      </c>
      <c r="N195" s="184">
        <v>0.15</v>
      </c>
      <c r="O195" s="184">
        <v>0.15</v>
      </c>
      <c r="P195" s="184">
        <v>0.15</v>
      </c>
      <c r="Q195" s="184"/>
      <c r="R195" s="184">
        <v>0.6</v>
      </c>
      <c r="S195" s="878"/>
      <c r="T195" s="878"/>
      <c r="U195" s="878"/>
      <c r="V195" s="878"/>
      <c r="W195" s="878"/>
      <c r="X195" s="878"/>
      <c r="Y195" s="878"/>
      <c r="Z195" s="878"/>
      <c r="AA195" s="878"/>
      <c r="AB195" s="878"/>
      <c r="AC195" s="878"/>
      <c r="AD195" s="878"/>
      <c r="AE195" s="878"/>
      <c r="AF195" s="878"/>
      <c r="AG195" s="878"/>
      <c r="AH195" s="878"/>
      <c r="AI195" s="879">
        <v>0</v>
      </c>
      <c r="AJ195" s="879"/>
      <c r="AK195" s="879"/>
      <c r="AL195" s="879"/>
      <c r="AM195" s="879"/>
      <c r="AN195" s="879"/>
      <c r="AO195" s="879"/>
      <c r="AP195" s="879"/>
      <c r="AQ195" s="879"/>
      <c r="AR195" s="879"/>
    </row>
    <row r="196" spans="1:44" x14ac:dyDescent="0.2">
      <c r="A196" s="184" t="s">
        <v>27</v>
      </c>
      <c r="B196" s="184" t="s">
        <v>783</v>
      </c>
      <c r="C196" s="184" t="s">
        <v>784</v>
      </c>
      <c r="D196" s="183" t="s">
        <v>26</v>
      </c>
      <c r="E196" s="184" t="s">
        <v>47</v>
      </c>
      <c r="F196" s="184" t="s">
        <v>24</v>
      </c>
      <c r="G196" s="204">
        <v>2030</v>
      </c>
      <c r="H196" s="203">
        <v>13</v>
      </c>
      <c r="I196" s="205">
        <v>4.5237861139043112</v>
      </c>
      <c r="J196" s="205">
        <v>3.8281188057049418</v>
      </c>
      <c r="K196" s="184">
        <v>1</v>
      </c>
      <c r="L196" s="184">
        <v>0.15</v>
      </c>
      <c r="M196" s="184">
        <v>0.15</v>
      </c>
      <c r="N196" s="184">
        <v>0.15</v>
      </c>
      <c r="O196" s="184">
        <v>0.15</v>
      </c>
      <c r="P196" s="184">
        <v>0.15</v>
      </c>
      <c r="Q196" s="184"/>
      <c r="R196" s="184">
        <v>0.6</v>
      </c>
      <c r="S196" s="878"/>
      <c r="T196" s="878"/>
      <c r="U196" s="878"/>
      <c r="V196" s="878"/>
      <c r="W196" s="878"/>
      <c r="X196" s="878"/>
      <c r="Y196" s="878"/>
      <c r="Z196" s="878"/>
      <c r="AA196" s="878"/>
      <c r="AB196" s="878"/>
      <c r="AC196" s="878"/>
      <c r="AD196" s="878"/>
      <c r="AE196" s="878"/>
      <c r="AF196" s="878"/>
      <c r="AG196" s="878"/>
      <c r="AH196" s="878"/>
      <c r="AI196" s="879">
        <v>0</v>
      </c>
      <c r="AJ196" s="879"/>
      <c r="AK196" s="879"/>
      <c r="AL196" s="879"/>
      <c r="AM196" s="879"/>
      <c r="AN196" s="879"/>
      <c r="AO196" s="879"/>
      <c r="AP196" s="879"/>
      <c r="AQ196" s="879"/>
      <c r="AR196" s="879"/>
    </row>
    <row r="197" spans="1:44" x14ac:dyDescent="0.2">
      <c r="A197" s="184" t="s">
        <v>27</v>
      </c>
      <c r="B197" s="184" t="s">
        <v>785</v>
      </c>
      <c r="C197" s="184" t="s">
        <v>786</v>
      </c>
      <c r="D197" s="183" t="s">
        <v>26</v>
      </c>
      <c r="E197" s="184" t="s">
        <v>47</v>
      </c>
      <c r="F197" s="184" t="s">
        <v>24</v>
      </c>
      <c r="G197" s="204">
        <v>2030</v>
      </c>
      <c r="H197" s="203">
        <v>13</v>
      </c>
      <c r="I197" s="205">
        <v>5.4285433366851734</v>
      </c>
      <c r="J197" s="205">
        <v>4.0459792255418083</v>
      </c>
      <c r="K197" s="184">
        <v>1</v>
      </c>
      <c r="L197" s="184">
        <v>0.15</v>
      </c>
      <c r="M197" s="184">
        <v>0.15</v>
      </c>
      <c r="N197" s="184">
        <v>0.15</v>
      </c>
      <c r="O197" s="184">
        <v>0.15</v>
      </c>
      <c r="P197" s="184">
        <v>0.15</v>
      </c>
      <c r="Q197" s="184"/>
      <c r="R197" s="184">
        <v>0.6</v>
      </c>
      <c r="S197" s="878"/>
      <c r="T197" s="878"/>
      <c r="U197" s="878"/>
      <c r="V197" s="878"/>
      <c r="W197" s="878"/>
      <c r="X197" s="878"/>
      <c r="Y197" s="878"/>
      <c r="Z197" s="878"/>
      <c r="AA197" s="878"/>
      <c r="AB197" s="878"/>
      <c r="AC197" s="878"/>
      <c r="AD197" s="878"/>
      <c r="AE197" s="878"/>
      <c r="AF197" s="878"/>
      <c r="AG197" s="878"/>
      <c r="AH197" s="878"/>
      <c r="AI197" s="879">
        <v>0</v>
      </c>
      <c r="AJ197" s="879"/>
      <c r="AK197" s="879"/>
      <c r="AL197" s="879"/>
      <c r="AM197" s="879"/>
      <c r="AN197" s="879"/>
      <c r="AO197" s="879"/>
      <c r="AP197" s="879"/>
      <c r="AQ197" s="879"/>
      <c r="AR197" s="879"/>
    </row>
    <row r="198" spans="1:44" x14ac:dyDescent="0.2">
      <c r="A198" s="184" t="s">
        <v>27</v>
      </c>
      <c r="B198" s="184" t="s">
        <v>787</v>
      </c>
      <c r="C198" s="184" t="s">
        <v>788</v>
      </c>
      <c r="D198" s="183" t="s">
        <v>26</v>
      </c>
      <c r="E198" s="184" t="s">
        <v>47</v>
      </c>
      <c r="F198" s="184" t="s">
        <v>24</v>
      </c>
      <c r="G198" s="204">
        <v>2040</v>
      </c>
      <c r="H198" s="203">
        <v>13</v>
      </c>
      <c r="I198" s="205">
        <v>4.5237861139043112</v>
      </c>
      <c r="J198" s="205">
        <v>3.8903646399440461</v>
      </c>
      <c r="K198" s="184">
        <v>1</v>
      </c>
      <c r="L198" s="184">
        <v>0.15</v>
      </c>
      <c r="M198" s="184">
        <v>0.15</v>
      </c>
      <c r="N198" s="184">
        <v>0.15</v>
      </c>
      <c r="O198" s="184">
        <v>0.15</v>
      </c>
      <c r="P198" s="184">
        <v>0.15</v>
      </c>
      <c r="Q198" s="184"/>
      <c r="R198" s="184">
        <v>0.6</v>
      </c>
      <c r="S198" s="878"/>
      <c r="T198" s="878"/>
      <c r="U198" s="878"/>
      <c r="V198" s="878"/>
      <c r="W198" s="878"/>
      <c r="X198" s="878"/>
      <c r="Y198" s="878"/>
      <c r="Z198" s="878"/>
      <c r="AA198" s="878"/>
      <c r="AB198" s="878"/>
      <c r="AC198" s="878"/>
      <c r="AD198" s="878"/>
      <c r="AE198" s="878"/>
      <c r="AF198" s="878"/>
      <c r="AG198" s="878"/>
      <c r="AH198" s="878"/>
      <c r="AI198" s="879">
        <v>0</v>
      </c>
      <c r="AJ198" s="879"/>
      <c r="AK198" s="879"/>
      <c r="AL198" s="879"/>
      <c r="AM198" s="879"/>
      <c r="AN198" s="879"/>
      <c r="AO198" s="879"/>
      <c r="AP198" s="879"/>
      <c r="AQ198" s="879"/>
      <c r="AR198" s="879"/>
    </row>
    <row r="199" spans="1:44" x14ac:dyDescent="0.2">
      <c r="A199" s="184" t="s">
        <v>27</v>
      </c>
      <c r="B199" s="184" t="s">
        <v>789</v>
      </c>
      <c r="C199" s="184" t="s">
        <v>790</v>
      </c>
      <c r="D199" s="183" t="s">
        <v>26</v>
      </c>
      <c r="E199" s="184" t="s">
        <v>47</v>
      </c>
      <c r="F199" s="184" t="s">
        <v>24</v>
      </c>
      <c r="G199" s="204">
        <v>2040</v>
      </c>
      <c r="H199" s="203">
        <v>13</v>
      </c>
      <c r="I199" s="205">
        <v>5.4285433366851734</v>
      </c>
      <c r="J199" s="205">
        <v>4.2015938111395705</v>
      </c>
      <c r="K199" s="184">
        <v>1</v>
      </c>
      <c r="L199" s="184">
        <v>0.15</v>
      </c>
      <c r="M199" s="184">
        <v>0.15</v>
      </c>
      <c r="N199" s="184">
        <v>0.15</v>
      </c>
      <c r="O199" s="184">
        <v>0.15</v>
      </c>
      <c r="P199" s="184">
        <v>0.15</v>
      </c>
      <c r="Q199" s="184"/>
      <c r="R199" s="184">
        <v>0.6</v>
      </c>
      <c r="S199" s="878"/>
      <c r="T199" s="878"/>
      <c r="U199" s="878"/>
      <c r="V199" s="878"/>
      <c r="W199" s="878"/>
      <c r="X199" s="878"/>
      <c r="Y199" s="878"/>
      <c r="Z199" s="878"/>
      <c r="AA199" s="878"/>
      <c r="AB199" s="878"/>
      <c r="AC199" s="878"/>
      <c r="AD199" s="878"/>
      <c r="AE199" s="878"/>
      <c r="AF199" s="878"/>
      <c r="AG199" s="878"/>
      <c r="AH199" s="878"/>
      <c r="AI199" s="879">
        <v>0</v>
      </c>
      <c r="AJ199" s="879"/>
      <c r="AK199" s="879"/>
      <c r="AL199" s="879"/>
      <c r="AM199" s="879"/>
      <c r="AN199" s="879"/>
      <c r="AO199" s="879"/>
      <c r="AP199" s="879"/>
      <c r="AQ199" s="879"/>
      <c r="AR199" s="879"/>
    </row>
    <row r="200" spans="1:44" x14ac:dyDescent="0.2">
      <c r="A200" s="184" t="s">
        <v>27</v>
      </c>
      <c r="B200" s="184" t="s">
        <v>791</v>
      </c>
      <c r="C200" s="184" t="s">
        <v>792</v>
      </c>
      <c r="D200" s="183" t="s">
        <v>26</v>
      </c>
      <c r="E200" s="184" t="s">
        <v>47</v>
      </c>
      <c r="F200" s="184" t="s">
        <v>24</v>
      </c>
      <c r="G200" s="204" t="s">
        <v>633</v>
      </c>
      <c r="H200" s="203">
        <v>10</v>
      </c>
      <c r="I200" s="205">
        <v>2.8519112356657748</v>
      </c>
      <c r="J200" s="205">
        <v>3.17</v>
      </c>
      <c r="K200" s="184">
        <v>1</v>
      </c>
      <c r="L200" s="184">
        <v>0.15</v>
      </c>
      <c r="M200" s="184">
        <v>0.15</v>
      </c>
      <c r="N200" s="184">
        <v>0.15</v>
      </c>
      <c r="O200" s="184">
        <v>0.15</v>
      </c>
      <c r="P200" s="184">
        <v>0.15</v>
      </c>
      <c r="Q200" s="184"/>
      <c r="R200" s="184">
        <v>0.6</v>
      </c>
      <c r="S200" s="879"/>
      <c r="T200" s="879"/>
      <c r="U200" s="879"/>
      <c r="V200" s="879"/>
      <c r="W200" s="879"/>
      <c r="X200" s="879"/>
      <c r="Y200" s="879"/>
      <c r="Z200" s="879"/>
      <c r="AA200" s="879"/>
      <c r="AB200" s="879"/>
      <c r="AC200" s="879"/>
      <c r="AD200" s="879"/>
      <c r="AE200" s="879"/>
      <c r="AF200" s="879"/>
      <c r="AG200" s="879"/>
      <c r="AH200" s="879"/>
      <c r="AI200" s="879">
        <v>0</v>
      </c>
      <c r="AJ200" s="879"/>
      <c r="AK200" s="879">
        <v>0</v>
      </c>
      <c r="AL200" s="879">
        <v>0</v>
      </c>
      <c r="AM200" s="879">
        <v>0</v>
      </c>
      <c r="AN200" s="879">
        <v>0</v>
      </c>
      <c r="AO200" s="879">
        <v>0</v>
      </c>
      <c r="AP200" s="879">
        <v>0</v>
      </c>
      <c r="AQ200" s="879">
        <v>0</v>
      </c>
      <c r="AR200" s="879">
        <v>0</v>
      </c>
    </row>
    <row r="201" spans="1:44" x14ac:dyDescent="0.2">
      <c r="A201" s="184" t="s">
        <v>27</v>
      </c>
      <c r="B201" s="184" t="s">
        <v>777</v>
      </c>
      <c r="C201" s="184" t="s">
        <v>778</v>
      </c>
      <c r="D201" s="183" t="s">
        <v>26</v>
      </c>
      <c r="E201" s="184" t="s">
        <v>47</v>
      </c>
      <c r="F201" s="184" t="s">
        <v>24</v>
      </c>
      <c r="G201" s="204" t="s">
        <v>615</v>
      </c>
      <c r="H201" s="203">
        <v>10</v>
      </c>
      <c r="I201" s="205">
        <v>2.901082119039323</v>
      </c>
      <c r="J201" s="205">
        <v>3.22</v>
      </c>
      <c r="K201" s="184">
        <v>1</v>
      </c>
      <c r="L201" s="184">
        <v>0.15</v>
      </c>
      <c r="M201" s="184">
        <v>0.15</v>
      </c>
      <c r="N201" s="184">
        <v>0.15</v>
      </c>
      <c r="O201" s="184">
        <v>0.15</v>
      </c>
      <c r="P201" s="184">
        <v>0.15</v>
      </c>
      <c r="Q201" s="184"/>
      <c r="R201" s="184">
        <v>0.6</v>
      </c>
      <c r="S201" s="879"/>
      <c r="T201" s="879"/>
      <c r="U201" s="879"/>
      <c r="V201" s="879"/>
      <c r="W201" s="879"/>
      <c r="X201" s="879"/>
      <c r="Y201" s="879"/>
      <c r="Z201" s="879"/>
      <c r="AA201" s="879"/>
      <c r="AB201" s="879"/>
      <c r="AC201" s="879"/>
      <c r="AD201" s="879"/>
      <c r="AE201" s="879"/>
      <c r="AF201" s="879"/>
      <c r="AG201" s="879"/>
      <c r="AH201" s="879"/>
      <c r="AI201" s="879">
        <v>0</v>
      </c>
      <c r="AJ201" s="879"/>
      <c r="AK201" s="879"/>
      <c r="AL201" s="879"/>
      <c r="AM201" s="879">
        <v>0</v>
      </c>
      <c r="AN201" s="879">
        <v>0</v>
      </c>
      <c r="AO201" s="879">
        <v>0</v>
      </c>
      <c r="AP201" s="879">
        <v>0</v>
      </c>
      <c r="AQ201" s="879">
        <v>0</v>
      </c>
      <c r="AR201" s="879">
        <v>0</v>
      </c>
    </row>
    <row r="202" spans="1:44" x14ac:dyDescent="0.2">
      <c r="A202" s="184" t="s">
        <v>27</v>
      </c>
      <c r="B202" s="184" t="s">
        <v>793</v>
      </c>
      <c r="C202" s="184" t="s">
        <v>794</v>
      </c>
      <c r="D202" s="183" t="s">
        <v>26</v>
      </c>
      <c r="E202" s="184" t="s">
        <v>47</v>
      </c>
      <c r="F202" s="184" t="s">
        <v>24</v>
      </c>
      <c r="G202" s="204" t="s">
        <v>640</v>
      </c>
      <c r="H202" s="203">
        <v>10</v>
      </c>
      <c r="I202" s="205">
        <v>6.52</v>
      </c>
      <c r="J202" s="205">
        <v>3.24</v>
      </c>
      <c r="K202" s="184">
        <v>1</v>
      </c>
      <c r="L202" s="184">
        <v>0.15</v>
      </c>
      <c r="M202" s="184">
        <v>0.15</v>
      </c>
      <c r="N202" s="184">
        <v>0.15</v>
      </c>
      <c r="O202" s="184">
        <v>0.15</v>
      </c>
      <c r="P202" s="184">
        <v>0.15</v>
      </c>
      <c r="Q202" s="184"/>
      <c r="R202" s="184">
        <v>0.6</v>
      </c>
      <c r="S202" s="879"/>
      <c r="T202" s="879"/>
      <c r="U202" s="879"/>
      <c r="V202" s="879"/>
      <c r="W202" s="879"/>
      <c r="X202" s="879"/>
      <c r="Y202" s="879"/>
      <c r="Z202" s="879"/>
      <c r="AA202" s="879"/>
      <c r="AB202" s="879"/>
      <c r="AC202" s="879"/>
      <c r="AD202" s="879"/>
      <c r="AE202" s="879"/>
      <c r="AF202" s="879"/>
      <c r="AG202" s="879"/>
      <c r="AH202" s="879"/>
      <c r="AI202" s="879">
        <v>0</v>
      </c>
      <c r="AJ202" s="879"/>
      <c r="AK202" s="879"/>
      <c r="AL202" s="879"/>
      <c r="AM202" s="879"/>
      <c r="AN202" s="879"/>
      <c r="AO202" s="879"/>
      <c r="AP202" s="879"/>
      <c r="AQ202" s="879"/>
      <c r="AR202" s="879"/>
    </row>
    <row r="203" spans="1:44" x14ac:dyDescent="0.2">
      <c r="A203" s="184" t="s">
        <v>27</v>
      </c>
      <c r="B203" s="184" t="s">
        <v>795</v>
      </c>
      <c r="C203" s="184" t="s">
        <v>796</v>
      </c>
      <c r="D203" s="183" t="s">
        <v>26</v>
      </c>
      <c r="E203" s="184" t="s">
        <v>47</v>
      </c>
      <c r="F203" s="184" t="s">
        <v>24</v>
      </c>
      <c r="G203" s="204" t="s">
        <v>633</v>
      </c>
      <c r="H203" s="203">
        <v>10</v>
      </c>
      <c r="I203" s="205">
        <v>4.4745503869928545</v>
      </c>
      <c r="J203" s="205">
        <v>3.52</v>
      </c>
      <c r="K203" s="184">
        <v>1</v>
      </c>
      <c r="L203" s="184">
        <v>0.15</v>
      </c>
      <c r="M203" s="184">
        <v>0.15</v>
      </c>
      <c r="N203" s="184">
        <v>0.15</v>
      </c>
      <c r="O203" s="184">
        <v>0.15</v>
      </c>
      <c r="P203" s="184">
        <v>0.15</v>
      </c>
      <c r="Q203" s="184"/>
      <c r="R203" s="184">
        <v>0.6</v>
      </c>
      <c r="S203" s="879"/>
      <c r="T203" s="879"/>
      <c r="U203" s="879"/>
      <c r="V203" s="879"/>
      <c r="W203" s="879"/>
      <c r="X203" s="879"/>
      <c r="Y203" s="879"/>
      <c r="Z203" s="879"/>
      <c r="AA203" s="879"/>
      <c r="AB203" s="879"/>
      <c r="AC203" s="879"/>
      <c r="AD203" s="879"/>
      <c r="AE203" s="879"/>
      <c r="AF203" s="879"/>
      <c r="AG203" s="879"/>
      <c r="AH203" s="879"/>
      <c r="AI203" s="879">
        <v>0</v>
      </c>
      <c r="AJ203" s="879"/>
      <c r="AK203" s="879">
        <v>0</v>
      </c>
      <c r="AL203" s="879">
        <v>0</v>
      </c>
      <c r="AM203" s="879">
        <v>0</v>
      </c>
      <c r="AN203" s="879">
        <v>0</v>
      </c>
      <c r="AO203" s="879">
        <v>0</v>
      </c>
      <c r="AP203" s="879">
        <v>0</v>
      </c>
      <c r="AQ203" s="879">
        <v>0</v>
      </c>
      <c r="AR203" s="879">
        <v>0</v>
      </c>
    </row>
    <row r="204" spans="1:44" x14ac:dyDescent="0.2">
      <c r="A204" s="184" t="s">
        <v>27</v>
      </c>
      <c r="B204" s="184" t="s">
        <v>797</v>
      </c>
      <c r="C204" s="184" t="s">
        <v>798</v>
      </c>
      <c r="D204" s="183" t="s">
        <v>26</v>
      </c>
      <c r="E204" s="184" t="s">
        <v>47</v>
      </c>
      <c r="F204" s="184" t="s">
        <v>24</v>
      </c>
      <c r="G204" s="204" t="s">
        <v>620</v>
      </c>
      <c r="H204" s="203">
        <v>10</v>
      </c>
      <c r="I204" s="205">
        <v>6.52</v>
      </c>
      <c r="J204" s="205">
        <v>3.16</v>
      </c>
      <c r="K204" s="184">
        <v>1</v>
      </c>
      <c r="L204" s="184">
        <v>0.15</v>
      </c>
      <c r="M204" s="184">
        <v>0.15</v>
      </c>
      <c r="N204" s="184">
        <v>0.15</v>
      </c>
      <c r="O204" s="184">
        <v>0.15</v>
      </c>
      <c r="P204" s="184">
        <v>0.15</v>
      </c>
      <c r="Q204" s="184"/>
      <c r="R204" s="184">
        <v>0.6</v>
      </c>
      <c r="S204" s="879"/>
      <c r="T204" s="879"/>
      <c r="U204" s="879"/>
      <c r="V204" s="879"/>
      <c r="W204" s="879"/>
      <c r="X204" s="879"/>
      <c r="Y204" s="879"/>
      <c r="Z204" s="879"/>
      <c r="AA204" s="879"/>
      <c r="AB204" s="879"/>
      <c r="AC204" s="879"/>
      <c r="AD204" s="879"/>
      <c r="AE204" s="879"/>
      <c r="AF204" s="879"/>
      <c r="AG204" s="879"/>
      <c r="AH204" s="879"/>
      <c r="AI204" s="879">
        <v>0</v>
      </c>
      <c r="AJ204" s="879"/>
      <c r="AK204" s="879"/>
      <c r="AL204" s="879"/>
      <c r="AM204" s="879"/>
      <c r="AN204" s="879"/>
      <c r="AO204" s="879"/>
      <c r="AP204" s="879"/>
      <c r="AQ204" s="879"/>
      <c r="AR204" s="879"/>
    </row>
    <row r="205" spans="1:44" x14ac:dyDescent="0.2">
      <c r="A205" s="184" t="s">
        <v>27</v>
      </c>
      <c r="B205" s="184" t="s">
        <v>799</v>
      </c>
      <c r="C205" s="184" t="s">
        <v>800</v>
      </c>
      <c r="D205" s="183" t="s">
        <v>26</v>
      </c>
      <c r="E205" s="184" t="s">
        <v>47</v>
      </c>
      <c r="F205" s="184" t="s">
        <v>24</v>
      </c>
      <c r="G205" s="204">
        <v>2020</v>
      </c>
      <c r="H205" s="203">
        <v>13</v>
      </c>
      <c r="I205" s="205">
        <v>7.73</v>
      </c>
      <c r="J205" s="205">
        <v>3.29</v>
      </c>
      <c r="K205" s="184">
        <v>1</v>
      </c>
      <c r="L205" s="184">
        <v>0.15</v>
      </c>
      <c r="M205" s="184">
        <v>0.15</v>
      </c>
      <c r="N205" s="184">
        <v>0.15</v>
      </c>
      <c r="O205" s="184">
        <v>0.15</v>
      </c>
      <c r="P205" s="184">
        <v>0.15</v>
      </c>
      <c r="Q205" s="184"/>
      <c r="R205" s="184">
        <v>0.6</v>
      </c>
      <c r="S205" s="879"/>
      <c r="T205" s="879"/>
      <c r="U205" s="879"/>
      <c r="V205" s="879"/>
      <c r="W205" s="879"/>
      <c r="X205" s="879"/>
      <c r="Y205" s="879"/>
      <c r="Z205" s="879"/>
      <c r="AA205" s="879"/>
      <c r="AB205" s="879"/>
      <c r="AC205" s="879"/>
      <c r="AD205" s="879"/>
      <c r="AE205" s="879"/>
      <c r="AF205" s="879"/>
      <c r="AG205" s="879"/>
      <c r="AH205" s="879"/>
      <c r="AI205" s="879">
        <v>0</v>
      </c>
      <c r="AJ205" s="879"/>
      <c r="AK205" s="879"/>
      <c r="AL205" s="879"/>
      <c r="AM205" s="879"/>
      <c r="AN205" s="879"/>
      <c r="AO205" s="879"/>
      <c r="AP205" s="879"/>
      <c r="AQ205" s="879"/>
      <c r="AR205" s="879"/>
    </row>
    <row r="206" spans="1:44" x14ac:dyDescent="0.2">
      <c r="A206" s="184" t="s">
        <v>27</v>
      </c>
      <c r="B206" s="184" t="s">
        <v>801</v>
      </c>
      <c r="C206" s="184" t="s">
        <v>802</v>
      </c>
      <c r="D206" s="183" t="s">
        <v>26</v>
      </c>
      <c r="E206" s="184" t="s">
        <v>47</v>
      </c>
      <c r="F206" s="184" t="s">
        <v>24</v>
      </c>
      <c r="G206" s="204">
        <v>2030</v>
      </c>
      <c r="H206" s="203">
        <v>13</v>
      </c>
      <c r="I206" s="205">
        <v>7.73</v>
      </c>
      <c r="J206" s="205">
        <v>3.42</v>
      </c>
      <c r="K206" s="184">
        <v>1</v>
      </c>
      <c r="L206" s="184">
        <v>0.15</v>
      </c>
      <c r="M206" s="184">
        <v>0.15</v>
      </c>
      <c r="N206" s="184">
        <v>0.15</v>
      </c>
      <c r="O206" s="184">
        <v>0.15</v>
      </c>
      <c r="P206" s="184">
        <v>0.15</v>
      </c>
      <c r="Q206" s="184"/>
      <c r="R206" s="184">
        <v>0.6</v>
      </c>
      <c r="S206" s="879"/>
      <c r="T206" s="879"/>
      <c r="U206" s="879"/>
      <c r="V206" s="879"/>
      <c r="W206" s="879"/>
      <c r="X206" s="879"/>
      <c r="Y206" s="879"/>
      <c r="Z206" s="879"/>
      <c r="AA206" s="879"/>
      <c r="AB206" s="879"/>
      <c r="AC206" s="879"/>
      <c r="AD206" s="879"/>
      <c r="AE206" s="879"/>
      <c r="AF206" s="879"/>
      <c r="AG206" s="879"/>
      <c r="AH206" s="879"/>
      <c r="AI206" s="879">
        <v>0</v>
      </c>
      <c r="AJ206" s="879"/>
      <c r="AK206" s="879"/>
      <c r="AL206" s="879"/>
      <c r="AM206" s="879"/>
      <c r="AN206" s="879"/>
      <c r="AO206" s="879"/>
      <c r="AP206" s="879"/>
      <c r="AQ206" s="879"/>
      <c r="AR206" s="879"/>
    </row>
    <row r="207" spans="1:44" x14ac:dyDescent="0.2">
      <c r="A207" s="184" t="s">
        <v>27</v>
      </c>
      <c r="B207" s="184" t="s">
        <v>803</v>
      </c>
      <c r="C207" s="184" t="s">
        <v>804</v>
      </c>
      <c r="D207" s="183" t="s">
        <v>26</v>
      </c>
      <c r="E207" s="184" t="s">
        <v>47</v>
      </c>
      <c r="F207" s="184" t="s">
        <v>24</v>
      </c>
      <c r="G207" s="204">
        <v>2040</v>
      </c>
      <c r="H207" s="203">
        <v>13</v>
      </c>
      <c r="I207" s="205">
        <v>6.52</v>
      </c>
      <c r="J207" s="205">
        <v>3.29</v>
      </c>
      <c r="K207" s="184">
        <v>1</v>
      </c>
      <c r="L207" s="184">
        <v>0.15</v>
      </c>
      <c r="M207" s="184">
        <v>0.15</v>
      </c>
      <c r="N207" s="184">
        <v>0.15</v>
      </c>
      <c r="O207" s="184">
        <v>0.15</v>
      </c>
      <c r="P207" s="184">
        <v>0.15</v>
      </c>
      <c r="Q207" s="184"/>
      <c r="R207" s="184">
        <v>0.6</v>
      </c>
      <c r="S207" s="879"/>
      <c r="T207" s="879"/>
      <c r="U207" s="879"/>
      <c r="V207" s="879"/>
      <c r="W207" s="879"/>
      <c r="X207" s="879"/>
      <c r="Y207" s="879"/>
      <c r="Z207" s="879"/>
      <c r="AA207" s="879"/>
      <c r="AB207" s="879"/>
      <c r="AC207" s="879"/>
      <c r="AD207" s="879"/>
      <c r="AE207" s="879"/>
      <c r="AF207" s="879"/>
      <c r="AG207" s="879"/>
      <c r="AH207" s="879"/>
      <c r="AI207" s="879">
        <v>0</v>
      </c>
      <c r="AJ207" s="879"/>
      <c r="AK207" s="879"/>
      <c r="AL207" s="879"/>
      <c r="AM207" s="879"/>
      <c r="AN207" s="879"/>
      <c r="AO207" s="879"/>
      <c r="AP207" s="879"/>
      <c r="AQ207" s="879"/>
      <c r="AR207" s="879"/>
    </row>
    <row r="208" spans="1:44" x14ac:dyDescent="0.2">
      <c r="A208" s="184" t="s">
        <v>27</v>
      </c>
      <c r="B208" s="184" t="s">
        <v>805</v>
      </c>
      <c r="C208" s="184" t="s">
        <v>806</v>
      </c>
      <c r="D208" s="183" t="s">
        <v>26</v>
      </c>
      <c r="E208" s="184" t="s">
        <v>47</v>
      </c>
      <c r="F208" s="184" t="s">
        <v>24</v>
      </c>
      <c r="G208" s="204">
        <v>2040</v>
      </c>
      <c r="H208" s="203">
        <v>13</v>
      </c>
      <c r="I208" s="205">
        <v>7.73</v>
      </c>
      <c r="J208" s="205">
        <v>3.55</v>
      </c>
      <c r="K208" s="184">
        <v>1</v>
      </c>
      <c r="L208" s="184">
        <v>0.15</v>
      </c>
      <c r="M208" s="184">
        <v>0.15</v>
      </c>
      <c r="N208" s="184">
        <v>0.15</v>
      </c>
      <c r="O208" s="184">
        <v>0.15</v>
      </c>
      <c r="P208" s="184">
        <v>0.15</v>
      </c>
      <c r="Q208" s="184"/>
      <c r="R208" s="184">
        <v>0.6</v>
      </c>
      <c r="S208" s="879"/>
      <c r="T208" s="879"/>
      <c r="U208" s="879"/>
      <c r="V208" s="879"/>
      <c r="W208" s="879"/>
      <c r="X208" s="879"/>
      <c r="Y208" s="879"/>
      <c r="Z208" s="879"/>
      <c r="AA208" s="879"/>
      <c r="AB208" s="879"/>
      <c r="AC208" s="879"/>
      <c r="AD208" s="879"/>
      <c r="AE208" s="879"/>
      <c r="AF208" s="879"/>
      <c r="AG208" s="879"/>
      <c r="AH208" s="879"/>
      <c r="AI208" s="879">
        <v>0</v>
      </c>
      <c r="AJ208" s="879"/>
      <c r="AK208" s="879"/>
      <c r="AL208" s="879"/>
      <c r="AM208" s="879"/>
      <c r="AN208" s="879"/>
      <c r="AO208" s="879"/>
      <c r="AP208" s="879"/>
      <c r="AQ208" s="879"/>
      <c r="AR208" s="879"/>
    </row>
    <row r="209" spans="1:44" x14ac:dyDescent="0.2">
      <c r="A209" s="184" t="s">
        <v>27</v>
      </c>
      <c r="B209" s="184" t="s">
        <v>807</v>
      </c>
      <c r="C209" s="184" t="s">
        <v>808</v>
      </c>
      <c r="D209" s="183" t="s">
        <v>26</v>
      </c>
      <c r="E209" s="184" t="s">
        <v>47</v>
      </c>
      <c r="F209" s="184" t="s">
        <v>24</v>
      </c>
      <c r="G209" s="204">
        <v>2050</v>
      </c>
      <c r="H209" s="203">
        <v>13</v>
      </c>
      <c r="I209" s="205">
        <v>6.52</v>
      </c>
      <c r="J209" s="205">
        <v>3.29</v>
      </c>
      <c r="K209" s="184">
        <v>1</v>
      </c>
      <c r="L209" s="184">
        <v>0.15</v>
      </c>
      <c r="M209" s="184">
        <v>0.15</v>
      </c>
      <c r="N209" s="184">
        <v>0.15</v>
      </c>
      <c r="O209" s="184">
        <v>0.15</v>
      </c>
      <c r="P209" s="184">
        <v>0.15</v>
      </c>
      <c r="Q209" s="184"/>
      <c r="R209" s="184">
        <v>0.6</v>
      </c>
      <c r="S209" s="879"/>
      <c r="T209" s="879"/>
      <c r="U209" s="879"/>
      <c r="V209" s="879"/>
      <c r="W209" s="879"/>
      <c r="X209" s="879"/>
      <c r="Y209" s="879"/>
      <c r="Z209" s="879"/>
      <c r="AA209" s="879"/>
      <c r="AB209" s="879"/>
      <c r="AC209" s="879"/>
      <c r="AD209" s="879"/>
      <c r="AE209" s="879"/>
      <c r="AF209" s="879"/>
      <c r="AG209" s="879"/>
      <c r="AH209" s="879"/>
      <c r="AI209" s="879">
        <v>0</v>
      </c>
      <c r="AJ209" s="879"/>
      <c r="AK209" s="879"/>
      <c r="AL209" s="879"/>
      <c r="AM209" s="879"/>
      <c r="AN209" s="879"/>
      <c r="AO209" s="879"/>
      <c r="AP209" s="879"/>
      <c r="AQ209" s="879"/>
      <c r="AR209" s="879"/>
    </row>
    <row r="210" spans="1:44" x14ac:dyDescent="0.2">
      <c r="A210" s="184" t="s">
        <v>27</v>
      </c>
      <c r="B210" s="184" t="s">
        <v>809</v>
      </c>
      <c r="C210" s="184" t="s">
        <v>810</v>
      </c>
      <c r="D210" s="183" t="s">
        <v>26</v>
      </c>
      <c r="E210" s="184" t="s">
        <v>47</v>
      </c>
      <c r="F210" s="184" t="s">
        <v>24</v>
      </c>
      <c r="G210" s="204">
        <v>2050</v>
      </c>
      <c r="H210" s="203">
        <v>13</v>
      </c>
      <c r="I210" s="205">
        <v>7.73</v>
      </c>
      <c r="J210" s="205">
        <v>3.55</v>
      </c>
      <c r="K210" s="184">
        <v>1</v>
      </c>
      <c r="L210" s="184">
        <v>0.15</v>
      </c>
      <c r="M210" s="184">
        <v>0.15</v>
      </c>
      <c r="N210" s="184">
        <v>0.15</v>
      </c>
      <c r="O210" s="184">
        <v>0.15</v>
      </c>
      <c r="P210" s="184">
        <v>0.15</v>
      </c>
      <c r="Q210" s="184"/>
      <c r="R210" s="184">
        <v>0.6</v>
      </c>
      <c r="S210" s="879"/>
      <c r="T210" s="879"/>
      <c r="U210" s="879"/>
      <c r="V210" s="879"/>
      <c r="W210" s="879"/>
      <c r="X210" s="879"/>
      <c r="Y210" s="879"/>
      <c r="Z210" s="879"/>
      <c r="AA210" s="879"/>
      <c r="AB210" s="879"/>
      <c r="AC210" s="879"/>
      <c r="AD210" s="879"/>
      <c r="AE210" s="879"/>
      <c r="AF210" s="879"/>
      <c r="AG210" s="879"/>
      <c r="AH210" s="879"/>
      <c r="AI210" s="879">
        <v>0</v>
      </c>
      <c r="AJ210" s="879"/>
      <c r="AK210" s="879"/>
      <c r="AL210" s="879"/>
      <c r="AM210" s="879"/>
      <c r="AN210" s="879"/>
      <c r="AO210" s="879"/>
      <c r="AP210" s="879"/>
      <c r="AQ210" s="879"/>
      <c r="AR210" s="879"/>
    </row>
    <row r="211" spans="1:44" x14ac:dyDescent="0.2">
      <c r="A211" s="194" t="s">
        <v>540</v>
      </c>
      <c r="B211" s="192"/>
      <c r="C211" s="192"/>
      <c r="D211" s="192"/>
      <c r="E211" s="194"/>
      <c r="F211" s="194"/>
      <c r="G211" s="872"/>
      <c r="H211" s="873"/>
      <c r="I211" s="873"/>
      <c r="J211" s="874"/>
      <c r="K211" s="873"/>
      <c r="L211" s="873"/>
      <c r="M211" s="873"/>
      <c r="N211" s="873"/>
      <c r="O211" s="873"/>
      <c r="P211" s="873"/>
      <c r="Q211" s="873"/>
      <c r="R211" s="874"/>
      <c r="S211" s="875"/>
      <c r="T211" s="875"/>
      <c r="U211" s="875"/>
      <c r="V211" s="875"/>
      <c r="W211" s="875"/>
      <c r="X211" s="875"/>
      <c r="Y211" s="875"/>
      <c r="Z211" s="875"/>
      <c r="AA211" s="875"/>
      <c r="AB211" s="875"/>
      <c r="AC211" s="875"/>
      <c r="AD211" s="875"/>
      <c r="AE211" s="875"/>
      <c r="AF211" s="875"/>
      <c r="AG211" s="875"/>
      <c r="AH211" s="875"/>
      <c r="AI211" s="875"/>
      <c r="AJ211" s="875"/>
      <c r="AK211" s="875"/>
      <c r="AL211" s="875"/>
      <c r="AM211" s="875"/>
      <c r="AN211" s="875"/>
      <c r="AO211" s="875"/>
      <c r="AP211" s="875"/>
      <c r="AQ211" s="875"/>
      <c r="AR211" s="877"/>
    </row>
    <row r="212" spans="1:44" x14ac:dyDescent="0.2">
      <c r="A212" s="184" t="s">
        <v>27</v>
      </c>
      <c r="B212" s="184" t="s">
        <v>811</v>
      </c>
      <c r="C212" s="184" t="s">
        <v>812</v>
      </c>
      <c r="D212" s="183" t="s">
        <v>26</v>
      </c>
      <c r="E212" s="184" t="s">
        <v>47</v>
      </c>
      <c r="F212" s="184" t="s">
        <v>24</v>
      </c>
      <c r="G212" s="204">
        <v>2010</v>
      </c>
      <c r="H212" s="203">
        <v>15</v>
      </c>
      <c r="I212" s="205"/>
      <c r="J212" s="205">
        <v>2.9175658769245518</v>
      </c>
      <c r="K212" s="184">
        <v>1</v>
      </c>
      <c r="L212" s="184">
        <v>0.15</v>
      </c>
      <c r="M212" s="184">
        <v>0.15</v>
      </c>
      <c r="N212" s="184">
        <v>0.15</v>
      </c>
      <c r="O212" s="184">
        <v>0.15</v>
      </c>
      <c r="P212" s="184">
        <v>0.15</v>
      </c>
      <c r="Q212" s="184"/>
      <c r="R212" s="184">
        <v>0.18</v>
      </c>
      <c r="S212" s="878"/>
      <c r="T212" s="878"/>
      <c r="U212" s="878"/>
      <c r="V212" s="878"/>
      <c r="W212" s="878"/>
      <c r="X212" s="878"/>
      <c r="Y212" s="878"/>
      <c r="Z212" s="878"/>
      <c r="AA212" s="878"/>
      <c r="AB212" s="878"/>
      <c r="AC212" s="878"/>
      <c r="AD212" s="878"/>
      <c r="AE212" s="878"/>
      <c r="AF212" s="878"/>
      <c r="AG212" s="878"/>
      <c r="AH212" s="878"/>
      <c r="AI212" s="879">
        <v>0</v>
      </c>
      <c r="AJ212" s="879">
        <v>0</v>
      </c>
      <c r="AK212" s="879">
        <v>0</v>
      </c>
      <c r="AL212" s="879">
        <v>0</v>
      </c>
      <c r="AM212" s="879">
        <v>0</v>
      </c>
      <c r="AN212" s="879">
        <v>0</v>
      </c>
      <c r="AO212" s="879">
        <v>0</v>
      </c>
      <c r="AP212" s="879">
        <v>0</v>
      </c>
      <c r="AQ212" s="879">
        <v>0</v>
      </c>
      <c r="AR212" s="879">
        <v>0</v>
      </c>
    </row>
    <row r="213" spans="1:44" x14ac:dyDescent="0.2">
      <c r="A213" s="184" t="s">
        <v>27</v>
      </c>
      <c r="B213" s="184" t="s">
        <v>813</v>
      </c>
      <c r="C213" s="184" t="s">
        <v>814</v>
      </c>
      <c r="D213" s="183" t="s">
        <v>26</v>
      </c>
      <c r="E213" s="184" t="s">
        <v>47</v>
      </c>
      <c r="F213" s="184" t="s">
        <v>24</v>
      </c>
      <c r="G213" s="204" t="s">
        <v>615</v>
      </c>
      <c r="H213" s="203">
        <v>11</v>
      </c>
      <c r="I213" s="205">
        <v>7.577976590180139</v>
      </c>
      <c r="J213" s="205">
        <v>3.2017543859649122</v>
      </c>
      <c r="K213" s="184">
        <v>1</v>
      </c>
      <c r="L213" s="184">
        <v>0.15</v>
      </c>
      <c r="M213" s="184">
        <v>0.15</v>
      </c>
      <c r="N213" s="184">
        <v>0.15</v>
      </c>
      <c r="O213" s="184">
        <v>0.15</v>
      </c>
      <c r="P213" s="184">
        <v>0.15</v>
      </c>
      <c r="Q213" s="184"/>
      <c r="R213" s="184">
        <v>0.18</v>
      </c>
      <c r="S213" s="879"/>
      <c r="T213" s="879"/>
      <c r="U213" s="879"/>
      <c r="V213" s="879"/>
      <c r="W213" s="879"/>
      <c r="X213" s="879"/>
      <c r="Y213" s="879"/>
      <c r="Z213" s="879"/>
      <c r="AA213" s="879"/>
      <c r="AB213" s="879"/>
      <c r="AC213" s="879"/>
      <c r="AD213" s="879"/>
      <c r="AE213" s="879"/>
      <c r="AF213" s="879"/>
      <c r="AG213" s="879"/>
      <c r="AH213" s="879"/>
      <c r="AI213" s="879">
        <v>0</v>
      </c>
      <c r="AJ213" s="879"/>
      <c r="AK213" s="879"/>
      <c r="AL213" s="879"/>
      <c r="AM213" s="879"/>
      <c r="AN213" s="879"/>
      <c r="AO213" s="879"/>
      <c r="AP213" s="879"/>
      <c r="AQ213" s="879"/>
      <c r="AR213" s="879"/>
    </row>
    <row r="214" spans="1:44" x14ac:dyDescent="0.2">
      <c r="A214" s="184" t="s">
        <v>27</v>
      </c>
      <c r="B214" s="184" t="s">
        <v>815</v>
      </c>
      <c r="C214" s="184" t="s">
        <v>816</v>
      </c>
      <c r="D214" s="183" t="s">
        <v>26</v>
      </c>
      <c r="E214" s="184" t="s">
        <v>47</v>
      </c>
      <c r="F214" s="184" t="s">
        <v>24</v>
      </c>
      <c r="G214" s="204">
        <v>2015</v>
      </c>
      <c r="H214" s="203">
        <v>11</v>
      </c>
      <c r="I214" s="205">
        <v>9.2404211803476315</v>
      </c>
      <c r="J214" s="205">
        <v>3.8421052631578942</v>
      </c>
      <c r="K214" s="184">
        <v>1</v>
      </c>
      <c r="L214" s="184">
        <v>0.15</v>
      </c>
      <c r="M214" s="184">
        <v>0.15</v>
      </c>
      <c r="N214" s="184">
        <v>0.15</v>
      </c>
      <c r="O214" s="184">
        <v>0.15</v>
      </c>
      <c r="P214" s="184">
        <v>0.15</v>
      </c>
      <c r="Q214" s="184"/>
      <c r="R214" s="184">
        <v>0.18</v>
      </c>
      <c r="S214" s="879"/>
      <c r="T214" s="879"/>
      <c r="U214" s="879"/>
      <c r="V214" s="879"/>
      <c r="W214" s="879"/>
      <c r="X214" s="879"/>
      <c r="Y214" s="879"/>
      <c r="Z214" s="879"/>
      <c r="AA214" s="879"/>
      <c r="AB214" s="879"/>
      <c r="AC214" s="879"/>
      <c r="AD214" s="879"/>
      <c r="AE214" s="879"/>
      <c r="AF214" s="879"/>
      <c r="AG214" s="879"/>
      <c r="AH214" s="879"/>
      <c r="AI214" s="879">
        <v>0</v>
      </c>
      <c r="AJ214" s="879"/>
      <c r="AK214" s="879"/>
      <c r="AL214" s="879"/>
      <c r="AM214" s="879"/>
      <c r="AN214" s="879"/>
      <c r="AO214" s="879"/>
      <c r="AP214" s="879"/>
      <c r="AQ214" s="879"/>
      <c r="AR214" s="879"/>
    </row>
    <row r="215" spans="1:44" x14ac:dyDescent="0.2">
      <c r="A215" s="184" t="s">
        <v>27</v>
      </c>
      <c r="B215" s="184" t="s">
        <v>817</v>
      </c>
      <c r="C215" s="184" t="s">
        <v>818</v>
      </c>
      <c r="D215" s="183" t="s">
        <v>26</v>
      </c>
      <c r="E215" s="184" t="s">
        <v>47</v>
      </c>
      <c r="F215" s="184" t="s">
        <v>24</v>
      </c>
      <c r="G215" s="204" t="s">
        <v>620</v>
      </c>
      <c r="H215" s="203">
        <v>11</v>
      </c>
      <c r="I215" s="205">
        <v>8.4091988852638853</v>
      </c>
      <c r="J215" s="205">
        <v>3.5603508771929824</v>
      </c>
      <c r="K215" s="184">
        <v>1</v>
      </c>
      <c r="L215" s="184">
        <v>0.15</v>
      </c>
      <c r="M215" s="184">
        <v>0.15</v>
      </c>
      <c r="N215" s="184">
        <v>0.15</v>
      </c>
      <c r="O215" s="184">
        <v>0.15</v>
      </c>
      <c r="P215" s="184">
        <v>0.15</v>
      </c>
      <c r="Q215" s="184"/>
      <c r="R215" s="184">
        <v>0.18</v>
      </c>
      <c r="S215" s="879"/>
      <c r="T215" s="879"/>
      <c r="U215" s="879"/>
      <c r="V215" s="879"/>
      <c r="W215" s="879"/>
      <c r="X215" s="879"/>
      <c r="Y215" s="879"/>
      <c r="Z215" s="879"/>
      <c r="AA215" s="879"/>
      <c r="AB215" s="879"/>
      <c r="AC215" s="879"/>
      <c r="AD215" s="879"/>
      <c r="AE215" s="879"/>
      <c r="AF215" s="879"/>
      <c r="AG215" s="879"/>
      <c r="AH215" s="879"/>
      <c r="AI215" s="879">
        <v>0</v>
      </c>
      <c r="AJ215" s="879"/>
      <c r="AK215" s="879"/>
      <c r="AL215" s="879"/>
      <c r="AM215" s="879"/>
      <c r="AN215" s="879"/>
      <c r="AO215" s="879"/>
      <c r="AP215" s="879"/>
      <c r="AQ215" s="879"/>
      <c r="AR215" s="879"/>
    </row>
    <row r="216" spans="1:44" x14ac:dyDescent="0.2">
      <c r="A216" s="184" t="s">
        <v>27</v>
      </c>
      <c r="B216" s="184" t="s">
        <v>819</v>
      </c>
      <c r="C216" s="184" t="s">
        <v>820</v>
      </c>
      <c r="D216" s="183" t="s">
        <v>26</v>
      </c>
      <c r="E216" s="184" t="s">
        <v>47</v>
      </c>
      <c r="F216" s="184" t="s">
        <v>24</v>
      </c>
      <c r="G216" s="204">
        <v>2020</v>
      </c>
      <c r="H216" s="203">
        <v>11</v>
      </c>
      <c r="I216" s="205">
        <v>10.902865770515119</v>
      </c>
      <c r="J216" s="205">
        <v>4.2263157894736842</v>
      </c>
      <c r="K216" s="184">
        <v>1</v>
      </c>
      <c r="L216" s="184">
        <v>0.15</v>
      </c>
      <c r="M216" s="184">
        <v>0.15</v>
      </c>
      <c r="N216" s="184">
        <v>0.15</v>
      </c>
      <c r="O216" s="184">
        <v>0.15</v>
      </c>
      <c r="P216" s="184">
        <v>0.15</v>
      </c>
      <c r="Q216" s="184"/>
      <c r="R216" s="184">
        <v>0.18</v>
      </c>
      <c r="S216" s="879"/>
      <c r="T216" s="879"/>
      <c r="U216" s="879"/>
      <c r="V216" s="879"/>
      <c r="W216" s="879"/>
      <c r="X216" s="879"/>
      <c r="Y216" s="879"/>
      <c r="Z216" s="879"/>
      <c r="AA216" s="879"/>
      <c r="AB216" s="879"/>
      <c r="AC216" s="879"/>
      <c r="AD216" s="879"/>
      <c r="AE216" s="879"/>
      <c r="AF216" s="879"/>
      <c r="AG216" s="879"/>
      <c r="AH216" s="879"/>
      <c r="AI216" s="879">
        <v>0</v>
      </c>
      <c r="AJ216" s="879"/>
      <c r="AK216" s="879"/>
      <c r="AL216" s="879"/>
      <c r="AM216" s="879"/>
      <c r="AN216" s="879"/>
      <c r="AO216" s="879"/>
      <c r="AP216" s="879"/>
      <c r="AQ216" s="879"/>
      <c r="AR216" s="879"/>
    </row>
    <row r="217" spans="1:44" x14ac:dyDescent="0.2">
      <c r="A217" s="184" t="s">
        <v>27</v>
      </c>
      <c r="B217" s="184" t="s">
        <v>821</v>
      </c>
      <c r="C217" s="184" t="s">
        <v>822</v>
      </c>
      <c r="D217" s="183" t="s">
        <v>26</v>
      </c>
      <c r="E217" s="184" t="s">
        <v>47</v>
      </c>
      <c r="F217" s="184" t="s">
        <v>24</v>
      </c>
      <c r="G217" s="204">
        <v>2030</v>
      </c>
      <c r="H217" s="203">
        <v>25</v>
      </c>
      <c r="I217" s="205">
        <v>8.5546627869035401</v>
      </c>
      <c r="J217" s="205">
        <v>3.688421052631579</v>
      </c>
      <c r="K217" s="184">
        <v>1</v>
      </c>
      <c r="L217" s="184">
        <v>0.15</v>
      </c>
      <c r="M217" s="184">
        <v>0.15</v>
      </c>
      <c r="N217" s="184">
        <v>0.15</v>
      </c>
      <c r="O217" s="184">
        <v>0.15</v>
      </c>
      <c r="P217" s="184">
        <v>0.15</v>
      </c>
      <c r="Q217" s="184"/>
      <c r="R217" s="184">
        <v>0.18</v>
      </c>
      <c r="S217" s="879"/>
      <c r="T217" s="879"/>
      <c r="U217" s="879"/>
      <c r="V217" s="879"/>
      <c r="W217" s="879"/>
      <c r="X217" s="879"/>
      <c r="Y217" s="879"/>
      <c r="Z217" s="879"/>
      <c r="AA217" s="879"/>
      <c r="AB217" s="879"/>
      <c r="AC217" s="879"/>
      <c r="AD217" s="879"/>
      <c r="AE217" s="879"/>
      <c r="AF217" s="879"/>
      <c r="AG217" s="879"/>
      <c r="AH217" s="879"/>
      <c r="AI217" s="879">
        <v>0</v>
      </c>
      <c r="AJ217" s="879"/>
      <c r="AK217" s="879"/>
      <c r="AL217" s="879"/>
      <c r="AM217" s="879"/>
      <c r="AN217" s="879"/>
      <c r="AO217" s="879"/>
      <c r="AP217" s="879"/>
      <c r="AQ217" s="879"/>
      <c r="AR217" s="879"/>
    </row>
    <row r="218" spans="1:44" x14ac:dyDescent="0.2">
      <c r="A218" s="184" t="s">
        <v>27</v>
      </c>
      <c r="B218" s="184" t="s">
        <v>823</v>
      </c>
      <c r="C218" s="184" t="s">
        <v>824</v>
      </c>
      <c r="D218" s="183" t="s">
        <v>26</v>
      </c>
      <c r="E218" s="184" t="s">
        <v>47</v>
      </c>
      <c r="F218" s="184" t="s">
        <v>24</v>
      </c>
      <c r="G218" s="204">
        <v>2030</v>
      </c>
      <c r="H218" s="203">
        <v>25</v>
      </c>
      <c r="I218" s="205">
        <v>11.048329672154777</v>
      </c>
      <c r="J218" s="205">
        <v>4.2263157894736842</v>
      </c>
      <c r="K218" s="184">
        <v>1</v>
      </c>
      <c r="L218" s="184">
        <v>0.15</v>
      </c>
      <c r="M218" s="184">
        <v>0.15</v>
      </c>
      <c r="N218" s="184">
        <v>0.15</v>
      </c>
      <c r="O218" s="184">
        <v>0.15</v>
      </c>
      <c r="P218" s="184">
        <v>0.15</v>
      </c>
      <c r="Q218" s="184"/>
      <c r="R218" s="184">
        <v>0.18</v>
      </c>
      <c r="S218" s="879"/>
      <c r="T218" s="879"/>
      <c r="U218" s="879"/>
      <c r="V218" s="879"/>
      <c r="W218" s="879"/>
      <c r="X218" s="879"/>
      <c r="Y218" s="879"/>
      <c r="Z218" s="879"/>
      <c r="AA218" s="879"/>
      <c r="AB218" s="879"/>
      <c r="AC218" s="879"/>
      <c r="AD218" s="879"/>
      <c r="AE218" s="879"/>
      <c r="AF218" s="879"/>
      <c r="AG218" s="879"/>
      <c r="AH218" s="879"/>
      <c r="AI218" s="879">
        <v>0</v>
      </c>
      <c r="AJ218" s="879"/>
      <c r="AK218" s="879"/>
      <c r="AL218" s="879"/>
      <c r="AM218" s="879"/>
      <c r="AN218" s="879"/>
      <c r="AO218" s="879"/>
      <c r="AP218" s="879"/>
      <c r="AQ218" s="879"/>
      <c r="AR218" s="879"/>
    </row>
    <row r="219" spans="1:44" x14ac:dyDescent="0.2">
      <c r="A219" s="184" t="s">
        <v>27</v>
      </c>
      <c r="B219" s="184" t="s">
        <v>825</v>
      </c>
      <c r="C219" s="184" t="s">
        <v>826</v>
      </c>
      <c r="D219" s="183" t="s">
        <v>26</v>
      </c>
      <c r="E219" s="184" t="s">
        <v>47</v>
      </c>
      <c r="F219" s="184" t="s">
        <v>24</v>
      </c>
      <c r="G219" s="204">
        <v>2040</v>
      </c>
      <c r="H219" s="203">
        <v>25</v>
      </c>
      <c r="I219" s="205">
        <v>8.5546627869035401</v>
      </c>
      <c r="J219" s="205">
        <v>3.688421052631579</v>
      </c>
      <c r="K219" s="184">
        <v>1</v>
      </c>
      <c r="L219" s="184">
        <v>0.15</v>
      </c>
      <c r="M219" s="184">
        <v>0.15</v>
      </c>
      <c r="N219" s="184">
        <v>0.15</v>
      </c>
      <c r="O219" s="184">
        <v>0.15</v>
      </c>
      <c r="P219" s="184">
        <v>0.15</v>
      </c>
      <c r="Q219" s="184"/>
      <c r="R219" s="184">
        <v>0.18</v>
      </c>
      <c r="S219" s="879"/>
      <c r="T219" s="879"/>
      <c r="U219" s="879"/>
      <c r="V219" s="879"/>
      <c r="W219" s="879"/>
      <c r="X219" s="879"/>
      <c r="Y219" s="879"/>
      <c r="Z219" s="879"/>
      <c r="AA219" s="879"/>
      <c r="AB219" s="879"/>
      <c r="AC219" s="879"/>
      <c r="AD219" s="879"/>
      <c r="AE219" s="879"/>
      <c r="AF219" s="879"/>
      <c r="AG219" s="879"/>
      <c r="AH219" s="879"/>
      <c r="AI219" s="879">
        <v>0</v>
      </c>
      <c r="AJ219" s="879"/>
      <c r="AK219" s="879"/>
      <c r="AL219" s="879"/>
      <c r="AM219" s="879"/>
      <c r="AN219" s="879"/>
      <c r="AO219" s="879"/>
      <c r="AP219" s="879"/>
      <c r="AQ219" s="879"/>
      <c r="AR219" s="879"/>
    </row>
    <row r="220" spans="1:44" x14ac:dyDescent="0.2">
      <c r="A220" s="184" t="s">
        <v>27</v>
      </c>
      <c r="B220" s="184" t="s">
        <v>827</v>
      </c>
      <c r="C220" s="184" t="s">
        <v>828</v>
      </c>
      <c r="D220" s="183" t="s">
        <v>26</v>
      </c>
      <c r="E220" s="184" t="s">
        <v>47</v>
      </c>
      <c r="F220" s="184" t="s">
        <v>24</v>
      </c>
      <c r="G220" s="204">
        <v>2040</v>
      </c>
      <c r="H220" s="203">
        <v>25</v>
      </c>
      <c r="I220" s="205">
        <v>11.048329672154777</v>
      </c>
      <c r="J220" s="205">
        <v>4.2263157894736842</v>
      </c>
      <c r="K220" s="184">
        <v>1</v>
      </c>
      <c r="L220" s="184">
        <v>0.15</v>
      </c>
      <c r="M220" s="184">
        <v>0.15</v>
      </c>
      <c r="N220" s="184">
        <v>0.15</v>
      </c>
      <c r="O220" s="184">
        <v>0.15</v>
      </c>
      <c r="P220" s="184">
        <v>0.15</v>
      </c>
      <c r="Q220" s="184"/>
      <c r="R220" s="184">
        <v>0.18</v>
      </c>
      <c r="S220" s="879"/>
      <c r="T220" s="879"/>
      <c r="U220" s="879"/>
      <c r="V220" s="879"/>
      <c r="W220" s="879"/>
      <c r="X220" s="879"/>
      <c r="Y220" s="879"/>
      <c r="Z220" s="879"/>
      <c r="AA220" s="879"/>
      <c r="AB220" s="879"/>
      <c r="AC220" s="879"/>
      <c r="AD220" s="879"/>
      <c r="AE220" s="879"/>
      <c r="AF220" s="879"/>
      <c r="AG220" s="879"/>
      <c r="AH220" s="879"/>
      <c r="AI220" s="879">
        <v>0</v>
      </c>
      <c r="AJ220" s="879"/>
      <c r="AK220" s="879"/>
      <c r="AL220" s="879"/>
      <c r="AM220" s="879"/>
      <c r="AN220" s="879"/>
      <c r="AO220" s="879"/>
      <c r="AP220" s="879"/>
      <c r="AQ220" s="879"/>
      <c r="AR220" s="879"/>
    </row>
    <row r="221" spans="1:44" x14ac:dyDescent="0.2">
      <c r="A221" s="184" t="s">
        <v>27</v>
      </c>
      <c r="B221" s="184" t="s">
        <v>829</v>
      </c>
      <c r="C221" s="184" t="s">
        <v>830</v>
      </c>
      <c r="D221" s="183" t="s">
        <v>26</v>
      </c>
      <c r="E221" s="184" t="s">
        <v>47</v>
      </c>
      <c r="F221" s="184" t="s">
        <v>24</v>
      </c>
      <c r="G221" s="204" t="s">
        <v>620</v>
      </c>
      <c r="H221" s="203">
        <v>20</v>
      </c>
      <c r="I221" s="205">
        <v>9.44</v>
      </c>
      <c r="J221" s="205">
        <v>4.7300000000000004</v>
      </c>
      <c r="K221" s="184">
        <v>1</v>
      </c>
      <c r="L221" s="184">
        <v>0.15</v>
      </c>
      <c r="M221" s="184">
        <v>0.15</v>
      </c>
      <c r="N221" s="184">
        <v>0.15</v>
      </c>
      <c r="O221" s="184">
        <v>0.15</v>
      </c>
      <c r="P221" s="184">
        <v>0.15</v>
      </c>
      <c r="Q221" s="184"/>
      <c r="R221" s="184">
        <v>0.18</v>
      </c>
      <c r="S221" s="879"/>
      <c r="T221" s="879"/>
      <c r="U221" s="879"/>
      <c r="V221" s="879"/>
      <c r="W221" s="879"/>
      <c r="X221" s="879"/>
      <c r="Y221" s="879"/>
      <c r="Z221" s="879"/>
      <c r="AA221" s="879"/>
      <c r="AB221" s="879"/>
      <c r="AC221" s="879"/>
      <c r="AD221" s="879"/>
      <c r="AE221" s="879"/>
      <c r="AF221" s="879"/>
      <c r="AG221" s="879"/>
      <c r="AH221" s="879"/>
      <c r="AI221" s="879">
        <v>0</v>
      </c>
      <c r="AJ221" s="879"/>
      <c r="AK221" s="879"/>
      <c r="AL221" s="879"/>
      <c r="AM221" s="879"/>
      <c r="AN221" s="879"/>
      <c r="AO221" s="879"/>
      <c r="AP221" s="879"/>
      <c r="AQ221" s="879"/>
      <c r="AR221" s="879"/>
    </row>
    <row r="222" spans="1:44" x14ac:dyDescent="0.2">
      <c r="A222" s="184" t="s">
        <v>27</v>
      </c>
      <c r="B222" s="184" t="s">
        <v>831</v>
      </c>
      <c r="C222" s="184" t="s">
        <v>832</v>
      </c>
      <c r="D222" s="183" t="s">
        <v>26</v>
      </c>
      <c r="E222" s="184" t="s">
        <v>47</v>
      </c>
      <c r="F222" s="184" t="s">
        <v>24</v>
      </c>
      <c r="G222" s="204" t="s">
        <v>633</v>
      </c>
      <c r="H222" s="203">
        <v>15</v>
      </c>
      <c r="I222" s="205">
        <v>10.517105610453291</v>
      </c>
      <c r="J222" s="205">
        <v>4.6900000000000004</v>
      </c>
      <c r="K222" s="184">
        <v>1</v>
      </c>
      <c r="L222" s="184">
        <v>0.15</v>
      </c>
      <c r="M222" s="184">
        <v>0.15</v>
      </c>
      <c r="N222" s="184">
        <v>0.15</v>
      </c>
      <c r="O222" s="184">
        <v>0.15</v>
      </c>
      <c r="P222" s="184">
        <v>0.15</v>
      </c>
      <c r="Q222" s="184"/>
      <c r="R222" s="184">
        <v>0.18</v>
      </c>
      <c r="S222" s="879"/>
      <c r="T222" s="879"/>
      <c r="U222" s="879"/>
      <c r="V222" s="879"/>
      <c r="W222" s="879"/>
      <c r="X222" s="879"/>
      <c r="Y222" s="879"/>
      <c r="Z222" s="879"/>
      <c r="AA222" s="879"/>
      <c r="AB222" s="879"/>
      <c r="AC222" s="879"/>
      <c r="AD222" s="879"/>
      <c r="AE222" s="879"/>
      <c r="AF222" s="879"/>
      <c r="AG222" s="879"/>
      <c r="AH222" s="879"/>
      <c r="AI222" s="879">
        <v>0</v>
      </c>
      <c r="AJ222" s="879"/>
      <c r="AK222" s="879">
        <v>0</v>
      </c>
      <c r="AL222" s="879">
        <v>0</v>
      </c>
      <c r="AM222" s="879">
        <v>0</v>
      </c>
      <c r="AN222" s="879">
        <v>0</v>
      </c>
      <c r="AO222" s="879">
        <v>0</v>
      </c>
      <c r="AP222" s="879">
        <v>0</v>
      </c>
      <c r="AQ222" s="879">
        <v>0</v>
      </c>
      <c r="AR222" s="879">
        <v>0</v>
      </c>
    </row>
    <row r="223" spans="1:44" x14ac:dyDescent="0.2">
      <c r="A223" s="184" t="s">
        <v>27</v>
      </c>
      <c r="B223" s="184" t="s">
        <v>833</v>
      </c>
      <c r="C223" s="184" t="s">
        <v>834</v>
      </c>
      <c r="D223" s="183" t="s">
        <v>26</v>
      </c>
      <c r="E223" s="184" t="s">
        <v>47</v>
      </c>
      <c r="F223" s="184" t="s">
        <v>24</v>
      </c>
      <c r="G223" s="204" t="s">
        <v>620</v>
      </c>
      <c r="H223" s="203">
        <v>20</v>
      </c>
      <c r="I223" s="205">
        <v>12.03</v>
      </c>
      <c r="J223" s="205">
        <v>5.61</v>
      </c>
      <c r="K223" s="184">
        <v>1</v>
      </c>
      <c r="L223" s="184">
        <v>0.15</v>
      </c>
      <c r="M223" s="184">
        <v>0.15</v>
      </c>
      <c r="N223" s="184">
        <v>0.15</v>
      </c>
      <c r="O223" s="184">
        <v>0.15</v>
      </c>
      <c r="P223" s="184">
        <v>0.15</v>
      </c>
      <c r="Q223" s="184"/>
      <c r="R223" s="184">
        <v>0.18</v>
      </c>
      <c r="S223" s="879"/>
      <c r="T223" s="879"/>
      <c r="U223" s="879"/>
      <c r="V223" s="879"/>
      <c r="W223" s="879"/>
      <c r="X223" s="879"/>
      <c r="Y223" s="879"/>
      <c r="Z223" s="879"/>
      <c r="AA223" s="879"/>
      <c r="AB223" s="879"/>
      <c r="AC223" s="879"/>
      <c r="AD223" s="879"/>
      <c r="AE223" s="879"/>
      <c r="AF223" s="879"/>
      <c r="AG223" s="879"/>
      <c r="AH223" s="879"/>
      <c r="AI223" s="879">
        <v>0</v>
      </c>
      <c r="AJ223" s="879"/>
      <c r="AK223" s="879"/>
      <c r="AL223" s="879"/>
      <c r="AM223" s="879"/>
      <c r="AN223" s="879"/>
      <c r="AO223" s="879"/>
      <c r="AP223" s="879"/>
      <c r="AQ223" s="879"/>
      <c r="AR223" s="879"/>
    </row>
    <row r="224" spans="1:44" x14ac:dyDescent="0.2">
      <c r="A224" s="184" t="s">
        <v>27</v>
      </c>
      <c r="B224" s="184" t="s">
        <v>835</v>
      </c>
      <c r="C224" s="184" t="s">
        <v>836</v>
      </c>
      <c r="D224" s="183" t="s">
        <v>26</v>
      </c>
      <c r="E224" s="184" t="s">
        <v>47</v>
      </c>
      <c r="F224" s="184" t="s">
        <v>24</v>
      </c>
      <c r="G224" s="204" t="s">
        <v>633</v>
      </c>
      <c r="H224" s="203">
        <v>15</v>
      </c>
      <c r="I224" s="205">
        <v>12.292720843386961</v>
      </c>
      <c r="J224" s="205">
        <v>6.15</v>
      </c>
      <c r="K224" s="184">
        <v>1</v>
      </c>
      <c r="L224" s="184">
        <v>0.15</v>
      </c>
      <c r="M224" s="184">
        <v>0.15</v>
      </c>
      <c r="N224" s="184">
        <v>0.15</v>
      </c>
      <c r="O224" s="184">
        <v>0.15</v>
      </c>
      <c r="P224" s="184">
        <v>0.15</v>
      </c>
      <c r="Q224" s="184"/>
      <c r="R224" s="184">
        <v>0.18</v>
      </c>
      <c r="S224" s="879"/>
      <c r="T224" s="879"/>
      <c r="U224" s="879"/>
      <c r="V224" s="879"/>
      <c r="W224" s="879"/>
      <c r="X224" s="879"/>
      <c r="Y224" s="879"/>
      <c r="Z224" s="879"/>
      <c r="AA224" s="879"/>
      <c r="AB224" s="879"/>
      <c r="AC224" s="879"/>
      <c r="AD224" s="879"/>
      <c r="AE224" s="879"/>
      <c r="AF224" s="879"/>
      <c r="AG224" s="879"/>
      <c r="AH224" s="879"/>
      <c r="AI224" s="879">
        <v>0</v>
      </c>
      <c r="AJ224" s="879">
        <v>0</v>
      </c>
      <c r="AK224" s="879">
        <v>0</v>
      </c>
      <c r="AL224" s="879">
        <v>0</v>
      </c>
      <c r="AM224" s="879">
        <v>0</v>
      </c>
      <c r="AN224" s="879">
        <v>0</v>
      </c>
      <c r="AO224" s="879">
        <v>0</v>
      </c>
      <c r="AP224" s="879">
        <v>0</v>
      </c>
      <c r="AQ224" s="879">
        <v>0</v>
      </c>
      <c r="AR224" s="879">
        <v>0</v>
      </c>
    </row>
    <row r="225" spans="1:44" x14ac:dyDescent="0.2">
      <c r="A225" s="184" t="s">
        <v>27</v>
      </c>
      <c r="B225" s="184" t="s">
        <v>837</v>
      </c>
      <c r="C225" s="184" t="s">
        <v>838</v>
      </c>
      <c r="D225" s="183" t="s">
        <v>26</v>
      </c>
      <c r="E225" s="184" t="s">
        <v>47</v>
      </c>
      <c r="F225" s="184" t="s">
        <v>24</v>
      </c>
      <c r="G225" s="204" t="s">
        <v>615</v>
      </c>
      <c r="H225" s="203">
        <v>15</v>
      </c>
      <c r="I225" s="205">
        <v>16.390294457849279</v>
      </c>
      <c r="J225" s="205">
        <v>7.03</v>
      </c>
      <c r="K225" s="184">
        <v>1</v>
      </c>
      <c r="L225" s="184">
        <v>0.15</v>
      </c>
      <c r="M225" s="184">
        <v>0.15</v>
      </c>
      <c r="N225" s="184">
        <v>0.15</v>
      </c>
      <c r="O225" s="184">
        <v>0.15</v>
      </c>
      <c r="P225" s="184">
        <v>0.15</v>
      </c>
      <c r="Q225" s="184"/>
      <c r="R225" s="184">
        <v>0.18</v>
      </c>
      <c r="S225" s="879"/>
      <c r="T225" s="879"/>
      <c r="U225" s="879"/>
      <c r="V225" s="879"/>
      <c r="W225" s="879"/>
      <c r="X225" s="879"/>
      <c r="Y225" s="879"/>
      <c r="Z225" s="879"/>
      <c r="AA225" s="879"/>
      <c r="AB225" s="879"/>
      <c r="AC225" s="879"/>
      <c r="AD225" s="879"/>
      <c r="AE225" s="879"/>
      <c r="AF225" s="879"/>
      <c r="AG225" s="879"/>
      <c r="AH225" s="879"/>
      <c r="AI225" s="879">
        <v>0</v>
      </c>
      <c r="AJ225" s="879"/>
      <c r="AK225" s="879">
        <v>0</v>
      </c>
      <c r="AL225" s="879">
        <v>0</v>
      </c>
      <c r="AM225" s="879">
        <v>0</v>
      </c>
      <c r="AN225" s="879">
        <v>0</v>
      </c>
      <c r="AO225" s="879">
        <v>0</v>
      </c>
      <c r="AP225" s="879">
        <v>0</v>
      </c>
      <c r="AQ225" s="879">
        <v>0</v>
      </c>
      <c r="AR225" s="879">
        <v>0</v>
      </c>
    </row>
    <row r="226" spans="1:44" x14ac:dyDescent="0.2">
      <c r="A226" s="184" t="s">
        <v>27</v>
      </c>
      <c r="B226" s="184" t="s">
        <v>839</v>
      </c>
      <c r="C226" s="184" t="s">
        <v>840</v>
      </c>
      <c r="D226" s="183" t="s">
        <v>26</v>
      </c>
      <c r="E226" s="184" t="s">
        <v>47</v>
      </c>
      <c r="F226" s="184" t="s">
        <v>24</v>
      </c>
      <c r="G226" s="204">
        <v>2030</v>
      </c>
      <c r="H226" s="203">
        <v>11</v>
      </c>
      <c r="I226" s="205">
        <v>9.57</v>
      </c>
      <c r="J226" s="205">
        <v>4.93</v>
      </c>
      <c r="K226" s="184">
        <v>1</v>
      </c>
      <c r="L226" s="184">
        <v>0.15</v>
      </c>
      <c r="M226" s="184">
        <v>0.15</v>
      </c>
      <c r="N226" s="184">
        <v>0.15</v>
      </c>
      <c r="O226" s="184">
        <v>0.15</v>
      </c>
      <c r="P226" s="184">
        <v>0.15</v>
      </c>
      <c r="Q226" s="184"/>
      <c r="R226" s="184">
        <v>0.18</v>
      </c>
      <c r="S226" s="879"/>
      <c r="T226" s="879"/>
      <c r="U226" s="879"/>
      <c r="V226" s="879"/>
      <c r="W226" s="879"/>
      <c r="X226" s="879"/>
      <c r="Y226" s="879"/>
      <c r="Z226" s="879"/>
      <c r="AA226" s="879"/>
      <c r="AB226" s="879"/>
      <c r="AC226" s="879"/>
      <c r="AD226" s="879"/>
      <c r="AE226" s="879"/>
      <c r="AF226" s="879"/>
      <c r="AG226" s="879"/>
      <c r="AH226" s="879"/>
      <c r="AI226" s="879">
        <v>0</v>
      </c>
      <c r="AJ226" s="879"/>
      <c r="AK226" s="879"/>
      <c r="AL226" s="879"/>
      <c r="AM226" s="879"/>
      <c r="AN226" s="879"/>
      <c r="AO226" s="879"/>
      <c r="AP226" s="879"/>
      <c r="AQ226" s="879"/>
      <c r="AR226" s="879"/>
    </row>
    <row r="227" spans="1:44" x14ac:dyDescent="0.2">
      <c r="A227" s="184" t="s">
        <v>27</v>
      </c>
      <c r="B227" s="184" t="s">
        <v>841</v>
      </c>
      <c r="C227" s="184" t="s">
        <v>842</v>
      </c>
      <c r="D227" s="183" t="s">
        <v>26</v>
      </c>
      <c r="E227" s="184" t="s">
        <v>47</v>
      </c>
      <c r="F227" s="184" t="s">
        <v>24</v>
      </c>
      <c r="G227" s="204">
        <v>2030</v>
      </c>
      <c r="H227" s="203">
        <v>25</v>
      </c>
      <c r="I227" s="205">
        <v>12.03</v>
      </c>
      <c r="J227" s="205">
        <v>5.61</v>
      </c>
      <c r="K227" s="184">
        <v>1</v>
      </c>
      <c r="L227" s="184">
        <v>0.15</v>
      </c>
      <c r="M227" s="184">
        <v>0.15</v>
      </c>
      <c r="N227" s="184">
        <v>0.15</v>
      </c>
      <c r="O227" s="184">
        <v>0.15</v>
      </c>
      <c r="P227" s="184">
        <v>0.15</v>
      </c>
      <c r="Q227" s="184"/>
      <c r="R227" s="184">
        <v>0.18</v>
      </c>
      <c r="S227" s="879"/>
      <c r="T227" s="879"/>
      <c r="U227" s="879"/>
      <c r="V227" s="879"/>
      <c r="W227" s="879"/>
      <c r="X227" s="879"/>
      <c r="Y227" s="879"/>
      <c r="Z227" s="879"/>
      <c r="AA227" s="879"/>
      <c r="AB227" s="879"/>
      <c r="AC227" s="879"/>
      <c r="AD227" s="879"/>
      <c r="AE227" s="879"/>
      <c r="AF227" s="879"/>
      <c r="AG227" s="879"/>
      <c r="AH227" s="879"/>
      <c r="AI227" s="879">
        <v>0</v>
      </c>
      <c r="AJ227" s="879"/>
      <c r="AK227" s="879"/>
      <c r="AL227" s="879"/>
      <c r="AM227" s="879"/>
      <c r="AN227" s="879"/>
      <c r="AO227" s="879"/>
      <c r="AP227" s="879"/>
      <c r="AQ227" s="879"/>
      <c r="AR227" s="879"/>
    </row>
    <row r="228" spans="1:44" x14ac:dyDescent="0.2">
      <c r="A228" s="184" t="s">
        <v>27</v>
      </c>
      <c r="B228" s="184" t="s">
        <v>843</v>
      </c>
      <c r="C228" s="184" t="s">
        <v>844</v>
      </c>
      <c r="D228" s="183" t="s">
        <v>26</v>
      </c>
      <c r="E228" s="184" t="s">
        <v>47</v>
      </c>
      <c r="F228" s="184" t="s">
        <v>24</v>
      </c>
      <c r="G228" s="204">
        <v>2040</v>
      </c>
      <c r="H228" s="203">
        <v>11</v>
      </c>
      <c r="I228" s="205">
        <v>9.57</v>
      </c>
      <c r="J228" s="205">
        <v>4.93</v>
      </c>
      <c r="K228" s="184">
        <v>1</v>
      </c>
      <c r="L228" s="184">
        <v>0.15</v>
      </c>
      <c r="M228" s="184">
        <v>0.15</v>
      </c>
      <c r="N228" s="184">
        <v>0.15</v>
      </c>
      <c r="O228" s="184">
        <v>0.15</v>
      </c>
      <c r="P228" s="184">
        <v>0.15</v>
      </c>
      <c r="Q228" s="184"/>
      <c r="R228" s="184">
        <v>0.18</v>
      </c>
      <c r="S228" s="879"/>
      <c r="T228" s="879"/>
      <c r="U228" s="879"/>
      <c r="V228" s="879"/>
      <c r="W228" s="879"/>
      <c r="X228" s="879"/>
      <c r="Y228" s="879"/>
      <c r="Z228" s="879"/>
      <c r="AA228" s="879"/>
      <c r="AB228" s="879"/>
      <c r="AC228" s="879"/>
      <c r="AD228" s="879"/>
      <c r="AE228" s="879"/>
      <c r="AF228" s="879"/>
      <c r="AG228" s="879"/>
      <c r="AH228" s="879"/>
      <c r="AI228" s="879">
        <v>0</v>
      </c>
      <c r="AJ228" s="879"/>
      <c r="AK228" s="879"/>
      <c r="AL228" s="879"/>
      <c r="AM228" s="879"/>
      <c r="AN228" s="879"/>
      <c r="AO228" s="879"/>
      <c r="AP228" s="879"/>
      <c r="AQ228" s="879"/>
      <c r="AR228" s="879"/>
    </row>
    <row r="229" spans="1:44" x14ac:dyDescent="0.2">
      <c r="A229" s="184" t="s">
        <v>27</v>
      </c>
      <c r="B229" s="184" t="s">
        <v>845</v>
      </c>
      <c r="C229" s="184" t="s">
        <v>846</v>
      </c>
      <c r="D229" s="183" t="s">
        <v>26</v>
      </c>
      <c r="E229" s="184" t="s">
        <v>47</v>
      </c>
      <c r="F229" s="184" t="s">
        <v>24</v>
      </c>
      <c r="G229" s="204">
        <v>2040</v>
      </c>
      <c r="H229" s="203">
        <v>25</v>
      </c>
      <c r="I229" s="205">
        <v>12.03</v>
      </c>
      <c r="J229" s="205">
        <v>5.61</v>
      </c>
      <c r="K229" s="184">
        <v>1</v>
      </c>
      <c r="L229" s="184">
        <v>0.15</v>
      </c>
      <c r="M229" s="184">
        <v>0.15</v>
      </c>
      <c r="N229" s="184">
        <v>0.15</v>
      </c>
      <c r="O229" s="184">
        <v>0.15</v>
      </c>
      <c r="P229" s="184">
        <v>0.15</v>
      </c>
      <c r="Q229" s="184"/>
      <c r="R229" s="184">
        <v>0.18</v>
      </c>
      <c r="S229" s="879"/>
      <c r="T229" s="879"/>
      <c r="U229" s="879"/>
      <c r="V229" s="879"/>
      <c r="W229" s="879"/>
      <c r="X229" s="879"/>
      <c r="Y229" s="879"/>
      <c r="Z229" s="879"/>
      <c r="AA229" s="879"/>
      <c r="AB229" s="879"/>
      <c r="AC229" s="879"/>
      <c r="AD229" s="879"/>
      <c r="AE229" s="879"/>
      <c r="AF229" s="879"/>
      <c r="AG229" s="879"/>
      <c r="AH229" s="879"/>
      <c r="AI229" s="879">
        <v>0</v>
      </c>
      <c r="AJ229" s="879"/>
      <c r="AK229" s="879"/>
      <c r="AL229" s="879"/>
      <c r="AM229" s="879"/>
      <c r="AN229" s="879"/>
      <c r="AO229" s="879"/>
      <c r="AP229" s="879"/>
      <c r="AQ229" s="879"/>
      <c r="AR229" s="879"/>
    </row>
    <row r="230" spans="1:44" x14ac:dyDescent="0.2">
      <c r="A230" s="184" t="s">
        <v>27</v>
      </c>
      <c r="B230" s="184" t="s">
        <v>847</v>
      </c>
      <c r="C230" s="184" t="s">
        <v>848</v>
      </c>
      <c r="D230" s="183" t="s">
        <v>26</v>
      </c>
      <c r="E230" s="184" t="s">
        <v>47</v>
      </c>
      <c r="F230" s="184" t="s">
        <v>24</v>
      </c>
      <c r="G230" s="204">
        <v>2050</v>
      </c>
      <c r="H230" s="203">
        <v>11</v>
      </c>
      <c r="I230" s="205">
        <v>9.57</v>
      </c>
      <c r="J230" s="205">
        <v>4.93</v>
      </c>
      <c r="K230" s="184">
        <v>1</v>
      </c>
      <c r="L230" s="184">
        <v>0.15</v>
      </c>
      <c r="M230" s="184">
        <v>0.15</v>
      </c>
      <c r="N230" s="184">
        <v>0.15</v>
      </c>
      <c r="O230" s="184">
        <v>0.15</v>
      </c>
      <c r="P230" s="184">
        <v>0.15</v>
      </c>
      <c r="Q230" s="184"/>
      <c r="R230" s="184">
        <v>0.18</v>
      </c>
      <c r="S230" s="879"/>
      <c r="T230" s="879"/>
      <c r="U230" s="879"/>
      <c r="V230" s="879"/>
      <c r="W230" s="879"/>
      <c r="X230" s="879"/>
      <c r="Y230" s="879"/>
      <c r="Z230" s="879"/>
      <c r="AA230" s="879"/>
      <c r="AB230" s="879"/>
      <c r="AC230" s="879"/>
      <c r="AD230" s="879"/>
      <c r="AE230" s="879"/>
      <c r="AF230" s="879"/>
      <c r="AG230" s="879"/>
      <c r="AH230" s="879"/>
      <c r="AI230" s="879">
        <v>0</v>
      </c>
      <c r="AJ230" s="879"/>
      <c r="AK230" s="879"/>
      <c r="AL230" s="879"/>
      <c r="AM230" s="879"/>
      <c r="AN230" s="879"/>
      <c r="AO230" s="879"/>
      <c r="AP230" s="879"/>
      <c r="AQ230" s="879"/>
      <c r="AR230" s="879"/>
    </row>
    <row r="231" spans="1:44" x14ac:dyDescent="0.2">
      <c r="A231" s="184" t="s">
        <v>27</v>
      </c>
      <c r="B231" s="184" t="s">
        <v>849</v>
      </c>
      <c r="C231" s="184" t="s">
        <v>850</v>
      </c>
      <c r="D231" s="183" t="s">
        <v>26</v>
      </c>
      <c r="E231" s="184" t="s">
        <v>47</v>
      </c>
      <c r="F231" s="184" t="s">
        <v>24</v>
      </c>
      <c r="G231" s="204">
        <v>2050</v>
      </c>
      <c r="H231" s="203">
        <v>25</v>
      </c>
      <c r="I231" s="205">
        <v>12.03</v>
      </c>
      <c r="J231" s="205">
        <v>5.61</v>
      </c>
      <c r="K231" s="184">
        <v>1</v>
      </c>
      <c r="L231" s="184">
        <v>0.15</v>
      </c>
      <c r="M231" s="184">
        <v>0.15</v>
      </c>
      <c r="N231" s="184">
        <v>0.15</v>
      </c>
      <c r="O231" s="184">
        <v>0.15</v>
      </c>
      <c r="P231" s="184">
        <v>0.15</v>
      </c>
      <c r="Q231" s="184"/>
      <c r="R231" s="184">
        <v>0.18</v>
      </c>
      <c r="S231" s="879"/>
      <c r="T231" s="879"/>
      <c r="U231" s="879"/>
      <c r="V231" s="879"/>
      <c r="W231" s="879"/>
      <c r="X231" s="879"/>
      <c r="Y231" s="879"/>
      <c r="Z231" s="879"/>
      <c r="AA231" s="879"/>
      <c r="AB231" s="879"/>
      <c r="AC231" s="879"/>
      <c r="AD231" s="879"/>
      <c r="AE231" s="879"/>
      <c r="AF231" s="879"/>
      <c r="AG231" s="879"/>
      <c r="AH231" s="879"/>
      <c r="AI231" s="879">
        <v>0</v>
      </c>
      <c r="AJ231" s="879"/>
      <c r="AK231" s="879"/>
      <c r="AL231" s="879"/>
      <c r="AM231" s="879"/>
      <c r="AN231" s="879"/>
      <c r="AO231" s="879"/>
      <c r="AP231" s="879"/>
      <c r="AQ231" s="879"/>
      <c r="AR231" s="879"/>
    </row>
    <row r="232" spans="1:44" x14ac:dyDescent="0.2">
      <c r="A232" s="194" t="s">
        <v>543</v>
      </c>
      <c r="B232" s="192"/>
      <c r="C232" s="192"/>
      <c r="D232" s="192"/>
      <c r="E232" s="194"/>
      <c r="F232" s="194"/>
      <c r="G232" s="872"/>
      <c r="H232" s="873"/>
      <c r="I232" s="873"/>
      <c r="J232" s="874"/>
      <c r="K232" s="873"/>
      <c r="L232" s="873"/>
      <c r="M232" s="873"/>
      <c r="N232" s="873"/>
      <c r="O232" s="873"/>
      <c r="P232" s="873"/>
      <c r="Q232" s="873"/>
      <c r="R232" s="874"/>
      <c r="S232" s="875"/>
      <c r="T232" s="875"/>
      <c r="U232" s="875"/>
      <c r="V232" s="875"/>
      <c r="W232" s="875"/>
      <c r="X232" s="875"/>
      <c r="Y232" s="875"/>
      <c r="Z232" s="875"/>
      <c r="AA232" s="875"/>
      <c r="AB232" s="875"/>
      <c r="AC232" s="875"/>
      <c r="AD232" s="875"/>
      <c r="AE232" s="875"/>
      <c r="AF232" s="875"/>
      <c r="AG232" s="875"/>
      <c r="AH232" s="875"/>
      <c r="AI232" s="875"/>
      <c r="AJ232" s="875"/>
      <c r="AK232" s="875"/>
      <c r="AL232" s="875"/>
      <c r="AM232" s="875"/>
      <c r="AN232" s="875"/>
      <c r="AO232" s="875"/>
      <c r="AP232" s="875"/>
      <c r="AQ232" s="875"/>
      <c r="AR232" s="877"/>
    </row>
    <row r="233" spans="1:44" x14ac:dyDescent="0.2">
      <c r="A233" s="184" t="s">
        <v>27</v>
      </c>
      <c r="B233" s="184" t="s">
        <v>851</v>
      </c>
      <c r="C233" s="184" t="s">
        <v>852</v>
      </c>
      <c r="D233" s="183" t="s">
        <v>26</v>
      </c>
      <c r="E233" s="184" t="s">
        <v>47</v>
      </c>
      <c r="F233" s="184" t="s">
        <v>24</v>
      </c>
      <c r="G233" s="204">
        <v>2020</v>
      </c>
      <c r="H233" s="203">
        <v>7</v>
      </c>
      <c r="I233" s="205">
        <v>3.4261803566311637</v>
      </c>
      <c r="J233" s="205">
        <v>1.5478985232866336</v>
      </c>
      <c r="K233" s="184">
        <v>1</v>
      </c>
      <c r="L233" s="184">
        <v>0.15</v>
      </c>
      <c r="M233" s="184">
        <v>0.15</v>
      </c>
      <c r="N233" s="184">
        <v>0.15</v>
      </c>
      <c r="O233" s="184">
        <v>0.15</v>
      </c>
      <c r="P233" s="184">
        <v>0.15</v>
      </c>
      <c r="Q233" s="184"/>
      <c r="R233" s="184">
        <v>0.18</v>
      </c>
      <c r="S233" s="879"/>
      <c r="T233" s="879"/>
      <c r="U233" s="879"/>
      <c r="V233" s="879"/>
      <c r="W233" s="879"/>
      <c r="X233" s="879"/>
      <c r="Y233" s="879"/>
      <c r="Z233" s="879"/>
      <c r="AA233" s="879"/>
      <c r="AB233" s="879"/>
      <c r="AC233" s="879"/>
      <c r="AD233" s="879"/>
      <c r="AE233" s="879"/>
      <c r="AF233" s="879"/>
      <c r="AG233" s="879"/>
      <c r="AH233" s="879"/>
      <c r="AI233" s="879">
        <v>0</v>
      </c>
      <c r="AJ233" s="879">
        <v>0</v>
      </c>
      <c r="AK233" s="879"/>
      <c r="AL233" s="879"/>
      <c r="AM233" s="879"/>
      <c r="AN233" s="879"/>
      <c r="AO233" s="879"/>
      <c r="AP233" s="879"/>
      <c r="AQ233" s="879"/>
      <c r="AR233" s="879"/>
    </row>
    <row r="234" spans="1:44" x14ac:dyDescent="0.2">
      <c r="A234" s="184" t="s">
        <v>27</v>
      </c>
      <c r="B234" s="184" t="s">
        <v>853</v>
      </c>
      <c r="C234" s="184" t="s">
        <v>854</v>
      </c>
      <c r="D234" s="183" t="s">
        <v>26</v>
      </c>
      <c r="E234" s="184" t="s">
        <v>47</v>
      </c>
      <c r="F234" s="184" t="s">
        <v>24</v>
      </c>
      <c r="G234" s="204">
        <v>2020</v>
      </c>
      <c r="H234" s="203">
        <v>7</v>
      </c>
      <c r="I234" s="205">
        <v>4.0991800695408571</v>
      </c>
      <c r="J234" s="205">
        <v>1.8519500189322227</v>
      </c>
      <c r="K234" s="184">
        <v>1</v>
      </c>
      <c r="L234" s="184">
        <v>0.15</v>
      </c>
      <c r="M234" s="184">
        <v>0.15</v>
      </c>
      <c r="N234" s="184">
        <v>0.15</v>
      </c>
      <c r="O234" s="184">
        <v>0.15</v>
      </c>
      <c r="P234" s="184">
        <v>0.15</v>
      </c>
      <c r="Q234" s="184"/>
      <c r="R234" s="184">
        <v>0.18</v>
      </c>
      <c r="S234" s="879"/>
      <c r="T234" s="879"/>
      <c r="U234" s="879"/>
      <c r="V234" s="879"/>
      <c r="W234" s="879"/>
      <c r="X234" s="879"/>
      <c r="Y234" s="879"/>
      <c r="Z234" s="879"/>
      <c r="AA234" s="879"/>
      <c r="AB234" s="879"/>
      <c r="AC234" s="879"/>
      <c r="AD234" s="879"/>
      <c r="AE234" s="879"/>
      <c r="AF234" s="879"/>
      <c r="AG234" s="879"/>
      <c r="AH234" s="879"/>
      <c r="AI234" s="879">
        <v>0</v>
      </c>
      <c r="AJ234" s="879">
        <v>0</v>
      </c>
      <c r="AK234" s="879"/>
      <c r="AL234" s="879"/>
      <c r="AM234" s="879"/>
      <c r="AN234" s="879"/>
      <c r="AO234" s="879"/>
      <c r="AP234" s="879"/>
      <c r="AQ234" s="879"/>
      <c r="AR234" s="879"/>
    </row>
    <row r="235" spans="1:44" x14ac:dyDescent="0.2">
      <c r="A235" s="184" t="s">
        <v>27</v>
      </c>
      <c r="B235" s="184" t="s">
        <v>855</v>
      </c>
      <c r="C235" s="184" t="s">
        <v>856</v>
      </c>
      <c r="D235" s="183" t="s">
        <v>26</v>
      </c>
      <c r="E235" s="184" t="s">
        <v>47</v>
      </c>
      <c r="F235" s="184" t="s">
        <v>24</v>
      </c>
      <c r="G235" s="204">
        <v>2030</v>
      </c>
      <c r="H235" s="203">
        <v>12</v>
      </c>
      <c r="I235" s="205">
        <v>3.4261803566311637</v>
      </c>
      <c r="J235" s="205">
        <v>1.5478985232866336</v>
      </c>
      <c r="K235" s="184">
        <v>1</v>
      </c>
      <c r="L235" s="184">
        <v>0.15</v>
      </c>
      <c r="M235" s="184">
        <v>0.15</v>
      </c>
      <c r="N235" s="184">
        <v>0.15</v>
      </c>
      <c r="O235" s="184">
        <v>0.15</v>
      </c>
      <c r="P235" s="184">
        <v>0.15</v>
      </c>
      <c r="Q235" s="184"/>
      <c r="R235" s="184">
        <v>0.18</v>
      </c>
      <c r="S235" s="879"/>
      <c r="T235" s="879"/>
      <c r="U235" s="879"/>
      <c r="V235" s="879"/>
      <c r="W235" s="879"/>
      <c r="X235" s="879"/>
      <c r="Y235" s="879"/>
      <c r="Z235" s="879"/>
      <c r="AA235" s="879"/>
      <c r="AB235" s="879"/>
      <c r="AC235" s="879"/>
      <c r="AD235" s="879"/>
      <c r="AE235" s="879"/>
      <c r="AF235" s="879"/>
      <c r="AG235" s="879"/>
      <c r="AH235" s="879"/>
      <c r="AI235" s="879">
        <v>0</v>
      </c>
      <c r="AJ235" s="879">
        <v>0</v>
      </c>
      <c r="AK235" s="879"/>
      <c r="AL235" s="879"/>
      <c r="AM235" s="879"/>
      <c r="AN235" s="879"/>
      <c r="AO235" s="879"/>
      <c r="AP235" s="879"/>
      <c r="AQ235" s="879"/>
      <c r="AR235" s="879"/>
    </row>
    <row r="236" spans="1:44" x14ac:dyDescent="0.2">
      <c r="A236" s="184" t="s">
        <v>27</v>
      </c>
      <c r="B236" s="184" t="s">
        <v>857</v>
      </c>
      <c r="C236" s="184" t="s">
        <v>858</v>
      </c>
      <c r="D236" s="183" t="s">
        <v>26</v>
      </c>
      <c r="E236" s="184" t="s">
        <v>47</v>
      </c>
      <c r="F236" s="184" t="s">
        <v>24</v>
      </c>
      <c r="G236" s="204">
        <v>2030</v>
      </c>
      <c r="H236" s="203">
        <v>12</v>
      </c>
      <c r="I236" s="205">
        <v>4.0991800695408571</v>
      </c>
      <c r="J236" s="205">
        <v>1.8519500189322227</v>
      </c>
      <c r="K236" s="184">
        <v>1</v>
      </c>
      <c r="L236" s="184">
        <v>0.15</v>
      </c>
      <c r="M236" s="184">
        <v>0.15</v>
      </c>
      <c r="N236" s="184">
        <v>0.15</v>
      </c>
      <c r="O236" s="184">
        <v>0.15</v>
      </c>
      <c r="P236" s="184">
        <v>0.15</v>
      </c>
      <c r="Q236" s="184"/>
      <c r="R236" s="184">
        <v>0.18</v>
      </c>
      <c r="S236" s="879"/>
      <c r="T236" s="879"/>
      <c r="U236" s="879"/>
      <c r="V236" s="879"/>
      <c r="W236" s="879"/>
      <c r="X236" s="879"/>
      <c r="Y236" s="879"/>
      <c r="Z236" s="879"/>
      <c r="AA236" s="879"/>
      <c r="AB236" s="879"/>
      <c r="AC236" s="879"/>
      <c r="AD236" s="879"/>
      <c r="AE236" s="879"/>
      <c r="AF236" s="879"/>
      <c r="AG236" s="879"/>
      <c r="AH236" s="879"/>
      <c r="AI236" s="879">
        <v>0</v>
      </c>
      <c r="AJ236" s="879">
        <v>0</v>
      </c>
      <c r="AK236" s="879"/>
      <c r="AL236" s="879"/>
      <c r="AM236" s="879"/>
      <c r="AN236" s="879"/>
      <c r="AO236" s="879"/>
      <c r="AP236" s="879"/>
      <c r="AQ236" s="879"/>
      <c r="AR236" s="879"/>
    </row>
    <row r="237" spans="1:44" x14ac:dyDescent="0.2">
      <c r="A237" s="184" t="s">
        <v>27</v>
      </c>
      <c r="B237" s="184" t="s">
        <v>859</v>
      </c>
      <c r="C237" s="184" t="s">
        <v>860</v>
      </c>
      <c r="D237" s="183" t="s">
        <v>26</v>
      </c>
      <c r="E237" s="184" t="s">
        <v>47</v>
      </c>
      <c r="F237" s="184" t="s">
        <v>24</v>
      </c>
      <c r="G237" s="204">
        <v>2040</v>
      </c>
      <c r="H237" s="203">
        <v>12</v>
      </c>
      <c r="I237" s="205">
        <v>3.4261803566311637</v>
      </c>
      <c r="J237" s="205">
        <v>1.5478985232866336</v>
      </c>
      <c r="K237" s="184">
        <v>1</v>
      </c>
      <c r="L237" s="184">
        <v>0.15</v>
      </c>
      <c r="M237" s="184">
        <v>0.15</v>
      </c>
      <c r="N237" s="184">
        <v>0.15</v>
      </c>
      <c r="O237" s="184">
        <v>0.15</v>
      </c>
      <c r="P237" s="184">
        <v>0.15</v>
      </c>
      <c r="Q237" s="184"/>
      <c r="R237" s="184">
        <v>0.18</v>
      </c>
      <c r="S237" s="879"/>
      <c r="T237" s="879"/>
      <c r="U237" s="879"/>
      <c r="V237" s="879"/>
      <c r="W237" s="879"/>
      <c r="X237" s="879"/>
      <c r="Y237" s="879"/>
      <c r="Z237" s="879"/>
      <c r="AA237" s="879"/>
      <c r="AB237" s="879"/>
      <c r="AC237" s="879"/>
      <c r="AD237" s="879"/>
      <c r="AE237" s="879"/>
      <c r="AF237" s="879"/>
      <c r="AG237" s="879"/>
      <c r="AH237" s="879"/>
      <c r="AI237" s="879">
        <v>0</v>
      </c>
      <c r="AJ237" s="879">
        <v>0</v>
      </c>
      <c r="AK237" s="879"/>
      <c r="AL237" s="879"/>
      <c r="AM237" s="879"/>
      <c r="AN237" s="879"/>
      <c r="AO237" s="879"/>
      <c r="AP237" s="879"/>
      <c r="AQ237" s="879"/>
      <c r="AR237" s="879"/>
    </row>
    <row r="238" spans="1:44" x14ac:dyDescent="0.2">
      <c r="A238" s="184" t="s">
        <v>27</v>
      </c>
      <c r="B238" s="184" t="s">
        <v>861</v>
      </c>
      <c r="C238" s="184" t="s">
        <v>862</v>
      </c>
      <c r="D238" s="183" t="s">
        <v>26</v>
      </c>
      <c r="E238" s="184" t="s">
        <v>47</v>
      </c>
      <c r="F238" s="184" t="s">
        <v>24</v>
      </c>
      <c r="G238" s="204">
        <v>2040</v>
      </c>
      <c r="H238" s="203">
        <v>12</v>
      </c>
      <c r="I238" s="205">
        <v>4.0991800695408571</v>
      </c>
      <c r="J238" s="205">
        <v>1.8519500189322227</v>
      </c>
      <c r="K238" s="184">
        <v>1</v>
      </c>
      <c r="L238" s="184">
        <v>0.15</v>
      </c>
      <c r="M238" s="184">
        <v>0.15</v>
      </c>
      <c r="N238" s="184">
        <v>0.15</v>
      </c>
      <c r="O238" s="184">
        <v>0.15</v>
      </c>
      <c r="P238" s="184">
        <v>0.15</v>
      </c>
      <c r="Q238" s="184"/>
      <c r="R238" s="184">
        <v>0.18</v>
      </c>
      <c r="S238" s="879"/>
      <c r="T238" s="879"/>
      <c r="U238" s="879"/>
      <c r="V238" s="879"/>
      <c r="W238" s="879"/>
      <c r="X238" s="879"/>
      <c r="Y238" s="879"/>
      <c r="Z238" s="879"/>
      <c r="AA238" s="879"/>
      <c r="AB238" s="879"/>
      <c r="AC238" s="879"/>
      <c r="AD238" s="879"/>
      <c r="AE238" s="879"/>
      <c r="AF238" s="879"/>
      <c r="AG238" s="879"/>
      <c r="AH238" s="879"/>
      <c r="AI238" s="879">
        <v>0</v>
      </c>
      <c r="AJ238" s="879">
        <v>0</v>
      </c>
      <c r="AK238" s="879"/>
      <c r="AL238" s="879"/>
      <c r="AM238" s="879"/>
      <c r="AN238" s="879"/>
      <c r="AO238" s="879"/>
      <c r="AP238" s="879"/>
      <c r="AQ238" s="879"/>
      <c r="AR238" s="879"/>
    </row>
    <row r="239" spans="1:44" x14ac:dyDescent="0.2">
      <c r="A239" s="184" t="s">
        <v>27</v>
      </c>
      <c r="B239" s="184" t="s">
        <v>855</v>
      </c>
      <c r="C239" s="184" t="s">
        <v>863</v>
      </c>
      <c r="D239" s="183" t="s">
        <v>26</v>
      </c>
      <c r="E239" s="184" t="s">
        <v>47</v>
      </c>
      <c r="F239" s="184" t="s">
        <v>24</v>
      </c>
      <c r="G239" s="204">
        <v>2030</v>
      </c>
      <c r="H239" s="203">
        <v>12</v>
      </c>
      <c r="I239" s="205">
        <v>6.2374921023084218</v>
      </c>
      <c r="J239" s="205">
        <v>1.4744954128440364</v>
      </c>
      <c r="K239" s="184">
        <v>1</v>
      </c>
      <c r="L239" s="184">
        <v>0.15</v>
      </c>
      <c r="M239" s="184">
        <v>0.15</v>
      </c>
      <c r="N239" s="184">
        <v>0.15</v>
      </c>
      <c r="O239" s="184">
        <v>0.15</v>
      </c>
      <c r="P239" s="184">
        <v>0.15</v>
      </c>
      <c r="Q239" s="184"/>
      <c r="R239" s="184">
        <v>0.18</v>
      </c>
      <c r="S239" s="879"/>
      <c r="T239" s="879"/>
      <c r="U239" s="879"/>
      <c r="V239" s="879"/>
      <c r="W239" s="879"/>
      <c r="X239" s="879"/>
      <c r="Y239" s="879"/>
      <c r="Z239" s="879"/>
      <c r="AA239" s="879"/>
      <c r="AB239" s="879"/>
      <c r="AC239" s="879"/>
      <c r="AD239" s="879"/>
      <c r="AE239" s="879"/>
      <c r="AF239" s="879"/>
      <c r="AG239" s="879"/>
      <c r="AH239" s="879"/>
      <c r="AI239" s="879">
        <v>0</v>
      </c>
      <c r="AJ239" s="879"/>
      <c r="AK239" s="879"/>
      <c r="AL239" s="879"/>
      <c r="AM239" s="879"/>
      <c r="AN239" s="879"/>
      <c r="AO239" s="879"/>
      <c r="AP239" s="879"/>
      <c r="AQ239" s="879"/>
      <c r="AR239" s="879"/>
    </row>
    <row r="240" spans="1:44" x14ac:dyDescent="0.2">
      <c r="A240" s="184" t="s">
        <v>27</v>
      </c>
      <c r="B240" s="184" t="s">
        <v>857</v>
      </c>
      <c r="C240" s="184" t="s">
        <v>864</v>
      </c>
      <c r="D240" s="183" t="s">
        <v>26</v>
      </c>
      <c r="E240" s="184" t="s">
        <v>47</v>
      </c>
      <c r="F240" s="184" t="s">
        <v>24</v>
      </c>
      <c r="G240" s="204">
        <v>2030</v>
      </c>
      <c r="H240" s="203">
        <v>12</v>
      </c>
      <c r="I240" s="205">
        <v>7.4477517639503548</v>
      </c>
      <c r="J240" s="205">
        <v>1.8376337920489298</v>
      </c>
      <c r="K240" s="184">
        <v>1</v>
      </c>
      <c r="L240" s="184">
        <v>0.15</v>
      </c>
      <c r="M240" s="184">
        <v>0.15</v>
      </c>
      <c r="N240" s="184">
        <v>0.15</v>
      </c>
      <c r="O240" s="184">
        <v>0.15</v>
      </c>
      <c r="P240" s="184">
        <v>0.15</v>
      </c>
      <c r="Q240" s="184"/>
      <c r="R240" s="184">
        <v>0.18</v>
      </c>
      <c r="S240" s="879"/>
      <c r="T240" s="879"/>
      <c r="U240" s="879"/>
      <c r="V240" s="879"/>
      <c r="W240" s="879"/>
      <c r="X240" s="879"/>
      <c r="Y240" s="879"/>
      <c r="Z240" s="879"/>
      <c r="AA240" s="879"/>
      <c r="AB240" s="879"/>
      <c r="AC240" s="879"/>
      <c r="AD240" s="879"/>
      <c r="AE240" s="879"/>
      <c r="AF240" s="879"/>
      <c r="AG240" s="879"/>
      <c r="AH240" s="879"/>
      <c r="AI240" s="879">
        <v>0</v>
      </c>
      <c r="AJ240" s="879"/>
      <c r="AK240" s="879"/>
      <c r="AL240" s="879"/>
      <c r="AM240" s="879"/>
      <c r="AN240" s="879"/>
      <c r="AO240" s="879"/>
      <c r="AP240" s="879"/>
      <c r="AQ240" s="879"/>
      <c r="AR240" s="879"/>
    </row>
    <row r="241" spans="1:44" x14ac:dyDescent="0.2">
      <c r="A241" s="184" t="s">
        <v>27</v>
      </c>
      <c r="B241" s="184" t="s">
        <v>859</v>
      </c>
      <c r="C241" s="184" t="s">
        <v>865</v>
      </c>
      <c r="D241" s="183" t="s">
        <v>26</v>
      </c>
      <c r="E241" s="184" t="s">
        <v>47</v>
      </c>
      <c r="F241" s="184" t="s">
        <v>24</v>
      </c>
      <c r="G241" s="204">
        <v>2040</v>
      </c>
      <c r="H241" s="203">
        <v>12</v>
      </c>
      <c r="I241" s="205">
        <v>6.2374921023084218</v>
      </c>
      <c r="J241" s="205">
        <v>1.4744954128440364</v>
      </c>
      <c r="K241" s="184">
        <v>1</v>
      </c>
      <c r="L241" s="184">
        <v>0.15</v>
      </c>
      <c r="M241" s="184">
        <v>0.15</v>
      </c>
      <c r="N241" s="184">
        <v>0.15</v>
      </c>
      <c r="O241" s="184">
        <v>0.15</v>
      </c>
      <c r="P241" s="184">
        <v>0.15</v>
      </c>
      <c r="Q241" s="184"/>
      <c r="R241" s="184">
        <v>0.18</v>
      </c>
      <c r="S241" s="879"/>
      <c r="T241" s="879"/>
      <c r="U241" s="879"/>
      <c r="V241" s="879"/>
      <c r="W241" s="879"/>
      <c r="X241" s="879"/>
      <c r="Y241" s="879"/>
      <c r="Z241" s="879"/>
      <c r="AA241" s="879"/>
      <c r="AB241" s="879"/>
      <c r="AC241" s="879"/>
      <c r="AD241" s="879"/>
      <c r="AE241" s="879"/>
      <c r="AF241" s="879"/>
      <c r="AG241" s="879"/>
      <c r="AH241" s="879"/>
      <c r="AI241" s="879">
        <v>0</v>
      </c>
      <c r="AJ241" s="879"/>
      <c r="AK241" s="879"/>
      <c r="AL241" s="879"/>
      <c r="AM241" s="879"/>
      <c r="AN241" s="879"/>
      <c r="AO241" s="879"/>
      <c r="AP241" s="879"/>
      <c r="AQ241" s="879"/>
      <c r="AR241" s="879"/>
    </row>
    <row r="242" spans="1:44" x14ac:dyDescent="0.2">
      <c r="A242" s="184" t="s">
        <v>27</v>
      </c>
      <c r="B242" s="184" t="s">
        <v>861</v>
      </c>
      <c r="C242" s="184" t="s">
        <v>866</v>
      </c>
      <c r="D242" s="183" t="s">
        <v>26</v>
      </c>
      <c r="E242" s="184" t="s">
        <v>47</v>
      </c>
      <c r="F242" s="184" t="s">
        <v>24</v>
      </c>
      <c r="G242" s="204">
        <v>2040</v>
      </c>
      <c r="H242" s="203">
        <v>12</v>
      </c>
      <c r="I242" s="205">
        <v>7.4477517639503548</v>
      </c>
      <c r="J242" s="205">
        <v>1.8376337920489298</v>
      </c>
      <c r="K242" s="184">
        <v>1</v>
      </c>
      <c r="L242" s="184">
        <v>0.15</v>
      </c>
      <c r="M242" s="184">
        <v>0.15</v>
      </c>
      <c r="N242" s="184">
        <v>0.15</v>
      </c>
      <c r="O242" s="184">
        <v>0.15</v>
      </c>
      <c r="P242" s="184">
        <v>0.15</v>
      </c>
      <c r="Q242" s="184"/>
      <c r="R242" s="184">
        <v>0.18</v>
      </c>
      <c r="S242" s="879"/>
      <c r="T242" s="879"/>
      <c r="U242" s="879"/>
      <c r="V242" s="879"/>
      <c r="W242" s="879"/>
      <c r="X242" s="879"/>
      <c r="Y242" s="879"/>
      <c r="Z242" s="879"/>
      <c r="AA242" s="879"/>
      <c r="AB242" s="879"/>
      <c r="AC242" s="879"/>
      <c r="AD242" s="879"/>
      <c r="AE242" s="879"/>
      <c r="AF242" s="879"/>
      <c r="AG242" s="879"/>
      <c r="AH242" s="879"/>
      <c r="AI242" s="879">
        <v>0</v>
      </c>
      <c r="AJ242" s="879"/>
      <c r="AK242" s="879"/>
      <c r="AL242" s="879"/>
      <c r="AM242" s="879"/>
      <c r="AN242" s="879"/>
      <c r="AO242" s="879"/>
      <c r="AP242" s="879"/>
      <c r="AQ242" s="879"/>
      <c r="AR242" s="879"/>
    </row>
    <row r="243" spans="1:44" x14ac:dyDescent="0.2">
      <c r="A243" s="184" t="s">
        <v>27</v>
      </c>
      <c r="B243" s="184" t="s">
        <v>867</v>
      </c>
      <c r="C243" s="184" t="s">
        <v>868</v>
      </c>
      <c r="D243" s="183" t="s">
        <v>26</v>
      </c>
      <c r="E243" s="184" t="s">
        <v>47</v>
      </c>
      <c r="F243" s="184" t="s">
        <v>24</v>
      </c>
      <c r="G243" s="204">
        <v>2050</v>
      </c>
      <c r="H243" s="203">
        <v>12</v>
      </c>
      <c r="I243" s="205">
        <v>6.2374921023084218</v>
      </c>
      <c r="J243" s="205">
        <v>1.4744954128440364</v>
      </c>
      <c r="K243" s="184">
        <v>1</v>
      </c>
      <c r="L243" s="184">
        <v>0.15</v>
      </c>
      <c r="M243" s="184">
        <v>0.15</v>
      </c>
      <c r="N243" s="184">
        <v>0.15</v>
      </c>
      <c r="O243" s="184">
        <v>0.15</v>
      </c>
      <c r="P243" s="184">
        <v>0.15</v>
      </c>
      <c r="Q243" s="184"/>
      <c r="R243" s="184">
        <v>0.18</v>
      </c>
      <c r="S243" s="879"/>
      <c r="T243" s="879"/>
      <c r="U243" s="879"/>
      <c r="V243" s="879"/>
      <c r="W243" s="879"/>
      <c r="X243" s="879"/>
      <c r="Y243" s="879"/>
      <c r="Z243" s="879"/>
      <c r="AA243" s="879"/>
      <c r="AB243" s="879"/>
      <c r="AC243" s="879"/>
      <c r="AD243" s="879"/>
      <c r="AE243" s="879"/>
      <c r="AF243" s="879"/>
      <c r="AG243" s="879"/>
      <c r="AH243" s="879"/>
      <c r="AI243" s="879">
        <v>0</v>
      </c>
      <c r="AJ243" s="879"/>
      <c r="AK243" s="879"/>
      <c r="AL243" s="879"/>
      <c r="AM243" s="879"/>
      <c r="AN243" s="879"/>
      <c r="AO243" s="879"/>
      <c r="AP243" s="879"/>
      <c r="AQ243" s="879"/>
      <c r="AR243" s="879"/>
    </row>
    <row r="244" spans="1:44" x14ac:dyDescent="0.2">
      <c r="A244" s="184" t="s">
        <v>27</v>
      </c>
      <c r="B244" s="184" t="s">
        <v>869</v>
      </c>
      <c r="C244" s="184" t="s">
        <v>870</v>
      </c>
      <c r="D244" s="183" t="s">
        <v>26</v>
      </c>
      <c r="E244" s="184" t="s">
        <v>47</v>
      </c>
      <c r="F244" s="184" t="s">
        <v>24</v>
      </c>
      <c r="G244" s="204">
        <v>2050</v>
      </c>
      <c r="H244" s="203">
        <v>12</v>
      </c>
      <c r="I244" s="205">
        <v>7.4477517639503548</v>
      </c>
      <c r="J244" s="205">
        <v>1.8376337920489298</v>
      </c>
      <c r="K244" s="184">
        <v>1</v>
      </c>
      <c r="L244" s="184">
        <v>0.15</v>
      </c>
      <c r="M244" s="184">
        <v>0.15</v>
      </c>
      <c r="N244" s="184">
        <v>0.15</v>
      </c>
      <c r="O244" s="184">
        <v>0.15</v>
      </c>
      <c r="P244" s="184">
        <v>0.15</v>
      </c>
      <c r="Q244" s="184"/>
      <c r="R244" s="184">
        <v>0.18</v>
      </c>
      <c r="S244" s="879"/>
      <c r="T244" s="879"/>
      <c r="U244" s="879"/>
      <c r="V244" s="879"/>
      <c r="W244" s="879"/>
      <c r="X244" s="879"/>
      <c r="Y244" s="879"/>
      <c r="Z244" s="879"/>
      <c r="AA244" s="879"/>
      <c r="AB244" s="879"/>
      <c r="AC244" s="879"/>
      <c r="AD244" s="879"/>
      <c r="AE244" s="879"/>
      <c r="AF244" s="879"/>
      <c r="AG244" s="879"/>
      <c r="AH244" s="879"/>
      <c r="AI244" s="879">
        <v>0</v>
      </c>
      <c r="AJ244" s="879"/>
      <c r="AK244" s="879"/>
      <c r="AL244" s="879"/>
      <c r="AM244" s="879"/>
      <c r="AN244" s="879"/>
      <c r="AO244" s="879"/>
      <c r="AP244" s="879"/>
      <c r="AQ244" s="879"/>
      <c r="AR244" s="879"/>
    </row>
    <row r="245" spans="1:44" x14ac:dyDescent="0.2">
      <c r="A245" s="194" t="s">
        <v>510</v>
      </c>
      <c r="B245" s="192"/>
      <c r="C245" s="192"/>
      <c r="D245" s="192"/>
      <c r="E245" s="194"/>
      <c r="F245" s="194"/>
      <c r="G245" s="872"/>
      <c r="H245" s="873"/>
      <c r="I245" s="873"/>
      <c r="J245" s="874"/>
      <c r="K245" s="873"/>
      <c r="L245" s="873"/>
      <c r="M245" s="873"/>
      <c r="N245" s="873"/>
      <c r="O245" s="873"/>
      <c r="P245" s="873"/>
      <c r="Q245" s="873"/>
      <c r="R245" s="874"/>
      <c r="S245" s="875"/>
      <c r="T245" s="875"/>
      <c r="U245" s="875"/>
      <c r="V245" s="875"/>
      <c r="W245" s="875"/>
      <c r="X245" s="875"/>
      <c r="Y245" s="875"/>
      <c r="Z245" s="875"/>
      <c r="AA245" s="875"/>
      <c r="AB245" s="875"/>
      <c r="AC245" s="875"/>
      <c r="AD245" s="875"/>
      <c r="AE245" s="875"/>
      <c r="AF245" s="875"/>
      <c r="AG245" s="875"/>
      <c r="AH245" s="875"/>
      <c r="AI245" s="875"/>
      <c r="AJ245" s="875"/>
      <c r="AK245" s="875"/>
      <c r="AL245" s="875"/>
      <c r="AM245" s="875"/>
      <c r="AN245" s="875"/>
      <c r="AO245" s="875"/>
      <c r="AP245" s="875"/>
      <c r="AQ245" s="875"/>
      <c r="AR245" s="877"/>
    </row>
    <row r="246" spans="1:44" x14ac:dyDescent="0.2">
      <c r="A246" s="184" t="s">
        <v>27</v>
      </c>
      <c r="B246" s="184" t="s">
        <v>871</v>
      </c>
      <c r="C246" s="184" t="s">
        <v>872</v>
      </c>
      <c r="D246" s="183" t="s">
        <v>26</v>
      </c>
      <c r="E246" s="184" t="s">
        <v>47</v>
      </c>
      <c r="F246" s="184" t="s">
        <v>24</v>
      </c>
      <c r="G246" s="204">
        <v>2010</v>
      </c>
      <c r="H246" s="203">
        <v>15</v>
      </c>
      <c r="I246" s="205"/>
      <c r="J246" s="205">
        <v>2.9980069977321731</v>
      </c>
      <c r="K246" s="184">
        <v>1</v>
      </c>
      <c r="L246" s="184">
        <v>0.15</v>
      </c>
      <c r="M246" s="184">
        <v>0.15</v>
      </c>
      <c r="N246" s="184">
        <v>0.15</v>
      </c>
      <c r="O246" s="184">
        <v>0.15</v>
      </c>
      <c r="P246" s="184">
        <v>0.15</v>
      </c>
      <c r="Q246" s="184"/>
      <c r="R246" s="184">
        <v>0.45</v>
      </c>
      <c r="S246" s="878"/>
      <c r="T246" s="878"/>
      <c r="U246" s="878"/>
      <c r="V246" s="878"/>
      <c r="W246" s="878"/>
      <c r="X246" s="878"/>
      <c r="Y246" s="878"/>
      <c r="Z246" s="878"/>
      <c r="AA246" s="878"/>
      <c r="AB246" s="878"/>
      <c r="AC246" s="878"/>
      <c r="AD246" s="878"/>
      <c r="AE246" s="878"/>
      <c r="AF246" s="878"/>
      <c r="AG246" s="878"/>
      <c r="AH246" s="878"/>
      <c r="AI246" s="879">
        <v>0</v>
      </c>
      <c r="AJ246" s="879">
        <v>0</v>
      </c>
      <c r="AK246" s="879">
        <v>0</v>
      </c>
      <c r="AL246" s="879">
        <v>0</v>
      </c>
      <c r="AM246" s="879">
        <v>0</v>
      </c>
      <c r="AN246" s="879">
        <v>0</v>
      </c>
      <c r="AO246" s="879">
        <v>0</v>
      </c>
      <c r="AP246" s="879">
        <v>0</v>
      </c>
      <c r="AQ246" s="879">
        <v>0</v>
      </c>
      <c r="AR246" s="879">
        <v>0</v>
      </c>
    </row>
    <row r="247" spans="1:44" x14ac:dyDescent="0.2">
      <c r="A247" s="184" t="s">
        <v>27</v>
      </c>
      <c r="B247" s="184" t="s">
        <v>873</v>
      </c>
      <c r="C247" s="184" t="s">
        <v>874</v>
      </c>
      <c r="D247" s="183" t="s">
        <v>26</v>
      </c>
      <c r="E247" s="184" t="s">
        <v>47</v>
      </c>
      <c r="F247" s="184" t="s">
        <v>24</v>
      </c>
      <c r="G247" s="204" t="s">
        <v>615</v>
      </c>
      <c r="H247" s="203">
        <v>15</v>
      </c>
      <c r="I247" s="205">
        <v>4.0729892459103505</v>
      </c>
      <c r="J247" s="205">
        <v>3.2749999999999999</v>
      </c>
      <c r="K247" s="184">
        <v>1</v>
      </c>
      <c r="L247" s="184">
        <v>0.15</v>
      </c>
      <c r="M247" s="184">
        <v>0.15</v>
      </c>
      <c r="N247" s="184">
        <v>0.15</v>
      </c>
      <c r="O247" s="184">
        <v>0.15</v>
      </c>
      <c r="P247" s="184">
        <v>0.15</v>
      </c>
      <c r="Q247" s="184"/>
      <c r="R247" s="184">
        <v>0.45</v>
      </c>
      <c r="S247" s="879"/>
      <c r="T247" s="879"/>
      <c r="U247" s="879"/>
      <c r="V247" s="879"/>
      <c r="W247" s="879"/>
      <c r="X247" s="879"/>
      <c r="Y247" s="879"/>
      <c r="Z247" s="879"/>
      <c r="AA247" s="879"/>
      <c r="AB247" s="879"/>
      <c r="AC247" s="879"/>
      <c r="AD247" s="879"/>
      <c r="AE247" s="879"/>
      <c r="AF247" s="879"/>
      <c r="AG247" s="879"/>
      <c r="AH247" s="879"/>
      <c r="AI247" s="879">
        <v>0</v>
      </c>
      <c r="AJ247" s="879"/>
      <c r="AK247" s="879"/>
      <c r="AL247" s="879"/>
      <c r="AM247" s="879"/>
      <c r="AN247" s="879"/>
      <c r="AO247" s="879"/>
      <c r="AP247" s="879"/>
      <c r="AQ247" s="879"/>
      <c r="AR247" s="879"/>
    </row>
    <row r="248" spans="1:44" x14ac:dyDescent="0.2">
      <c r="A248" s="184" t="s">
        <v>27</v>
      </c>
      <c r="B248" s="184" t="s">
        <v>875</v>
      </c>
      <c r="C248" s="184" t="s">
        <v>876</v>
      </c>
      <c r="D248" s="183" t="s">
        <v>26</v>
      </c>
      <c r="E248" s="184" t="s">
        <v>47</v>
      </c>
      <c r="F248" s="184" t="s">
        <v>24</v>
      </c>
      <c r="G248" s="204" t="s">
        <v>615</v>
      </c>
      <c r="H248" s="203">
        <v>15</v>
      </c>
      <c r="I248" s="205">
        <v>6.1935761064381811</v>
      </c>
      <c r="J248" s="205">
        <v>3.75</v>
      </c>
      <c r="K248" s="184">
        <v>1</v>
      </c>
      <c r="L248" s="184">
        <v>0.15</v>
      </c>
      <c r="M248" s="184">
        <v>0.15</v>
      </c>
      <c r="N248" s="184">
        <v>0.15</v>
      </c>
      <c r="O248" s="184">
        <v>0.15</v>
      </c>
      <c r="P248" s="184">
        <v>0.15</v>
      </c>
      <c r="Q248" s="184"/>
      <c r="R248" s="184">
        <v>0.45</v>
      </c>
      <c r="S248" s="879"/>
      <c r="T248" s="879"/>
      <c r="U248" s="879"/>
      <c r="V248" s="879"/>
      <c r="W248" s="879"/>
      <c r="X248" s="879"/>
      <c r="Y248" s="879"/>
      <c r="Z248" s="879"/>
      <c r="AA248" s="879"/>
      <c r="AB248" s="879"/>
      <c r="AC248" s="879"/>
      <c r="AD248" s="879"/>
      <c r="AE248" s="879"/>
      <c r="AF248" s="879"/>
      <c r="AG248" s="879"/>
      <c r="AH248" s="879"/>
      <c r="AI248" s="879">
        <v>0</v>
      </c>
      <c r="AJ248" s="879"/>
      <c r="AK248" s="879"/>
      <c r="AL248" s="879"/>
      <c r="AM248" s="879"/>
      <c r="AN248" s="879"/>
      <c r="AO248" s="879"/>
      <c r="AP248" s="879"/>
      <c r="AQ248" s="879"/>
      <c r="AR248" s="879"/>
    </row>
    <row r="249" spans="1:44" x14ac:dyDescent="0.2">
      <c r="A249" s="184" t="s">
        <v>27</v>
      </c>
      <c r="B249" s="184" t="s">
        <v>877</v>
      </c>
      <c r="C249" s="184" t="s">
        <v>878</v>
      </c>
      <c r="D249" s="183" t="s">
        <v>26</v>
      </c>
      <c r="E249" s="184" t="s">
        <v>47</v>
      </c>
      <c r="F249" s="184" t="s">
        <v>24</v>
      </c>
      <c r="G249" s="204" t="s">
        <v>620</v>
      </c>
      <c r="H249" s="203">
        <v>15</v>
      </c>
      <c r="I249" s="205">
        <v>6.3763853185526491</v>
      </c>
      <c r="J249" s="205">
        <v>3.8250000000000006</v>
      </c>
      <c r="K249" s="184">
        <v>1</v>
      </c>
      <c r="L249" s="184">
        <v>0.15</v>
      </c>
      <c r="M249" s="184">
        <v>0.15</v>
      </c>
      <c r="N249" s="184">
        <v>0.15</v>
      </c>
      <c r="O249" s="184">
        <v>0.15</v>
      </c>
      <c r="P249" s="184">
        <v>0.15</v>
      </c>
      <c r="Q249" s="184"/>
      <c r="R249" s="184">
        <v>0.45</v>
      </c>
      <c r="S249" s="879"/>
      <c r="T249" s="879"/>
      <c r="U249" s="879"/>
      <c r="V249" s="879"/>
      <c r="W249" s="879"/>
      <c r="X249" s="879"/>
      <c r="Y249" s="879"/>
      <c r="Z249" s="879"/>
      <c r="AA249" s="879"/>
      <c r="AB249" s="879"/>
      <c r="AC249" s="879"/>
      <c r="AD249" s="879"/>
      <c r="AE249" s="879"/>
      <c r="AF249" s="879"/>
      <c r="AG249" s="879"/>
      <c r="AH249" s="879"/>
      <c r="AI249" s="879">
        <v>0</v>
      </c>
      <c r="AJ249" s="879"/>
      <c r="AK249" s="879"/>
      <c r="AL249" s="879"/>
      <c r="AM249" s="879"/>
      <c r="AN249" s="879"/>
      <c r="AO249" s="879"/>
      <c r="AP249" s="879"/>
      <c r="AQ249" s="879"/>
      <c r="AR249" s="879"/>
    </row>
    <row r="250" spans="1:44" x14ac:dyDescent="0.2">
      <c r="A250" s="184" t="s">
        <v>27</v>
      </c>
      <c r="B250" s="184" t="s">
        <v>879</v>
      </c>
      <c r="C250" s="184" t="s">
        <v>880</v>
      </c>
      <c r="D250" s="183" t="s">
        <v>26</v>
      </c>
      <c r="E250" s="184" t="s">
        <v>47</v>
      </c>
      <c r="F250" s="184" t="s">
        <v>24</v>
      </c>
      <c r="G250" s="204">
        <v>2020</v>
      </c>
      <c r="H250" s="203">
        <v>15</v>
      </c>
      <c r="I250" s="205">
        <v>7.8022971730454991</v>
      </c>
      <c r="J250" s="205">
        <v>4.75</v>
      </c>
      <c r="K250" s="184">
        <v>1</v>
      </c>
      <c r="L250" s="184">
        <v>0.15</v>
      </c>
      <c r="M250" s="184">
        <v>0.15</v>
      </c>
      <c r="N250" s="184">
        <v>0.15</v>
      </c>
      <c r="O250" s="184">
        <v>0.15</v>
      </c>
      <c r="P250" s="184">
        <v>0.15</v>
      </c>
      <c r="Q250" s="184"/>
      <c r="R250" s="184">
        <v>0.45</v>
      </c>
      <c r="S250" s="879"/>
      <c r="T250" s="879"/>
      <c r="U250" s="879"/>
      <c r="V250" s="879"/>
      <c r="W250" s="879"/>
      <c r="X250" s="879"/>
      <c r="Y250" s="879"/>
      <c r="Z250" s="879"/>
      <c r="AA250" s="879"/>
      <c r="AB250" s="879"/>
      <c r="AC250" s="879"/>
      <c r="AD250" s="879"/>
      <c r="AE250" s="879"/>
      <c r="AF250" s="879"/>
      <c r="AG250" s="879"/>
      <c r="AH250" s="879"/>
      <c r="AI250" s="879">
        <v>0</v>
      </c>
      <c r="AJ250" s="879"/>
      <c r="AK250" s="879"/>
      <c r="AL250" s="879"/>
      <c r="AM250" s="879"/>
      <c r="AN250" s="879"/>
      <c r="AO250" s="879"/>
      <c r="AP250" s="879"/>
      <c r="AQ250" s="879"/>
      <c r="AR250" s="879"/>
    </row>
    <row r="251" spans="1:44" x14ac:dyDescent="0.2">
      <c r="A251" s="184" t="s">
        <v>27</v>
      </c>
      <c r="B251" s="184" t="s">
        <v>881</v>
      </c>
      <c r="C251" s="184" t="s">
        <v>882</v>
      </c>
      <c r="D251" s="183" t="s">
        <v>26</v>
      </c>
      <c r="E251" s="184" t="s">
        <v>47</v>
      </c>
      <c r="F251" s="184" t="s">
        <v>24</v>
      </c>
      <c r="G251" s="204">
        <v>2030</v>
      </c>
      <c r="H251" s="203">
        <v>15</v>
      </c>
      <c r="I251" s="205">
        <v>6.5628507149094064</v>
      </c>
      <c r="J251" s="205">
        <v>3.9500000000000006</v>
      </c>
      <c r="K251" s="184">
        <v>1</v>
      </c>
      <c r="L251" s="184">
        <v>0.15</v>
      </c>
      <c r="M251" s="184">
        <v>0.15</v>
      </c>
      <c r="N251" s="184">
        <v>0.15</v>
      </c>
      <c r="O251" s="184">
        <v>0.15</v>
      </c>
      <c r="P251" s="184">
        <v>0.15</v>
      </c>
      <c r="Q251" s="184"/>
      <c r="R251" s="184">
        <v>0.45</v>
      </c>
      <c r="S251" s="879"/>
      <c r="T251" s="879"/>
      <c r="U251" s="879"/>
      <c r="V251" s="879"/>
      <c r="W251" s="879"/>
      <c r="X251" s="879"/>
      <c r="Y251" s="879"/>
      <c r="Z251" s="879"/>
      <c r="AA251" s="879"/>
      <c r="AB251" s="879"/>
      <c r="AC251" s="879"/>
      <c r="AD251" s="879"/>
      <c r="AE251" s="879"/>
      <c r="AF251" s="879"/>
      <c r="AG251" s="879"/>
      <c r="AH251" s="879"/>
      <c r="AI251" s="879">
        <v>0</v>
      </c>
      <c r="AJ251" s="879"/>
      <c r="AK251" s="879"/>
      <c r="AL251" s="879"/>
      <c r="AM251" s="879"/>
      <c r="AN251" s="879"/>
      <c r="AO251" s="879"/>
      <c r="AP251" s="879"/>
      <c r="AQ251" s="879"/>
      <c r="AR251" s="879"/>
    </row>
    <row r="252" spans="1:44" x14ac:dyDescent="0.2">
      <c r="A252" s="184" t="s">
        <v>27</v>
      </c>
      <c r="B252" s="184" t="s">
        <v>883</v>
      </c>
      <c r="C252" s="184" t="s">
        <v>884</v>
      </c>
      <c r="D252" s="183" t="s">
        <v>26</v>
      </c>
      <c r="E252" s="184" t="s">
        <v>47</v>
      </c>
      <c r="F252" s="184" t="s">
        <v>24</v>
      </c>
      <c r="G252" s="204">
        <v>2030</v>
      </c>
      <c r="H252" s="203">
        <v>15</v>
      </c>
      <c r="I252" s="205">
        <v>7.8790770421335763</v>
      </c>
      <c r="J252" s="205">
        <v>4.75</v>
      </c>
      <c r="K252" s="184">
        <v>1</v>
      </c>
      <c r="L252" s="184">
        <v>0.15</v>
      </c>
      <c r="M252" s="184">
        <v>0.15</v>
      </c>
      <c r="N252" s="184">
        <v>0.15</v>
      </c>
      <c r="O252" s="184">
        <v>0.15</v>
      </c>
      <c r="P252" s="184">
        <v>0.15</v>
      </c>
      <c r="Q252" s="184"/>
      <c r="R252" s="184">
        <v>0.45</v>
      </c>
      <c r="S252" s="879"/>
      <c r="T252" s="879"/>
      <c r="U252" s="879"/>
      <c r="V252" s="879"/>
      <c r="W252" s="879"/>
      <c r="X252" s="879"/>
      <c r="Y252" s="879"/>
      <c r="Z252" s="879"/>
      <c r="AA252" s="879"/>
      <c r="AB252" s="879"/>
      <c r="AC252" s="879"/>
      <c r="AD252" s="879"/>
      <c r="AE252" s="879"/>
      <c r="AF252" s="879"/>
      <c r="AG252" s="879"/>
      <c r="AH252" s="879"/>
      <c r="AI252" s="879">
        <v>0</v>
      </c>
      <c r="AJ252" s="879"/>
      <c r="AK252" s="879"/>
      <c r="AL252" s="879"/>
      <c r="AM252" s="879"/>
      <c r="AN252" s="879"/>
      <c r="AO252" s="879"/>
      <c r="AP252" s="879"/>
      <c r="AQ252" s="879"/>
      <c r="AR252" s="879"/>
    </row>
    <row r="253" spans="1:44" x14ac:dyDescent="0.2">
      <c r="A253" s="184" t="s">
        <v>27</v>
      </c>
      <c r="B253" s="184" t="s">
        <v>885</v>
      </c>
      <c r="C253" s="184" t="s">
        <v>886</v>
      </c>
      <c r="D253" s="183" t="s">
        <v>26</v>
      </c>
      <c r="E253" s="184" t="s">
        <v>47</v>
      </c>
      <c r="F253" s="184" t="s">
        <v>24</v>
      </c>
      <c r="G253" s="204">
        <v>2040</v>
      </c>
      <c r="H253" s="203">
        <v>15</v>
      </c>
      <c r="I253" s="205">
        <v>6.5628507149094064</v>
      </c>
      <c r="J253" s="205">
        <v>3.9500000000000006</v>
      </c>
      <c r="K253" s="184">
        <v>1</v>
      </c>
      <c r="L253" s="184">
        <v>0.15</v>
      </c>
      <c r="M253" s="184">
        <v>0.15</v>
      </c>
      <c r="N253" s="184">
        <v>0.15</v>
      </c>
      <c r="O253" s="184">
        <v>0.15</v>
      </c>
      <c r="P253" s="184">
        <v>0.15</v>
      </c>
      <c r="Q253" s="184"/>
      <c r="R253" s="184">
        <v>0.45</v>
      </c>
      <c r="S253" s="879"/>
      <c r="T253" s="879"/>
      <c r="U253" s="879"/>
      <c r="V253" s="879"/>
      <c r="W253" s="879"/>
      <c r="X253" s="879"/>
      <c r="Y253" s="879"/>
      <c r="Z253" s="879"/>
      <c r="AA253" s="879"/>
      <c r="AB253" s="879"/>
      <c r="AC253" s="879"/>
      <c r="AD253" s="879"/>
      <c r="AE253" s="879"/>
      <c r="AF253" s="879"/>
      <c r="AG253" s="879"/>
      <c r="AH253" s="879"/>
      <c r="AI253" s="879">
        <v>0</v>
      </c>
      <c r="AJ253" s="879"/>
      <c r="AK253" s="879"/>
      <c r="AL253" s="879"/>
      <c r="AM253" s="879"/>
      <c r="AN253" s="879"/>
      <c r="AO253" s="879"/>
      <c r="AP253" s="879"/>
      <c r="AQ253" s="879"/>
      <c r="AR253" s="879"/>
    </row>
    <row r="254" spans="1:44" x14ac:dyDescent="0.2">
      <c r="A254" s="184" t="s">
        <v>27</v>
      </c>
      <c r="B254" s="184" t="s">
        <v>887</v>
      </c>
      <c r="C254" s="184" t="s">
        <v>888</v>
      </c>
      <c r="D254" s="183" t="s">
        <v>26</v>
      </c>
      <c r="E254" s="184" t="s">
        <v>47</v>
      </c>
      <c r="F254" s="184" t="s">
        <v>24</v>
      </c>
      <c r="G254" s="204">
        <v>2040</v>
      </c>
      <c r="H254" s="203">
        <v>15</v>
      </c>
      <c r="I254" s="205">
        <v>7.8022971730454991</v>
      </c>
      <c r="J254" s="205">
        <v>4.75</v>
      </c>
      <c r="K254" s="184">
        <v>1</v>
      </c>
      <c r="L254" s="184">
        <v>0.15</v>
      </c>
      <c r="M254" s="184">
        <v>0.15</v>
      </c>
      <c r="N254" s="184">
        <v>0.15</v>
      </c>
      <c r="O254" s="184">
        <v>0.15</v>
      </c>
      <c r="P254" s="184">
        <v>0.15</v>
      </c>
      <c r="Q254" s="184"/>
      <c r="R254" s="184">
        <v>0.45</v>
      </c>
      <c r="S254" s="879"/>
      <c r="T254" s="879"/>
      <c r="U254" s="879"/>
      <c r="V254" s="879"/>
      <c r="W254" s="879"/>
      <c r="X254" s="879"/>
      <c r="Y254" s="879"/>
      <c r="Z254" s="879"/>
      <c r="AA254" s="879"/>
      <c r="AB254" s="879"/>
      <c r="AC254" s="879"/>
      <c r="AD254" s="879"/>
      <c r="AE254" s="879"/>
      <c r="AF254" s="879"/>
      <c r="AG254" s="879"/>
      <c r="AH254" s="879"/>
      <c r="AI254" s="879">
        <v>0</v>
      </c>
      <c r="AJ254" s="879"/>
      <c r="AK254" s="879"/>
      <c r="AL254" s="879"/>
      <c r="AM254" s="879"/>
      <c r="AN254" s="879"/>
      <c r="AO254" s="879"/>
      <c r="AP254" s="879"/>
      <c r="AQ254" s="879"/>
      <c r="AR254" s="879"/>
    </row>
    <row r="255" spans="1:44" x14ac:dyDescent="0.2">
      <c r="A255" s="184" t="s">
        <v>27</v>
      </c>
      <c r="B255" s="184" t="s">
        <v>889</v>
      </c>
      <c r="C255" s="184" t="s">
        <v>890</v>
      </c>
      <c r="D255" s="183" t="s">
        <v>26</v>
      </c>
      <c r="E255" s="184" t="s">
        <v>47</v>
      </c>
      <c r="F255" s="184" t="s">
        <v>24</v>
      </c>
      <c r="G255" s="204" t="s">
        <v>633</v>
      </c>
      <c r="H255" s="203">
        <v>15</v>
      </c>
      <c r="I255" s="205">
        <v>9.4927122068377106</v>
      </c>
      <c r="J255" s="205">
        <v>4.4000000000000004</v>
      </c>
      <c r="K255" s="184">
        <v>1</v>
      </c>
      <c r="L255" s="184">
        <v>0.15</v>
      </c>
      <c r="M255" s="184">
        <v>0.15</v>
      </c>
      <c r="N255" s="184">
        <v>0.15</v>
      </c>
      <c r="O255" s="184">
        <v>0.15</v>
      </c>
      <c r="P255" s="184">
        <v>0.15</v>
      </c>
      <c r="Q255" s="184"/>
      <c r="R255" s="184">
        <v>0.45</v>
      </c>
      <c r="S255" s="879"/>
      <c r="T255" s="879"/>
      <c r="U255" s="879"/>
      <c r="V255" s="879"/>
      <c r="W255" s="879"/>
      <c r="X255" s="879"/>
      <c r="Y255" s="879"/>
      <c r="Z255" s="879"/>
      <c r="AA255" s="879"/>
      <c r="AB255" s="879"/>
      <c r="AC255" s="879"/>
      <c r="AD255" s="879"/>
      <c r="AE255" s="879"/>
      <c r="AF255" s="879"/>
      <c r="AG255" s="879"/>
      <c r="AH255" s="879"/>
      <c r="AI255" s="879">
        <v>0</v>
      </c>
      <c r="AJ255" s="879"/>
      <c r="AK255" s="879">
        <v>0</v>
      </c>
      <c r="AL255" s="879">
        <v>0</v>
      </c>
      <c r="AM255" s="879">
        <v>0</v>
      </c>
      <c r="AN255" s="879">
        <v>0</v>
      </c>
      <c r="AO255" s="879">
        <v>0</v>
      </c>
      <c r="AP255" s="879">
        <v>0</v>
      </c>
      <c r="AQ255" s="879">
        <v>0</v>
      </c>
      <c r="AR255" s="879">
        <v>0</v>
      </c>
    </row>
    <row r="256" spans="1:44" x14ac:dyDescent="0.2">
      <c r="A256" s="184" t="s">
        <v>27</v>
      </c>
      <c r="B256" s="184" t="s">
        <v>875</v>
      </c>
      <c r="C256" s="184" t="s">
        <v>876</v>
      </c>
      <c r="D256" s="183" t="s">
        <v>26</v>
      </c>
      <c r="E256" s="184" t="s">
        <v>47</v>
      </c>
      <c r="F256" s="184" t="s">
        <v>24</v>
      </c>
      <c r="G256" s="204" t="s">
        <v>615</v>
      </c>
      <c r="H256" s="203">
        <v>15</v>
      </c>
      <c r="I256" s="205">
        <v>9.4927122068377106</v>
      </c>
      <c r="J256" s="205">
        <v>4.4000000000000004</v>
      </c>
      <c r="K256" s="184">
        <v>1</v>
      </c>
      <c r="L256" s="184">
        <v>0.15</v>
      </c>
      <c r="M256" s="184">
        <v>0.15</v>
      </c>
      <c r="N256" s="184">
        <v>0.15</v>
      </c>
      <c r="O256" s="184">
        <v>0.15</v>
      </c>
      <c r="P256" s="184">
        <v>0.15</v>
      </c>
      <c r="Q256" s="184"/>
      <c r="R256" s="184">
        <v>0.45</v>
      </c>
      <c r="S256" s="879"/>
      <c r="T256" s="879"/>
      <c r="U256" s="879"/>
      <c r="V256" s="879"/>
      <c r="W256" s="879"/>
      <c r="X256" s="879"/>
      <c r="Y256" s="879"/>
      <c r="Z256" s="879"/>
      <c r="AA256" s="879"/>
      <c r="AB256" s="879"/>
      <c r="AC256" s="879"/>
      <c r="AD256" s="879"/>
      <c r="AE256" s="879"/>
      <c r="AF256" s="879"/>
      <c r="AG256" s="879"/>
      <c r="AH256" s="879"/>
      <c r="AI256" s="879">
        <v>0</v>
      </c>
      <c r="AJ256" s="879"/>
      <c r="AK256" s="879"/>
      <c r="AL256" s="879"/>
      <c r="AM256" s="879"/>
      <c r="AN256" s="879"/>
      <c r="AO256" s="879"/>
      <c r="AP256" s="879"/>
      <c r="AQ256" s="879"/>
      <c r="AR256" s="879"/>
    </row>
    <row r="257" spans="1:44" x14ac:dyDescent="0.2">
      <c r="A257" s="184" t="s">
        <v>27</v>
      </c>
      <c r="B257" s="184" t="s">
        <v>891</v>
      </c>
      <c r="C257" s="184" t="s">
        <v>892</v>
      </c>
      <c r="D257" s="183" t="s">
        <v>26</v>
      </c>
      <c r="E257" s="184" t="s">
        <v>47</v>
      </c>
      <c r="F257" s="184" t="s">
        <v>24</v>
      </c>
      <c r="G257" s="204" t="s">
        <v>633</v>
      </c>
      <c r="H257" s="203">
        <v>15</v>
      </c>
      <c r="I257" s="205">
        <v>9.8341766747095694</v>
      </c>
      <c r="J257" s="205">
        <v>4.6900000000000004</v>
      </c>
      <c r="K257" s="184">
        <v>1</v>
      </c>
      <c r="L257" s="184">
        <v>0.15</v>
      </c>
      <c r="M257" s="184">
        <v>0.15</v>
      </c>
      <c r="N257" s="184">
        <v>0.15</v>
      </c>
      <c r="O257" s="184">
        <v>0.15</v>
      </c>
      <c r="P257" s="184">
        <v>0.15</v>
      </c>
      <c r="Q257" s="184"/>
      <c r="R257" s="184">
        <v>0.45</v>
      </c>
      <c r="S257" s="879"/>
      <c r="T257" s="879"/>
      <c r="U257" s="879"/>
      <c r="V257" s="879"/>
      <c r="W257" s="879"/>
      <c r="X257" s="879"/>
      <c r="Y257" s="879"/>
      <c r="Z257" s="879"/>
      <c r="AA257" s="879"/>
      <c r="AB257" s="879"/>
      <c r="AC257" s="879"/>
      <c r="AD257" s="879"/>
      <c r="AE257" s="879"/>
      <c r="AF257" s="879"/>
      <c r="AG257" s="879"/>
      <c r="AH257" s="879"/>
      <c r="AI257" s="879">
        <v>0</v>
      </c>
      <c r="AJ257" s="879"/>
      <c r="AK257" s="879">
        <v>0</v>
      </c>
      <c r="AL257" s="879">
        <v>0</v>
      </c>
      <c r="AM257" s="879">
        <v>0</v>
      </c>
      <c r="AN257" s="879">
        <v>0</v>
      </c>
      <c r="AO257" s="879">
        <v>0</v>
      </c>
      <c r="AP257" s="879">
        <v>0</v>
      </c>
      <c r="AQ257" s="879">
        <v>0</v>
      </c>
      <c r="AR257" s="879">
        <v>0</v>
      </c>
    </row>
    <row r="258" spans="1:44" x14ac:dyDescent="0.2">
      <c r="A258" s="184" t="s">
        <v>27</v>
      </c>
      <c r="B258" s="184" t="s">
        <v>893</v>
      </c>
      <c r="C258" s="184" t="s">
        <v>894</v>
      </c>
      <c r="D258" s="183" t="s">
        <v>26</v>
      </c>
      <c r="E258" s="184" t="s">
        <v>47</v>
      </c>
      <c r="F258" s="184" t="s">
        <v>24</v>
      </c>
      <c r="G258" s="204" t="s">
        <v>615</v>
      </c>
      <c r="H258" s="203">
        <v>15</v>
      </c>
      <c r="I258" s="205">
        <v>8.6049045903708734</v>
      </c>
      <c r="J258" s="205">
        <v>4.84</v>
      </c>
      <c r="K258" s="184">
        <v>1</v>
      </c>
      <c r="L258" s="184">
        <v>0.15</v>
      </c>
      <c r="M258" s="184">
        <v>0.15</v>
      </c>
      <c r="N258" s="184">
        <v>0.15</v>
      </c>
      <c r="O258" s="184">
        <v>0.15</v>
      </c>
      <c r="P258" s="184">
        <v>0.15</v>
      </c>
      <c r="Q258" s="184"/>
      <c r="R258" s="184">
        <v>0.45</v>
      </c>
      <c r="S258" s="879"/>
      <c r="T258" s="879"/>
      <c r="U258" s="879"/>
      <c r="V258" s="879"/>
      <c r="W258" s="879"/>
      <c r="X258" s="879"/>
      <c r="Y258" s="879"/>
      <c r="Z258" s="879"/>
      <c r="AA258" s="879"/>
      <c r="AB258" s="879"/>
      <c r="AC258" s="879"/>
      <c r="AD258" s="879"/>
      <c r="AE258" s="879"/>
      <c r="AF258" s="879"/>
      <c r="AG258" s="879"/>
      <c r="AH258" s="879"/>
      <c r="AI258" s="879">
        <v>0</v>
      </c>
      <c r="AJ258" s="879"/>
      <c r="AK258" s="879"/>
      <c r="AL258" s="879">
        <v>0</v>
      </c>
      <c r="AM258" s="879">
        <v>0</v>
      </c>
      <c r="AN258" s="879">
        <v>0</v>
      </c>
      <c r="AO258" s="879">
        <v>0</v>
      </c>
      <c r="AP258" s="879">
        <v>0</v>
      </c>
      <c r="AQ258" s="879">
        <v>0</v>
      </c>
      <c r="AR258" s="879">
        <v>0</v>
      </c>
    </row>
    <row r="259" spans="1:44" x14ac:dyDescent="0.2">
      <c r="A259" s="184" t="s">
        <v>27</v>
      </c>
      <c r="B259" s="184" t="s">
        <v>877</v>
      </c>
      <c r="C259" s="184" t="s">
        <v>878</v>
      </c>
      <c r="D259" s="183" t="s">
        <v>26</v>
      </c>
      <c r="E259" s="184" t="s">
        <v>47</v>
      </c>
      <c r="F259" s="184" t="s">
        <v>24</v>
      </c>
      <c r="G259" s="204" t="s">
        <v>620</v>
      </c>
      <c r="H259" s="203">
        <v>15</v>
      </c>
      <c r="I259" s="205">
        <v>8.6049045903708734</v>
      </c>
      <c r="J259" s="205">
        <v>4.84</v>
      </c>
      <c r="K259" s="184">
        <v>1</v>
      </c>
      <c r="L259" s="184">
        <v>0.15</v>
      </c>
      <c r="M259" s="184">
        <v>0.15</v>
      </c>
      <c r="N259" s="184">
        <v>0.15</v>
      </c>
      <c r="O259" s="184">
        <v>0.15</v>
      </c>
      <c r="P259" s="184">
        <v>0.15</v>
      </c>
      <c r="Q259" s="184"/>
      <c r="R259" s="184">
        <v>0.45</v>
      </c>
      <c r="S259" s="879"/>
      <c r="T259" s="879"/>
      <c r="U259" s="879"/>
      <c r="V259" s="879"/>
      <c r="W259" s="879"/>
      <c r="X259" s="879"/>
      <c r="Y259" s="879"/>
      <c r="Z259" s="879"/>
      <c r="AA259" s="879"/>
      <c r="AB259" s="879"/>
      <c r="AC259" s="879"/>
      <c r="AD259" s="879"/>
      <c r="AE259" s="879"/>
      <c r="AF259" s="879"/>
      <c r="AG259" s="879"/>
      <c r="AH259" s="879"/>
      <c r="AI259" s="879">
        <v>0</v>
      </c>
      <c r="AJ259" s="879"/>
      <c r="AK259" s="879"/>
      <c r="AL259" s="879"/>
      <c r="AM259" s="879">
        <v>0</v>
      </c>
      <c r="AN259" s="879">
        <v>0</v>
      </c>
      <c r="AO259" s="879">
        <v>0</v>
      </c>
      <c r="AP259" s="879">
        <v>0</v>
      </c>
      <c r="AQ259" s="879">
        <v>0</v>
      </c>
      <c r="AR259" s="879">
        <v>0</v>
      </c>
    </row>
    <row r="260" spans="1:44" x14ac:dyDescent="0.2">
      <c r="A260" s="184" t="s">
        <v>27</v>
      </c>
      <c r="B260" s="184" t="s">
        <v>895</v>
      </c>
      <c r="C260" s="184" t="s">
        <v>896</v>
      </c>
      <c r="D260" s="183" t="s">
        <v>26</v>
      </c>
      <c r="E260" s="184" t="s">
        <v>47</v>
      </c>
      <c r="F260" s="184" t="s">
        <v>24</v>
      </c>
      <c r="G260" s="204" t="s">
        <v>640</v>
      </c>
      <c r="H260" s="203">
        <v>15</v>
      </c>
      <c r="I260" s="205">
        <v>8.6049045903708734</v>
      </c>
      <c r="J260" s="205">
        <v>4.84</v>
      </c>
      <c r="K260" s="184">
        <v>1</v>
      </c>
      <c r="L260" s="184">
        <v>0.15</v>
      </c>
      <c r="M260" s="184">
        <v>0.15</v>
      </c>
      <c r="N260" s="184">
        <v>0.15</v>
      </c>
      <c r="O260" s="184">
        <v>0.15</v>
      </c>
      <c r="P260" s="184">
        <v>0.15</v>
      </c>
      <c r="Q260" s="184"/>
      <c r="R260" s="184">
        <v>0.45</v>
      </c>
      <c r="S260" s="879"/>
      <c r="T260" s="879"/>
      <c r="U260" s="879"/>
      <c r="V260" s="879"/>
      <c r="W260" s="879"/>
      <c r="X260" s="879"/>
      <c r="Y260" s="879"/>
      <c r="Z260" s="879"/>
      <c r="AA260" s="879"/>
      <c r="AB260" s="879"/>
      <c r="AC260" s="879"/>
      <c r="AD260" s="879"/>
      <c r="AE260" s="879"/>
      <c r="AF260" s="879"/>
      <c r="AG260" s="879"/>
      <c r="AH260" s="879"/>
      <c r="AI260" s="879">
        <v>0</v>
      </c>
      <c r="AJ260" s="879"/>
      <c r="AK260" s="879"/>
      <c r="AL260" s="879"/>
      <c r="AM260" s="879"/>
      <c r="AN260" s="879"/>
      <c r="AO260" s="879"/>
      <c r="AP260" s="879"/>
      <c r="AQ260" s="879"/>
      <c r="AR260" s="879"/>
    </row>
    <row r="261" spans="1:44" x14ac:dyDescent="0.2">
      <c r="A261" s="184" t="s">
        <v>27</v>
      </c>
      <c r="B261" s="184" t="s">
        <v>897</v>
      </c>
      <c r="C261" s="184" t="s">
        <v>898</v>
      </c>
      <c r="D261" s="183" t="s">
        <v>26</v>
      </c>
      <c r="E261" s="184" t="s">
        <v>47</v>
      </c>
      <c r="F261" s="184" t="s">
        <v>24</v>
      </c>
      <c r="G261" s="204" t="s">
        <v>633</v>
      </c>
      <c r="H261" s="203">
        <v>15</v>
      </c>
      <c r="I261" s="205">
        <v>10.858570078325149</v>
      </c>
      <c r="J261" s="205">
        <v>6.45</v>
      </c>
      <c r="K261" s="184">
        <v>1</v>
      </c>
      <c r="L261" s="184">
        <v>0.15</v>
      </c>
      <c r="M261" s="184">
        <v>0.15</v>
      </c>
      <c r="N261" s="184">
        <v>0.15</v>
      </c>
      <c r="O261" s="184">
        <v>0.15</v>
      </c>
      <c r="P261" s="184">
        <v>0.15</v>
      </c>
      <c r="Q261" s="184"/>
      <c r="R261" s="184">
        <v>0.45</v>
      </c>
      <c r="S261" s="879"/>
      <c r="T261" s="879"/>
      <c r="U261" s="879"/>
      <c r="V261" s="879"/>
      <c r="W261" s="879"/>
      <c r="X261" s="879"/>
      <c r="Y261" s="879"/>
      <c r="Z261" s="879"/>
      <c r="AA261" s="879"/>
      <c r="AB261" s="879"/>
      <c r="AC261" s="879"/>
      <c r="AD261" s="879"/>
      <c r="AE261" s="879"/>
      <c r="AF261" s="879"/>
      <c r="AG261" s="879"/>
      <c r="AH261" s="879"/>
      <c r="AI261" s="879">
        <v>0</v>
      </c>
      <c r="AJ261" s="879"/>
      <c r="AK261" s="879">
        <v>0</v>
      </c>
      <c r="AL261" s="879">
        <v>0</v>
      </c>
      <c r="AM261" s="879">
        <v>0</v>
      </c>
      <c r="AN261" s="879">
        <v>0</v>
      </c>
      <c r="AO261" s="879">
        <v>0</v>
      </c>
      <c r="AP261" s="879">
        <v>0</v>
      </c>
      <c r="AQ261" s="879">
        <v>0</v>
      </c>
      <c r="AR261" s="879">
        <v>0</v>
      </c>
    </row>
    <row r="262" spans="1:44" x14ac:dyDescent="0.2">
      <c r="A262" s="184" t="s">
        <v>27</v>
      </c>
      <c r="B262" s="184" t="s">
        <v>899</v>
      </c>
      <c r="C262" s="184" t="s">
        <v>900</v>
      </c>
      <c r="D262" s="183" t="s">
        <v>26</v>
      </c>
      <c r="E262" s="184" t="s">
        <v>47</v>
      </c>
      <c r="F262" s="184" t="s">
        <v>24</v>
      </c>
      <c r="G262" s="204" t="s">
        <v>620</v>
      </c>
      <c r="H262" s="203">
        <v>15</v>
      </c>
      <c r="I262" s="205">
        <v>10.995155865473894</v>
      </c>
      <c r="J262" s="205">
        <v>6.74</v>
      </c>
      <c r="K262" s="184">
        <v>1</v>
      </c>
      <c r="L262" s="184">
        <v>0.15</v>
      </c>
      <c r="M262" s="184">
        <v>0.15</v>
      </c>
      <c r="N262" s="184">
        <v>0.15</v>
      </c>
      <c r="O262" s="184">
        <v>0.15</v>
      </c>
      <c r="P262" s="184">
        <v>0.15</v>
      </c>
      <c r="Q262" s="184"/>
      <c r="R262" s="184">
        <v>0.45</v>
      </c>
      <c r="S262" s="879"/>
      <c r="T262" s="879"/>
      <c r="U262" s="879"/>
      <c r="V262" s="879"/>
      <c r="W262" s="879"/>
      <c r="X262" s="879"/>
      <c r="Y262" s="879"/>
      <c r="Z262" s="879"/>
      <c r="AA262" s="879"/>
      <c r="AB262" s="879"/>
      <c r="AC262" s="879"/>
      <c r="AD262" s="879"/>
      <c r="AE262" s="879"/>
      <c r="AF262" s="879"/>
      <c r="AG262" s="879"/>
      <c r="AH262" s="879"/>
      <c r="AI262" s="879">
        <v>0</v>
      </c>
      <c r="AJ262" s="879"/>
      <c r="AK262" s="879"/>
      <c r="AL262" s="879"/>
      <c r="AM262" s="879">
        <v>0</v>
      </c>
      <c r="AN262" s="879">
        <v>0</v>
      </c>
      <c r="AO262" s="879">
        <v>0</v>
      </c>
      <c r="AP262" s="879">
        <v>0</v>
      </c>
      <c r="AQ262" s="879">
        <v>0</v>
      </c>
      <c r="AR262" s="879">
        <v>0</v>
      </c>
    </row>
    <row r="263" spans="1:44" x14ac:dyDescent="0.2">
      <c r="A263" s="184" t="s">
        <v>27</v>
      </c>
      <c r="B263" s="184" t="s">
        <v>881</v>
      </c>
      <c r="C263" s="184" t="s">
        <v>882</v>
      </c>
      <c r="D263" s="183" t="s">
        <v>26</v>
      </c>
      <c r="E263" s="184" t="s">
        <v>47</v>
      </c>
      <c r="F263" s="184" t="s">
        <v>24</v>
      </c>
      <c r="G263" s="204" t="s">
        <v>640</v>
      </c>
      <c r="H263" s="203">
        <v>15</v>
      </c>
      <c r="I263" s="205">
        <v>11.268327439771381</v>
      </c>
      <c r="J263" s="205">
        <v>7.03</v>
      </c>
      <c r="K263" s="184">
        <v>1</v>
      </c>
      <c r="L263" s="184">
        <v>0.15</v>
      </c>
      <c r="M263" s="184">
        <v>0.15</v>
      </c>
      <c r="N263" s="184">
        <v>0.15</v>
      </c>
      <c r="O263" s="184">
        <v>0.15</v>
      </c>
      <c r="P263" s="184">
        <v>0.15</v>
      </c>
      <c r="Q263" s="184"/>
      <c r="R263" s="184">
        <v>0.45</v>
      </c>
      <c r="S263" s="879"/>
      <c r="T263" s="879"/>
      <c r="U263" s="879"/>
      <c r="V263" s="879"/>
      <c r="W263" s="879"/>
      <c r="X263" s="879"/>
      <c r="Y263" s="879"/>
      <c r="Z263" s="879"/>
      <c r="AA263" s="879"/>
      <c r="AB263" s="879"/>
      <c r="AC263" s="879"/>
      <c r="AD263" s="879"/>
      <c r="AE263" s="879"/>
      <c r="AF263" s="879"/>
      <c r="AG263" s="879"/>
      <c r="AH263" s="879"/>
      <c r="AI263" s="879">
        <v>0</v>
      </c>
      <c r="AJ263" s="879"/>
      <c r="AK263" s="879"/>
      <c r="AL263" s="879"/>
      <c r="AM263" s="879"/>
      <c r="AN263" s="879">
        <v>0</v>
      </c>
      <c r="AO263" s="879">
        <v>0</v>
      </c>
      <c r="AP263" s="879">
        <v>0</v>
      </c>
      <c r="AQ263" s="879">
        <v>0</v>
      </c>
      <c r="AR263" s="879">
        <v>0</v>
      </c>
    </row>
    <row r="264" spans="1:44" x14ac:dyDescent="0.2">
      <c r="A264" s="184" t="s">
        <v>27</v>
      </c>
      <c r="B264" s="184" t="s">
        <v>901</v>
      </c>
      <c r="C264" s="184" t="s">
        <v>902</v>
      </c>
      <c r="D264" s="183" t="s">
        <v>26</v>
      </c>
      <c r="E264" s="184" t="s">
        <v>47</v>
      </c>
      <c r="F264" s="184" t="s">
        <v>24</v>
      </c>
      <c r="G264" s="204" t="s">
        <v>647</v>
      </c>
      <c r="H264" s="203">
        <v>15</v>
      </c>
      <c r="I264" s="205">
        <v>11.268327439771381</v>
      </c>
      <c r="J264" s="205">
        <v>7.33</v>
      </c>
      <c r="K264" s="184">
        <v>1</v>
      </c>
      <c r="L264" s="184">
        <v>0.15</v>
      </c>
      <c r="M264" s="184">
        <v>0.15</v>
      </c>
      <c r="N264" s="184">
        <v>0.15</v>
      </c>
      <c r="O264" s="184">
        <v>0.15</v>
      </c>
      <c r="P264" s="184">
        <v>0.15</v>
      </c>
      <c r="Q264" s="184"/>
      <c r="R264" s="184">
        <v>0.45</v>
      </c>
      <c r="S264" s="879"/>
      <c r="T264" s="879"/>
      <c r="U264" s="879"/>
      <c r="V264" s="879"/>
      <c r="W264" s="879"/>
      <c r="X264" s="879"/>
      <c r="Y264" s="879"/>
      <c r="Z264" s="879"/>
      <c r="AA264" s="879"/>
      <c r="AB264" s="879"/>
      <c r="AC264" s="879"/>
      <c r="AD264" s="879"/>
      <c r="AE264" s="879"/>
      <c r="AF264" s="879"/>
      <c r="AG264" s="879"/>
      <c r="AH264" s="879"/>
      <c r="AI264" s="879">
        <v>0</v>
      </c>
      <c r="AJ264" s="879"/>
      <c r="AK264" s="879"/>
      <c r="AL264" s="879"/>
      <c r="AM264" s="879"/>
      <c r="AN264" s="879"/>
      <c r="AO264" s="879"/>
      <c r="AP264" s="879"/>
      <c r="AQ264" s="879"/>
      <c r="AR264" s="879"/>
    </row>
    <row r="265" spans="1:44" x14ac:dyDescent="0.2">
      <c r="A265" s="194" t="s">
        <v>535</v>
      </c>
      <c r="B265" s="192"/>
      <c r="C265" s="192"/>
      <c r="D265" s="192"/>
      <c r="E265" s="194"/>
      <c r="F265" s="194"/>
      <c r="G265" s="872"/>
      <c r="H265" s="873"/>
      <c r="I265" s="873"/>
      <c r="J265" s="874"/>
      <c r="K265" s="873"/>
      <c r="L265" s="873"/>
      <c r="M265" s="873"/>
      <c r="N265" s="873"/>
      <c r="O265" s="873"/>
      <c r="P265" s="873"/>
      <c r="Q265" s="873"/>
      <c r="R265" s="874"/>
      <c r="S265" s="875"/>
      <c r="T265" s="875"/>
      <c r="U265" s="875"/>
      <c r="V265" s="875"/>
      <c r="W265" s="875"/>
      <c r="X265" s="875"/>
      <c r="Y265" s="875"/>
      <c r="Z265" s="875"/>
      <c r="AA265" s="875"/>
      <c r="AB265" s="875"/>
      <c r="AC265" s="875"/>
      <c r="AD265" s="875"/>
      <c r="AE265" s="875"/>
      <c r="AF265" s="875"/>
      <c r="AG265" s="875"/>
      <c r="AH265" s="875"/>
      <c r="AI265" s="875"/>
      <c r="AJ265" s="875"/>
      <c r="AK265" s="875"/>
      <c r="AL265" s="875"/>
      <c r="AM265" s="875"/>
      <c r="AN265" s="875"/>
      <c r="AO265" s="875"/>
      <c r="AP265" s="875"/>
      <c r="AQ265" s="875"/>
      <c r="AR265" s="877"/>
    </row>
    <row r="266" spans="1:44" x14ac:dyDescent="0.2">
      <c r="A266" s="184" t="s">
        <v>27</v>
      </c>
      <c r="B266" s="184" t="s">
        <v>903</v>
      </c>
      <c r="C266" s="184" t="s">
        <v>904</v>
      </c>
      <c r="D266" s="183" t="s">
        <v>26</v>
      </c>
      <c r="E266" s="184" t="s">
        <v>47</v>
      </c>
      <c r="F266" s="184" t="s">
        <v>24</v>
      </c>
      <c r="G266" s="204">
        <v>2010</v>
      </c>
      <c r="H266" s="203">
        <v>15</v>
      </c>
      <c r="I266" s="205"/>
      <c r="J266" s="205">
        <v>4.0433636656123353</v>
      </c>
      <c r="K266" s="184">
        <v>1</v>
      </c>
      <c r="L266" s="184">
        <v>0.15</v>
      </c>
      <c r="M266" s="184">
        <v>0.15</v>
      </c>
      <c r="N266" s="184">
        <v>0.15</v>
      </c>
      <c r="O266" s="184">
        <v>0.15</v>
      </c>
      <c r="P266" s="184">
        <v>0.15</v>
      </c>
      <c r="Q266" s="184"/>
      <c r="R266" s="184">
        <v>0.6</v>
      </c>
      <c r="S266" s="879"/>
      <c r="T266" s="879"/>
      <c r="U266" s="879"/>
      <c r="V266" s="879"/>
      <c r="W266" s="879"/>
      <c r="X266" s="879"/>
      <c r="Y266" s="879"/>
      <c r="Z266" s="879"/>
      <c r="AA266" s="879"/>
      <c r="AB266" s="879"/>
      <c r="AC266" s="879"/>
      <c r="AD266" s="879"/>
      <c r="AE266" s="879"/>
      <c r="AF266" s="879"/>
      <c r="AG266" s="879"/>
      <c r="AH266" s="879"/>
      <c r="AI266" s="879"/>
      <c r="AJ266" s="879"/>
      <c r="AK266" s="879">
        <v>0</v>
      </c>
      <c r="AL266" s="879">
        <v>0</v>
      </c>
      <c r="AM266" s="879">
        <v>0</v>
      </c>
      <c r="AN266" s="879">
        <v>0</v>
      </c>
      <c r="AO266" s="879">
        <v>0</v>
      </c>
      <c r="AP266" s="879">
        <v>0</v>
      </c>
      <c r="AQ266" s="879">
        <v>0</v>
      </c>
      <c r="AR266" s="879">
        <v>0</v>
      </c>
    </row>
    <row r="267" spans="1:44" x14ac:dyDescent="0.2">
      <c r="A267" s="184" t="s">
        <v>27</v>
      </c>
      <c r="B267" s="184" t="s">
        <v>905</v>
      </c>
      <c r="C267" s="184" t="s">
        <v>906</v>
      </c>
      <c r="D267" s="183" t="s">
        <v>26</v>
      </c>
      <c r="E267" s="184" t="s">
        <v>47</v>
      </c>
      <c r="F267" s="184" t="s">
        <v>24</v>
      </c>
      <c r="G267" s="204" t="s">
        <v>633</v>
      </c>
      <c r="H267" s="203">
        <v>15</v>
      </c>
      <c r="I267" s="205">
        <v>13.6585787148744</v>
      </c>
      <c r="J267" s="205">
        <v>4.1312628186346325</v>
      </c>
      <c r="K267" s="184">
        <v>1</v>
      </c>
      <c r="L267" s="184">
        <v>0.15</v>
      </c>
      <c r="M267" s="184">
        <v>0.15</v>
      </c>
      <c r="N267" s="184">
        <v>0.15</v>
      </c>
      <c r="O267" s="184">
        <v>0.15</v>
      </c>
      <c r="P267" s="184">
        <v>0.15</v>
      </c>
      <c r="Q267" s="184"/>
      <c r="R267" s="184">
        <v>0.6</v>
      </c>
      <c r="S267" s="879"/>
      <c r="T267" s="879"/>
      <c r="U267" s="879"/>
      <c r="V267" s="879"/>
      <c r="W267" s="879"/>
      <c r="X267" s="879"/>
      <c r="Y267" s="879"/>
      <c r="Z267" s="879"/>
      <c r="AA267" s="879"/>
      <c r="AB267" s="879"/>
      <c r="AC267" s="879"/>
      <c r="AD267" s="879"/>
      <c r="AE267" s="879"/>
      <c r="AF267" s="879"/>
      <c r="AG267" s="879"/>
      <c r="AH267" s="879"/>
      <c r="AI267" s="879"/>
      <c r="AJ267" s="879"/>
      <c r="AK267" s="879"/>
      <c r="AL267" s="879"/>
      <c r="AM267" s="879"/>
      <c r="AN267" s="879"/>
      <c r="AO267" s="879"/>
      <c r="AP267" s="879"/>
      <c r="AQ267" s="879"/>
      <c r="AR267" s="879"/>
    </row>
    <row r="268" spans="1:44" x14ac:dyDescent="0.2">
      <c r="A268" s="184" t="s">
        <v>27</v>
      </c>
      <c r="B268" s="184" t="s">
        <v>907</v>
      </c>
      <c r="C268" s="184" t="s">
        <v>908</v>
      </c>
      <c r="D268" s="183" t="s">
        <v>26</v>
      </c>
      <c r="E268" s="184" t="s">
        <v>47</v>
      </c>
      <c r="F268" s="184" t="s">
        <v>24</v>
      </c>
      <c r="G268" s="204" t="s">
        <v>633</v>
      </c>
      <c r="H268" s="203">
        <v>15</v>
      </c>
      <c r="I268" s="205">
        <v>17.756152329336725</v>
      </c>
      <c r="J268" s="205">
        <v>6.7389393495458547</v>
      </c>
      <c r="K268" s="184">
        <v>1</v>
      </c>
      <c r="L268" s="184">
        <v>0.15</v>
      </c>
      <c r="M268" s="184">
        <v>0.15</v>
      </c>
      <c r="N268" s="184">
        <v>0.15</v>
      </c>
      <c r="O268" s="184">
        <v>0.15</v>
      </c>
      <c r="P268" s="184">
        <v>0.15</v>
      </c>
      <c r="Q268" s="184"/>
      <c r="R268" s="184">
        <v>0.6</v>
      </c>
      <c r="S268" s="879"/>
      <c r="T268" s="879"/>
      <c r="U268" s="879"/>
      <c r="V268" s="879"/>
      <c r="W268" s="879"/>
      <c r="X268" s="879"/>
      <c r="Y268" s="879"/>
      <c r="Z268" s="879"/>
      <c r="AA268" s="879"/>
      <c r="AB268" s="879"/>
      <c r="AC268" s="879"/>
      <c r="AD268" s="879"/>
      <c r="AE268" s="879"/>
      <c r="AF268" s="879"/>
      <c r="AG268" s="879"/>
      <c r="AH268" s="879"/>
      <c r="AI268" s="879"/>
      <c r="AJ268" s="879"/>
      <c r="AK268" s="879">
        <v>0</v>
      </c>
      <c r="AL268" s="879">
        <v>0</v>
      </c>
      <c r="AM268" s="879">
        <v>0</v>
      </c>
      <c r="AN268" s="879">
        <v>0</v>
      </c>
      <c r="AO268" s="879">
        <v>0</v>
      </c>
      <c r="AP268" s="879">
        <v>0</v>
      </c>
      <c r="AQ268" s="879">
        <v>0</v>
      </c>
      <c r="AR268" s="879">
        <v>0</v>
      </c>
    </row>
    <row r="269" spans="1:44" x14ac:dyDescent="0.2">
      <c r="A269" s="184" t="s">
        <v>27</v>
      </c>
      <c r="B269" s="184" t="s">
        <v>909</v>
      </c>
      <c r="C269" s="184" t="s">
        <v>910</v>
      </c>
      <c r="D269" s="183" t="s">
        <v>26</v>
      </c>
      <c r="E269" s="184" t="s">
        <v>47</v>
      </c>
      <c r="F269" s="184" t="s">
        <v>24</v>
      </c>
      <c r="G269" s="204" t="s">
        <v>620</v>
      </c>
      <c r="H269" s="203">
        <v>15</v>
      </c>
      <c r="I269" s="205">
        <v>17.756152329336725</v>
      </c>
      <c r="J269" s="205">
        <v>8.7899208907119846</v>
      </c>
      <c r="K269" s="184">
        <v>1</v>
      </c>
      <c r="L269" s="184">
        <v>0.15</v>
      </c>
      <c r="M269" s="184">
        <v>0.15</v>
      </c>
      <c r="N269" s="184">
        <v>0.15</v>
      </c>
      <c r="O269" s="184">
        <v>0.15</v>
      </c>
      <c r="P269" s="184">
        <v>0.15</v>
      </c>
      <c r="Q269" s="184"/>
      <c r="R269" s="184">
        <v>0.6</v>
      </c>
      <c r="S269" s="879"/>
      <c r="T269" s="879"/>
      <c r="U269" s="879"/>
      <c r="V269" s="879"/>
      <c r="W269" s="879"/>
      <c r="X269" s="879"/>
      <c r="Y269" s="879"/>
      <c r="Z269" s="879"/>
      <c r="AA269" s="879"/>
      <c r="AB269" s="879"/>
      <c r="AC269" s="879"/>
      <c r="AD269" s="879"/>
      <c r="AE269" s="879"/>
      <c r="AF269" s="879"/>
      <c r="AG269" s="879"/>
      <c r="AH269" s="879"/>
      <c r="AI269" s="879"/>
      <c r="AJ269" s="879"/>
      <c r="AK269" s="879"/>
      <c r="AL269" s="879"/>
      <c r="AM269" s="879"/>
      <c r="AN269" s="879"/>
      <c r="AO269" s="879"/>
      <c r="AP269" s="879"/>
      <c r="AQ269" s="879"/>
      <c r="AR269" s="879"/>
    </row>
    <row r="270" spans="1:44" x14ac:dyDescent="0.2">
      <c r="A270" s="194" t="s">
        <v>536</v>
      </c>
      <c r="B270" s="192"/>
      <c r="C270" s="192"/>
      <c r="D270" s="192"/>
      <c r="E270" s="194"/>
      <c r="F270" s="194"/>
      <c r="G270" s="872"/>
      <c r="H270" s="873"/>
      <c r="I270" s="873"/>
      <c r="J270" s="874"/>
      <c r="K270" s="873"/>
      <c r="L270" s="873"/>
      <c r="M270" s="873"/>
      <c r="N270" s="873"/>
      <c r="O270" s="873"/>
      <c r="P270" s="873"/>
      <c r="Q270" s="873"/>
      <c r="R270" s="874"/>
      <c r="S270" s="875"/>
      <c r="T270" s="875"/>
      <c r="U270" s="875"/>
      <c r="V270" s="875"/>
      <c r="W270" s="875"/>
      <c r="X270" s="875"/>
      <c r="Y270" s="875"/>
      <c r="Z270" s="875"/>
      <c r="AA270" s="875"/>
      <c r="AB270" s="875"/>
      <c r="AC270" s="875"/>
      <c r="AD270" s="875"/>
      <c r="AE270" s="875"/>
      <c r="AF270" s="875"/>
      <c r="AG270" s="875"/>
      <c r="AH270" s="875"/>
      <c r="AI270" s="875"/>
      <c r="AJ270" s="875"/>
      <c r="AK270" s="875"/>
      <c r="AL270" s="875"/>
      <c r="AM270" s="875"/>
      <c r="AN270" s="875"/>
      <c r="AO270" s="875"/>
      <c r="AP270" s="875"/>
      <c r="AQ270" s="875"/>
      <c r="AR270" s="877"/>
    </row>
    <row r="271" spans="1:44" x14ac:dyDescent="0.2">
      <c r="A271" s="184" t="s">
        <v>27</v>
      </c>
      <c r="B271" s="184" t="s">
        <v>911</v>
      </c>
      <c r="C271" s="184" t="s">
        <v>912</v>
      </c>
      <c r="D271" s="183" t="s">
        <v>26</v>
      </c>
      <c r="E271" s="184" t="s">
        <v>52</v>
      </c>
      <c r="F271" s="184" t="s">
        <v>24</v>
      </c>
      <c r="G271" s="204">
        <v>2010</v>
      </c>
      <c r="H271" s="203">
        <v>15</v>
      </c>
      <c r="I271" s="205">
        <v>16.938463213150978</v>
      </c>
      <c r="J271" s="205">
        <v>3.3</v>
      </c>
      <c r="K271" s="184">
        <v>1</v>
      </c>
      <c r="L271" s="184">
        <v>0.15</v>
      </c>
      <c r="M271" s="184">
        <v>0.15</v>
      </c>
      <c r="N271" s="184">
        <v>0.15</v>
      </c>
      <c r="O271" s="184">
        <v>0.15</v>
      </c>
      <c r="P271" s="184">
        <v>0.15</v>
      </c>
      <c r="Q271" s="184"/>
      <c r="R271" s="184">
        <v>0.18</v>
      </c>
      <c r="S271" s="879"/>
      <c r="T271" s="879"/>
      <c r="U271" s="879"/>
      <c r="V271" s="879"/>
      <c r="W271" s="879"/>
      <c r="X271" s="879"/>
      <c r="Y271" s="879"/>
      <c r="Z271" s="879"/>
      <c r="AA271" s="879"/>
      <c r="AB271" s="879"/>
      <c r="AC271" s="879"/>
      <c r="AD271" s="879"/>
      <c r="AE271" s="879"/>
      <c r="AF271" s="879"/>
      <c r="AG271" s="879"/>
      <c r="AH271" s="879"/>
      <c r="AI271" s="879">
        <v>0</v>
      </c>
      <c r="AJ271" s="879">
        <v>0</v>
      </c>
      <c r="AK271" s="879">
        <v>0</v>
      </c>
      <c r="AL271" s="879">
        <v>0</v>
      </c>
      <c r="AM271" s="879">
        <v>0</v>
      </c>
      <c r="AN271" s="879">
        <v>0</v>
      </c>
      <c r="AO271" s="879">
        <v>0</v>
      </c>
      <c r="AP271" s="879">
        <v>0</v>
      </c>
      <c r="AQ271" s="879">
        <v>0</v>
      </c>
      <c r="AR271" s="879">
        <v>0</v>
      </c>
    </row>
    <row r="272" spans="1:44" x14ac:dyDescent="0.2">
      <c r="A272" s="184" t="s">
        <v>27</v>
      </c>
      <c r="B272" s="184" t="s">
        <v>913</v>
      </c>
      <c r="C272" s="184" t="s">
        <v>914</v>
      </c>
      <c r="D272" s="183" t="s">
        <v>26</v>
      </c>
      <c r="E272" s="184" t="s">
        <v>52</v>
      </c>
      <c r="F272" s="184" t="s">
        <v>24</v>
      </c>
      <c r="G272" s="204" t="s">
        <v>620</v>
      </c>
      <c r="H272" s="203">
        <v>15</v>
      </c>
      <c r="I272" s="205">
        <v>16.938463213150978</v>
      </c>
      <c r="J272" s="205">
        <v>4.2075000000000005</v>
      </c>
      <c r="K272" s="184">
        <v>1</v>
      </c>
      <c r="L272" s="184">
        <v>0.15</v>
      </c>
      <c r="M272" s="184">
        <v>0.15</v>
      </c>
      <c r="N272" s="184">
        <v>0.15</v>
      </c>
      <c r="O272" s="184">
        <v>0.15</v>
      </c>
      <c r="P272" s="184">
        <v>0.15</v>
      </c>
      <c r="Q272" s="184"/>
      <c r="R272" s="184">
        <v>0.18</v>
      </c>
      <c r="S272" s="879"/>
      <c r="T272" s="879"/>
      <c r="U272" s="879"/>
      <c r="V272" s="879"/>
      <c r="W272" s="879"/>
      <c r="X272" s="879"/>
      <c r="Y272" s="879"/>
      <c r="Z272" s="879"/>
      <c r="AA272" s="879"/>
      <c r="AB272" s="879"/>
      <c r="AC272" s="879"/>
      <c r="AD272" s="879"/>
      <c r="AE272" s="879"/>
      <c r="AF272" s="879"/>
      <c r="AG272" s="879"/>
      <c r="AH272" s="879"/>
      <c r="AI272" s="879">
        <v>0</v>
      </c>
      <c r="AJ272" s="879"/>
      <c r="AK272" s="879"/>
      <c r="AL272" s="879"/>
      <c r="AM272" s="879"/>
      <c r="AN272" s="879"/>
      <c r="AO272" s="879"/>
      <c r="AP272" s="879"/>
      <c r="AQ272" s="879"/>
      <c r="AR272" s="879"/>
    </row>
    <row r="273" spans="1:44" x14ac:dyDescent="0.2">
      <c r="A273" s="184" t="s">
        <v>27</v>
      </c>
      <c r="B273" s="184" t="s">
        <v>915</v>
      </c>
      <c r="C273" s="184" t="s">
        <v>916</v>
      </c>
      <c r="D273" s="183" t="s">
        <v>26</v>
      </c>
      <c r="E273" s="184" t="s">
        <v>52</v>
      </c>
      <c r="F273" s="184" t="s">
        <v>24</v>
      </c>
      <c r="G273" s="204">
        <v>2020</v>
      </c>
      <c r="H273" s="203">
        <v>15</v>
      </c>
      <c r="I273" s="205">
        <v>19.37153355217562</v>
      </c>
      <c r="J273" s="205">
        <v>5.2249999999999996</v>
      </c>
      <c r="K273" s="184">
        <v>1</v>
      </c>
      <c r="L273" s="184">
        <v>0.15</v>
      </c>
      <c r="M273" s="184">
        <v>0.15</v>
      </c>
      <c r="N273" s="184">
        <v>0.15</v>
      </c>
      <c r="O273" s="184">
        <v>0.15</v>
      </c>
      <c r="P273" s="184">
        <v>0.15</v>
      </c>
      <c r="Q273" s="184"/>
      <c r="R273" s="184">
        <v>0.18</v>
      </c>
      <c r="S273" s="879"/>
      <c r="T273" s="879"/>
      <c r="U273" s="879"/>
      <c r="V273" s="879"/>
      <c r="W273" s="879"/>
      <c r="X273" s="879"/>
      <c r="Y273" s="879"/>
      <c r="Z273" s="879"/>
      <c r="AA273" s="879"/>
      <c r="AB273" s="879"/>
      <c r="AC273" s="879"/>
      <c r="AD273" s="879"/>
      <c r="AE273" s="879"/>
      <c r="AF273" s="879"/>
      <c r="AG273" s="879"/>
      <c r="AH273" s="879"/>
      <c r="AI273" s="879">
        <v>0</v>
      </c>
      <c r="AJ273" s="879"/>
      <c r="AK273" s="879"/>
      <c r="AL273" s="879"/>
      <c r="AM273" s="879"/>
      <c r="AN273" s="879"/>
      <c r="AO273" s="879"/>
      <c r="AP273" s="879"/>
      <c r="AQ273" s="879"/>
      <c r="AR273" s="879"/>
    </row>
    <row r="274" spans="1:44" x14ac:dyDescent="0.2">
      <c r="A274" s="184" t="s">
        <v>27</v>
      </c>
      <c r="B274" s="184" t="s">
        <v>917</v>
      </c>
      <c r="C274" s="184" t="s">
        <v>918</v>
      </c>
      <c r="D274" s="183" t="s">
        <v>26</v>
      </c>
      <c r="E274" s="184" t="s">
        <v>52</v>
      </c>
      <c r="F274" s="184" t="s">
        <v>24</v>
      </c>
      <c r="G274" s="204">
        <v>2030</v>
      </c>
      <c r="H274" s="203">
        <v>16</v>
      </c>
      <c r="I274" s="205">
        <v>16.938463213150978</v>
      </c>
      <c r="J274" s="205">
        <v>4.3449999999999998</v>
      </c>
      <c r="K274" s="184">
        <v>1</v>
      </c>
      <c r="L274" s="184">
        <v>0.15</v>
      </c>
      <c r="M274" s="184">
        <v>0.15</v>
      </c>
      <c r="N274" s="184">
        <v>0.15</v>
      </c>
      <c r="O274" s="184">
        <v>0.15</v>
      </c>
      <c r="P274" s="184">
        <v>0.15</v>
      </c>
      <c r="Q274" s="184"/>
      <c r="R274" s="184">
        <v>0.18</v>
      </c>
      <c r="S274" s="879"/>
      <c r="T274" s="879"/>
      <c r="U274" s="879"/>
      <c r="V274" s="879"/>
      <c r="W274" s="879"/>
      <c r="X274" s="879"/>
      <c r="Y274" s="879"/>
      <c r="Z274" s="879"/>
      <c r="AA274" s="879"/>
      <c r="AB274" s="879"/>
      <c r="AC274" s="879"/>
      <c r="AD274" s="879"/>
      <c r="AE274" s="879"/>
      <c r="AF274" s="879"/>
      <c r="AG274" s="879"/>
      <c r="AH274" s="879"/>
      <c r="AI274" s="879">
        <v>0</v>
      </c>
      <c r="AJ274" s="879"/>
      <c r="AK274" s="879"/>
      <c r="AL274" s="879"/>
      <c r="AM274" s="879"/>
      <c r="AN274" s="879"/>
      <c r="AO274" s="879"/>
      <c r="AP274" s="879"/>
      <c r="AQ274" s="879"/>
      <c r="AR274" s="879"/>
    </row>
    <row r="275" spans="1:44" x14ac:dyDescent="0.2">
      <c r="A275" s="184" t="s">
        <v>27</v>
      </c>
      <c r="B275" s="184" t="s">
        <v>919</v>
      </c>
      <c r="C275" s="184" t="s">
        <v>920</v>
      </c>
      <c r="D275" s="183" t="s">
        <v>26</v>
      </c>
      <c r="E275" s="184" t="s">
        <v>52</v>
      </c>
      <c r="F275" s="184" t="s">
        <v>24</v>
      </c>
      <c r="G275" s="204">
        <v>2030</v>
      </c>
      <c r="H275" s="203">
        <v>16</v>
      </c>
      <c r="I275" s="205">
        <v>19.37153355217562</v>
      </c>
      <c r="J275" s="205">
        <v>5.2249999999999996</v>
      </c>
      <c r="K275" s="184">
        <v>1</v>
      </c>
      <c r="L275" s="184">
        <v>0.15</v>
      </c>
      <c r="M275" s="184">
        <v>0.15</v>
      </c>
      <c r="N275" s="184">
        <v>0.15</v>
      </c>
      <c r="O275" s="184">
        <v>0.15</v>
      </c>
      <c r="P275" s="184">
        <v>0.15</v>
      </c>
      <c r="Q275" s="184"/>
      <c r="R275" s="184">
        <v>0.18</v>
      </c>
      <c r="S275" s="879"/>
      <c r="T275" s="879"/>
      <c r="U275" s="879"/>
      <c r="V275" s="879"/>
      <c r="W275" s="879"/>
      <c r="X275" s="879"/>
      <c r="Y275" s="879"/>
      <c r="Z275" s="879"/>
      <c r="AA275" s="879"/>
      <c r="AB275" s="879"/>
      <c r="AC275" s="879"/>
      <c r="AD275" s="879"/>
      <c r="AE275" s="879"/>
      <c r="AF275" s="879"/>
      <c r="AG275" s="879"/>
      <c r="AH275" s="879"/>
      <c r="AI275" s="879">
        <v>0</v>
      </c>
      <c r="AJ275" s="879"/>
      <c r="AK275" s="879"/>
      <c r="AL275" s="879"/>
      <c r="AM275" s="879"/>
      <c r="AN275" s="879"/>
      <c r="AO275" s="879"/>
      <c r="AP275" s="879"/>
      <c r="AQ275" s="879"/>
      <c r="AR275" s="879"/>
    </row>
    <row r="276" spans="1:44" x14ac:dyDescent="0.2">
      <c r="A276" s="184" t="s">
        <v>27</v>
      </c>
      <c r="B276" s="184" t="s">
        <v>921</v>
      </c>
      <c r="C276" s="184" t="s">
        <v>922</v>
      </c>
      <c r="D276" s="183" t="s">
        <v>26</v>
      </c>
      <c r="E276" s="184" t="s">
        <v>52</v>
      </c>
      <c r="F276" s="184" t="s">
        <v>24</v>
      </c>
      <c r="G276" s="204">
        <v>2040</v>
      </c>
      <c r="H276" s="203">
        <v>27</v>
      </c>
      <c r="I276" s="205">
        <v>16.938463213150978</v>
      </c>
      <c r="J276" s="205">
        <v>4.3449999999999998</v>
      </c>
      <c r="K276" s="184">
        <v>1</v>
      </c>
      <c r="L276" s="184">
        <v>0.15</v>
      </c>
      <c r="M276" s="184">
        <v>0.15</v>
      </c>
      <c r="N276" s="184">
        <v>0.15</v>
      </c>
      <c r="O276" s="184">
        <v>0.15</v>
      </c>
      <c r="P276" s="184">
        <v>0.15</v>
      </c>
      <c r="Q276" s="184"/>
      <c r="R276" s="184">
        <v>0.18</v>
      </c>
      <c r="S276" s="879"/>
      <c r="T276" s="879"/>
      <c r="U276" s="879"/>
      <c r="V276" s="879"/>
      <c r="W276" s="879"/>
      <c r="X276" s="879"/>
      <c r="Y276" s="879"/>
      <c r="Z276" s="879"/>
      <c r="AA276" s="879"/>
      <c r="AB276" s="879"/>
      <c r="AC276" s="879"/>
      <c r="AD276" s="879"/>
      <c r="AE276" s="879"/>
      <c r="AF276" s="879"/>
      <c r="AG276" s="879"/>
      <c r="AH276" s="879"/>
      <c r="AI276" s="879">
        <v>0</v>
      </c>
      <c r="AJ276" s="879"/>
      <c r="AK276" s="879"/>
      <c r="AL276" s="879"/>
      <c r="AM276" s="879"/>
      <c r="AN276" s="879"/>
      <c r="AO276" s="879"/>
      <c r="AP276" s="879"/>
      <c r="AQ276" s="879"/>
      <c r="AR276" s="879"/>
    </row>
    <row r="277" spans="1:44" x14ac:dyDescent="0.2">
      <c r="A277" s="184" t="s">
        <v>27</v>
      </c>
      <c r="B277" s="184" t="s">
        <v>923</v>
      </c>
      <c r="C277" s="184" t="s">
        <v>924</v>
      </c>
      <c r="D277" s="183" t="s">
        <v>26</v>
      </c>
      <c r="E277" s="184" t="s">
        <v>52</v>
      </c>
      <c r="F277" s="184" t="s">
        <v>24</v>
      </c>
      <c r="G277" s="204">
        <v>2040</v>
      </c>
      <c r="H277" s="203">
        <v>27</v>
      </c>
      <c r="I277" s="205">
        <v>19.37153355217562</v>
      </c>
      <c r="J277" s="205">
        <v>5.2249999999999996</v>
      </c>
      <c r="K277" s="184">
        <v>1</v>
      </c>
      <c r="L277" s="184">
        <v>0.15</v>
      </c>
      <c r="M277" s="184">
        <v>0.15</v>
      </c>
      <c r="N277" s="184">
        <v>0.15</v>
      </c>
      <c r="O277" s="184">
        <v>0.15</v>
      </c>
      <c r="P277" s="184">
        <v>0.15</v>
      </c>
      <c r="Q277" s="184"/>
      <c r="R277" s="184">
        <v>0.18</v>
      </c>
      <c r="S277" s="879"/>
      <c r="T277" s="879"/>
      <c r="U277" s="879"/>
      <c r="V277" s="879"/>
      <c r="W277" s="879"/>
      <c r="X277" s="879"/>
      <c r="Y277" s="879"/>
      <c r="Z277" s="879"/>
      <c r="AA277" s="879"/>
      <c r="AB277" s="879"/>
      <c r="AC277" s="879"/>
      <c r="AD277" s="879"/>
      <c r="AE277" s="879"/>
      <c r="AF277" s="879"/>
      <c r="AG277" s="879"/>
      <c r="AH277" s="879"/>
      <c r="AI277" s="879">
        <v>0</v>
      </c>
      <c r="AJ277" s="879"/>
      <c r="AK277" s="879"/>
      <c r="AL277" s="879"/>
      <c r="AM277" s="879"/>
      <c r="AN277" s="879"/>
      <c r="AO277" s="879"/>
      <c r="AP277" s="879"/>
      <c r="AQ277" s="879"/>
      <c r="AR277" s="879"/>
    </row>
    <row r="278" spans="1:44" x14ac:dyDescent="0.2">
      <c r="A278" s="184" t="s">
        <v>27</v>
      </c>
      <c r="B278" s="184" t="s">
        <v>925</v>
      </c>
      <c r="C278" s="184" t="s">
        <v>926</v>
      </c>
      <c r="D278" s="183" t="s">
        <v>26</v>
      </c>
      <c r="E278" s="184" t="s">
        <v>52</v>
      </c>
      <c r="F278" s="184" t="s">
        <v>24</v>
      </c>
      <c r="G278" s="204">
        <v>2050</v>
      </c>
      <c r="H278" s="203">
        <v>27</v>
      </c>
      <c r="I278" s="205">
        <v>16.938463213150978</v>
      </c>
      <c r="J278" s="205">
        <v>4.3449999999999998</v>
      </c>
      <c r="K278" s="184">
        <v>1</v>
      </c>
      <c r="L278" s="184">
        <v>0.15</v>
      </c>
      <c r="M278" s="184">
        <v>0.15</v>
      </c>
      <c r="N278" s="184">
        <v>0.15</v>
      </c>
      <c r="O278" s="184">
        <v>0.15</v>
      </c>
      <c r="P278" s="184">
        <v>0.15</v>
      </c>
      <c r="Q278" s="184"/>
      <c r="R278" s="184">
        <v>0.18</v>
      </c>
      <c r="S278" s="879"/>
      <c r="T278" s="879"/>
      <c r="U278" s="879"/>
      <c r="V278" s="879"/>
      <c r="W278" s="879"/>
      <c r="X278" s="879"/>
      <c r="Y278" s="879"/>
      <c r="Z278" s="879"/>
      <c r="AA278" s="879"/>
      <c r="AB278" s="879"/>
      <c r="AC278" s="879"/>
      <c r="AD278" s="879"/>
      <c r="AE278" s="879"/>
      <c r="AF278" s="879"/>
      <c r="AG278" s="879"/>
      <c r="AH278" s="879"/>
      <c r="AI278" s="879">
        <v>0</v>
      </c>
      <c r="AJ278" s="879"/>
      <c r="AK278" s="879"/>
      <c r="AL278" s="879"/>
      <c r="AM278" s="879"/>
      <c r="AN278" s="879"/>
      <c r="AO278" s="879"/>
      <c r="AP278" s="879"/>
      <c r="AQ278" s="879"/>
      <c r="AR278" s="879"/>
    </row>
    <row r="279" spans="1:44" x14ac:dyDescent="0.2">
      <c r="A279" s="184" t="s">
        <v>27</v>
      </c>
      <c r="B279" s="184" t="s">
        <v>927</v>
      </c>
      <c r="C279" s="184" t="s">
        <v>928</v>
      </c>
      <c r="D279" s="183" t="s">
        <v>26</v>
      </c>
      <c r="E279" s="184" t="s">
        <v>52</v>
      </c>
      <c r="F279" s="184" t="s">
        <v>24</v>
      </c>
      <c r="G279" s="204">
        <v>2050</v>
      </c>
      <c r="H279" s="203">
        <v>27</v>
      </c>
      <c r="I279" s="205">
        <v>19.37153355217562</v>
      </c>
      <c r="J279" s="205">
        <v>5.2249999999999996</v>
      </c>
      <c r="K279" s="184">
        <v>1</v>
      </c>
      <c r="L279" s="184">
        <v>0.15</v>
      </c>
      <c r="M279" s="184">
        <v>0.15</v>
      </c>
      <c r="N279" s="184">
        <v>0.15</v>
      </c>
      <c r="O279" s="184">
        <v>0.15</v>
      </c>
      <c r="P279" s="184">
        <v>0.15</v>
      </c>
      <c r="Q279" s="184"/>
      <c r="R279" s="184">
        <v>0.18</v>
      </c>
      <c r="S279" s="879"/>
      <c r="T279" s="879"/>
      <c r="U279" s="879"/>
      <c r="V279" s="879"/>
      <c r="W279" s="879"/>
      <c r="X279" s="879"/>
      <c r="Y279" s="879"/>
      <c r="Z279" s="879"/>
      <c r="AA279" s="879"/>
      <c r="AB279" s="879"/>
      <c r="AC279" s="879"/>
      <c r="AD279" s="879"/>
      <c r="AE279" s="879"/>
      <c r="AF279" s="879"/>
      <c r="AG279" s="879"/>
      <c r="AH279" s="879"/>
      <c r="AI279" s="879">
        <v>0</v>
      </c>
      <c r="AJ279" s="879"/>
      <c r="AK279" s="879"/>
      <c r="AL279" s="879"/>
      <c r="AM279" s="879"/>
      <c r="AN279" s="879"/>
      <c r="AO279" s="879"/>
      <c r="AP279" s="879"/>
      <c r="AQ279" s="879"/>
      <c r="AR279" s="879"/>
    </row>
    <row r="280" spans="1:44" x14ac:dyDescent="0.2">
      <c r="A280" s="194" t="s">
        <v>394</v>
      </c>
      <c r="B280" s="192"/>
      <c r="C280" s="192"/>
      <c r="D280" s="192"/>
      <c r="E280" s="194"/>
      <c r="F280" s="194"/>
      <c r="G280" s="872"/>
      <c r="H280" s="873"/>
      <c r="I280" s="873"/>
      <c r="J280" s="874"/>
      <c r="K280" s="873"/>
      <c r="L280" s="873"/>
      <c r="M280" s="873" t="s">
        <v>514</v>
      </c>
      <c r="N280" s="873" t="s">
        <v>514</v>
      </c>
      <c r="O280" s="873" t="s">
        <v>514</v>
      </c>
      <c r="P280" s="873" t="s">
        <v>514</v>
      </c>
      <c r="Q280" s="873"/>
      <c r="R280" s="874"/>
      <c r="S280" s="875"/>
      <c r="T280" s="875"/>
      <c r="U280" s="875"/>
      <c r="V280" s="875"/>
      <c r="W280" s="875"/>
      <c r="X280" s="875"/>
      <c r="Y280" s="875"/>
      <c r="Z280" s="875"/>
      <c r="AA280" s="875"/>
      <c r="AB280" s="875"/>
      <c r="AC280" s="875"/>
      <c r="AD280" s="875"/>
      <c r="AE280" s="875"/>
      <c r="AF280" s="875"/>
      <c r="AG280" s="875"/>
      <c r="AH280" s="875"/>
      <c r="AI280" s="875"/>
      <c r="AJ280" s="875"/>
      <c r="AK280" s="875"/>
      <c r="AL280" s="875"/>
      <c r="AM280" s="875"/>
      <c r="AN280" s="875"/>
      <c r="AO280" s="875"/>
      <c r="AP280" s="875"/>
      <c r="AQ280" s="875"/>
      <c r="AR280" s="877"/>
    </row>
    <row r="281" spans="1:44" x14ac:dyDescent="0.2">
      <c r="A281" s="194" t="s">
        <v>395</v>
      </c>
      <c r="B281" s="192"/>
      <c r="C281" s="192"/>
      <c r="D281" s="192"/>
      <c r="E281" s="194"/>
      <c r="F281" s="194"/>
      <c r="G281" s="872"/>
      <c r="H281" s="873"/>
      <c r="I281" s="873"/>
      <c r="J281" s="874"/>
      <c r="K281" s="873"/>
      <c r="L281" s="873"/>
      <c r="M281" s="873" t="s">
        <v>514</v>
      </c>
      <c r="N281" s="873" t="s">
        <v>514</v>
      </c>
      <c r="O281" s="873" t="s">
        <v>514</v>
      </c>
      <c r="P281" s="873" t="s">
        <v>514</v>
      </c>
      <c r="Q281" s="873"/>
      <c r="R281" s="874"/>
      <c r="S281" s="875"/>
      <c r="T281" s="875"/>
      <c r="U281" s="875"/>
      <c r="V281" s="875"/>
      <c r="W281" s="875"/>
      <c r="X281" s="875"/>
      <c r="Y281" s="875"/>
      <c r="Z281" s="875"/>
      <c r="AA281" s="875"/>
      <c r="AB281" s="875"/>
      <c r="AC281" s="875"/>
      <c r="AD281" s="875"/>
      <c r="AE281" s="875"/>
      <c r="AF281" s="875"/>
      <c r="AG281" s="875"/>
      <c r="AH281" s="875"/>
      <c r="AI281" s="875"/>
      <c r="AJ281" s="875"/>
      <c r="AK281" s="875"/>
      <c r="AL281" s="875"/>
      <c r="AM281" s="875"/>
      <c r="AN281" s="875"/>
      <c r="AO281" s="875"/>
      <c r="AP281" s="875"/>
      <c r="AQ281" s="875"/>
      <c r="AR281" s="877"/>
    </row>
    <row r="282" spans="1:44" x14ac:dyDescent="0.2">
      <c r="A282" s="184" t="s">
        <v>27</v>
      </c>
      <c r="B282" s="184" t="s">
        <v>929</v>
      </c>
      <c r="C282" s="184" t="s">
        <v>930</v>
      </c>
      <c r="D282" s="183" t="s">
        <v>26</v>
      </c>
      <c r="E282" s="184" t="s">
        <v>52</v>
      </c>
      <c r="F282" s="184" t="s">
        <v>43</v>
      </c>
      <c r="G282" s="204">
        <v>2010</v>
      </c>
      <c r="H282" s="203">
        <v>10</v>
      </c>
      <c r="I282" s="205"/>
      <c r="J282" s="205">
        <v>0.57569998502731301</v>
      </c>
      <c r="K282" s="184">
        <v>1</v>
      </c>
      <c r="L282" s="184">
        <v>0.1</v>
      </c>
      <c r="M282" s="184">
        <v>0.1</v>
      </c>
      <c r="N282" s="184">
        <v>0.1</v>
      </c>
      <c r="O282" s="184">
        <v>0.1</v>
      </c>
      <c r="P282" s="184">
        <v>0.1</v>
      </c>
      <c r="Q282" s="184"/>
      <c r="R282" s="184">
        <v>0.18</v>
      </c>
      <c r="S282" s="878"/>
      <c r="T282" s="878"/>
      <c r="U282" s="878"/>
      <c r="V282" s="878"/>
      <c r="W282" s="878"/>
      <c r="X282" s="878"/>
      <c r="Y282" s="878"/>
      <c r="Z282" s="878"/>
      <c r="AA282" s="878"/>
      <c r="AB282" s="878"/>
      <c r="AC282" s="878"/>
      <c r="AD282" s="878"/>
      <c r="AE282" s="878"/>
      <c r="AF282" s="878"/>
      <c r="AG282" s="878"/>
      <c r="AH282" s="878"/>
      <c r="AI282" s="879">
        <v>0</v>
      </c>
      <c r="AJ282" s="879">
        <v>0</v>
      </c>
      <c r="AK282" s="879">
        <v>0</v>
      </c>
      <c r="AL282" s="879">
        <v>0</v>
      </c>
      <c r="AM282" s="879">
        <v>0</v>
      </c>
      <c r="AN282" s="879">
        <v>0</v>
      </c>
      <c r="AO282" s="879">
        <v>0</v>
      </c>
      <c r="AP282" s="879">
        <v>0</v>
      </c>
      <c r="AQ282" s="879">
        <v>0</v>
      </c>
      <c r="AR282" s="879">
        <v>0</v>
      </c>
    </row>
    <row r="283" spans="1:44" x14ac:dyDescent="0.2">
      <c r="A283" s="184" t="s">
        <v>27</v>
      </c>
      <c r="B283" s="184" t="s">
        <v>931</v>
      </c>
      <c r="C283" s="184" t="s">
        <v>932</v>
      </c>
      <c r="D283" s="183" t="s">
        <v>26</v>
      </c>
      <c r="E283" s="184" t="s">
        <v>52</v>
      </c>
      <c r="F283" s="184" t="s">
        <v>43</v>
      </c>
      <c r="G283" s="204" t="s">
        <v>615</v>
      </c>
      <c r="H283" s="203">
        <v>8</v>
      </c>
      <c r="I283" s="205">
        <v>6.1724946997233232</v>
      </c>
      <c r="J283" s="205">
        <v>0.59</v>
      </c>
      <c r="K283" s="184">
        <v>1</v>
      </c>
      <c r="L283" s="184">
        <v>0.1</v>
      </c>
      <c r="M283" s="184">
        <v>0.1</v>
      </c>
      <c r="N283" s="184">
        <v>0.1</v>
      </c>
      <c r="O283" s="184">
        <v>0.1</v>
      </c>
      <c r="P283" s="184">
        <v>0.1</v>
      </c>
      <c r="Q283" s="184"/>
      <c r="R283" s="184">
        <v>0.18</v>
      </c>
      <c r="S283" s="879"/>
      <c r="T283" s="879"/>
      <c r="U283" s="879"/>
      <c r="V283" s="879"/>
      <c r="W283" s="879"/>
      <c r="X283" s="879"/>
      <c r="Y283" s="879"/>
      <c r="Z283" s="879"/>
      <c r="AA283" s="879"/>
      <c r="AB283" s="879"/>
      <c r="AC283" s="879"/>
      <c r="AD283" s="879"/>
      <c r="AE283" s="879"/>
      <c r="AF283" s="879"/>
      <c r="AG283" s="879"/>
      <c r="AH283" s="879"/>
      <c r="AI283" s="879">
        <v>0</v>
      </c>
      <c r="AJ283" s="879">
        <v>0</v>
      </c>
      <c r="AK283" s="879"/>
      <c r="AL283" s="879"/>
      <c r="AM283" s="879"/>
      <c r="AN283" s="879"/>
      <c r="AO283" s="879"/>
      <c r="AP283" s="879"/>
      <c r="AQ283" s="879"/>
      <c r="AR283" s="879"/>
    </row>
    <row r="284" spans="1:44" x14ac:dyDescent="0.2">
      <c r="A284" s="184" t="s">
        <v>27</v>
      </c>
      <c r="B284" s="184" t="s">
        <v>933</v>
      </c>
      <c r="C284" s="184" t="s">
        <v>934</v>
      </c>
      <c r="D284" s="183" t="s">
        <v>26</v>
      </c>
      <c r="E284" s="184" t="s">
        <v>52</v>
      </c>
      <c r="F284" s="184" t="s">
        <v>43</v>
      </c>
      <c r="G284" s="204">
        <v>2015</v>
      </c>
      <c r="H284" s="203">
        <v>8</v>
      </c>
      <c r="I284" s="205">
        <v>6.7023225709442089</v>
      </c>
      <c r="J284" s="205">
        <v>0.63370370370370366</v>
      </c>
      <c r="K284" s="184">
        <v>1</v>
      </c>
      <c r="L284" s="184">
        <v>0.1</v>
      </c>
      <c r="M284" s="184">
        <v>0.1</v>
      </c>
      <c r="N284" s="184">
        <v>0.1</v>
      </c>
      <c r="O284" s="184">
        <v>0.1</v>
      </c>
      <c r="P284" s="184">
        <v>0.1</v>
      </c>
      <c r="Q284" s="184"/>
      <c r="R284" s="184">
        <v>0.18</v>
      </c>
      <c r="S284" s="879"/>
      <c r="T284" s="879"/>
      <c r="U284" s="879"/>
      <c r="V284" s="879"/>
      <c r="W284" s="879"/>
      <c r="X284" s="879"/>
      <c r="Y284" s="879"/>
      <c r="Z284" s="879"/>
      <c r="AA284" s="879"/>
      <c r="AB284" s="879"/>
      <c r="AC284" s="879"/>
      <c r="AD284" s="879"/>
      <c r="AE284" s="879"/>
      <c r="AF284" s="879"/>
      <c r="AG284" s="879"/>
      <c r="AH284" s="879"/>
      <c r="AI284" s="879">
        <v>0</v>
      </c>
      <c r="AJ284" s="879"/>
      <c r="AK284" s="879"/>
      <c r="AL284" s="879"/>
      <c r="AM284" s="879"/>
      <c r="AN284" s="879"/>
      <c r="AO284" s="879"/>
      <c r="AP284" s="879"/>
      <c r="AQ284" s="879"/>
      <c r="AR284" s="879"/>
    </row>
    <row r="285" spans="1:44" x14ac:dyDescent="0.2">
      <c r="A285" s="184" t="s">
        <v>27</v>
      </c>
      <c r="B285" s="184" t="s">
        <v>935</v>
      </c>
      <c r="C285" s="184" t="s">
        <v>936</v>
      </c>
      <c r="D285" s="183" t="s">
        <v>26</v>
      </c>
      <c r="E285" s="184" t="s">
        <v>52</v>
      </c>
      <c r="F285" s="184" t="s">
        <v>43</v>
      </c>
      <c r="G285" s="204">
        <v>2020</v>
      </c>
      <c r="H285" s="203">
        <v>8</v>
      </c>
      <c r="I285" s="205">
        <v>6.9672365065546522</v>
      </c>
      <c r="J285" s="205">
        <v>0.64827160493827163</v>
      </c>
      <c r="K285" s="184">
        <v>1</v>
      </c>
      <c r="L285" s="184">
        <v>0.1</v>
      </c>
      <c r="M285" s="184">
        <v>0.1</v>
      </c>
      <c r="N285" s="184">
        <v>0.1</v>
      </c>
      <c r="O285" s="184">
        <v>0.1</v>
      </c>
      <c r="P285" s="184">
        <v>0.1</v>
      </c>
      <c r="Q285" s="184"/>
      <c r="R285" s="184">
        <v>0.18</v>
      </c>
      <c r="S285" s="879"/>
      <c r="T285" s="879"/>
      <c r="U285" s="879"/>
      <c r="V285" s="879"/>
      <c r="W285" s="879"/>
      <c r="X285" s="879"/>
      <c r="Y285" s="879"/>
      <c r="Z285" s="879"/>
      <c r="AA285" s="879"/>
      <c r="AB285" s="879"/>
      <c r="AC285" s="879"/>
      <c r="AD285" s="879"/>
      <c r="AE285" s="879"/>
      <c r="AF285" s="879"/>
      <c r="AG285" s="879"/>
      <c r="AH285" s="879"/>
      <c r="AI285" s="879">
        <v>0</v>
      </c>
      <c r="AJ285" s="879"/>
      <c r="AK285" s="879"/>
      <c r="AL285" s="879"/>
      <c r="AM285" s="879"/>
      <c r="AN285" s="879"/>
      <c r="AO285" s="879"/>
      <c r="AP285" s="879"/>
      <c r="AQ285" s="879"/>
      <c r="AR285" s="879"/>
    </row>
    <row r="286" spans="1:44" x14ac:dyDescent="0.2">
      <c r="A286" s="184" t="s">
        <v>27</v>
      </c>
      <c r="B286" s="184" t="s">
        <v>937</v>
      </c>
      <c r="C286" s="184" t="s">
        <v>938</v>
      </c>
      <c r="D286" s="183" t="s">
        <v>26</v>
      </c>
      <c r="E286" s="184" t="s">
        <v>52</v>
      </c>
      <c r="F286" s="184" t="s">
        <v>43</v>
      </c>
      <c r="G286" s="204" t="s">
        <v>620</v>
      </c>
      <c r="H286" s="203">
        <v>8</v>
      </c>
      <c r="I286" s="205">
        <v>7.3646074099703158</v>
      </c>
      <c r="J286" s="205">
        <v>0.70654320987654307</v>
      </c>
      <c r="K286" s="184">
        <v>1</v>
      </c>
      <c r="L286" s="184">
        <v>0.1</v>
      </c>
      <c r="M286" s="184">
        <v>0.1</v>
      </c>
      <c r="N286" s="184">
        <v>0.1</v>
      </c>
      <c r="O286" s="184">
        <v>0.1</v>
      </c>
      <c r="P286" s="184">
        <v>0.1</v>
      </c>
      <c r="Q286" s="184"/>
      <c r="R286" s="184">
        <v>0.18</v>
      </c>
      <c r="S286" s="879"/>
      <c r="T286" s="879"/>
      <c r="U286" s="879"/>
      <c r="V286" s="879"/>
      <c r="W286" s="879"/>
      <c r="X286" s="879"/>
      <c r="Y286" s="879"/>
      <c r="Z286" s="879"/>
      <c r="AA286" s="879"/>
      <c r="AB286" s="879"/>
      <c r="AC286" s="879"/>
      <c r="AD286" s="879"/>
      <c r="AE286" s="879"/>
      <c r="AF286" s="879"/>
      <c r="AG286" s="879"/>
      <c r="AH286" s="879"/>
      <c r="AI286" s="879">
        <v>0</v>
      </c>
      <c r="AJ286" s="879"/>
      <c r="AK286" s="879"/>
      <c r="AL286" s="879"/>
      <c r="AM286" s="879"/>
      <c r="AN286" s="879"/>
      <c r="AO286" s="879"/>
      <c r="AP286" s="879"/>
      <c r="AQ286" s="879"/>
      <c r="AR286" s="879"/>
    </row>
    <row r="287" spans="1:44" x14ac:dyDescent="0.2">
      <c r="A287" s="184" t="s">
        <v>27</v>
      </c>
      <c r="B287" s="184" t="s">
        <v>939</v>
      </c>
      <c r="C287" s="184" t="s">
        <v>940</v>
      </c>
      <c r="D287" s="183" t="s">
        <v>26</v>
      </c>
      <c r="E287" s="184" t="s">
        <v>52</v>
      </c>
      <c r="F287" s="184" t="s">
        <v>43</v>
      </c>
      <c r="G287" s="204">
        <v>2030</v>
      </c>
      <c r="H287" s="203">
        <v>30</v>
      </c>
      <c r="I287" s="205">
        <v>11.073402508516519</v>
      </c>
      <c r="J287" s="205">
        <v>0.64827160493827163</v>
      </c>
      <c r="K287" s="184">
        <v>1</v>
      </c>
      <c r="L287" s="184">
        <v>0.1</v>
      </c>
      <c r="M287" s="184">
        <v>0.1</v>
      </c>
      <c r="N287" s="184">
        <v>0.1</v>
      </c>
      <c r="O287" s="184">
        <v>0.1</v>
      </c>
      <c r="P287" s="184">
        <v>0.1</v>
      </c>
      <c r="Q287" s="184"/>
      <c r="R287" s="184">
        <v>0.18</v>
      </c>
      <c r="S287" s="879"/>
      <c r="T287" s="879"/>
      <c r="U287" s="879"/>
      <c r="V287" s="879"/>
      <c r="W287" s="879"/>
      <c r="X287" s="879"/>
      <c r="Y287" s="879"/>
      <c r="Z287" s="879"/>
      <c r="AA287" s="879"/>
      <c r="AB287" s="879"/>
      <c r="AC287" s="879"/>
      <c r="AD287" s="879"/>
      <c r="AE287" s="879"/>
      <c r="AF287" s="879"/>
      <c r="AG287" s="879"/>
      <c r="AH287" s="879"/>
      <c r="AI287" s="879">
        <v>0</v>
      </c>
      <c r="AJ287" s="879"/>
      <c r="AK287" s="879"/>
      <c r="AL287" s="879"/>
      <c r="AM287" s="879"/>
      <c r="AN287" s="879"/>
      <c r="AO287" s="879"/>
      <c r="AP287" s="879"/>
      <c r="AQ287" s="879"/>
      <c r="AR287" s="879"/>
    </row>
    <row r="288" spans="1:44" x14ac:dyDescent="0.2">
      <c r="A288" s="184" t="s">
        <v>27</v>
      </c>
      <c r="B288" s="184" t="s">
        <v>941</v>
      </c>
      <c r="C288" s="184" t="s">
        <v>942</v>
      </c>
      <c r="D288" s="183" t="s">
        <v>26</v>
      </c>
      <c r="E288" s="184" t="s">
        <v>52</v>
      </c>
      <c r="F288" s="184" t="s">
        <v>43</v>
      </c>
      <c r="G288" s="204">
        <v>2030</v>
      </c>
      <c r="H288" s="203">
        <v>30</v>
      </c>
      <c r="I288" s="205">
        <v>13.457627929010506</v>
      </c>
      <c r="J288" s="205">
        <v>0.70654320987654307</v>
      </c>
      <c r="K288" s="184">
        <v>1</v>
      </c>
      <c r="L288" s="184">
        <v>0.1</v>
      </c>
      <c r="M288" s="184">
        <v>0.1</v>
      </c>
      <c r="N288" s="184">
        <v>0.1</v>
      </c>
      <c r="O288" s="184">
        <v>0.1</v>
      </c>
      <c r="P288" s="184">
        <v>0.1</v>
      </c>
      <c r="Q288" s="184"/>
      <c r="R288" s="184">
        <v>0.18</v>
      </c>
      <c r="S288" s="879"/>
      <c r="T288" s="879"/>
      <c r="U288" s="879"/>
      <c r="V288" s="879"/>
      <c r="W288" s="879"/>
      <c r="X288" s="879"/>
      <c r="Y288" s="879"/>
      <c r="Z288" s="879"/>
      <c r="AA288" s="879"/>
      <c r="AB288" s="879"/>
      <c r="AC288" s="879"/>
      <c r="AD288" s="879"/>
      <c r="AE288" s="879"/>
      <c r="AF288" s="879"/>
      <c r="AG288" s="879"/>
      <c r="AH288" s="879"/>
      <c r="AI288" s="879">
        <v>0</v>
      </c>
      <c r="AJ288" s="879"/>
      <c r="AK288" s="879"/>
      <c r="AL288" s="879"/>
      <c r="AM288" s="879"/>
      <c r="AN288" s="879"/>
      <c r="AO288" s="879"/>
      <c r="AP288" s="879"/>
      <c r="AQ288" s="879"/>
      <c r="AR288" s="879"/>
    </row>
    <row r="289" spans="1:44" x14ac:dyDescent="0.2">
      <c r="A289" s="184" t="s">
        <v>27</v>
      </c>
      <c r="B289" s="184" t="s">
        <v>943</v>
      </c>
      <c r="C289" s="184" t="s">
        <v>944</v>
      </c>
      <c r="D289" s="183" t="s">
        <v>26</v>
      </c>
      <c r="E289" s="184" t="s">
        <v>52</v>
      </c>
      <c r="F289" s="184" t="s">
        <v>43</v>
      </c>
      <c r="G289" s="204">
        <v>2040</v>
      </c>
      <c r="H289" s="203">
        <v>30</v>
      </c>
      <c r="I289" s="205">
        <v>11.073402508516519</v>
      </c>
      <c r="J289" s="205">
        <v>0.64827160493827163</v>
      </c>
      <c r="K289" s="184">
        <v>1</v>
      </c>
      <c r="L289" s="184">
        <v>0.1</v>
      </c>
      <c r="M289" s="184">
        <v>0.1</v>
      </c>
      <c r="N289" s="184">
        <v>0.1</v>
      </c>
      <c r="O289" s="184">
        <v>0.1</v>
      </c>
      <c r="P289" s="184">
        <v>0.1</v>
      </c>
      <c r="Q289" s="184"/>
      <c r="R289" s="184">
        <v>0.18</v>
      </c>
      <c r="S289" s="879"/>
      <c r="T289" s="879"/>
      <c r="U289" s="879"/>
      <c r="V289" s="879"/>
      <c r="W289" s="879"/>
      <c r="X289" s="879"/>
      <c r="Y289" s="879"/>
      <c r="Z289" s="879"/>
      <c r="AA289" s="879"/>
      <c r="AB289" s="879"/>
      <c r="AC289" s="879"/>
      <c r="AD289" s="879"/>
      <c r="AE289" s="879"/>
      <c r="AF289" s="879"/>
      <c r="AG289" s="879"/>
      <c r="AH289" s="879"/>
      <c r="AI289" s="879">
        <v>0</v>
      </c>
      <c r="AJ289" s="879"/>
      <c r="AK289" s="879"/>
      <c r="AL289" s="879"/>
      <c r="AM289" s="879"/>
      <c r="AN289" s="879"/>
      <c r="AO289" s="879"/>
      <c r="AP289" s="879"/>
      <c r="AQ289" s="879"/>
      <c r="AR289" s="879"/>
    </row>
    <row r="290" spans="1:44" x14ac:dyDescent="0.2">
      <c r="A290" s="184" t="s">
        <v>27</v>
      </c>
      <c r="B290" s="184" t="s">
        <v>945</v>
      </c>
      <c r="C290" s="184" t="s">
        <v>946</v>
      </c>
      <c r="D290" s="183" t="s">
        <v>26</v>
      </c>
      <c r="E290" s="184" t="s">
        <v>52</v>
      </c>
      <c r="F290" s="184" t="s">
        <v>43</v>
      </c>
      <c r="G290" s="204">
        <v>2040</v>
      </c>
      <c r="H290" s="203">
        <v>30</v>
      </c>
      <c r="I290" s="205">
        <v>13.457627929010506</v>
      </c>
      <c r="J290" s="205">
        <v>0.70654320987654307</v>
      </c>
      <c r="K290" s="184">
        <v>1</v>
      </c>
      <c r="L290" s="184">
        <v>0.1</v>
      </c>
      <c r="M290" s="184">
        <v>0.1</v>
      </c>
      <c r="N290" s="184">
        <v>0.1</v>
      </c>
      <c r="O290" s="184">
        <v>0.1</v>
      </c>
      <c r="P290" s="184">
        <v>0.1</v>
      </c>
      <c r="Q290" s="184"/>
      <c r="R290" s="184">
        <v>0.18</v>
      </c>
      <c r="S290" s="879"/>
      <c r="T290" s="879"/>
      <c r="U290" s="879"/>
      <c r="V290" s="879"/>
      <c r="W290" s="879"/>
      <c r="X290" s="879"/>
      <c r="Y290" s="879"/>
      <c r="Z290" s="879"/>
      <c r="AA290" s="879"/>
      <c r="AB290" s="879"/>
      <c r="AC290" s="879"/>
      <c r="AD290" s="879"/>
      <c r="AE290" s="879"/>
      <c r="AF290" s="879"/>
      <c r="AG290" s="879"/>
      <c r="AH290" s="879"/>
      <c r="AI290" s="879">
        <v>0</v>
      </c>
      <c r="AJ290" s="879"/>
      <c r="AK290" s="879"/>
      <c r="AL290" s="879"/>
      <c r="AM290" s="879"/>
      <c r="AN290" s="879"/>
      <c r="AO290" s="879"/>
      <c r="AP290" s="879"/>
      <c r="AQ290" s="879"/>
      <c r="AR290" s="879"/>
    </row>
    <row r="291" spans="1:44" x14ac:dyDescent="0.2">
      <c r="A291" s="184" t="s">
        <v>27</v>
      </c>
      <c r="B291" s="184" t="s">
        <v>947</v>
      </c>
      <c r="C291" s="184" t="s">
        <v>948</v>
      </c>
      <c r="D291" s="183" t="s">
        <v>26</v>
      </c>
      <c r="E291" s="184" t="s">
        <v>52</v>
      </c>
      <c r="F291" s="184" t="s">
        <v>43</v>
      </c>
      <c r="G291" s="204" t="s">
        <v>633</v>
      </c>
      <c r="H291" s="203">
        <v>10</v>
      </c>
      <c r="I291" s="205">
        <v>10.585091039546878</v>
      </c>
      <c r="J291" s="205">
        <v>0.67</v>
      </c>
      <c r="K291" s="184">
        <v>1</v>
      </c>
      <c r="L291" s="184">
        <v>0.1</v>
      </c>
      <c r="M291" s="184">
        <v>0.1</v>
      </c>
      <c r="N291" s="184">
        <v>0.1</v>
      </c>
      <c r="O291" s="184">
        <v>0.1</v>
      </c>
      <c r="P291" s="184">
        <v>0.1</v>
      </c>
      <c r="Q291" s="184"/>
      <c r="R291" s="184">
        <v>0.18</v>
      </c>
      <c r="S291" s="879"/>
      <c r="T291" s="879"/>
      <c r="U291" s="879"/>
      <c r="V291" s="879"/>
      <c r="W291" s="879"/>
      <c r="X291" s="879"/>
      <c r="Y291" s="879"/>
      <c r="Z291" s="879"/>
      <c r="AA291" s="879"/>
      <c r="AB291" s="879"/>
      <c r="AC291" s="879"/>
      <c r="AD291" s="879"/>
      <c r="AE291" s="879"/>
      <c r="AF291" s="879"/>
      <c r="AG291" s="879"/>
      <c r="AH291" s="879"/>
      <c r="AI291" s="879">
        <v>0</v>
      </c>
      <c r="AJ291" s="879"/>
      <c r="AK291" s="879"/>
      <c r="AL291" s="879"/>
      <c r="AM291" s="879"/>
      <c r="AN291" s="879"/>
      <c r="AO291" s="879"/>
      <c r="AP291" s="879"/>
      <c r="AQ291" s="879"/>
      <c r="AR291" s="879"/>
    </row>
    <row r="292" spans="1:44" x14ac:dyDescent="0.2">
      <c r="A292" s="184" t="s">
        <v>27</v>
      </c>
      <c r="B292" s="184" t="s">
        <v>949</v>
      </c>
      <c r="C292" s="184" t="s">
        <v>950</v>
      </c>
      <c r="D292" s="183" t="s">
        <v>26</v>
      </c>
      <c r="E292" s="184" t="s">
        <v>52</v>
      </c>
      <c r="F292" s="184" t="s">
        <v>43</v>
      </c>
      <c r="G292" s="204" t="s">
        <v>633</v>
      </c>
      <c r="H292" s="203">
        <v>10</v>
      </c>
      <c r="I292" s="205">
        <v>18.629760229602507</v>
      </c>
      <c r="J292" s="205">
        <v>0.82</v>
      </c>
      <c r="K292" s="184">
        <v>1</v>
      </c>
      <c r="L292" s="184">
        <v>0.1</v>
      </c>
      <c r="M292" s="184">
        <v>0.1</v>
      </c>
      <c r="N292" s="184">
        <v>0.1</v>
      </c>
      <c r="O292" s="184">
        <v>0.1</v>
      </c>
      <c r="P292" s="184">
        <v>0.1</v>
      </c>
      <c r="Q292" s="184"/>
      <c r="R292" s="184">
        <v>0.18</v>
      </c>
      <c r="S292" s="879"/>
      <c r="T292" s="879"/>
      <c r="U292" s="879"/>
      <c r="V292" s="879"/>
      <c r="W292" s="879"/>
      <c r="X292" s="879"/>
      <c r="Y292" s="879"/>
      <c r="Z292" s="879"/>
      <c r="AA292" s="879"/>
      <c r="AB292" s="879"/>
      <c r="AC292" s="879"/>
      <c r="AD292" s="879"/>
      <c r="AE292" s="879"/>
      <c r="AF292" s="879"/>
      <c r="AG292" s="879"/>
      <c r="AH292" s="879"/>
      <c r="AI292" s="879">
        <v>0</v>
      </c>
      <c r="AJ292" s="879"/>
      <c r="AK292" s="879">
        <v>0</v>
      </c>
      <c r="AL292" s="879">
        <v>0</v>
      </c>
      <c r="AM292" s="879">
        <v>0</v>
      </c>
      <c r="AN292" s="879">
        <v>0</v>
      </c>
      <c r="AO292" s="879">
        <v>0</v>
      </c>
      <c r="AP292" s="879">
        <v>0</v>
      </c>
      <c r="AQ292" s="879">
        <v>0</v>
      </c>
      <c r="AR292" s="879">
        <v>0</v>
      </c>
    </row>
    <row r="293" spans="1:44" x14ac:dyDescent="0.2">
      <c r="A293" s="184" t="s">
        <v>27</v>
      </c>
      <c r="B293" s="184" t="s">
        <v>951</v>
      </c>
      <c r="C293" s="184" t="s">
        <v>952</v>
      </c>
      <c r="D293" s="183" t="s">
        <v>26</v>
      </c>
      <c r="E293" s="184" t="s">
        <v>52</v>
      </c>
      <c r="F293" s="184" t="s">
        <v>43</v>
      </c>
      <c r="G293" s="204" t="s">
        <v>620</v>
      </c>
      <c r="H293" s="203">
        <v>20</v>
      </c>
      <c r="I293" s="205">
        <v>17.782952946438755</v>
      </c>
      <c r="J293" s="205">
        <v>0.9</v>
      </c>
      <c r="K293" s="184">
        <v>1</v>
      </c>
      <c r="L293" s="184">
        <v>0.1</v>
      </c>
      <c r="M293" s="184">
        <v>0.1</v>
      </c>
      <c r="N293" s="184">
        <v>0.1</v>
      </c>
      <c r="O293" s="184">
        <v>0.1</v>
      </c>
      <c r="P293" s="184">
        <v>0.1</v>
      </c>
      <c r="Q293" s="184"/>
      <c r="R293" s="184">
        <v>0.18</v>
      </c>
      <c r="S293" s="879"/>
      <c r="T293" s="879"/>
      <c r="U293" s="879"/>
      <c r="V293" s="879"/>
      <c r="W293" s="879"/>
      <c r="X293" s="879"/>
      <c r="Y293" s="879"/>
      <c r="Z293" s="879"/>
      <c r="AA293" s="879"/>
      <c r="AB293" s="879"/>
      <c r="AC293" s="879"/>
      <c r="AD293" s="879"/>
      <c r="AE293" s="879"/>
      <c r="AF293" s="879"/>
      <c r="AG293" s="879"/>
      <c r="AH293" s="879"/>
      <c r="AI293" s="879">
        <v>0</v>
      </c>
      <c r="AJ293" s="879">
        <v>0</v>
      </c>
      <c r="AK293" s="879"/>
      <c r="AL293" s="879"/>
      <c r="AM293" s="879"/>
      <c r="AN293" s="879"/>
      <c r="AO293" s="879"/>
      <c r="AP293" s="879"/>
      <c r="AQ293" s="879"/>
      <c r="AR293" s="879"/>
    </row>
    <row r="294" spans="1:44" x14ac:dyDescent="0.2">
      <c r="A294" s="184" t="s">
        <v>27</v>
      </c>
      <c r="B294" s="184" t="s">
        <v>953</v>
      </c>
      <c r="C294" s="184" t="s">
        <v>954</v>
      </c>
      <c r="D294" s="183" t="s">
        <v>26</v>
      </c>
      <c r="E294" s="184" t="s">
        <v>52</v>
      </c>
      <c r="F294" s="184" t="s">
        <v>43</v>
      </c>
      <c r="G294" s="204">
        <v>2020</v>
      </c>
      <c r="H294" s="203">
        <v>20</v>
      </c>
      <c r="I294" s="205">
        <v>13.548916530620005</v>
      </c>
      <c r="J294" s="205">
        <v>0.85</v>
      </c>
      <c r="K294" s="184">
        <v>1</v>
      </c>
      <c r="L294" s="184">
        <v>0.1</v>
      </c>
      <c r="M294" s="184">
        <v>0.1</v>
      </c>
      <c r="N294" s="184">
        <v>0.1</v>
      </c>
      <c r="O294" s="184">
        <v>0.1</v>
      </c>
      <c r="P294" s="184">
        <v>0.1</v>
      </c>
      <c r="Q294" s="184"/>
      <c r="R294" s="184">
        <v>0.18</v>
      </c>
      <c r="S294" s="879"/>
      <c r="T294" s="879"/>
      <c r="U294" s="879"/>
      <c r="V294" s="879"/>
      <c r="W294" s="879"/>
      <c r="X294" s="879"/>
      <c r="Y294" s="879"/>
      <c r="Z294" s="879"/>
      <c r="AA294" s="879"/>
      <c r="AB294" s="879"/>
      <c r="AC294" s="879"/>
      <c r="AD294" s="879"/>
      <c r="AE294" s="879"/>
      <c r="AF294" s="879"/>
      <c r="AG294" s="879"/>
      <c r="AH294" s="879"/>
      <c r="AI294" s="879">
        <v>0</v>
      </c>
      <c r="AJ294" s="879">
        <v>0</v>
      </c>
      <c r="AK294" s="879"/>
      <c r="AL294" s="879"/>
      <c r="AM294" s="879"/>
      <c r="AN294" s="879"/>
      <c r="AO294" s="879"/>
      <c r="AP294" s="879"/>
      <c r="AQ294" s="879"/>
      <c r="AR294" s="879"/>
    </row>
    <row r="295" spans="1:44" x14ac:dyDescent="0.2">
      <c r="A295" s="184" t="s">
        <v>27</v>
      </c>
      <c r="B295" s="184" t="s">
        <v>955</v>
      </c>
      <c r="C295" s="184" t="s">
        <v>956</v>
      </c>
      <c r="D295" s="183" t="s">
        <v>26</v>
      </c>
      <c r="E295" s="184" t="s">
        <v>52</v>
      </c>
      <c r="F295" s="184" t="s">
        <v>43</v>
      </c>
      <c r="G295" s="204">
        <v>2030</v>
      </c>
      <c r="H295" s="203">
        <v>20</v>
      </c>
      <c r="I295" s="205">
        <v>25.685307713970946</v>
      </c>
      <c r="J295" s="205">
        <v>0.63</v>
      </c>
      <c r="K295" s="184">
        <v>1</v>
      </c>
      <c r="L295" s="184">
        <v>0.1</v>
      </c>
      <c r="M295" s="184">
        <v>0.1</v>
      </c>
      <c r="N295" s="184">
        <v>0.1</v>
      </c>
      <c r="O295" s="184">
        <v>0.1</v>
      </c>
      <c r="P295" s="184">
        <v>0.1</v>
      </c>
      <c r="Q295" s="184"/>
      <c r="R295" s="184">
        <v>0.18</v>
      </c>
      <c r="S295" s="879"/>
      <c r="T295" s="879"/>
      <c r="U295" s="879"/>
      <c r="V295" s="879"/>
      <c r="W295" s="879"/>
      <c r="X295" s="879"/>
      <c r="Y295" s="879"/>
      <c r="Z295" s="879"/>
      <c r="AA295" s="879"/>
      <c r="AB295" s="879"/>
      <c r="AC295" s="879"/>
      <c r="AD295" s="879"/>
      <c r="AE295" s="879"/>
      <c r="AF295" s="879"/>
      <c r="AG295" s="879"/>
      <c r="AH295" s="879"/>
      <c r="AI295" s="879">
        <v>0</v>
      </c>
      <c r="AJ295" s="879">
        <v>0</v>
      </c>
      <c r="AK295" s="879"/>
      <c r="AL295" s="879"/>
      <c r="AM295" s="879"/>
      <c r="AN295" s="879"/>
      <c r="AO295" s="879"/>
      <c r="AP295" s="879"/>
      <c r="AQ295" s="879"/>
      <c r="AR295" s="879"/>
    </row>
    <row r="296" spans="1:44" x14ac:dyDescent="0.2">
      <c r="A296" s="184" t="s">
        <v>27</v>
      </c>
      <c r="B296" s="184" t="s">
        <v>957</v>
      </c>
      <c r="C296" s="184" t="s">
        <v>958</v>
      </c>
      <c r="D296" s="183" t="s">
        <v>26</v>
      </c>
      <c r="E296" s="184" t="s">
        <v>52</v>
      </c>
      <c r="F296" s="184" t="s">
        <v>43</v>
      </c>
      <c r="G296" s="204">
        <v>2030</v>
      </c>
      <c r="H296" s="203">
        <v>20</v>
      </c>
      <c r="I296" s="205">
        <v>40.815009518090825</v>
      </c>
      <c r="J296" s="205">
        <v>0.81</v>
      </c>
      <c r="K296" s="184">
        <v>1</v>
      </c>
      <c r="L296" s="184">
        <v>0.1</v>
      </c>
      <c r="M296" s="184">
        <v>0.1</v>
      </c>
      <c r="N296" s="184">
        <v>0.1</v>
      </c>
      <c r="O296" s="184">
        <v>0.1</v>
      </c>
      <c r="P296" s="184">
        <v>0.1</v>
      </c>
      <c r="Q296" s="184"/>
      <c r="R296" s="184">
        <v>0.18</v>
      </c>
      <c r="S296" s="879"/>
      <c r="T296" s="879"/>
      <c r="U296" s="879"/>
      <c r="V296" s="879"/>
      <c r="W296" s="879"/>
      <c r="X296" s="879"/>
      <c r="Y296" s="879"/>
      <c r="Z296" s="879"/>
      <c r="AA296" s="879"/>
      <c r="AB296" s="879"/>
      <c r="AC296" s="879"/>
      <c r="AD296" s="879"/>
      <c r="AE296" s="879"/>
      <c r="AF296" s="879"/>
      <c r="AG296" s="879"/>
      <c r="AH296" s="879"/>
      <c r="AI296" s="879">
        <v>0</v>
      </c>
      <c r="AJ296" s="879">
        <v>0</v>
      </c>
      <c r="AK296" s="879"/>
      <c r="AL296" s="879"/>
      <c r="AM296" s="879"/>
      <c r="AN296" s="879"/>
      <c r="AO296" s="879"/>
      <c r="AP296" s="879"/>
      <c r="AQ296" s="879"/>
      <c r="AR296" s="879"/>
    </row>
    <row r="297" spans="1:44" x14ac:dyDescent="0.2">
      <c r="A297" s="184" t="s">
        <v>27</v>
      </c>
      <c r="B297" s="184" t="s">
        <v>959</v>
      </c>
      <c r="C297" s="184" t="s">
        <v>960</v>
      </c>
      <c r="D297" s="183" t="s">
        <v>26</v>
      </c>
      <c r="E297" s="184" t="s">
        <v>52</v>
      </c>
      <c r="F297" s="184" t="s">
        <v>43</v>
      </c>
      <c r="G297" s="204">
        <v>2040</v>
      </c>
      <c r="H297" s="203">
        <v>20</v>
      </c>
      <c r="I297" s="205">
        <v>25.685307713970946</v>
      </c>
      <c r="J297" s="205">
        <v>0.63</v>
      </c>
      <c r="K297" s="184">
        <v>1</v>
      </c>
      <c r="L297" s="184">
        <v>0.1</v>
      </c>
      <c r="M297" s="184">
        <v>0.1</v>
      </c>
      <c r="N297" s="184">
        <v>0.1</v>
      </c>
      <c r="O297" s="184">
        <v>0.1</v>
      </c>
      <c r="P297" s="184">
        <v>0.1</v>
      </c>
      <c r="Q297" s="184"/>
      <c r="R297" s="184">
        <v>0.18</v>
      </c>
      <c r="S297" s="879"/>
      <c r="T297" s="879"/>
      <c r="U297" s="879"/>
      <c r="V297" s="879"/>
      <c r="W297" s="879"/>
      <c r="X297" s="879"/>
      <c r="Y297" s="879"/>
      <c r="Z297" s="879"/>
      <c r="AA297" s="879"/>
      <c r="AB297" s="879"/>
      <c r="AC297" s="879"/>
      <c r="AD297" s="879"/>
      <c r="AE297" s="879"/>
      <c r="AF297" s="879"/>
      <c r="AG297" s="879"/>
      <c r="AH297" s="879"/>
      <c r="AI297" s="879">
        <v>0</v>
      </c>
      <c r="AJ297" s="879">
        <v>0</v>
      </c>
      <c r="AK297" s="879"/>
      <c r="AL297" s="879"/>
      <c r="AM297" s="879"/>
      <c r="AN297" s="879"/>
      <c r="AO297" s="879"/>
      <c r="AP297" s="879"/>
      <c r="AQ297" s="879"/>
      <c r="AR297" s="879"/>
    </row>
    <row r="298" spans="1:44" x14ac:dyDescent="0.2">
      <c r="A298" s="184" t="s">
        <v>27</v>
      </c>
      <c r="B298" s="184" t="s">
        <v>961</v>
      </c>
      <c r="C298" s="184" t="s">
        <v>962</v>
      </c>
      <c r="D298" s="183" t="s">
        <v>26</v>
      </c>
      <c r="E298" s="184" t="s">
        <v>52</v>
      </c>
      <c r="F298" s="184" t="s">
        <v>43</v>
      </c>
      <c r="G298" s="204">
        <v>2040</v>
      </c>
      <c r="H298" s="203">
        <v>20</v>
      </c>
      <c r="I298" s="205">
        <v>40.815009518090825</v>
      </c>
      <c r="J298" s="205">
        <v>0.81</v>
      </c>
      <c r="K298" s="184">
        <v>1</v>
      </c>
      <c r="L298" s="184">
        <v>0.1</v>
      </c>
      <c r="M298" s="184">
        <v>0.1</v>
      </c>
      <c r="N298" s="184">
        <v>0.1</v>
      </c>
      <c r="O298" s="184">
        <v>0.1</v>
      </c>
      <c r="P298" s="184">
        <v>0.1</v>
      </c>
      <c r="Q298" s="184"/>
      <c r="R298" s="184">
        <v>0.18</v>
      </c>
      <c r="S298" s="879"/>
      <c r="T298" s="879"/>
      <c r="U298" s="879"/>
      <c r="V298" s="879"/>
      <c r="W298" s="879"/>
      <c r="X298" s="879"/>
      <c r="Y298" s="879"/>
      <c r="Z298" s="879"/>
      <c r="AA298" s="879"/>
      <c r="AB298" s="879"/>
      <c r="AC298" s="879"/>
      <c r="AD298" s="879"/>
      <c r="AE298" s="879"/>
      <c r="AF298" s="879"/>
      <c r="AG298" s="879"/>
      <c r="AH298" s="879"/>
      <c r="AI298" s="879">
        <v>0</v>
      </c>
      <c r="AJ298" s="879">
        <v>0</v>
      </c>
      <c r="AK298" s="879"/>
      <c r="AL298" s="879"/>
      <c r="AM298" s="879"/>
      <c r="AN298" s="879"/>
      <c r="AO298" s="879"/>
      <c r="AP298" s="879"/>
      <c r="AQ298" s="879"/>
      <c r="AR298" s="879"/>
    </row>
    <row r="299" spans="1:44" x14ac:dyDescent="0.2">
      <c r="A299" s="184" t="s">
        <v>27</v>
      </c>
      <c r="B299" s="184" t="s">
        <v>963</v>
      </c>
      <c r="C299" s="184" t="s">
        <v>964</v>
      </c>
      <c r="D299" s="183" t="s">
        <v>26</v>
      </c>
      <c r="E299" s="184" t="s">
        <v>52</v>
      </c>
      <c r="F299" s="184" t="s">
        <v>43</v>
      </c>
      <c r="G299" s="204">
        <v>2050</v>
      </c>
      <c r="H299" s="203">
        <v>20</v>
      </c>
      <c r="I299" s="205">
        <v>25.685307713970946</v>
      </c>
      <c r="J299" s="205">
        <v>0.63</v>
      </c>
      <c r="K299" s="184">
        <v>1</v>
      </c>
      <c r="L299" s="184">
        <v>0.1</v>
      </c>
      <c r="M299" s="184">
        <v>0.1</v>
      </c>
      <c r="N299" s="184">
        <v>0.1</v>
      </c>
      <c r="O299" s="184">
        <v>0.1</v>
      </c>
      <c r="P299" s="184">
        <v>0.1</v>
      </c>
      <c r="Q299" s="184"/>
      <c r="R299" s="184">
        <v>0.18</v>
      </c>
      <c r="S299" s="879"/>
      <c r="T299" s="879"/>
      <c r="U299" s="879"/>
      <c r="V299" s="879"/>
      <c r="W299" s="879"/>
      <c r="X299" s="879"/>
      <c r="Y299" s="879"/>
      <c r="Z299" s="879"/>
      <c r="AA299" s="879"/>
      <c r="AB299" s="879"/>
      <c r="AC299" s="879"/>
      <c r="AD299" s="879"/>
      <c r="AE299" s="879"/>
      <c r="AF299" s="879"/>
      <c r="AG299" s="879"/>
      <c r="AH299" s="879"/>
      <c r="AI299" s="879">
        <v>0</v>
      </c>
      <c r="AJ299" s="879">
        <v>0</v>
      </c>
      <c r="AK299" s="879"/>
      <c r="AL299" s="879"/>
      <c r="AM299" s="879"/>
      <c r="AN299" s="879"/>
      <c r="AO299" s="879"/>
      <c r="AP299" s="879"/>
      <c r="AQ299" s="879"/>
      <c r="AR299" s="879"/>
    </row>
    <row r="300" spans="1:44" x14ac:dyDescent="0.2">
      <c r="A300" s="184" t="s">
        <v>27</v>
      </c>
      <c r="B300" s="184" t="s">
        <v>965</v>
      </c>
      <c r="C300" s="184" t="s">
        <v>966</v>
      </c>
      <c r="D300" s="183" t="s">
        <v>26</v>
      </c>
      <c r="E300" s="184" t="s">
        <v>52</v>
      </c>
      <c r="F300" s="184" t="s">
        <v>43</v>
      </c>
      <c r="G300" s="204">
        <v>2050</v>
      </c>
      <c r="H300" s="203">
        <v>20</v>
      </c>
      <c r="I300" s="205">
        <v>40.815009518090825</v>
      </c>
      <c r="J300" s="205">
        <v>0.81</v>
      </c>
      <c r="K300" s="184">
        <v>1</v>
      </c>
      <c r="L300" s="184">
        <v>0.1</v>
      </c>
      <c r="M300" s="184">
        <v>0.1</v>
      </c>
      <c r="N300" s="184">
        <v>0.1</v>
      </c>
      <c r="O300" s="184">
        <v>0.1</v>
      </c>
      <c r="P300" s="184">
        <v>0.1</v>
      </c>
      <c r="Q300" s="184"/>
      <c r="R300" s="184">
        <v>0.18</v>
      </c>
      <c r="S300" s="879"/>
      <c r="T300" s="879"/>
      <c r="U300" s="879"/>
      <c r="V300" s="879"/>
      <c r="W300" s="879"/>
      <c r="X300" s="879"/>
      <c r="Y300" s="879"/>
      <c r="Z300" s="879"/>
      <c r="AA300" s="879"/>
      <c r="AB300" s="879"/>
      <c r="AC300" s="879"/>
      <c r="AD300" s="879"/>
      <c r="AE300" s="879"/>
      <c r="AF300" s="879"/>
      <c r="AG300" s="879"/>
      <c r="AH300" s="879"/>
      <c r="AI300" s="879">
        <v>0</v>
      </c>
      <c r="AJ300" s="879">
        <v>0</v>
      </c>
      <c r="AK300" s="879"/>
      <c r="AL300" s="879"/>
      <c r="AM300" s="879"/>
      <c r="AN300" s="879"/>
      <c r="AO300" s="879"/>
      <c r="AP300" s="879"/>
      <c r="AQ300" s="879"/>
      <c r="AR300" s="879"/>
    </row>
    <row r="301" spans="1:44" x14ac:dyDescent="0.2">
      <c r="A301" s="194" t="s">
        <v>548</v>
      </c>
      <c r="B301" s="192"/>
      <c r="C301" s="192"/>
      <c r="D301" s="192"/>
      <c r="E301" s="194"/>
      <c r="F301" s="194"/>
      <c r="G301" s="872"/>
      <c r="H301" s="873"/>
      <c r="I301" s="873"/>
      <c r="J301" s="874"/>
      <c r="K301" s="873"/>
      <c r="L301" s="873"/>
      <c r="M301" s="873"/>
      <c r="N301" s="873"/>
      <c r="O301" s="873"/>
      <c r="P301" s="873"/>
      <c r="Q301" s="873"/>
      <c r="R301" s="874"/>
      <c r="S301" s="875"/>
      <c r="T301" s="875"/>
      <c r="U301" s="875"/>
      <c r="V301" s="875"/>
      <c r="W301" s="875"/>
      <c r="X301" s="875"/>
      <c r="Y301" s="875"/>
      <c r="Z301" s="875"/>
      <c r="AA301" s="875"/>
      <c r="AB301" s="875"/>
      <c r="AC301" s="875"/>
      <c r="AD301" s="875"/>
      <c r="AE301" s="875"/>
      <c r="AF301" s="875"/>
      <c r="AG301" s="875"/>
      <c r="AH301" s="875"/>
      <c r="AI301" s="875"/>
      <c r="AJ301" s="875"/>
      <c r="AK301" s="875"/>
      <c r="AL301" s="875"/>
      <c r="AM301" s="875"/>
      <c r="AN301" s="875"/>
      <c r="AO301" s="875"/>
      <c r="AP301" s="875"/>
      <c r="AQ301" s="875"/>
      <c r="AR301" s="877"/>
    </row>
    <row r="302" spans="1:44" x14ac:dyDescent="0.2">
      <c r="A302" s="184" t="s">
        <v>27</v>
      </c>
      <c r="B302" s="184" t="s">
        <v>967</v>
      </c>
      <c r="C302" s="184" t="s">
        <v>968</v>
      </c>
      <c r="D302" s="183" t="s">
        <v>26</v>
      </c>
      <c r="E302" s="184" t="s">
        <v>47</v>
      </c>
      <c r="F302" s="184" t="s">
        <v>43</v>
      </c>
      <c r="G302" s="204">
        <v>2010</v>
      </c>
      <c r="H302" s="203">
        <v>6</v>
      </c>
      <c r="I302" s="205"/>
      <c r="J302" s="205">
        <v>0.88819998502731301</v>
      </c>
      <c r="K302" s="184">
        <v>1</v>
      </c>
      <c r="L302" s="184">
        <v>0.1</v>
      </c>
      <c r="M302" s="184">
        <v>0.1</v>
      </c>
      <c r="N302" s="184">
        <v>0.1</v>
      </c>
      <c r="O302" s="184">
        <v>0.1</v>
      </c>
      <c r="P302" s="184">
        <v>0.1</v>
      </c>
      <c r="Q302" s="184"/>
      <c r="R302" s="184">
        <v>0.18</v>
      </c>
      <c r="S302" s="878"/>
      <c r="T302" s="878"/>
      <c r="U302" s="878"/>
      <c r="V302" s="878"/>
      <c r="W302" s="878"/>
      <c r="X302" s="878"/>
      <c r="Y302" s="878"/>
      <c r="Z302" s="878"/>
      <c r="AA302" s="878"/>
      <c r="AB302" s="878"/>
      <c r="AC302" s="878"/>
      <c r="AD302" s="878"/>
      <c r="AE302" s="878"/>
      <c r="AF302" s="878"/>
      <c r="AG302" s="878"/>
      <c r="AH302" s="878"/>
      <c r="AI302" s="879">
        <v>0</v>
      </c>
      <c r="AJ302" s="879">
        <v>0</v>
      </c>
      <c r="AK302" s="879">
        <v>0</v>
      </c>
      <c r="AL302" s="879">
        <v>0</v>
      </c>
      <c r="AM302" s="879">
        <v>0</v>
      </c>
      <c r="AN302" s="879">
        <v>0</v>
      </c>
      <c r="AO302" s="879">
        <v>0</v>
      </c>
      <c r="AP302" s="879">
        <v>0</v>
      </c>
      <c r="AQ302" s="879">
        <v>0</v>
      </c>
      <c r="AR302" s="879">
        <v>0</v>
      </c>
    </row>
    <row r="303" spans="1:44" x14ac:dyDescent="0.2">
      <c r="A303" s="184" t="s">
        <v>27</v>
      </c>
      <c r="B303" s="184" t="s">
        <v>969</v>
      </c>
      <c r="C303" s="184" t="s">
        <v>970</v>
      </c>
      <c r="D303" s="183" t="s">
        <v>26</v>
      </c>
      <c r="E303" s="184" t="s">
        <v>47</v>
      </c>
      <c r="F303" s="184" t="s">
        <v>43</v>
      </c>
      <c r="G303" s="204">
        <v>2015</v>
      </c>
      <c r="H303" s="203">
        <v>6</v>
      </c>
      <c r="I303" s="205">
        <v>4.0392785281696781</v>
      </c>
      <c r="J303" s="205">
        <v>0.9</v>
      </c>
      <c r="K303" s="184">
        <v>1</v>
      </c>
      <c r="L303" s="184">
        <v>0.1</v>
      </c>
      <c r="M303" s="184">
        <v>0.1</v>
      </c>
      <c r="N303" s="184">
        <v>0.1</v>
      </c>
      <c r="O303" s="184">
        <v>0.1</v>
      </c>
      <c r="P303" s="184">
        <v>0.1</v>
      </c>
      <c r="Q303" s="184"/>
      <c r="R303" s="184">
        <v>0.18</v>
      </c>
      <c r="S303" s="878"/>
      <c r="T303" s="878"/>
      <c r="U303" s="878"/>
      <c r="V303" s="878"/>
      <c r="W303" s="878"/>
      <c r="X303" s="878"/>
      <c r="Y303" s="878"/>
      <c r="Z303" s="878"/>
      <c r="AA303" s="878"/>
      <c r="AB303" s="878"/>
      <c r="AC303" s="878"/>
      <c r="AD303" s="878"/>
      <c r="AE303" s="878"/>
      <c r="AF303" s="878"/>
      <c r="AG303" s="878"/>
      <c r="AH303" s="878"/>
      <c r="AI303" s="879">
        <v>0</v>
      </c>
      <c r="AJ303" s="879"/>
      <c r="AK303" s="879"/>
      <c r="AL303" s="879"/>
      <c r="AM303" s="879"/>
      <c r="AN303" s="879"/>
      <c r="AO303" s="879"/>
      <c r="AP303" s="879"/>
      <c r="AQ303" s="879"/>
      <c r="AR303" s="879"/>
    </row>
    <row r="304" spans="1:44" x14ac:dyDescent="0.2">
      <c r="A304" s="184" t="s">
        <v>27</v>
      </c>
      <c r="B304" s="184" t="s">
        <v>971</v>
      </c>
      <c r="C304" s="184" t="s">
        <v>972</v>
      </c>
      <c r="D304" s="183" t="s">
        <v>26</v>
      </c>
      <c r="E304" s="184" t="s">
        <v>47</v>
      </c>
      <c r="F304" s="184" t="s">
        <v>43</v>
      </c>
      <c r="G304" s="204" t="s">
        <v>615</v>
      </c>
      <c r="H304" s="203">
        <v>6</v>
      </c>
      <c r="I304" s="205">
        <v>4.3085637633809899</v>
      </c>
      <c r="J304" s="205">
        <v>0.94090909090909103</v>
      </c>
      <c r="K304" s="184">
        <v>1</v>
      </c>
      <c r="L304" s="184">
        <v>0.1</v>
      </c>
      <c r="M304" s="184">
        <v>0.1</v>
      </c>
      <c r="N304" s="184">
        <v>0.1</v>
      </c>
      <c r="O304" s="184">
        <v>0.1</v>
      </c>
      <c r="P304" s="184">
        <v>0.1</v>
      </c>
      <c r="Q304" s="184"/>
      <c r="R304" s="184">
        <v>0.18</v>
      </c>
      <c r="S304" s="878"/>
      <c r="T304" s="878"/>
      <c r="U304" s="878"/>
      <c r="V304" s="878"/>
      <c r="W304" s="878"/>
      <c r="X304" s="878"/>
      <c r="Y304" s="878"/>
      <c r="Z304" s="878"/>
      <c r="AA304" s="878"/>
      <c r="AB304" s="878"/>
      <c r="AC304" s="878"/>
      <c r="AD304" s="878"/>
      <c r="AE304" s="878"/>
      <c r="AF304" s="878"/>
      <c r="AG304" s="878"/>
      <c r="AH304" s="878"/>
      <c r="AI304" s="879">
        <v>0</v>
      </c>
      <c r="AJ304" s="879"/>
      <c r="AK304" s="879"/>
      <c r="AL304" s="879"/>
      <c r="AM304" s="879"/>
      <c r="AN304" s="879"/>
      <c r="AO304" s="879"/>
      <c r="AP304" s="879"/>
      <c r="AQ304" s="879"/>
      <c r="AR304" s="879"/>
    </row>
    <row r="305" spans="1:44" x14ac:dyDescent="0.2">
      <c r="A305" s="184" t="s">
        <v>27</v>
      </c>
      <c r="B305" s="184" t="s">
        <v>973</v>
      </c>
      <c r="C305" s="184" t="s">
        <v>974</v>
      </c>
      <c r="D305" s="183" t="s">
        <v>26</v>
      </c>
      <c r="E305" s="184" t="s">
        <v>47</v>
      </c>
      <c r="F305" s="184" t="s">
        <v>43</v>
      </c>
      <c r="G305" s="204">
        <v>2020</v>
      </c>
      <c r="H305" s="203">
        <v>6</v>
      </c>
      <c r="I305" s="205">
        <v>4.8471342338036143</v>
      </c>
      <c r="J305" s="205">
        <v>0.95113636363636367</v>
      </c>
      <c r="K305" s="184">
        <v>1</v>
      </c>
      <c r="L305" s="184">
        <v>0.1</v>
      </c>
      <c r="M305" s="184">
        <v>0.1</v>
      </c>
      <c r="N305" s="184">
        <v>0.1</v>
      </c>
      <c r="O305" s="184">
        <v>0.1</v>
      </c>
      <c r="P305" s="184">
        <v>0.1</v>
      </c>
      <c r="Q305" s="184"/>
      <c r="R305" s="184">
        <v>0.18</v>
      </c>
      <c r="S305" s="878"/>
      <c r="T305" s="878"/>
      <c r="U305" s="878"/>
      <c r="V305" s="878"/>
      <c r="W305" s="878"/>
      <c r="X305" s="878"/>
      <c r="Y305" s="878"/>
      <c r="Z305" s="878"/>
      <c r="AA305" s="878"/>
      <c r="AB305" s="878"/>
      <c r="AC305" s="878"/>
      <c r="AD305" s="878"/>
      <c r="AE305" s="878"/>
      <c r="AF305" s="878"/>
      <c r="AG305" s="878"/>
      <c r="AH305" s="878"/>
      <c r="AI305" s="879">
        <v>0</v>
      </c>
      <c r="AJ305" s="879"/>
      <c r="AK305" s="879"/>
      <c r="AL305" s="879"/>
      <c r="AM305" s="879"/>
      <c r="AN305" s="879"/>
      <c r="AO305" s="879"/>
      <c r="AP305" s="879"/>
      <c r="AQ305" s="879"/>
      <c r="AR305" s="879"/>
    </row>
    <row r="306" spans="1:44" x14ac:dyDescent="0.2">
      <c r="A306" s="184" t="s">
        <v>27</v>
      </c>
      <c r="B306" s="184" t="s">
        <v>975</v>
      </c>
      <c r="C306" s="184" t="s">
        <v>976</v>
      </c>
      <c r="D306" s="183" t="s">
        <v>26</v>
      </c>
      <c r="E306" s="184" t="s">
        <v>47</v>
      </c>
      <c r="F306" s="184" t="s">
        <v>43</v>
      </c>
      <c r="G306" s="204">
        <v>2020</v>
      </c>
      <c r="H306" s="203">
        <v>6</v>
      </c>
      <c r="I306" s="205">
        <v>9.1556979971846051</v>
      </c>
      <c r="J306" s="205">
        <v>0.97159090909090906</v>
      </c>
      <c r="K306" s="184">
        <v>1</v>
      </c>
      <c r="L306" s="184">
        <v>0.1</v>
      </c>
      <c r="M306" s="184">
        <v>0.1</v>
      </c>
      <c r="N306" s="184">
        <v>0.1</v>
      </c>
      <c r="O306" s="184">
        <v>0.1</v>
      </c>
      <c r="P306" s="184">
        <v>0.1</v>
      </c>
      <c r="Q306" s="184"/>
      <c r="R306" s="184">
        <v>0.18</v>
      </c>
      <c r="S306" s="878"/>
      <c r="T306" s="878"/>
      <c r="U306" s="878"/>
      <c r="V306" s="878"/>
      <c r="W306" s="878"/>
      <c r="X306" s="878"/>
      <c r="Y306" s="878"/>
      <c r="Z306" s="878"/>
      <c r="AA306" s="878"/>
      <c r="AB306" s="878"/>
      <c r="AC306" s="878"/>
      <c r="AD306" s="878"/>
      <c r="AE306" s="878"/>
      <c r="AF306" s="878"/>
      <c r="AG306" s="878"/>
      <c r="AH306" s="878"/>
      <c r="AI306" s="879">
        <v>0</v>
      </c>
      <c r="AJ306" s="879"/>
      <c r="AK306" s="879"/>
      <c r="AL306" s="879"/>
      <c r="AM306" s="879"/>
      <c r="AN306" s="879"/>
      <c r="AO306" s="879"/>
      <c r="AP306" s="879"/>
      <c r="AQ306" s="879"/>
      <c r="AR306" s="879"/>
    </row>
    <row r="307" spans="1:44" x14ac:dyDescent="0.2">
      <c r="A307" s="184" t="s">
        <v>27</v>
      </c>
      <c r="B307" s="184" t="s">
        <v>977</v>
      </c>
      <c r="C307" s="184" t="s">
        <v>978</v>
      </c>
      <c r="D307" s="183" t="s">
        <v>26</v>
      </c>
      <c r="E307" s="184" t="s">
        <v>47</v>
      </c>
      <c r="F307" s="184" t="s">
        <v>43</v>
      </c>
      <c r="G307" s="204">
        <v>2030</v>
      </c>
      <c r="H307" s="203">
        <v>20</v>
      </c>
      <c r="I307" s="205">
        <v>8.8864127619732916</v>
      </c>
      <c r="J307" s="205">
        <v>0.95113636363636367</v>
      </c>
      <c r="K307" s="184">
        <v>1</v>
      </c>
      <c r="L307" s="184">
        <v>0.1</v>
      </c>
      <c r="M307" s="184">
        <v>0.1</v>
      </c>
      <c r="N307" s="184">
        <v>0.1</v>
      </c>
      <c r="O307" s="184">
        <v>0.1</v>
      </c>
      <c r="P307" s="184">
        <v>0.1</v>
      </c>
      <c r="Q307" s="184"/>
      <c r="R307" s="184">
        <v>0.18</v>
      </c>
      <c r="S307" s="878"/>
      <c r="T307" s="878"/>
      <c r="U307" s="878"/>
      <c r="V307" s="878"/>
      <c r="W307" s="878"/>
      <c r="X307" s="878"/>
      <c r="Y307" s="878"/>
      <c r="Z307" s="878"/>
      <c r="AA307" s="878"/>
      <c r="AB307" s="878"/>
      <c r="AC307" s="878"/>
      <c r="AD307" s="878"/>
      <c r="AE307" s="878"/>
      <c r="AF307" s="878"/>
      <c r="AG307" s="878"/>
      <c r="AH307" s="878"/>
      <c r="AI307" s="879">
        <v>0</v>
      </c>
      <c r="AJ307" s="879"/>
      <c r="AK307" s="879"/>
      <c r="AL307" s="879"/>
      <c r="AM307" s="879"/>
      <c r="AN307" s="879"/>
      <c r="AO307" s="879"/>
      <c r="AP307" s="879"/>
      <c r="AQ307" s="879"/>
      <c r="AR307" s="879"/>
    </row>
    <row r="308" spans="1:44" x14ac:dyDescent="0.2">
      <c r="A308" s="184" t="s">
        <v>27</v>
      </c>
      <c r="B308" s="184" t="s">
        <v>979</v>
      </c>
      <c r="C308" s="184" t="s">
        <v>980</v>
      </c>
      <c r="D308" s="183" t="s">
        <v>26</v>
      </c>
      <c r="E308" s="184" t="s">
        <v>47</v>
      </c>
      <c r="F308" s="184" t="s">
        <v>43</v>
      </c>
      <c r="G308" s="204">
        <v>2030</v>
      </c>
      <c r="H308" s="203">
        <v>20</v>
      </c>
      <c r="I308" s="205">
        <v>12.656406054931656</v>
      </c>
      <c r="J308" s="205">
        <v>0.97159090909090906</v>
      </c>
      <c r="K308" s="184">
        <v>1</v>
      </c>
      <c r="L308" s="184">
        <v>0.1</v>
      </c>
      <c r="M308" s="184">
        <v>0.1</v>
      </c>
      <c r="N308" s="184">
        <v>0.1</v>
      </c>
      <c r="O308" s="184">
        <v>0.1</v>
      </c>
      <c r="P308" s="184">
        <v>0.1</v>
      </c>
      <c r="Q308" s="184"/>
      <c r="R308" s="184">
        <v>0.18</v>
      </c>
      <c r="S308" s="878"/>
      <c r="T308" s="878"/>
      <c r="U308" s="878"/>
      <c r="V308" s="878"/>
      <c r="W308" s="878"/>
      <c r="X308" s="878"/>
      <c r="Y308" s="878"/>
      <c r="Z308" s="878"/>
      <c r="AA308" s="878"/>
      <c r="AB308" s="878"/>
      <c r="AC308" s="878"/>
      <c r="AD308" s="878"/>
      <c r="AE308" s="878"/>
      <c r="AF308" s="878"/>
      <c r="AG308" s="878"/>
      <c r="AH308" s="878"/>
      <c r="AI308" s="879">
        <v>0</v>
      </c>
      <c r="AJ308" s="879"/>
      <c r="AK308" s="879"/>
      <c r="AL308" s="879"/>
      <c r="AM308" s="879"/>
      <c r="AN308" s="879"/>
      <c r="AO308" s="879"/>
      <c r="AP308" s="879"/>
      <c r="AQ308" s="879"/>
      <c r="AR308" s="879"/>
    </row>
    <row r="309" spans="1:44" x14ac:dyDescent="0.2">
      <c r="A309" s="184" t="s">
        <v>27</v>
      </c>
      <c r="B309" s="184" t="s">
        <v>981</v>
      </c>
      <c r="C309" s="184" t="s">
        <v>982</v>
      </c>
      <c r="D309" s="183" t="s">
        <v>26</v>
      </c>
      <c r="E309" s="184" t="s">
        <v>47</v>
      </c>
      <c r="F309" s="184" t="s">
        <v>43</v>
      </c>
      <c r="G309" s="204">
        <v>2040</v>
      </c>
      <c r="H309" s="203">
        <v>20</v>
      </c>
      <c r="I309" s="205">
        <v>8.8864127619732916</v>
      </c>
      <c r="J309" s="205">
        <v>0.95113636363636367</v>
      </c>
      <c r="K309" s="184">
        <v>1</v>
      </c>
      <c r="L309" s="184">
        <v>0.1</v>
      </c>
      <c r="M309" s="184">
        <v>0.1</v>
      </c>
      <c r="N309" s="184">
        <v>0.1</v>
      </c>
      <c r="O309" s="184">
        <v>0.1</v>
      </c>
      <c r="P309" s="184">
        <v>0.1</v>
      </c>
      <c r="Q309" s="184"/>
      <c r="R309" s="184">
        <v>0.18</v>
      </c>
      <c r="S309" s="878"/>
      <c r="T309" s="878"/>
      <c r="U309" s="878"/>
      <c r="V309" s="878"/>
      <c r="W309" s="878"/>
      <c r="X309" s="878"/>
      <c r="Y309" s="878"/>
      <c r="Z309" s="878"/>
      <c r="AA309" s="878"/>
      <c r="AB309" s="878"/>
      <c r="AC309" s="878"/>
      <c r="AD309" s="878"/>
      <c r="AE309" s="878"/>
      <c r="AF309" s="878"/>
      <c r="AG309" s="878"/>
      <c r="AH309" s="878"/>
      <c r="AI309" s="879">
        <v>0</v>
      </c>
      <c r="AJ309" s="879"/>
      <c r="AK309" s="879"/>
      <c r="AL309" s="879"/>
      <c r="AM309" s="879"/>
      <c r="AN309" s="879"/>
      <c r="AO309" s="879"/>
      <c r="AP309" s="879"/>
      <c r="AQ309" s="879"/>
      <c r="AR309" s="879"/>
    </row>
    <row r="310" spans="1:44" x14ac:dyDescent="0.2">
      <c r="A310" s="184" t="s">
        <v>27</v>
      </c>
      <c r="B310" s="184" t="s">
        <v>983</v>
      </c>
      <c r="C310" s="184" t="s">
        <v>984</v>
      </c>
      <c r="D310" s="183" t="s">
        <v>26</v>
      </c>
      <c r="E310" s="184" t="s">
        <v>47</v>
      </c>
      <c r="F310" s="184" t="s">
        <v>43</v>
      </c>
      <c r="G310" s="204">
        <v>2040</v>
      </c>
      <c r="H310" s="203">
        <v>20</v>
      </c>
      <c r="I310" s="205">
        <v>12.656406054931656</v>
      </c>
      <c r="J310" s="205">
        <v>0.97159090909090906</v>
      </c>
      <c r="K310" s="184">
        <v>1</v>
      </c>
      <c r="L310" s="184">
        <v>0.1</v>
      </c>
      <c r="M310" s="184">
        <v>0.1</v>
      </c>
      <c r="N310" s="184">
        <v>0.1</v>
      </c>
      <c r="O310" s="184">
        <v>0.1</v>
      </c>
      <c r="P310" s="184">
        <v>0.1</v>
      </c>
      <c r="Q310" s="184"/>
      <c r="R310" s="184">
        <v>0.18</v>
      </c>
      <c r="S310" s="878"/>
      <c r="T310" s="878"/>
      <c r="U310" s="878"/>
      <c r="V310" s="878"/>
      <c r="W310" s="878"/>
      <c r="X310" s="878"/>
      <c r="Y310" s="878"/>
      <c r="Z310" s="878"/>
      <c r="AA310" s="878"/>
      <c r="AB310" s="878"/>
      <c r="AC310" s="878"/>
      <c r="AD310" s="878"/>
      <c r="AE310" s="878"/>
      <c r="AF310" s="878"/>
      <c r="AG310" s="878"/>
      <c r="AH310" s="878"/>
      <c r="AI310" s="879">
        <v>0</v>
      </c>
      <c r="AJ310" s="879"/>
      <c r="AK310" s="879"/>
      <c r="AL310" s="879"/>
      <c r="AM310" s="879"/>
      <c r="AN310" s="879"/>
      <c r="AO310" s="879"/>
      <c r="AP310" s="879"/>
      <c r="AQ310" s="879"/>
      <c r="AR310" s="879"/>
    </row>
    <row r="311" spans="1:44" x14ac:dyDescent="0.2">
      <c r="A311" s="184" t="s">
        <v>27</v>
      </c>
      <c r="B311" s="184" t="s">
        <v>985</v>
      </c>
      <c r="C311" s="184" t="s">
        <v>986</v>
      </c>
      <c r="D311" s="183" t="s">
        <v>26</v>
      </c>
      <c r="E311" s="184" t="s">
        <v>47</v>
      </c>
      <c r="F311" s="184" t="s">
        <v>43</v>
      </c>
      <c r="G311" s="204" t="s">
        <v>633</v>
      </c>
      <c r="H311" s="203">
        <v>15</v>
      </c>
      <c r="I311" s="205">
        <v>5.292545519773439</v>
      </c>
      <c r="J311" s="205">
        <v>0.91</v>
      </c>
      <c r="K311" s="184">
        <v>1</v>
      </c>
      <c r="L311" s="184">
        <v>0.1</v>
      </c>
      <c r="M311" s="184">
        <v>0.1</v>
      </c>
      <c r="N311" s="184">
        <v>0.1</v>
      </c>
      <c r="O311" s="184">
        <v>0.1</v>
      </c>
      <c r="P311" s="184">
        <v>0.1</v>
      </c>
      <c r="Q311" s="184"/>
      <c r="R311" s="184">
        <v>0.18</v>
      </c>
      <c r="S311" s="879"/>
      <c r="T311" s="879"/>
      <c r="U311" s="879"/>
      <c r="V311" s="879"/>
      <c r="W311" s="879"/>
      <c r="X311" s="879"/>
      <c r="Y311" s="879"/>
      <c r="Z311" s="879"/>
      <c r="AA311" s="879"/>
      <c r="AB311" s="879"/>
      <c r="AC311" s="879"/>
      <c r="AD311" s="879"/>
      <c r="AE311" s="879"/>
      <c r="AF311" s="879"/>
      <c r="AG311" s="879"/>
      <c r="AH311" s="879"/>
      <c r="AI311" s="879">
        <v>0</v>
      </c>
      <c r="AJ311" s="879"/>
      <c r="AK311" s="879">
        <v>0</v>
      </c>
      <c r="AL311" s="879">
        <v>0</v>
      </c>
      <c r="AM311" s="879">
        <v>0</v>
      </c>
      <c r="AN311" s="879">
        <v>0</v>
      </c>
      <c r="AO311" s="879">
        <v>0</v>
      </c>
      <c r="AP311" s="879">
        <v>0</v>
      </c>
      <c r="AQ311" s="879">
        <v>0</v>
      </c>
      <c r="AR311" s="879">
        <v>0</v>
      </c>
    </row>
    <row r="312" spans="1:44" x14ac:dyDescent="0.2">
      <c r="A312" s="184" t="s">
        <v>27</v>
      </c>
      <c r="B312" s="184" t="s">
        <v>971</v>
      </c>
      <c r="C312" s="184" t="s">
        <v>972</v>
      </c>
      <c r="D312" s="183" t="s">
        <v>26</v>
      </c>
      <c r="E312" s="184" t="s">
        <v>47</v>
      </c>
      <c r="F312" s="184" t="s">
        <v>43</v>
      </c>
      <c r="G312" s="204" t="s">
        <v>615</v>
      </c>
      <c r="H312" s="203">
        <v>15</v>
      </c>
      <c r="I312" s="205">
        <v>5.7159491613553151</v>
      </c>
      <c r="J312" s="205">
        <v>0.95</v>
      </c>
      <c r="K312" s="184">
        <v>1</v>
      </c>
      <c r="L312" s="184">
        <v>0.1</v>
      </c>
      <c r="M312" s="184">
        <v>0.1</v>
      </c>
      <c r="N312" s="184">
        <v>0.1</v>
      </c>
      <c r="O312" s="184">
        <v>0.1</v>
      </c>
      <c r="P312" s="184">
        <v>0.1</v>
      </c>
      <c r="Q312" s="184"/>
      <c r="R312" s="184">
        <v>0.18</v>
      </c>
      <c r="S312" s="879"/>
      <c r="T312" s="879"/>
      <c r="U312" s="879"/>
      <c r="V312" s="879"/>
      <c r="W312" s="879"/>
      <c r="X312" s="879"/>
      <c r="Y312" s="879"/>
      <c r="Z312" s="879"/>
      <c r="AA312" s="879"/>
      <c r="AB312" s="879"/>
      <c r="AC312" s="879"/>
      <c r="AD312" s="879"/>
      <c r="AE312" s="879"/>
      <c r="AF312" s="879"/>
      <c r="AG312" s="879"/>
      <c r="AH312" s="879"/>
      <c r="AI312" s="879">
        <v>0</v>
      </c>
      <c r="AJ312" s="879"/>
      <c r="AK312" s="879"/>
      <c r="AL312" s="879"/>
      <c r="AM312" s="879"/>
      <c r="AN312" s="879"/>
      <c r="AO312" s="879"/>
      <c r="AP312" s="879"/>
      <c r="AQ312" s="879"/>
      <c r="AR312" s="879"/>
    </row>
    <row r="313" spans="1:44" x14ac:dyDescent="0.2">
      <c r="A313" s="184" t="s">
        <v>27</v>
      </c>
      <c r="B313" s="184" t="s">
        <v>987</v>
      </c>
      <c r="C313" s="184" t="s">
        <v>988</v>
      </c>
      <c r="D313" s="183" t="s">
        <v>26</v>
      </c>
      <c r="E313" s="184" t="s">
        <v>47</v>
      </c>
      <c r="F313" s="184" t="s">
        <v>43</v>
      </c>
      <c r="G313" s="204" t="s">
        <v>633</v>
      </c>
      <c r="H313" s="203">
        <v>15</v>
      </c>
      <c r="I313" s="205">
        <v>6.1393528029371884</v>
      </c>
      <c r="J313" s="205">
        <v>0.96</v>
      </c>
      <c r="K313" s="184">
        <v>1</v>
      </c>
      <c r="L313" s="184">
        <v>0.1</v>
      </c>
      <c r="M313" s="184">
        <v>0.1</v>
      </c>
      <c r="N313" s="184">
        <v>0.1</v>
      </c>
      <c r="O313" s="184">
        <v>0.1</v>
      </c>
      <c r="P313" s="184">
        <v>0.1</v>
      </c>
      <c r="Q313" s="184"/>
      <c r="R313" s="184">
        <v>0.18</v>
      </c>
      <c r="S313" s="879"/>
      <c r="T313" s="879"/>
      <c r="U313" s="879"/>
      <c r="V313" s="879"/>
      <c r="W313" s="879"/>
      <c r="X313" s="879"/>
      <c r="Y313" s="879"/>
      <c r="Z313" s="879"/>
      <c r="AA313" s="879"/>
      <c r="AB313" s="879"/>
      <c r="AC313" s="879"/>
      <c r="AD313" s="879"/>
      <c r="AE313" s="879"/>
      <c r="AF313" s="879"/>
      <c r="AG313" s="879"/>
      <c r="AH313" s="879"/>
      <c r="AI313" s="879">
        <v>0</v>
      </c>
      <c r="AJ313" s="879"/>
      <c r="AK313" s="879"/>
      <c r="AL313" s="879"/>
      <c r="AM313" s="879"/>
      <c r="AN313" s="879"/>
      <c r="AO313" s="879"/>
      <c r="AP313" s="879"/>
      <c r="AQ313" s="879"/>
      <c r="AR313" s="879"/>
    </row>
    <row r="314" spans="1:44" x14ac:dyDescent="0.2">
      <c r="A314" s="184" t="s">
        <v>27</v>
      </c>
      <c r="B314" s="184" t="s">
        <v>989</v>
      </c>
      <c r="C314" s="184" t="s">
        <v>990</v>
      </c>
      <c r="D314" s="183" t="s">
        <v>26</v>
      </c>
      <c r="E314" s="184" t="s">
        <v>47</v>
      </c>
      <c r="F314" s="184" t="s">
        <v>43</v>
      </c>
      <c r="G314" s="204" t="s">
        <v>633</v>
      </c>
      <c r="H314" s="203">
        <v>15</v>
      </c>
      <c r="I314" s="205">
        <v>15.66593473852938</v>
      </c>
      <c r="J314" s="205">
        <v>2</v>
      </c>
      <c r="K314" s="184">
        <v>1</v>
      </c>
      <c r="L314" s="184">
        <v>0.1</v>
      </c>
      <c r="M314" s="184">
        <v>0.1</v>
      </c>
      <c r="N314" s="184">
        <v>0.1</v>
      </c>
      <c r="O314" s="184">
        <v>0.1</v>
      </c>
      <c r="P314" s="184">
        <v>0.1</v>
      </c>
      <c r="Q314" s="184"/>
      <c r="R314" s="184">
        <v>0.18</v>
      </c>
      <c r="S314" s="879"/>
      <c r="T314" s="879"/>
      <c r="U314" s="879"/>
      <c r="V314" s="879"/>
      <c r="W314" s="879"/>
      <c r="X314" s="879"/>
      <c r="Y314" s="879"/>
      <c r="Z314" s="879"/>
      <c r="AA314" s="879"/>
      <c r="AB314" s="879"/>
      <c r="AC314" s="879"/>
      <c r="AD314" s="879"/>
      <c r="AE314" s="879"/>
      <c r="AF314" s="879"/>
      <c r="AG314" s="879"/>
      <c r="AH314" s="879"/>
      <c r="AI314" s="879">
        <v>0</v>
      </c>
      <c r="AJ314" s="879">
        <v>0</v>
      </c>
      <c r="AK314" s="879">
        <v>0</v>
      </c>
      <c r="AL314" s="879">
        <v>0</v>
      </c>
      <c r="AM314" s="879">
        <v>0</v>
      </c>
      <c r="AN314" s="879">
        <v>0</v>
      </c>
      <c r="AO314" s="879">
        <v>0</v>
      </c>
      <c r="AP314" s="879">
        <v>0</v>
      </c>
      <c r="AQ314" s="879">
        <v>0</v>
      </c>
      <c r="AR314" s="879">
        <v>0</v>
      </c>
    </row>
    <row r="315" spans="1:44" x14ac:dyDescent="0.2">
      <c r="A315" s="184" t="s">
        <v>27</v>
      </c>
      <c r="B315" s="184" t="s">
        <v>991</v>
      </c>
      <c r="C315" s="184" t="s">
        <v>992</v>
      </c>
      <c r="D315" s="183" t="s">
        <v>26</v>
      </c>
      <c r="E315" s="184" t="s">
        <v>47</v>
      </c>
      <c r="F315" s="184" t="s">
        <v>43</v>
      </c>
      <c r="G315" s="204" t="s">
        <v>633</v>
      </c>
      <c r="H315" s="203">
        <v>15</v>
      </c>
      <c r="I315" s="205">
        <v>17.359549304856881</v>
      </c>
      <c r="J315" s="205">
        <v>2.35</v>
      </c>
      <c r="K315" s="184">
        <v>1</v>
      </c>
      <c r="L315" s="184">
        <v>0.1</v>
      </c>
      <c r="M315" s="184">
        <v>0.1</v>
      </c>
      <c r="N315" s="184">
        <v>0.1</v>
      </c>
      <c r="O315" s="184">
        <v>0.1</v>
      </c>
      <c r="P315" s="184">
        <v>0.1</v>
      </c>
      <c r="Q315" s="184"/>
      <c r="R315" s="184">
        <v>0.18</v>
      </c>
      <c r="S315" s="879"/>
      <c r="T315" s="879"/>
      <c r="U315" s="879"/>
      <c r="V315" s="879"/>
      <c r="W315" s="879"/>
      <c r="X315" s="879"/>
      <c r="Y315" s="879"/>
      <c r="Z315" s="879"/>
      <c r="AA315" s="879"/>
      <c r="AB315" s="879"/>
      <c r="AC315" s="879"/>
      <c r="AD315" s="879"/>
      <c r="AE315" s="879"/>
      <c r="AF315" s="879"/>
      <c r="AG315" s="879"/>
      <c r="AH315" s="879"/>
      <c r="AI315" s="879">
        <v>0</v>
      </c>
      <c r="AJ315" s="879">
        <v>0</v>
      </c>
      <c r="AK315" s="879"/>
      <c r="AL315" s="879"/>
      <c r="AM315" s="879"/>
      <c r="AN315" s="879"/>
      <c r="AO315" s="879"/>
      <c r="AP315" s="879"/>
      <c r="AQ315" s="879"/>
      <c r="AR315" s="879"/>
    </row>
    <row r="316" spans="1:44" x14ac:dyDescent="0.2">
      <c r="A316" s="184" t="s">
        <v>27</v>
      </c>
      <c r="B316" s="184" t="s">
        <v>993</v>
      </c>
      <c r="C316" s="184" t="s">
        <v>994</v>
      </c>
      <c r="D316" s="183" t="s">
        <v>26</v>
      </c>
      <c r="E316" s="184" t="s">
        <v>47</v>
      </c>
      <c r="F316" s="184" t="s">
        <v>43</v>
      </c>
      <c r="G316" s="204">
        <v>2020</v>
      </c>
      <c r="H316" s="203">
        <v>15</v>
      </c>
      <c r="I316" s="205">
        <v>15.129701804119874</v>
      </c>
      <c r="J316" s="205">
        <v>0.93</v>
      </c>
      <c r="K316" s="184">
        <v>1</v>
      </c>
      <c r="L316" s="184">
        <v>0.1</v>
      </c>
      <c r="M316" s="184">
        <v>0.1</v>
      </c>
      <c r="N316" s="184">
        <v>0.1</v>
      </c>
      <c r="O316" s="184">
        <v>0.1</v>
      </c>
      <c r="P316" s="184">
        <v>0.1</v>
      </c>
      <c r="Q316" s="184"/>
      <c r="R316" s="184">
        <v>0.18</v>
      </c>
      <c r="S316" s="879"/>
      <c r="T316" s="879"/>
      <c r="U316" s="879"/>
      <c r="V316" s="879"/>
      <c r="W316" s="879"/>
      <c r="X316" s="879"/>
      <c r="Y316" s="879"/>
      <c r="Z316" s="879"/>
      <c r="AA316" s="879"/>
      <c r="AB316" s="879"/>
      <c r="AC316" s="879"/>
      <c r="AD316" s="879"/>
      <c r="AE316" s="879"/>
      <c r="AF316" s="879"/>
      <c r="AG316" s="879"/>
      <c r="AH316" s="879"/>
      <c r="AI316" s="879">
        <v>0</v>
      </c>
      <c r="AJ316" s="879">
        <v>0</v>
      </c>
      <c r="AK316" s="879"/>
      <c r="AL316" s="879"/>
      <c r="AM316" s="879"/>
      <c r="AN316" s="879"/>
      <c r="AO316" s="879"/>
      <c r="AP316" s="879"/>
      <c r="AQ316" s="879"/>
      <c r="AR316" s="879"/>
    </row>
    <row r="317" spans="1:44" x14ac:dyDescent="0.2">
      <c r="A317" s="184" t="s">
        <v>27</v>
      </c>
      <c r="B317" s="184" t="s">
        <v>995</v>
      </c>
      <c r="C317" s="184" t="s">
        <v>996</v>
      </c>
      <c r="D317" s="183" t="s">
        <v>26</v>
      </c>
      <c r="E317" s="184" t="s">
        <v>47</v>
      </c>
      <c r="F317" s="184" t="s">
        <v>43</v>
      </c>
      <c r="G317" s="204">
        <v>2020</v>
      </c>
      <c r="H317" s="203">
        <v>15</v>
      </c>
      <c r="I317" s="205">
        <v>30.259403608239747</v>
      </c>
      <c r="J317" s="205">
        <v>0.95</v>
      </c>
      <c r="K317" s="184">
        <v>1</v>
      </c>
      <c r="L317" s="184">
        <v>0.1</v>
      </c>
      <c r="M317" s="184">
        <v>0.1</v>
      </c>
      <c r="N317" s="184">
        <v>0.1</v>
      </c>
      <c r="O317" s="184">
        <v>0.1</v>
      </c>
      <c r="P317" s="184">
        <v>0.1</v>
      </c>
      <c r="Q317" s="184"/>
      <c r="R317" s="184">
        <v>0.18</v>
      </c>
      <c r="S317" s="879"/>
      <c r="T317" s="879"/>
      <c r="U317" s="879"/>
      <c r="V317" s="879"/>
      <c r="W317" s="879"/>
      <c r="X317" s="879"/>
      <c r="Y317" s="879"/>
      <c r="Z317" s="879"/>
      <c r="AA317" s="879"/>
      <c r="AB317" s="879"/>
      <c r="AC317" s="879"/>
      <c r="AD317" s="879"/>
      <c r="AE317" s="879"/>
      <c r="AF317" s="879"/>
      <c r="AG317" s="879"/>
      <c r="AH317" s="879"/>
      <c r="AI317" s="879">
        <v>0</v>
      </c>
      <c r="AJ317" s="879">
        <v>0</v>
      </c>
      <c r="AK317" s="879"/>
      <c r="AL317" s="879"/>
      <c r="AM317" s="879"/>
      <c r="AN317" s="879"/>
      <c r="AO317" s="879"/>
      <c r="AP317" s="879"/>
      <c r="AQ317" s="879"/>
      <c r="AR317" s="879"/>
    </row>
    <row r="318" spans="1:44" x14ac:dyDescent="0.2">
      <c r="A318" s="184" t="s">
        <v>27</v>
      </c>
      <c r="B318" s="184" t="s">
        <v>997</v>
      </c>
      <c r="C318" s="184" t="s">
        <v>998</v>
      </c>
      <c r="D318" s="183" t="s">
        <v>26</v>
      </c>
      <c r="E318" s="184" t="s">
        <v>47</v>
      </c>
      <c r="F318" s="184" t="s">
        <v>43</v>
      </c>
      <c r="G318" s="204">
        <v>2030</v>
      </c>
      <c r="H318" s="203">
        <v>15</v>
      </c>
      <c r="I318" s="205">
        <v>15.129701804119874</v>
      </c>
      <c r="J318" s="205">
        <v>0.93</v>
      </c>
      <c r="K318" s="184">
        <v>1</v>
      </c>
      <c r="L318" s="184">
        <v>0.1</v>
      </c>
      <c r="M318" s="184">
        <v>0.1</v>
      </c>
      <c r="N318" s="184">
        <v>0.1</v>
      </c>
      <c r="O318" s="184">
        <v>0.1</v>
      </c>
      <c r="P318" s="184">
        <v>0.1</v>
      </c>
      <c r="Q318" s="184"/>
      <c r="R318" s="184">
        <v>0.18</v>
      </c>
      <c r="S318" s="879"/>
      <c r="T318" s="879"/>
      <c r="U318" s="879"/>
      <c r="V318" s="879"/>
      <c r="W318" s="879"/>
      <c r="X318" s="879"/>
      <c r="Y318" s="879"/>
      <c r="Z318" s="879"/>
      <c r="AA318" s="879"/>
      <c r="AB318" s="879"/>
      <c r="AC318" s="879"/>
      <c r="AD318" s="879"/>
      <c r="AE318" s="879"/>
      <c r="AF318" s="879"/>
      <c r="AG318" s="879"/>
      <c r="AH318" s="879"/>
      <c r="AI318" s="879">
        <v>0</v>
      </c>
      <c r="AJ318" s="879">
        <v>0</v>
      </c>
      <c r="AK318" s="879"/>
      <c r="AL318" s="879"/>
      <c r="AM318" s="879"/>
      <c r="AN318" s="879"/>
      <c r="AO318" s="879"/>
      <c r="AP318" s="879"/>
      <c r="AQ318" s="879"/>
      <c r="AR318" s="879"/>
    </row>
    <row r="319" spans="1:44" x14ac:dyDescent="0.2">
      <c r="A319" s="184" t="s">
        <v>27</v>
      </c>
      <c r="B319" s="184" t="s">
        <v>999</v>
      </c>
      <c r="C319" s="184" t="s">
        <v>1000</v>
      </c>
      <c r="D319" s="183" t="s">
        <v>26</v>
      </c>
      <c r="E319" s="184" t="s">
        <v>47</v>
      </c>
      <c r="F319" s="184" t="s">
        <v>43</v>
      </c>
      <c r="G319" s="204">
        <v>2030</v>
      </c>
      <c r="H319" s="203">
        <v>15</v>
      </c>
      <c r="I319" s="205">
        <v>30.259403608239747</v>
      </c>
      <c r="J319" s="205">
        <v>0.95</v>
      </c>
      <c r="K319" s="184">
        <v>1</v>
      </c>
      <c r="L319" s="184">
        <v>0.1</v>
      </c>
      <c r="M319" s="184">
        <v>0.1</v>
      </c>
      <c r="N319" s="184">
        <v>0.1</v>
      </c>
      <c r="O319" s="184">
        <v>0.1</v>
      </c>
      <c r="P319" s="184">
        <v>0.1</v>
      </c>
      <c r="Q319" s="184"/>
      <c r="R319" s="184">
        <v>0.18</v>
      </c>
      <c r="S319" s="879"/>
      <c r="T319" s="879"/>
      <c r="U319" s="879"/>
      <c r="V319" s="879"/>
      <c r="W319" s="879"/>
      <c r="X319" s="879"/>
      <c r="Y319" s="879"/>
      <c r="Z319" s="879"/>
      <c r="AA319" s="879"/>
      <c r="AB319" s="879"/>
      <c r="AC319" s="879"/>
      <c r="AD319" s="879"/>
      <c r="AE319" s="879"/>
      <c r="AF319" s="879"/>
      <c r="AG319" s="879"/>
      <c r="AH319" s="879"/>
      <c r="AI319" s="879">
        <v>0</v>
      </c>
      <c r="AJ319" s="879">
        <v>0</v>
      </c>
      <c r="AK319" s="879"/>
      <c r="AL319" s="879"/>
      <c r="AM319" s="879"/>
      <c r="AN319" s="879"/>
      <c r="AO319" s="879"/>
      <c r="AP319" s="879"/>
      <c r="AQ319" s="879"/>
      <c r="AR319" s="879"/>
    </row>
    <row r="320" spans="1:44" x14ac:dyDescent="0.2">
      <c r="A320" s="184" t="s">
        <v>27</v>
      </c>
      <c r="B320" s="184" t="s">
        <v>1001</v>
      </c>
      <c r="C320" s="184" t="s">
        <v>1002</v>
      </c>
      <c r="D320" s="183" t="s">
        <v>26</v>
      </c>
      <c r="E320" s="184" t="s">
        <v>47</v>
      </c>
      <c r="F320" s="184" t="s">
        <v>43</v>
      </c>
      <c r="G320" s="204">
        <v>2040</v>
      </c>
      <c r="H320" s="203">
        <v>15</v>
      </c>
      <c r="I320" s="205">
        <v>15.129701804119874</v>
      </c>
      <c r="J320" s="205">
        <v>0.93</v>
      </c>
      <c r="K320" s="184">
        <v>1</v>
      </c>
      <c r="L320" s="184">
        <v>0.1</v>
      </c>
      <c r="M320" s="184">
        <v>0.1</v>
      </c>
      <c r="N320" s="184">
        <v>0.1</v>
      </c>
      <c r="O320" s="184">
        <v>0.1</v>
      </c>
      <c r="P320" s="184">
        <v>0.1</v>
      </c>
      <c r="Q320" s="184"/>
      <c r="R320" s="184">
        <v>0.18</v>
      </c>
      <c r="S320" s="879"/>
      <c r="T320" s="879"/>
      <c r="U320" s="879"/>
      <c r="V320" s="879"/>
      <c r="W320" s="879"/>
      <c r="X320" s="879"/>
      <c r="Y320" s="879"/>
      <c r="Z320" s="879"/>
      <c r="AA320" s="879"/>
      <c r="AB320" s="879"/>
      <c r="AC320" s="879"/>
      <c r="AD320" s="879"/>
      <c r="AE320" s="879"/>
      <c r="AF320" s="879"/>
      <c r="AG320" s="879"/>
      <c r="AH320" s="879"/>
      <c r="AI320" s="879">
        <v>0</v>
      </c>
      <c r="AJ320" s="879">
        <v>0</v>
      </c>
      <c r="AK320" s="879"/>
      <c r="AL320" s="879"/>
      <c r="AM320" s="879"/>
      <c r="AN320" s="879"/>
      <c r="AO320" s="879"/>
      <c r="AP320" s="879"/>
      <c r="AQ320" s="879"/>
      <c r="AR320" s="879"/>
    </row>
    <row r="321" spans="1:44" x14ac:dyDescent="0.2">
      <c r="A321" s="184" t="s">
        <v>27</v>
      </c>
      <c r="B321" s="184" t="s">
        <v>1003</v>
      </c>
      <c r="C321" s="184" t="s">
        <v>1004</v>
      </c>
      <c r="D321" s="183" t="s">
        <v>26</v>
      </c>
      <c r="E321" s="184" t="s">
        <v>47</v>
      </c>
      <c r="F321" s="184" t="s">
        <v>43</v>
      </c>
      <c r="G321" s="204">
        <v>2040</v>
      </c>
      <c r="H321" s="203">
        <v>15</v>
      </c>
      <c r="I321" s="205">
        <v>30.259403608239747</v>
      </c>
      <c r="J321" s="205">
        <v>0.95</v>
      </c>
      <c r="K321" s="184">
        <v>1</v>
      </c>
      <c r="L321" s="184">
        <v>0.1</v>
      </c>
      <c r="M321" s="184">
        <v>0.1</v>
      </c>
      <c r="N321" s="184">
        <v>0.1</v>
      </c>
      <c r="O321" s="184">
        <v>0.1</v>
      </c>
      <c r="P321" s="184">
        <v>0.1</v>
      </c>
      <c r="Q321" s="184"/>
      <c r="R321" s="184">
        <v>0.18</v>
      </c>
      <c r="S321" s="879"/>
      <c r="T321" s="879"/>
      <c r="U321" s="879"/>
      <c r="V321" s="879"/>
      <c r="W321" s="879"/>
      <c r="X321" s="879"/>
      <c r="Y321" s="879"/>
      <c r="Z321" s="879"/>
      <c r="AA321" s="879"/>
      <c r="AB321" s="879"/>
      <c r="AC321" s="879"/>
      <c r="AD321" s="879"/>
      <c r="AE321" s="879"/>
      <c r="AF321" s="879"/>
      <c r="AG321" s="879"/>
      <c r="AH321" s="879"/>
      <c r="AI321" s="879">
        <v>0</v>
      </c>
      <c r="AJ321" s="879">
        <v>0</v>
      </c>
      <c r="AK321" s="879"/>
      <c r="AL321" s="879"/>
      <c r="AM321" s="879"/>
      <c r="AN321" s="879"/>
      <c r="AO321" s="879"/>
      <c r="AP321" s="879"/>
      <c r="AQ321" s="879"/>
      <c r="AR321" s="879"/>
    </row>
    <row r="322" spans="1:44" x14ac:dyDescent="0.2">
      <c r="A322" s="184" t="s">
        <v>27</v>
      </c>
      <c r="B322" s="184" t="s">
        <v>1005</v>
      </c>
      <c r="C322" s="184" t="s">
        <v>1006</v>
      </c>
      <c r="D322" s="183" t="s">
        <v>26</v>
      </c>
      <c r="E322" s="184" t="s">
        <v>47</v>
      </c>
      <c r="F322" s="184" t="s">
        <v>43</v>
      </c>
      <c r="G322" s="204">
        <v>2050</v>
      </c>
      <c r="H322" s="203">
        <v>15</v>
      </c>
      <c r="I322" s="205">
        <v>15.129701804119874</v>
      </c>
      <c r="J322" s="205">
        <v>0.93</v>
      </c>
      <c r="K322" s="184">
        <v>1</v>
      </c>
      <c r="L322" s="184">
        <v>0.1</v>
      </c>
      <c r="M322" s="184">
        <v>0.1</v>
      </c>
      <c r="N322" s="184">
        <v>0.1</v>
      </c>
      <c r="O322" s="184">
        <v>0.1</v>
      </c>
      <c r="P322" s="184">
        <v>0.1</v>
      </c>
      <c r="Q322" s="184"/>
      <c r="R322" s="184">
        <v>0.18</v>
      </c>
      <c r="S322" s="879"/>
      <c r="T322" s="879"/>
      <c r="U322" s="879"/>
      <c r="V322" s="879"/>
      <c r="W322" s="879"/>
      <c r="X322" s="879"/>
      <c r="Y322" s="879"/>
      <c r="Z322" s="879"/>
      <c r="AA322" s="879"/>
      <c r="AB322" s="879"/>
      <c r="AC322" s="879"/>
      <c r="AD322" s="879"/>
      <c r="AE322" s="879"/>
      <c r="AF322" s="879"/>
      <c r="AG322" s="879"/>
      <c r="AH322" s="879"/>
      <c r="AI322" s="879">
        <v>0</v>
      </c>
      <c r="AJ322" s="879">
        <v>0</v>
      </c>
      <c r="AK322" s="879"/>
      <c r="AL322" s="879"/>
      <c r="AM322" s="879"/>
      <c r="AN322" s="879"/>
      <c r="AO322" s="879"/>
      <c r="AP322" s="879"/>
      <c r="AQ322" s="879"/>
      <c r="AR322" s="879"/>
    </row>
    <row r="323" spans="1:44" x14ac:dyDescent="0.2">
      <c r="A323" s="184" t="s">
        <v>27</v>
      </c>
      <c r="B323" s="184" t="s">
        <v>1007</v>
      </c>
      <c r="C323" s="184" t="s">
        <v>1008</v>
      </c>
      <c r="D323" s="183" t="s">
        <v>26</v>
      </c>
      <c r="E323" s="184" t="s">
        <v>47</v>
      </c>
      <c r="F323" s="184" t="s">
        <v>43</v>
      </c>
      <c r="G323" s="204">
        <v>2050</v>
      </c>
      <c r="H323" s="203">
        <v>15</v>
      </c>
      <c r="I323" s="205">
        <v>30.259403608239747</v>
      </c>
      <c r="J323" s="205">
        <v>0.95</v>
      </c>
      <c r="K323" s="184">
        <v>1</v>
      </c>
      <c r="L323" s="184">
        <v>0.1</v>
      </c>
      <c r="M323" s="184">
        <v>0.1</v>
      </c>
      <c r="N323" s="184">
        <v>0.1</v>
      </c>
      <c r="O323" s="184">
        <v>0.1</v>
      </c>
      <c r="P323" s="184">
        <v>0.1</v>
      </c>
      <c r="Q323" s="184"/>
      <c r="R323" s="184">
        <v>0.18</v>
      </c>
      <c r="S323" s="879"/>
      <c r="T323" s="879"/>
      <c r="U323" s="879"/>
      <c r="V323" s="879"/>
      <c r="W323" s="879"/>
      <c r="X323" s="879"/>
      <c r="Y323" s="879"/>
      <c r="Z323" s="879"/>
      <c r="AA323" s="879"/>
      <c r="AB323" s="879"/>
      <c r="AC323" s="879"/>
      <c r="AD323" s="879"/>
      <c r="AE323" s="879"/>
      <c r="AF323" s="879"/>
      <c r="AG323" s="879"/>
      <c r="AH323" s="879"/>
      <c r="AI323" s="879">
        <v>0</v>
      </c>
      <c r="AJ323" s="879">
        <v>0</v>
      </c>
      <c r="AK323" s="879"/>
      <c r="AL323" s="879"/>
      <c r="AM323" s="879"/>
      <c r="AN323" s="879"/>
      <c r="AO323" s="879"/>
      <c r="AP323" s="879"/>
      <c r="AQ323" s="879"/>
      <c r="AR323" s="879"/>
    </row>
    <row r="324" spans="1:44" x14ac:dyDescent="0.2">
      <c r="A324" s="194" t="s">
        <v>551</v>
      </c>
      <c r="B324" s="192"/>
      <c r="C324" s="192"/>
      <c r="D324" s="192"/>
      <c r="E324" s="194"/>
      <c r="F324" s="194"/>
      <c r="G324" s="872"/>
      <c r="H324" s="873"/>
      <c r="I324" s="873"/>
      <c r="J324" s="874"/>
      <c r="K324" s="873"/>
      <c r="L324" s="873"/>
      <c r="M324" s="873"/>
      <c r="N324" s="873"/>
      <c r="O324" s="873"/>
      <c r="P324" s="873"/>
      <c r="Q324" s="873"/>
      <c r="R324" s="874"/>
      <c r="S324" s="875"/>
      <c r="T324" s="875"/>
      <c r="U324" s="875"/>
      <c r="V324" s="875"/>
      <c r="W324" s="875"/>
      <c r="X324" s="875"/>
      <c r="Y324" s="875"/>
      <c r="Z324" s="875"/>
      <c r="AA324" s="875"/>
      <c r="AB324" s="875"/>
      <c r="AC324" s="875"/>
      <c r="AD324" s="875"/>
      <c r="AE324" s="875"/>
      <c r="AF324" s="875"/>
      <c r="AG324" s="875"/>
      <c r="AH324" s="875"/>
      <c r="AI324" s="875"/>
      <c r="AJ324" s="875"/>
      <c r="AK324" s="875"/>
      <c r="AL324" s="875"/>
      <c r="AM324" s="875"/>
      <c r="AN324" s="875"/>
      <c r="AO324" s="875"/>
      <c r="AP324" s="875"/>
      <c r="AQ324" s="875"/>
      <c r="AR324" s="877"/>
    </row>
    <row r="325" spans="1:44" x14ac:dyDescent="0.2">
      <c r="A325" s="184" t="s">
        <v>27</v>
      </c>
      <c r="B325" s="184" t="s">
        <v>1009</v>
      </c>
      <c r="C325" s="184" t="s">
        <v>1010</v>
      </c>
      <c r="D325" s="183" t="s">
        <v>26</v>
      </c>
      <c r="E325" s="184" t="s">
        <v>56</v>
      </c>
      <c r="F325" s="184" t="s">
        <v>43</v>
      </c>
      <c r="G325" s="204">
        <v>2010</v>
      </c>
      <c r="H325" s="203">
        <v>10</v>
      </c>
      <c r="I325" s="205"/>
      <c r="J325" s="205">
        <v>0.54500001668930098</v>
      </c>
      <c r="K325" s="184">
        <v>1</v>
      </c>
      <c r="L325" s="184">
        <v>0.1</v>
      </c>
      <c r="M325" s="184">
        <v>0.1</v>
      </c>
      <c r="N325" s="184">
        <v>0.1</v>
      </c>
      <c r="O325" s="184">
        <v>0.1</v>
      </c>
      <c r="P325" s="184">
        <v>0.1</v>
      </c>
      <c r="Q325" s="184"/>
      <c r="R325" s="184">
        <v>0.18</v>
      </c>
      <c r="S325" s="878"/>
      <c r="T325" s="878"/>
      <c r="U325" s="878"/>
      <c r="V325" s="878"/>
      <c r="W325" s="878"/>
      <c r="X325" s="878"/>
      <c r="Y325" s="878"/>
      <c r="Z325" s="878"/>
      <c r="AA325" s="878"/>
      <c r="AB325" s="878"/>
      <c r="AC325" s="878"/>
      <c r="AD325" s="878"/>
      <c r="AE325" s="878"/>
      <c r="AF325" s="878"/>
      <c r="AG325" s="878"/>
      <c r="AH325" s="878"/>
      <c r="AI325" s="879">
        <v>0</v>
      </c>
      <c r="AJ325" s="879">
        <v>0</v>
      </c>
      <c r="AK325" s="879">
        <v>0</v>
      </c>
      <c r="AL325" s="879">
        <v>0</v>
      </c>
      <c r="AM325" s="879">
        <v>0</v>
      </c>
      <c r="AN325" s="879">
        <v>0</v>
      </c>
      <c r="AO325" s="879">
        <v>0</v>
      </c>
      <c r="AP325" s="879">
        <v>0</v>
      </c>
      <c r="AQ325" s="879">
        <v>0</v>
      </c>
      <c r="AR325" s="879">
        <v>0</v>
      </c>
    </row>
    <row r="326" spans="1:44" x14ac:dyDescent="0.2">
      <c r="A326" s="184" t="s">
        <v>27</v>
      </c>
      <c r="B326" s="184" t="s">
        <v>1011</v>
      </c>
      <c r="C326" s="184" t="s">
        <v>1012</v>
      </c>
      <c r="D326" s="183" t="s">
        <v>26</v>
      </c>
      <c r="E326" s="184" t="s">
        <v>56</v>
      </c>
      <c r="F326" s="184" t="s">
        <v>43</v>
      </c>
      <c r="G326" s="204" t="s">
        <v>633</v>
      </c>
      <c r="H326" s="203">
        <v>10</v>
      </c>
      <c r="I326" s="205">
        <v>17.782952946438755</v>
      </c>
      <c r="J326" s="205">
        <v>0.62</v>
      </c>
      <c r="K326" s="184">
        <v>1</v>
      </c>
      <c r="L326" s="184">
        <v>0.1</v>
      </c>
      <c r="M326" s="184">
        <v>0.1</v>
      </c>
      <c r="N326" s="184">
        <v>0.1</v>
      </c>
      <c r="O326" s="184">
        <v>0.1</v>
      </c>
      <c r="P326" s="184">
        <v>0.1</v>
      </c>
      <c r="Q326" s="184"/>
      <c r="R326" s="184">
        <v>0.18</v>
      </c>
      <c r="S326" s="879"/>
      <c r="T326" s="879"/>
      <c r="U326" s="879"/>
      <c r="V326" s="879"/>
      <c r="W326" s="879"/>
      <c r="X326" s="879"/>
      <c r="Y326" s="879"/>
      <c r="Z326" s="879"/>
      <c r="AA326" s="879"/>
      <c r="AB326" s="879"/>
      <c r="AC326" s="879"/>
      <c r="AD326" s="879"/>
      <c r="AE326" s="879"/>
      <c r="AF326" s="879"/>
      <c r="AG326" s="879"/>
      <c r="AH326" s="879"/>
      <c r="AI326" s="879">
        <v>0</v>
      </c>
      <c r="AJ326" s="879"/>
      <c r="AK326" s="879"/>
      <c r="AL326" s="879"/>
      <c r="AM326" s="879"/>
      <c r="AN326" s="879"/>
      <c r="AO326" s="879"/>
      <c r="AP326" s="879"/>
      <c r="AQ326" s="879"/>
      <c r="AR326" s="879"/>
    </row>
    <row r="327" spans="1:44" x14ac:dyDescent="0.2">
      <c r="A327" s="184" t="s">
        <v>27</v>
      </c>
      <c r="B327" s="184" t="s">
        <v>1013</v>
      </c>
      <c r="C327" s="184" t="s">
        <v>1014</v>
      </c>
      <c r="D327" s="183" t="s">
        <v>26</v>
      </c>
      <c r="E327" s="184" t="s">
        <v>56</v>
      </c>
      <c r="F327" s="184" t="s">
        <v>43</v>
      </c>
      <c r="G327" s="204" t="s">
        <v>633</v>
      </c>
      <c r="H327" s="203">
        <v>10</v>
      </c>
      <c r="I327" s="205">
        <v>19.053163871184381</v>
      </c>
      <c r="J327" s="205">
        <v>0.68</v>
      </c>
      <c r="K327" s="184">
        <v>1</v>
      </c>
      <c r="L327" s="184">
        <v>0.1</v>
      </c>
      <c r="M327" s="184">
        <v>0.1</v>
      </c>
      <c r="N327" s="184">
        <v>0.1</v>
      </c>
      <c r="O327" s="184">
        <v>0.1</v>
      </c>
      <c r="P327" s="184">
        <v>0.1</v>
      </c>
      <c r="Q327" s="184"/>
      <c r="R327" s="184">
        <v>0.18</v>
      </c>
      <c r="S327" s="879"/>
      <c r="T327" s="879"/>
      <c r="U327" s="879"/>
      <c r="V327" s="879"/>
      <c r="W327" s="879"/>
      <c r="X327" s="879"/>
      <c r="Y327" s="879"/>
      <c r="Z327" s="879"/>
      <c r="AA327" s="879"/>
      <c r="AB327" s="879"/>
      <c r="AC327" s="879"/>
      <c r="AD327" s="879"/>
      <c r="AE327" s="879"/>
      <c r="AF327" s="879"/>
      <c r="AG327" s="879"/>
      <c r="AH327" s="879"/>
      <c r="AI327" s="879">
        <v>0</v>
      </c>
      <c r="AJ327" s="879"/>
      <c r="AK327" s="879"/>
      <c r="AL327" s="879"/>
      <c r="AM327" s="879"/>
      <c r="AN327" s="879"/>
      <c r="AO327" s="879"/>
      <c r="AP327" s="879"/>
      <c r="AQ327" s="879"/>
      <c r="AR327" s="879"/>
    </row>
    <row r="328" spans="1:44" x14ac:dyDescent="0.2">
      <c r="A328" s="194" t="s">
        <v>561</v>
      </c>
      <c r="B328" s="192"/>
      <c r="C328" s="192"/>
      <c r="D328" s="192"/>
      <c r="E328" s="194"/>
      <c r="F328" s="194"/>
      <c r="G328" s="872"/>
      <c r="H328" s="873"/>
      <c r="I328" s="873"/>
      <c r="J328" s="874"/>
      <c r="K328" s="873"/>
      <c r="L328" s="873"/>
      <c r="M328" s="873"/>
      <c r="N328" s="873"/>
      <c r="O328" s="873"/>
      <c r="P328" s="873"/>
      <c r="Q328" s="873"/>
      <c r="R328" s="874"/>
      <c r="S328" s="875"/>
      <c r="T328" s="875"/>
      <c r="U328" s="875"/>
      <c r="V328" s="875"/>
      <c r="W328" s="875"/>
      <c r="X328" s="875"/>
      <c r="Y328" s="875"/>
      <c r="Z328" s="875"/>
      <c r="AA328" s="875"/>
      <c r="AB328" s="875"/>
      <c r="AC328" s="875"/>
      <c r="AD328" s="875"/>
      <c r="AE328" s="875"/>
      <c r="AF328" s="875"/>
      <c r="AG328" s="875"/>
      <c r="AH328" s="875"/>
      <c r="AI328" s="875"/>
      <c r="AJ328" s="875"/>
      <c r="AK328" s="875"/>
      <c r="AL328" s="875"/>
      <c r="AM328" s="875"/>
      <c r="AN328" s="875"/>
      <c r="AO328" s="875"/>
      <c r="AP328" s="875"/>
      <c r="AQ328" s="875"/>
      <c r="AR328" s="877"/>
    </row>
    <row r="329" spans="1:44" x14ac:dyDescent="0.2">
      <c r="A329" s="184" t="s">
        <v>27</v>
      </c>
      <c r="B329" s="184" t="s">
        <v>1015</v>
      </c>
      <c r="C329" s="184" t="s">
        <v>1016</v>
      </c>
      <c r="D329" s="183" t="s">
        <v>26</v>
      </c>
      <c r="E329" s="184" t="s">
        <v>61</v>
      </c>
      <c r="F329" s="184" t="s">
        <v>43</v>
      </c>
      <c r="G329" s="204">
        <v>2010</v>
      </c>
      <c r="H329" s="203">
        <v>10</v>
      </c>
      <c r="I329" s="205"/>
      <c r="J329" s="205">
        <v>0.57480001449585005</v>
      </c>
      <c r="K329" s="184">
        <v>1</v>
      </c>
      <c r="L329" s="184">
        <v>0.1</v>
      </c>
      <c r="M329" s="184">
        <v>0.1</v>
      </c>
      <c r="N329" s="184">
        <v>0.1</v>
      </c>
      <c r="O329" s="184">
        <v>0.1</v>
      </c>
      <c r="P329" s="184">
        <v>0.1</v>
      </c>
      <c r="Q329" s="184"/>
      <c r="R329" s="184">
        <v>0.45</v>
      </c>
      <c r="S329" s="878"/>
      <c r="T329" s="878"/>
      <c r="U329" s="878"/>
      <c r="V329" s="878"/>
      <c r="W329" s="878"/>
      <c r="X329" s="878"/>
      <c r="Y329" s="878"/>
      <c r="Z329" s="878"/>
      <c r="AA329" s="878"/>
      <c r="AB329" s="878"/>
      <c r="AC329" s="878"/>
      <c r="AD329" s="878"/>
      <c r="AE329" s="878"/>
      <c r="AF329" s="878"/>
      <c r="AG329" s="878"/>
      <c r="AH329" s="878"/>
      <c r="AI329" s="879">
        <v>0</v>
      </c>
      <c r="AJ329" s="879">
        <v>0</v>
      </c>
      <c r="AK329" s="879">
        <v>0</v>
      </c>
      <c r="AL329" s="879">
        <v>0</v>
      </c>
      <c r="AM329" s="879">
        <v>0</v>
      </c>
      <c r="AN329" s="879">
        <v>0</v>
      </c>
      <c r="AO329" s="879">
        <v>0</v>
      </c>
      <c r="AP329" s="879">
        <v>0</v>
      </c>
      <c r="AQ329" s="879">
        <v>0</v>
      </c>
      <c r="AR329" s="879">
        <v>0</v>
      </c>
    </row>
    <row r="330" spans="1:44" x14ac:dyDescent="0.2">
      <c r="A330" s="184" t="s">
        <v>27</v>
      </c>
      <c r="B330" s="184" t="s">
        <v>1017</v>
      </c>
      <c r="C330" s="184" t="s">
        <v>1018</v>
      </c>
      <c r="D330" s="183" t="s">
        <v>26</v>
      </c>
      <c r="E330" s="184" t="s">
        <v>61</v>
      </c>
      <c r="F330" s="184" t="s">
        <v>43</v>
      </c>
      <c r="G330" s="204" t="s">
        <v>633</v>
      </c>
      <c r="H330" s="203">
        <v>10</v>
      </c>
      <c r="I330" s="205">
        <v>7.6212655484737528</v>
      </c>
      <c r="J330" s="205">
        <v>0.59</v>
      </c>
      <c r="K330" s="184">
        <v>1</v>
      </c>
      <c r="L330" s="184">
        <v>0.1</v>
      </c>
      <c r="M330" s="184">
        <v>0.1</v>
      </c>
      <c r="N330" s="184">
        <v>0.1</v>
      </c>
      <c r="O330" s="184">
        <v>0.1</v>
      </c>
      <c r="P330" s="184">
        <v>0.1</v>
      </c>
      <c r="Q330" s="184"/>
      <c r="R330" s="184">
        <v>0.45</v>
      </c>
      <c r="S330" s="879"/>
      <c r="T330" s="879"/>
      <c r="U330" s="879"/>
      <c r="V330" s="879"/>
      <c r="W330" s="879"/>
      <c r="X330" s="879"/>
      <c r="Y330" s="879"/>
      <c r="Z330" s="879"/>
      <c r="AA330" s="879"/>
      <c r="AB330" s="879"/>
      <c r="AC330" s="879"/>
      <c r="AD330" s="879"/>
      <c r="AE330" s="879"/>
      <c r="AF330" s="879"/>
      <c r="AG330" s="879"/>
      <c r="AH330" s="879"/>
      <c r="AI330" s="879"/>
      <c r="AJ330" s="879"/>
      <c r="AK330" s="879">
        <v>0</v>
      </c>
      <c r="AL330" s="879">
        <v>0</v>
      </c>
      <c r="AM330" s="879">
        <v>0</v>
      </c>
      <c r="AN330" s="879">
        <v>0</v>
      </c>
      <c r="AO330" s="879">
        <v>0</v>
      </c>
      <c r="AP330" s="879">
        <v>0</v>
      </c>
      <c r="AQ330" s="879">
        <v>0</v>
      </c>
      <c r="AR330" s="879">
        <v>0</v>
      </c>
    </row>
    <row r="331" spans="1:44" x14ac:dyDescent="0.2">
      <c r="A331" s="184" t="s">
        <v>27</v>
      </c>
      <c r="B331" s="184" t="s">
        <v>1019</v>
      </c>
      <c r="C331" s="184" t="s">
        <v>1020</v>
      </c>
      <c r="D331" s="183" t="s">
        <v>26</v>
      </c>
      <c r="E331" s="184" t="s">
        <v>61</v>
      </c>
      <c r="F331" s="184" t="s">
        <v>43</v>
      </c>
      <c r="G331" s="204" t="s">
        <v>615</v>
      </c>
      <c r="H331" s="203">
        <v>10</v>
      </c>
      <c r="I331" s="205">
        <v>7.7906270051065025</v>
      </c>
      <c r="J331" s="205">
        <v>0.62</v>
      </c>
      <c r="K331" s="184">
        <v>1</v>
      </c>
      <c r="L331" s="184">
        <v>0.1</v>
      </c>
      <c r="M331" s="184">
        <v>0.1</v>
      </c>
      <c r="N331" s="184">
        <v>0.1</v>
      </c>
      <c r="O331" s="184">
        <v>0.1</v>
      </c>
      <c r="P331" s="184">
        <v>0.1</v>
      </c>
      <c r="Q331" s="184"/>
      <c r="R331" s="184">
        <v>0.45</v>
      </c>
      <c r="S331" s="879"/>
      <c r="T331" s="879"/>
      <c r="U331" s="879"/>
      <c r="V331" s="879"/>
      <c r="W331" s="879"/>
      <c r="X331" s="879"/>
      <c r="Y331" s="879"/>
      <c r="Z331" s="879"/>
      <c r="AA331" s="879"/>
      <c r="AB331" s="879"/>
      <c r="AC331" s="879"/>
      <c r="AD331" s="879"/>
      <c r="AE331" s="879"/>
      <c r="AF331" s="879"/>
      <c r="AG331" s="879"/>
      <c r="AH331" s="879"/>
      <c r="AI331" s="879"/>
      <c r="AJ331" s="879"/>
      <c r="AK331" s="879"/>
      <c r="AL331" s="879"/>
      <c r="AM331" s="879"/>
      <c r="AN331" s="879"/>
      <c r="AO331" s="879"/>
      <c r="AP331" s="879"/>
      <c r="AQ331" s="879"/>
      <c r="AR331" s="879"/>
    </row>
    <row r="332" spans="1:44" x14ac:dyDescent="0.2">
      <c r="A332" s="184" t="s">
        <v>27</v>
      </c>
      <c r="B332" s="184" t="s">
        <v>1021</v>
      </c>
      <c r="C332" s="184" t="s">
        <v>1022</v>
      </c>
      <c r="D332" s="183" t="s">
        <v>26</v>
      </c>
      <c r="E332" s="184" t="s">
        <v>61</v>
      </c>
      <c r="F332" s="184" t="s">
        <v>43</v>
      </c>
      <c r="G332" s="204" t="s">
        <v>633</v>
      </c>
      <c r="H332" s="203">
        <v>10</v>
      </c>
      <c r="I332" s="205">
        <v>10.585091039546878</v>
      </c>
      <c r="J332" s="205">
        <v>0.67</v>
      </c>
      <c r="K332" s="184">
        <v>1</v>
      </c>
      <c r="L332" s="184">
        <v>0.1</v>
      </c>
      <c r="M332" s="184">
        <v>0.1</v>
      </c>
      <c r="N332" s="184">
        <v>0.1</v>
      </c>
      <c r="O332" s="184">
        <v>0.1</v>
      </c>
      <c r="P332" s="184">
        <v>0.1</v>
      </c>
      <c r="Q332" s="184"/>
      <c r="R332" s="184">
        <v>0.45</v>
      </c>
      <c r="S332" s="879"/>
      <c r="T332" s="879"/>
      <c r="U332" s="879"/>
      <c r="V332" s="879"/>
      <c r="W332" s="879"/>
      <c r="X332" s="879"/>
      <c r="Y332" s="879"/>
      <c r="Z332" s="879"/>
      <c r="AA332" s="879"/>
      <c r="AB332" s="879"/>
      <c r="AC332" s="879"/>
      <c r="AD332" s="879"/>
      <c r="AE332" s="879"/>
      <c r="AF332" s="879"/>
      <c r="AG332" s="879"/>
      <c r="AH332" s="879"/>
      <c r="AI332" s="879"/>
      <c r="AJ332" s="879"/>
      <c r="AK332" s="879"/>
      <c r="AL332" s="879"/>
      <c r="AM332" s="879"/>
      <c r="AN332" s="879"/>
      <c r="AO332" s="879"/>
      <c r="AP332" s="879"/>
      <c r="AQ332" s="879"/>
      <c r="AR332" s="879"/>
    </row>
    <row r="333" spans="1:44" x14ac:dyDescent="0.2">
      <c r="A333" s="184" t="s">
        <v>27</v>
      </c>
      <c r="B333" s="184" t="s">
        <v>1023</v>
      </c>
      <c r="C333" s="184" t="s">
        <v>1024</v>
      </c>
      <c r="D333" s="183" t="s">
        <v>26</v>
      </c>
      <c r="E333" s="184" t="s">
        <v>61</v>
      </c>
      <c r="F333" s="184" t="s">
        <v>43</v>
      </c>
      <c r="G333" s="204" t="s">
        <v>633</v>
      </c>
      <c r="H333" s="203">
        <v>10</v>
      </c>
      <c r="I333" s="205">
        <v>18.629760229602507</v>
      </c>
      <c r="J333" s="205">
        <v>0.82</v>
      </c>
      <c r="K333" s="184">
        <v>1</v>
      </c>
      <c r="L333" s="184">
        <v>0.1</v>
      </c>
      <c r="M333" s="184">
        <v>0.1</v>
      </c>
      <c r="N333" s="184">
        <v>0.1</v>
      </c>
      <c r="O333" s="184">
        <v>0.1</v>
      </c>
      <c r="P333" s="184">
        <v>0.1</v>
      </c>
      <c r="Q333" s="184"/>
      <c r="R333" s="184">
        <v>0.6</v>
      </c>
      <c r="S333" s="879"/>
      <c r="T333" s="879"/>
      <c r="U333" s="879"/>
      <c r="V333" s="879"/>
      <c r="W333" s="879"/>
      <c r="X333" s="879"/>
      <c r="Y333" s="879"/>
      <c r="Z333" s="879"/>
      <c r="AA333" s="879"/>
      <c r="AB333" s="879"/>
      <c r="AC333" s="879"/>
      <c r="AD333" s="879"/>
      <c r="AE333" s="879"/>
      <c r="AF333" s="879"/>
      <c r="AG333" s="879"/>
      <c r="AH333" s="879"/>
      <c r="AI333" s="879"/>
      <c r="AJ333" s="879"/>
      <c r="AK333" s="879">
        <v>0</v>
      </c>
      <c r="AL333" s="879">
        <v>0</v>
      </c>
      <c r="AM333" s="879">
        <v>0</v>
      </c>
      <c r="AN333" s="879">
        <v>0</v>
      </c>
      <c r="AO333" s="879">
        <v>0</v>
      </c>
      <c r="AP333" s="879">
        <v>0</v>
      </c>
      <c r="AQ333" s="879">
        <v>0</v>
      </c>
      <c r="AR333" s="879">
        <v>0</v>
      </c>
    </row>
    <row r="334" spans="1:44" x14ac:dyDescent="0.2">
      <c r="A334" s="184" t="s">
        <v>27</v>
      </c>
      <c r="B334" s="184" t="s">
        <v>1025</v>
      </c>
      <c r="C334" s="184" t="s">
        <v>1026</v>
      </c>
      <c r="D334" s="183" t="s">
        <v>26</v>
      </c>
      <c r="E334" s="184" t="s">
        <v>61</v>
      </c>
      <c r="F334" s="184" t="s">
        <v>43</v>
      </c>
      <c r="G334" s="204" t="s">
        <v>620</v>
      </c>
      <c r="H334" s="203">
        <v>10</v>
      </c>
      <c r="I334" s="205">
        <v>17.782952946438755</v>
      </c>
      <c r="J334" s="205">
        <v>0.9</v>
      </c>
      <c r="K334" s="184">
        <v>1</v>
      </c>
      <c r="L334" s="184">
        <v>0.1</v>
      </c>
      <c r="M334" s="184">
        <v>0.1</v>
      </c>
      <c r="N334" s="184">
        <v>0.1</v>
      </c>
      <c r="O334" s="184">
        <v>0.1</v>
      </c>
      <c r="P334" s="184">
        <v>0.1</v>
      </c>
      <c r="Q334" s="184"/>
      <c r="R334" s="184">
        <v>0.6</v>
      </c>
      <c r="S334" s="879"/>
      <c r="T334" s="879"/>
      <c r="U334" s="879"/>
      <c r="V334" s="879"/>
      <c r="W334" s="879"/>
      <c r="X334" s="879"/>
      <c r="Y334" s="879"/>
      <c r="Z334" s="879"/>
      <c r="AA334" s="879"/>
      <c r="AB334" s="879"/>
      <c r="AC334" s="879"/>
      <c r="AD334" s="879"/>
      <c r="AE334" s="879"/>
      <c r="AF334" s="879"/>
      <c r="AG334" s="879"/>
      <c r="AH334" s="879"/>
      <c r="AI334" s="879"/>
      <c r="AJ334" s="879"/>
      <c r="AK334" s="879"/>
      <c r="AL334" s="879"/>
      <c r="AM334" s="879"/>
      <c r="AN334" s="879"/>
      <c r="AO334" s="879"/>
      <c r="AP334" s="879"/>
      <c r="AQ334" s="879"/>
      <c r="AR334" s="879"/>
    </row>
    <row r="335" spans="1:44" x14ac:dyDescent="0.2">
      <c r="A335" s="184" t="s">
        <v>27</v>
      </c>
      <c r="B335" s="184" t="s">
        <v>1027</v>
      </c>
      <c r="C335" s="184" t="s">
        <v>1028</v>
      </c>
      <c r="D335" s="183" t="s">
        <v>26</v>
      </c>
      <c r="E335" s="184" t="s">
        <v>61</v>
      </c>
      <c r="F335" s="184" t="s">
        <v>43</v>
      </c>
      <c r="G335" s="204" t="s">
        <v>633</v>
      </c>
      <c r="H335" s="203">
        <v>10</v>
      </c>
      <c r="I335" s="205">
        <v>13.548916530620005</v>
      </c>
      <c r="J335" s="205">
        <v>0.85</v>
      </c>
      <c r="K335" s="184">
        <v>1</v>
      </c>
      <c r="L335" s="184">
        <v>0.1</v>
      </c>
      <c r="M335" s="184">
        <v>0.1</v>
      </c>
      <c r="N335" s="184">
        <v>0.1</v>
      </c>
      <c r="O335" s="184">
        <v>0.1</v>
      </c>
      <c r="P335" s="184">
        <v>0.1</v>
      </c>
      <c r="Q335" s="184"/>
      <c r="R335" s="184">
        <v>0.6</v>
      </c>
      <c r="S335" s="879"/>
      <c r="T335" s="879"/>
      <c r="U335" s="879"/>
      <c r="V335" s="879"/>
      <c r="W335" s="879"/>
      <c r="X335" s="879"/>
      <c r="Y335" s="879"/>
      <c r="Z335" s="879"/>
      <c r="AA335" s="879"/>
      <c r="AB335" s="879"/>
      <c r="AC335" s="879"/>
      <c r="AD335" s="879"/>
      <c r="AE335" s="879"/>
      <c r="AF335" s="879"/>
      <c r="AG335" s="879"/>
      <c r="AH335" s="879"/>
      <c r="AI335" s="879"/>
      <c r="AJ335" s="879">
        <v>0</v>
      </c>
      <c r="AK335" s="879">
        <v>0</v>
      </c>
      <c r="AL335" s="879">
        <v>0</v>
      </c>
      <c r="AM335" s="879">
        <v>0</v>
      </c>
      <c r="AN335" s="879">
        <v>0</v>
      </c>
      <c r="AO335" s="879">
        <v>0</v>
      </c>
      <c r="AP335" s="879">
        <v>0</v>
      </c>
      <c r="AQ335" s="879">
        <v>0</v>
      </c>
      <c r="AR335" s="879">
        <v>0</v>
      </c>
    </row>
    <row r="336" spans="1:44" x14ac:dyDescent="0.2">
      <c r="A336" s="184" t="s">
        <v>27</v>
      </c>
      <c r="B336" s="184" t="s">
        <v>1029</v>
      </c>
      <c r="C336" s="184" t="s">
        <v>1030</v>
      </c>
      <c r="D336" s="183" t="s">
        <v>26</v>
      </c>
      <c r="E336" s="184" t="s">
        <v>61</v>
      </c>
      <c r="F336" s="184" t="s">
        <v>43</v>
      </c>
      <c r="G336" s="204" t="s">
        <v>620</v>
      </c>
      <c r="H336" s="203">
        <v>10</v>
      </c>
      <c r="I336" s="205">
        <v>18.206356588020633</v>
      </c>
      <c r="J336" s="205">
        <v>0.85</v>
      </c>
      <c r="K336" s="184">
        <v>1</v>
      </c>
      <c r="L336" s="184">
        <v>0.1</v>
      </c>
      <c r="M336" s="184">
        <v>0.1</v>
      </c>
      <c r="N336" s="184">
        <v>0.1</v>
      </c>
      <c r="O336" s="184">
        <v>0.1</v>
      </c>
      <c r="P336" s="184">
        <v>0.1</v>
      </c>
      <c r="Q336" s="184"/>
      <c r="R336" s="184">
        <v>0.6</v>
      </c>
      <c r="S336" s="879"/>
      <c r="T336" s="879"/>
      <c r="U336" s="879"/>
      <c r="V336" s="879"/>
      <c r="W336" s="879"/>
      <c r="X336" s="879"/>
      <c r="Y336" s="879"/>
      <c r="Z336" s="879"/>
      <c r="AA336" s="879"/>
      <c r="AB336" s="879"/>
      <c r="AC336" s="879"/>
      <c r="AD336" s="879"/>
      <c r="AE336" s="879"/>
      <c r="AF336" s="879"/>
      <c r="AG336" s="879"/>
      <c r="AH336" s="879"/>
      <c r="AI336" s="879"/>
      <c r="AJ336" s="879"/>
      <c r="AK336" s="879"/>
      <c r="AL336" s="879"/>
      <c r="AM336" s="879"/>
      <c r="AN336" s="879"/>
      <c r="AO336" s="879"/>
      <c r="AP336" s="879"/>
      <c r="AQ336" s="879"/>
      <c r="AR336" s="879"/>
    </row>
    <row r="337" spans="1:44" x14ac:dyDescent="0.2">
      <c r="A337" s="194" t="s">
        <v>399</v>
      </c>
      <c r="B337" s="192"/>
      <c r="C337" s="192"/>
      <c r="D337" s="192"/>
      <c r="E337" s="194"/>
      <c r="F337" s="194"/>
      <c r="G337" s="872"/>
      <c r="H337" s="873"/>
      <c r="I337" s="873"/>
      <c r="J337" s="874"/>
      <c r="K337" s="873"/>
      <c r="L337" s="873"/>
      <c r="M337" s="873"/>
      <c r="N337" s="873"/>
      <c r="O337" s="873"/>
      <c r="P337" s="873"/>
      <c r="Q337" s="873"/>
      <c r="R337" s="874"/>
      <c r="S337" s="875"/>
      <c r="T337" s="875"/>
      <c r="U337" s="875"/>
      <c r="V337" s="875"/>
      <c r="W337" s="875"/>
      <c r="X337" s="875"/>
      <c r="Y337" s="875"/>
      <c r="Z337" s="875"/>
      <c r="AA337" s="875"/>
      <c r="AB337" s="875"/>
      <c r="AC337" s="875"/>
      <c r="AD337" s="875"/>
      <c r="AE337" s="875"/>
      <c r="AF337" s="875"/>
      <c r="AG337" s="875"/>
      <c r="AH337" s="875"/>
      <c r="AI337" s="875"/>
      <c r="AJ337" s="875"/>
      <c r="AK337" s="875"/>
      <c r="AL337" s="875"/>
      <c r="AM337" s="875"/>
      <c r="AN337" s="875"/>
      <c r="AO337" s="875"/>
      <c r="AP337" s="875"/>
      <c r="AQ337" s="875"/>
      <c r="AR337" s="877"/>
    </row>
    <row r="338" spans="1:44" x14ac:dyDescent="0.2">
      <c r="A338" s="184" t="s">
        <v>27</v>
      </c>
      <c r="B338" s="184" t="s">
        <v>1031</v>
      </c>
      <c r="C338" s="184" t="s">
        <v>1032</v>
      </c>
      <c r="D338" s="183" t="s">
        <v>26</v>
      </c>
      <c r="E338" s="184" t="s">
        <v>47</v>
      </c>
      <c r="F338" s="184"/>
      <c r="G338" s="204" t="s">
        <v>633</v>
      </c>
      <c r="H338" s="203">
        <v>15</v>
      </c>
      <c r="I338" s="205">
        <v>61.79</v>
      </c>
      <c r="J338" s="205">
        <v>1</v>
      </c>
      <c r="K338" s="184">
        <v>0.5</v>
      </c>
      <c r="L338" s="205">
        <v>0.1</v>
      </c>
      <c r="M338" s="205">
        <v>0.1</v>
      </c>
      <c r="N338" s="205">
        <v>0.1</v>
      </c>
      <c r="O338" s="205">
        <v>0.1</v>
      </c>
      <c r="P338" s="205">
        <v>0.1</v>
      </c>
      <c r="Q338" s="184"/>
      <c r="R338" s="184">
        <v>0.45</v>
      </c>
      <c r="S338" s="879"/>
      <c r="T338" s="879"/>
      <c r="U338" s="879"/>
      <c r="V338" s="879"/>
      <c r="W338" s="879"/>
      <c r="X338" s="879"/>
      <c r="Y338" s="879"/>
      <c r="Z338" s="879"/>
      <c r="AA338" s="879"/>
      <c r="AB338" s="879"/>
      <c r="AC338" s="879"/>
      <c r="AD338" s="879"/>
      <c r="AE338" s="879"/>
      <c r="AF338" s="879"/>
      <c r="AG338" s="879"/>
      <c r="AH338" s="879"/>
      <c r="AI338" s="879"/>
      <c r="AJ338" s="879"/>
      <c r="AK338" s="879">
        <v>0</v>
      </c>
      <c r="AL338" s="879">
        <v>0</v>
      </c>
      <c r="AM338" s="879">
        <v>0</v>
      </c>
      <c r="AN338" s="879">
        <v>0</v>
      </c>
      <c r="AO338" s="879">
        <v>0</v>
      </c>
      <c r="AP338" s="879">
        <v>0</v>
      </c>
      <c r="AQ338" s="879">
        <v>0</v>
      </c>
      <c r="AR338" s="879">
        <v>0</v>
      </c>
    </row>
    <row r="339" spans="1:44" x14ac:dyDescent="0.2">
      <c r="A339" s="184" t="s">
        <v>27</v>
      </c>
      <c r="B339" s="184"/>
      <c r="C339" s="184"/>
      <c r="D339" s="183"/>
      <c r="E339" s="184" t="s">
        <v>139</v>
      </c>
      <c r="F339" s="184"/>
      <c r="G339" s="204"/>
      <c r="H339" s="203"/>
      <c r="I339" s="205"/>
      <c r="J339" s="205"/>
      <c r="K339" s="184">
        <v>0.5</v>
      </c>
      <c r="L339" s="205"/>
      <c r="M339" s="205"/>
      <c r="N339" s="205"/>
      <c r="O339" s="205"/>
      <c r="P339" s="205"/>
      <c r="Q339" s="184"/>
      <c r="R339" s="184"/>
      <c r="S339" s="879"/>
      <c r="T339" s="879"/>
      <c r="U339" s="879"/>
      <c r="V339" s="879"/>
      <c r="W339" s="879"/>
      <c r="X339" s="879"/>
      <c r="Y339" s="879"/>
      <c r="Z339" s="879"/>
      <c r="AA339" s="879"/>
      <c r="AB339" s="879"/>
      <c r="AC339" s="879"/>
      <c r="AD339" s="879"/>
      <c r="AE339" s="879"/>
      <c r="AF339" s="879"/>
      <c r="AG339" s="879"/>
      <c r="AH339" s="879"/>
      <c r="AI339" s="879"/>
      <c r="AJ339" s="879"/>
      <c r="AK339" s="879"/>
      <c r="AL339" s="879"/>
      <c r="AM339" s="879"/>
      <c r="AN339" s="879"/>
      <c r="AO339" s="879"/>
      <c r="AP339" s="879"/>
      <c r="AQ339" s="879"/>
      <c r="AR339" s="879"/>
    </row>
    <row r="340" spans="1:44" x14ac:dyDescent="0.2">
      <c r="A340" s="184" t="s">
        <v>27</v>
      </c>
      <c r="B340" s="184"/>
      <c r="C340" s="184"/>
      <c r="D340" s="183"/>
      <c r="E340" s="184"/>
      <c r="F340" s="184" t="s">
        <v>43</v>
      </c>
      <c r="G340" s="204"/>
      <c r="H340" s="203"/>
      <c r="I340" s="205"/>
      <c r="J340" s="205"/>
      <c r="K340" s="184"/>
      <c r="L340" s="205"/>
      <c r="M340" s="205"/>
      <c r="N340" s="205"/>
      <c r="O340" s="205"/>
      <c r="P340" s="205"/>
      <c r="Q340" s="184"/>
      <c r="R340" s="184"/>
      <c r="S340" s="879"/>
      <c r="T340" s="879"/>
      <c r="U340" s="879"/>
      <c r="V340" s="879"/>
      <c r="W340" s="879"/>
      <c r="X340" s="879"/>
      <c r="Y340" s="879"/>
      <c r="Z340" s="879"/>
      <c r="AA340" s="879"/>
      <c r="AB340" s="879"/>
      <c r="AC340" s="879"/>
      <c r="AD340" s="879"/>
      <c r="AE340" s="879"/>
      <c r="AF340" s="879"/>
      <c r="AG340" s="879"/>
      <c r="AH340" s="879"/>
      <c r="AI340" s="879"/>
      <c r="AJ340" s="879"/>
      <c r="AK340" s="879"/>
      <c r="AL340" s="879"/>
      <c r="AM340" s="879"/>
      <c r="AN340" s="879"/>
      <c r="AO340" s="879"/>
      <c r="AP340" s="879"/>
      <c r="AQ340" s="879"/>
      <c r="AR340" s="879"/>
    </row>
    <row r="341" spans="1:44" x14ac:dyDescent="0.2">
      <c r="A341" s="184" t="s">
        <v>27</v>
      </c>
      <c r="B341" s="184" t="s">
        <v>1033</v>
      </c>
      <c r="C341" s="184" t="s">
        <v>1034</v>
      </c>
      <c r="D341" s="183" t="s">
        <v>26</v>
      </c>
      <c r="E341" s="184" t="s">
        <v>47</v>
      </c>
      <c r="F341" s="184"/>
      <c r="G341" s="204">
        <v>2015</v>
      </c>
      <c r="H341" s="203">
        <v>15</v>
      </c>
      <c r="I341" s="205">
        <v>61.79</v>
      </c>
      <c r="J341" s="205">
        <v>1</v>
      </c>
      <c r="K341" s="184">
        <v>0.44</v>
      </c>
      <c r="L341" s="205">
        <v>0.1</v>
      </c>
      <c r="M341" s="205">
        <v>0.1</v>
      </c>
      <c r="N341" s="205">
        <v>0.1</v>
      </c>
      <c r="O341" s="205">
        <v>0.1</v>
      </c>
      <c r="P341" s="205">
        <v>0.1</v>
      </c>
      <c r="Q341" s="184"/>
      <c r="R341" s="184">
        <v>0.45</v>
      </c>
      <c r="S341" s="879"/>
      <c r="T341" s="879"/>
      <c r="U341" s="879"/>
      <c r="V341" s="879"/>
      <c r="W341" s="879"/>
      <c r="X341" s="879"/>
      <c r="Y341" s="879"/>
      <c r="Z341" s="879"/>
      <c r="AA341" s="879"/>
      <c r="AB341" s="879"/>
      <c r="AC341" s="879"/>
      <c r="AD341" s="879"/>
      <c r="AE341" s="879"/>
      <c r="AF341" s="879"/>
      <c r="AG341" s="879"/>
      <c r="AH341" s="879"/>
      <c r="AI341" s="879"/>
      <c r="AJ341" s="879"/>
      <c r="AK341" s="879"/>
      <c r="AL341" s="879"/>
      <c r="AM341" s="879"/>
      <c r="AN341" s="879"/>
      <c r="AO341" s="879"/>
      <c r="AP341" s="879"/>
      <c r="AQ341" s="879"/>
      <c r="AR341" s="879"/>
    </row>
    <row r="342" spans="1:44" x14ac:dyDescent="0.2">
      <c r="A342" s="184" t="s">
        <v>27</v>
      </c>
      <c r="B342" s="184"/>
      <c r="C342" s="184"/>
      <c r="D342" s="183"/>
      <c r="E342" s="184" t="s">
        <v>139</v>
      </c>
      <c r="F342" s="184"/>
      <c r="G342" s="204"/>
      <c r="H342" s="203"/>
      <c r="I342" s="205"/>
      <c r="J342" s="205"/>
      <c r="K342" s="184">
        <v>0.56000000000000005</v>
      </c>
      <c r="L342" s="205"/>
      <c r="M342" s="205"/>
      <c r="N342" s="205"/>
      <c r="O342" s="205"/>
      <c r="P342" s="205"/>
      <c r="Q342" s="184"/>
      <c r="R342" s="184"/>
      <c r="S342" s="879"/>
      <c r="T342" s="879"/>
      <c r="U342" s="879"/>
      <c r="V342" s="879"/>
      <c r="W342" s="879"/>
      <c r="X342" s="879"/>
      <c r="Y342" s="879"/>
      <c r="Z342" s="879"/>
      <c r="AA342" s="879"/>
      <c r="AB342" s="879"/>
      <c r="AC342" s="879"/>
      <c r="AD342" s="879"/>
      <c r="AE342" s="879"/>
      <c r="AF342" s="879"/>
      <c r="AG342" s="879"/>
      <c r="AH342" s="879"/>
      <c r="AI342" s="879"/>
      <c r="AJ342" s="879"/>
      <c r="AK342" s="879"/>
      <c r="AL342" s="879"/>
      <c r="AM342" s="879"/>
      <c r="AN342" s="879"/>
      <c r="AO342" s="879"/>
      <c r="AP342" s="879"/>
      <c r="AQ342" s="879"/>
      <c r="AR342" s="879"/>
    </row>
    <row r="343" spans="1:44" x14ac:dyDescent="0.2">
      <c r="A343" s="184" t="s">
        <v>27</v>
      </c>
      <c r="B343" s="184"/>
      <c r="C343" s="184"/>
      <c r="D343" s="183"/>
      <c r="E343" s="184"/>
      <c r="F343" s="184" t="s">
        <v>43</v>
      </c>
      <c r="G343" s="204"/>
      <c r="H343" s="203"/>
      <c r="I343" s="205"/>
      <c r="J343" s="205"/>
      <c r="K343" s="184"/>
      <c r="L343" s="205"/>
      <c r="M343" s="205"/>
      <c r="N343" s="205"/>
      <c r="O343" s="205"/>
      <c r="P343" s="205"/>
      <c r="Q343" s="184"/>
      <c r="R343" s="184"/>
      <c r="S343" s="879"/>
      <c r="T343" s="879"/>
      <c r="U343" s="879"/>
      <c r="V343" s="879"/>
      <c r="W343" s="879"/>
      <c r="X343" s="879"/>
      <c r="Y343" s="879"/>
      <c r="Z343" s="879"/>
      <c r="AA343" s="879"/>
      <c r="AB343" s="879"/>
      <c r="AC343" s="879"/>
      <c r="AD343" s="879"/>
      <c r="AE343" s="879"/>
      <c r="AF343" s="879"/>
      <c r="AG343" s="879"/>
      <c r="AH343" s="879"/>
      <c r="AI343" s="879"/>
      <c r="AJ343" s="879"/>
      <c r="AK343" s="879"/>
      <c r="AL343" s="879"/>
      <c r="AM343" s="879"/>
      <c r="AN343" s="879"/>
      <c r="AO343" s="879"/>
      <c r="AP343" s="879"/>
      <c r="AQ343" s="879"/>
      <c r="AR343" s="879"/>
    </row>
    <row r="344" spans="1:44" x14ac:dyDescent="0.2">
      <c r="A344" s="184" t="s">
        <v>27</v>
      </c>
      <c r="B344" s="184" t="s">
        <v>1035</v>
      </c>
      <c r="C344" s="184" t="s">
        <v>1036</v>
      </c>
      <c r="D344" s="183" t="s">
        <v>26</v>
      </c>
      <c r="E344" s="184" t="s">
        <v>47</v>
      </c>
      <c r="F344" s="184"/>
      <c r="G344" s="204">
        <v>2020</v>
      </c>
      <c r="H344" s="203">
        <v>15</v>
      </c>
      <c r="I344" s="205">
        <v>66.73</v>
      </c>
      <c r="J344" s="205">
        <v>1</v>
      </c>
      <c r="K344" s="184">
        <v>0.44</v>
      </c>
      <c r="L344" s="205">
        <v>0.1</v>
      </c>
      <c r="M344" s="205">
        <v>0.1</v>
      </c>
      <c r="N344" s="205">
        <v>0.1</v>
      </c>
      <c r="O344" s="205">
        <v>0.1</v>
      </c>
      <c r="P344" s="205">
        <v>0.1</v>
      </c>
      <c r="Q344" s="184"/>
      <c r="R344" s="184">
        <v>0.45</v>
      </c>
      <c r="S344" s="879"/>
      <c r="T344" s="879"/>
      <c r="U344" s="879"/>
      <c r="V344" s="879"/>
      <c r="W344" s="879"/>
      <c r="X344" s="879"/>
      <c r="Y344" s="879"/>
      <c r="Z344" s="879"/>
      <c r="AA344" s="879"/>
      <c r="AB344" s="879"/>
      <c r="AC344" s="879"/>
      <c r="AD344" s="879"/>
      <c r="AE344" s="879"/>
      <c r="AF344" s="879"/>
      <c r="AG344" s="879"/>
      <c r="AH344" s="879"/>
      <c r="AI344" s="879"/>
      <c r="AJ344" s="879"/>
      <c r="AK344" s="879"/>
      <c r="AL344" s="879"/>
      <c r="AM344" s="879"/>
      <c r="AN344" s="879"/>
      <c r="AO344" s="879"/>
      <c r="AP344" s="879"/>
      <c r="AQ344" s="879"/>
      <c r="AR344" s="879"/>
    </row>
    <row r="345" spans="1:44" x14ac:dyDescent="0.2">
      <c r="A345" s="184" t="s">
        <v>27</v>
      </c>
      <c r="B345" s="184"/>
      <c r="C345" s="184"/>
      <c r="D345" s="183"/>
      <c r="E345" s="184" t="s">
        <v>139</v>
      </c>
      <c r="F345" s="184"/>
      <c r="G345" s="204"/>
      <c r="H345" s="203"/>
      <c r="I345" s="205"/>
      <c r="J345" s="205"/>
      <c r="K345" s="184">
        <v>0.56000000000000005</v>
      </c>
      <c r="L345" s="205"/>
      <c r="M345" s="205"/>
      <c r="N345" s="205"/>
      <c r="O345" s="205"/>
      <c r="P345" s="205"/>
      <c r="Q345" s="184"/>
      <c r="R345" s="184"/>
      <c r="S345" s="879"/>
      <c r="T345" s="879"/>
      <c r="U345" s="879"/>
      <c r="V345" s="879"/>
      <c r="W345" s="879"/>
      <c r="X345" s="879"/>
      <c r="Y345" s="879"/>
      <c r="Z345" s="879"/>
      <c r="AA345" s="879"/>
      <c r="AB345" s="879"/>
      <c r="AC345" s="879"/>
      <c r="AD345" s="879"/>
      <c r="AE345" s="879"/>
      <c r="AF345" s="879"/>
      <c r="AG345" s="879"/>
      <c r="AH345" s="879"/>
      <c r="AI345" s="879"/>
      <c r="AJ345" s="879"/>
      <c r="AK345" s="879"/>
      <c r="AL345" s="879"/>
      <c r="AM345" s="879"/>
      <c r="AN345" s="879"/>
      <c r="AO345" s="879"/>
      <c r="AP345" s="879"/>
      <c r="AQ345" s="879"/>
      <c r="AR345" s="879"/>
    </row>
    <row r="346" spans="1:44" x14ac:dyDescent="0.2">
      <c r="A346" s="184" t="s">
        <v>27</v>
      </c>
      <c r="B346" s="184"/>
      <c r="C346" s="184"/>
      <c r="D346" s="183"/>
      <c r="E346" s="184"/>
      <c r="F346" s="184" t="s">
        <v>43</v>
      </c>
      <c r="G346" s="204"/>
      <c r="H346" s="203"/>
      <c r="I346" s="205"/>
      <c r="J346" s="205"/>
      <c r="K346" s="184"/>
      <c r="L346" s="205"/>
      <c r="M346" s="205"/>
      <c r="N346" s="205"/>
      <c r="O346" s="205"/>
      <c r="P346" s="205"/>
      <c r="Q346" s="184"/>
      <c r="R346" s="184"/>
      <c r="S346" s="879"/>
      <c r="T346" s="879"/>
      <c r="U346" s="879"/>
      <c r="V346" s="879"/>
      <c r="W346" s="879"/>
      <c r="X346" s="879"/>
      <c r="Y346" s="879"/>
      <c r="Z346" s="879"/>
      <c r="AA346" s="879"/>
      <c r="AB346" s="879"/>
      <c r="AC346" s="879"/>
      <c r="AD346" s="879"/>
      <c r="AE346" s="879"/>
      <c r="AF346" s="879"/>
      <c r="AG346" s="879"/>
      <c r="AH346" s="879"/>
      <c r="AI346" s="879"/>
      <c r="AJ346" s="879"/>
      <c r="AK346" s="879"/>
      <c r="AL346" s="879"/>
      <c r="AM346" s="879"/>
      <c r="AN346" s="879"/>
      <c r="AO346" s="879"/>
      <c r="AP346" s="879"/>
      <c r="AQ346" s="879"/>
      <c r="AR346" s="879"/>
    </row>
    <row r="347" spans="1:44" x14ac:dyDescent="0.2">
      <c r="A347" s="184" t="s">
        <v>27</v>
      </c>
      <c r="B347" s="184" t="s">
        <v>1037</v>
      </c>
      <c r="C347" s="184" t="s">
        <v>1038</v>
      </c>
      <c r="D347" s="183" t="s">
        <v>26</v>
      </c>
      <c r="E347" s="184" t="s">
        <v>47</v>
      </c>
      <c r="F347" s="184"/>
      <c r="G347" s="204">
        <v>2030</v>
      </c>
      <c r="H347" s="203">
        <v>15</v>
      </c>
      <c r="I347" s="205">
        <v>66.73</v>
      </c>
      <c r="J347" s="205">
        <v>1</v>
      </c>
      <c r="K347" s="184">
        <v>0.44</v>
      </c>
      <c r="L347" s="205">
        <v>0.1</v>
      </c>
      <c r="M347" s="205">
        <v>0.1</v>
      </c>
      <c r="N347" s="205">
        <v>0.1</v>
      </c>
      <c r="O347" s="205">
        <v>0.1</v>
      </c>
      <c r="P347" s="205">
        <v>0.1</v>
      </c>
      <c r="Q347" s="184"/>
      <c r="R347" s="184">
        <v>0.45</v>
      </c>
      <c r="S347" s="879"/>
      <c r="T347" s="879"/>
      <c r="U347" s="879"/>
      <c r="V347" s="879"/>
      <c r="W347" s="879"/>
      <c r="X347" s="879"/>
      <c r="Y347" s="879"/>
      <c r="Z347" s="879"/>
      <c r="AA347" s="879"/>
      <c r="AB347" s="879"/>
      <c r="AC347" s="879"/>
      <c r="AD347" s="879"/>
      <c r="AE347" s="879"/>
      <c r="AF347" s="879"/>
      <c r="AG347" s="879"/>
      <c r="AH347" s="879"/>
      <c r="AI347" s="879"/>
      <c r="AJ347" s="879"/>
      <c r="AK347" s="879"/>
      <c r="AL347" s="879"/>
      <c r="AM347" s="879"/>
      <c r="AN347" s="879"/>
      <c r="AO347" s="879"/>
      <c r="AP347" s="879"/>
      <c r="AQ347" s="879"/>
      <c r="AR347" s="879"/>
    </row>
    <row r="348" spans="1:44" x14ac:dyDescent="0.2">
      <c r="A348" s="184" t="s">
        <v>27</v>
      </c>
      <c r="B348" s="184"/>
      <c r="C348" s="184"/>
      <c r="D348" s="183"/>
      <c r="E348" s="184" t="s">
        <v>139</v>
      </c>
      <c r="F348" s="184"/>
      <c r="G348" s="204"/>
      <c r="H348" s="203"/>
      <c r="I348" s="205"/>
      <c r="J348" s="205"/>
      <c r="K348" s="184">
        <v>0.56000000000000005</v>
      </c>
      <c r="L348" s="205"/>
      <c r="M348" s="205"/>
      <c r="N348" s="205"/>
      <c r="O348" s="205"/>
      <c r="P348" s="205"/>
      <c r="Q348" s="184"/>
      <c r="R348" s="184"/>
      <c r="S348" s="879"/>
      <c r="T348" s="879"/>
      <c r="U348" s="879"/>
      <c r="V348" s="879"/>
      <c r="W348" s="879"/>
      <c r="X348" s="879"/>
      <c r="Y348" s="879"/>
      <c r="Z348" s="879"/>
      <c r="AA348" s="879"/>
      <c r="AB348" s="879"/>
      <c r="AC348" s="879"/>
      <c r="AD348" s="879"/>
      <c r="AE348" s="879"/>
      <c r="AF348" s="879"/>
      <c r="AG348" s="879"/>
      <c r="AH348" s="879"/>
      <c r="AI348" s="879"/>
      <c r="AJ348" s="879"/>
      <c r="AK348" s="879"/>
      <c r="AL348" s="879"/>
      <c r="AM348" s="879"/>
      <c r="AN348" s="879"/>
      <c r="AO348" s="879"/>
      <c r="AP348" s="879"/>
      <c r="AQ348" s="879"/>
      <c r="AR348" s="879"/>
    </row>
    <row r="349" spans="1:44" x14ac:dyDescent="0.2">
      <c r="A349" s="184" t="s">
        <v>27</v>
      </c>
      <c r="B349" s="184"/>
      <c r="C349" s="184"/>
      <c r="D349" s="183"/>
      <c r="E349" s="184"/>
      <c r="F349" s="184" t="s">
        <v>43</v>
      </c>
      <c r="G349" s="204"/>
      <c r="H349" s="203"/>
      <c r="I349" s="205"/>
      <c r="J349" s="205"/>
      <c r="K349" s="184"/>
      <c r="L349" s="205"/>
      <c r="M349" s="205"/>
      <c r="N349" s="205"/>
      <c r="O349" s="205"/>
      <c r="P349" s="205"/>
      <c r="Q349" s="184"/>
      <c r="R349" s="184"/>
      <c r="S349" s="879"/>
      <c r="T349" s="879"/>
      <c r="U349" s="879"/>
      <c r="V349" s="879"/>
      <c r="W349" s="879"/>
      <c r="X349" s="879"/>
      <c r="Y349" s="879"/>
      <c r="Z349" s="879"/>
      <c r="AA349" s="879"/>
      <c r="AB349" s="879"/>
      <c r="AC349" s="879"/>
      <c r="AD349" s="879"/>
      <c r="AE349" s="879"/>
      <c r="AF349" s="879"/>
      <c r="AG349" s="879"/>
      <c r="AH349" s="879"/>
      <c r="AI349" s="879"/>
      <c r="AJ349" s="879"/>
      <c r="AK349" s="879"/>
      <c r="AL349" s="879"/>
      <c r="AM349" s="879"/>
      <c r="AN349" s="879"/>
      <c r="AO349" s="879"/>
      <c r="AP349" s="879"/>
      <c r="AQ349" s="879"/>
      <c r="AR349" s="879"/>
    </row>
    <row r="350" spans="1:44" x14ac:dyDescent="0.2">
      <c r="A350" s="184" t="s">
        <v>27</v>
      </c>
      <c r="B350" s="184" t="s">
        <v>1039</v>
      </c>
      <c r="C350" s="184" t="s">
        <v>1040</v>
      </c>
      <c r="D350" s="183" t="s">
        <v>26</v>
      </c>
      <c r="E350" s="184" t="s">
        <v>47</v>
      </c>
      <c r="F350" s="184"/>
      <c r="G350" s="204">
        <v>2030</v>
      </c>
      <c r="H350" s="203">
        <v>30</v>
      </c>
      <c r="I350" s="205">
        <v>66.73</v>
      </c>
      <c r="J350" s="205">
        <v>1</v>
      </c>
      <c r="K350" s="184">
        <v>0.44</v>
      </c>
      <c r="L350" s="205">
        <v>0.1</v>
      </c>
      <c r="M350" s="205">
        <v>0.1</v>
      </c>
      <c r="N350" s="205">
        <v>0.1</v>
      </c>
      <c r="O350" s="205">
        <v>0.1</v>
      </c>
      <c r="P350" s="205">
        <v>0.1</v>
      </c>
      <c r="Q350" s="184"/>
      <c r="R350" s="184">
        <v>0.45</v>
      </c>
      <c r="S350" s="879"/>
      <c r="T350" s="879"/>
      <c r="U350" s="879"/>
      <c r="V350" s="879"/>
      <c r="W350" s="879"/>
      <c r="X350" s="879"/>
      <c r="Y350" s="879"/>
      <c r="Z350" s="879"/>
      <c r="AA350" s="879"/>
      <c r="AB350" s="879"/>
      <c r="AC350" s="879"/>
      <c r="AD350" s="879"/>
      <c r="AE350" s="879"/>
      <c r="AF350" s="879"/>
      <c r="AG350" s="879"/>
      <c r="AH350" s="879"/>
      <c r="AI350" s="879"/>
      <c r="AJ350" s="879"/>
      <c r="AK350" s="879"/>
      <c r="AL350" s="879"/>
      <c r="AM350" s="879"/>
      <c r="AN350" s="879"/>
      <c r="AO350" s="879"/>
      <c r="AP350" s="879"/>
      <c r="AQ350" s="879"/>
      <c r="AR350" s="879"/>
    </row>
    <row r="351" spans="1:44" x14ac:dyDescent="0.2">
      <c r="A351" s="184" t="s">
        <v>27</v>
      </c>
      <c r="B351" s="184"/>
      <c r="C351" s="184"/>
      <c r="D351" s="183"/>
      <c r="E351" s="184" t="s">
        <v>139</v>
      </c>
      <c r="F351" s="184"/>
      <c r="G351" s="204"/>
      <c r="H351" s="203"/>
      <c r="I351" s="205"/>
      <c r="J351" s="205"/>
      <c r="K351" s="184">
        <v>0.56000000000000005</v>
      </c>
      <c r="L351" s="205"/>
      <c r="M351" s="205"/>
      <c r="N351" s="205"/>
      <c r="O351" s="205"/>
      <c r="P351" s="205"/>
      <c r="Q351" s="184"/>
      <c r="R351" s="184"/>
      <c r="S351" s="879"/>
      <c r="T351" s="879"/>
      <c r="U351" s="879"/>
      <c r="V351" s="879"/>
      <c r="W351" s="879"/>
      <c r="X351" s="879"/>
      <c r="Y351" s="879"/>
      <c r="Z351" s="879"/>
      <c r="AA351" s="879"/>
      <c r="AB351" s="879"/>
      <c r="AC351" s="879"/>
      <c r="AD351" s="879"/>
      <c r="AE351" s="879"/>
      <c r="AF351" s="879"/>
      <c r="AG351" s="879"/>
      <c r="AH351" s="879"/>
      <c r="AI351" s="879"/>
      <c r="AJ351" s="879"/>
      <c r="AK351" s="879"/>
      <c r="AL351" s="879"/>
      <c r="AM351" s="879"/>
      <c r="AN351" s="879"/>
      <c r="AO351" s="879"/>
      <c r="AP351" s="879"/>
      <c r="AQ351" s="879"/>
      <c r="AR351" s="879"/>
    </row>
    <row r="352" spans="1:44" x14ac:dyDescent="0.2">
      <c r="A352" s="184" t="s">
        <v>27</v>
      </c>
      <c r="B352" s="184"/>
      <c r="C352" s="184"/>
      <c r="D352" s="183"/>
      <c r="E352" s="184"/>
      <c r="F352" s="184" t="s">
        <v>43</v>
      </c>
      <c r="G352" s="204"/>
      <c r="H352" s="203"/>
      <c r="I352" s="205"/>
      <c r="J352" s="205"/>
      <c r="K352" s="184"/>
      <c r="L352" s="205"/>
      <c r="M352" s="205"/>
      <c r="N352" s="205"/>
      <c r="O352" s="205"/>
      <c r="P352" s="205"/>
      <c r="Q352" s="184"/>
      <c r="R352" s="184"/>
      <c r="S352" s="879"/>
      <c r="T352" s="879"/>
      <c r="U352" s="879"/>
      <c r="V352" s="879"/>
      <c r="W352" s="879"/>
      <c r="X352" s="879"/>
      <c r="Y352" s="879"/>
      <c r="Z352" s="879"/>
      <c r="AA352" s="879"/>
      <c r="AB352" s="879"/>
      <c r="AC352" s="879"/>
      <c r="AD352" s="879"/>
      <c r="AE352" s="879"/>
      <c r="AF352" s="879"/>
      <c r="AG352" s="879"/>
      <c r="AH352" s="879"/>
      <c r="AI352" s="879"/>
      <c r="AJ352" s="879"/>
      <c r="AK352" s="879"/>
      <c r="AL352" s="879"/>
      <c r="AM352" s="879"/>
      <c r="AN352" s="879"/>
      <c r="AO352" s="879"/>
      <c r="AP352" s="879"/>
      <c r="AQ352" s="879"/>
      <c r="AR352" s="879"/>
    </row>
    <row r="353" spans="1:44" x14ac:dyDescent="0.2">
      <c r="A353" s="184" t="s">
        <v>27</v>
      </c>
      <c r="B353" s="184" t="s">
        <v>1041</v>
      </c>
      <c r="C353" s="184" t="s">
        <v>1042</v>
      </c>
      <c r="D353" s="183" t="s">
        <v>26</v>
      </c>
      <c r="E353" s="184" t="s">
        <v>47</v>
      </c>
      <c r="F353" s="184"/>
      <c r="G353" s="204">
        <v>2040</v>
      </c>
      <c r="H353" s="203">
        <v>15</v>
      </c>
      <c r="I353" s="205">
        <v>66.73</v>
      </c>
      <c r="J353" s="205">
        <v>1</v>
      </c>
      <c r="K353" s="184">
        <v>0.44</v>
      </c>
      <c r="L353" s="205">
        <v>0.1</v>
      </c>
      <c r="M353" s="205">
        <v>0.1</v>
      </c>
      <c r="N353" s="205">
        <v>0.1</v>
      </c>
      <c r="O353" s="205">
        <v>0.1</v>
      </c>
      <c r="P353" s="205">
        <v>0.1</v>
      </c>
      <c r="Q353" s="184"/>
      <c r="R353" s="184">
        <v>0.45</v>
      </c>
      <c r="S353" s="879"/>
      <c r="T353" s="879"/>
      <c r="U353" s="879"/>
      <c r="V353" s="879"/>
      <c r="W353" s="879"/>
      <c r="X353" s="879"/>
      <c r="Y353" s="879"/>
      <c r="Z353" s="879"/>
      <c r="AA353" s="879"/>
      <c r="AB353" s="879"/>
      <c r="AC353" s="879"/>
      <c r="AD353" s="879"/>
      <c r="AE353" s="879"/>
      <c r="AF353" s="879"/>
      <c r="AG353" s="879"/>
      <c r="AH353" s="879"/>
      <c r="AI353" s="879"/>
      <c r="AJ353" s="879"/>
      <c r="AK353" s="879"/>
      <c r="AL353" s="879"/>
      <c r="AM353" s="879"/>
      <c r="AN353" s="879"/>
      <c r="AO353" s="879"/>
      <c r="AP353" s="879"/>
      <c r="AQ353" s="879"/>
      <c r="AR353" s="879"/>
    </row>
    <row r="354" spans="1:44" x14ac:dyDescent="0.2">
      <c r="A354" s="184" t="s">
        <v>27</v>
      </c>
      <c r="B354" s="184"/>
      <c r="C354" s="184"/>
      <c r="D354" s="183"/>
      <c r="E354" s="184" t="s">
        <v>139</v>
      </c>
      <c r="F354" s="184"/>
      <c r="G354" s="204"/>
      <c r="H354" s="203"/>
      <c r="I354" s="205"/>
      <c r="J354" s="205"/>
      <c r="K354" s="184">
        <v>0.56000000000000005</v>
      </c>
      <c r="L354" s="205"/>
      <c r="M354" s="205"/>
      <c r="N354" s="205"/>
      <c r="O354" s="205"/>
      <c r="P354" s="205"/>
      <c r="Q354" s="184"/>
      <c r="R354" s="184"/>
      <c r="S354" s="879"/>
      <c r="T354" s="879"/>
      <c r="U354" s="879"/>
      <c r="V354" s="879"/>
      <c r="W354" s="879"/>
      <c r="X354" s="879"/>
      <c r="Y354" s="879"/>
      <c r="Z354" s="879"/>
      <c r="AA354" s="879"/>
      <c r="AB354" s="879"/>
      <c r="AC354" s="879"/>
      <c r="AD354" s="879"/>
      <c r="AE354" s="879"/>
      <c r="AF354" s="879"/>
      <c r="AG354" s="879"/>
      <c r="AH354" s="879"/>
      <c r="AI354" s="879"/>
      <c r="AJ354" s="879"/>
      <c r="AK354" s="879"/>
      <c r="AL354" s="879"/>
      <c r="AM354" s="879"/>
      <c r="AN354" s="879"/>
      <c r="AO354" s="879"/>
      <c r="AP354" s="879"/>
      <c r="AQ354" s="879"/>
      <c r="AR354" s="879"/>
    </row>
    <row r="355" spans="1:44" x14ac:dyDescent="0.2">
      <c r="A355" s="184" t="s">
        <v>27</v>
      </c>
      <c r="B355" s="184"/>
      <c r="C355" s="184"/>
      <c r="D355" s="183"/>
      <c r="E355" s="184"/>
      <c r="F355" s="184" t="s">
        <v>43</v>
      </c>
      <c r="G355" s="204"/>
      <c r="H355" s="203"/>
      <c r="I355" s="205"/>
      <c r="J355" s="205"/>
      <c r="K355" s="184"/>
      <c r="L355" s="205"/>
      <c r="M355" s="205"/>
      <c r="N355" s="205"/>
      <c r="O355" s="205"/>
      <c r="P355" s="205"/>
      <c r="Q355" s="184"/>
      <c r="R355" s="184"/>
      <c r="S355" s="879"/>
      <c r="T355" s="879"/>
      <c r="U355" s="879"/>
      <c r="V355" s="879"/>
      <c r="W355" s="879"/>
      <c r="X355" s="879"/>
      <c r="Y355" s="879"/>
      <c r="Z355" s="879"/>
      <c r="AA355" s="879"/>
      <c r="AB355" s="879"/>
      <c r="AC355" s="879"/>
      <c r="AD355" s="879"/>
      <c r="AE355" s="879"/>
      <c r="AF355" s="879"/>
      <c r="AG355" s="879"/>
      <c r="AH355" s="879"/>
      <c r="AI355" s="879"/>
      <c r="AJ355" s="879"/>
      <c r="AK355" s="879"/>
      <c r="AL355" s="879"/>
      <c r="AM355" s="879"/>
      <c r="AN355" s="879"/>
      <c r="AO355" s="879"/>
      <c r="AP355" s="879"/>
      <c r="AQ355" s="879"/>
      <c r="AR355" s="879"/>
    </row>
    <row r="356" spans="1:44" x14ac:dyDescent="0.2">
      <c r="A356" s="184" t="s">
        <v>27</v>
      </c>
      <c r="B356" s="184" t="s">
        <v>1043</v>
      </c>
      <c r="C356" s="184" t="s">
        <v>1044</v>
      </c>
      <c r="D356" s="183" t="s">
        <v>26</v>
      </c>
      <c r="E356" s="184" t="s">
        <v>47</v>
      </c>
      <c r="F356" s="184"/>
      <c r="G356" s="204">
        <v>2040</v>
      </c>
      <c r="H356" s="203">
        <v>30</v>
      </c>
      <c r="I356" s="205">
        <v>66.73</v>
      </c>
      <c r="J356" s="205">
        <v>1</v>
      </c>
      <c r="K356" s="184">
        <v>0.44</v>
      </c>
      <c r="L356" s="205">
        <v>0.1</v>
      </c>
      <c r="M356" s="205">
        <v>0.1</v>
      </c>
      <c r="N356" s="205">
        <v>0.1</v>
      </c>
      <c r="O356" s="205">
        <v>0.1</v>
      </c>
      <c r="P356" s="205">
        <v>0.1</v>
      </c>
      <c r="Q356" s="184"/>
      <c r="R356" s="184">
        <v>0.45</v>
      </c>
      <c r="S356" s="879"/>
      <c r="T356" s="879"/>
      <c r="U356" s="879"/>
      <c r="V356" s="879"/>
      <c r="W356" s="879"/>
      <c r="X356" s="879"/>
      <c r="Y356" s="879"/>
      <c r="Z356" s="879"/>
      <c r="AA356" s="879"/>
      <c r="AB356" s="879"/>
      <c r="AC356" s="879"/>
      <c r="AD356" s="879"/>
      <c r="AE356" s="879"/>
      <c r="AF356" s="879"/>
      <c r="AG356" s="879"/>
      <c r="AH356" s="879"/>
      <c r="AI356" s="879"/>
      <c r="AJ356" s="879"/>
      <c r="AK356" s="879"/>
      <c r="AL356" s="879"/>
      <c r="AM356" s="879"/>
      <c r="AN356" s="879"/>
      <c r="AO356" s="879"/>
      <c r="AP356" s="879"/>
      <c r="AQ356" s="879"/>
      <c r="AR356" s="879"/>
    </row>
    <row r="357" spans="1:44" x14ac:dyDescent="0.2">
      <c r="A357" s="184" t="s">
        <v>27</v>
      </c>
      <c r="B357" s="184"/>
      <c r="C357" s="184"/>
      <c r="D357" s="183"/>
      <c r="E357" s="184" t="s">
        <v>139</v>
      </c>
      <c r="F357" s="184"/>
      <c r="G357" s="204"/>
      <c r="H357" s="203"/>
      <c r="I357" s="205"/>
      <c r="J357" s="205"/>
      <c r="K357" s="184">
        <v>0.56000000000000005</v>
      </c>
      <c r="L357" s="205"/>
      <c r="M357" s="205"/>
      <c r="N357" s="205"/>
      <c r="O357" s="205"/>
      <c r="P357" s="205"/>
      <c r="Q357" s="184"/>
      <c r="R357" s="184"/>
      <c r="S357" s="879"/>
      <c r="T357" s="879"/>
      <c r="U357" s="879"/>
      <c r="V357" s="879"/>
      <c r="W357" s="879"/>
      <c r="X357" s="879"/>
      <c r="Y357" s="879"/>
      <c r="Z357" s="879"/>
      <c r="AA357" s="879"/>
      <c r="AB357" s="879"/>
      <c r="AC357" s="879"/>
      <c r="AD357" s="879"/>
      <c r="AE357" s="879"/>
      <c r="AF357" s="879"/>
      <c r="AG357" s="879"/>
      <c r="AH357" s="879"/>
      <c r="AI357" s="879"/>
      <c r="AJ357" s="879"/>
      <c r="AK357" s="879"/>
      <c r="AL357" s="879"/>
      <c r="AM357" s="879"/>
      <c r="AN357" s="879"/>
      <c r="AO357" s="879"/>
      <c r="AP357" s="879"/>
      <c r="AQ357" s="879"/>
      <c r="AR357" s="879"/>
    </row>
    <row r="358" spans="1:44" x14ac:dyDescent="0.2">
      <c r="A358" s="184" t="s">
        <v>27</v>
      </c>
      <c r="B358" s="184"/>
      <c r="C358" s="184"/>
      <c r="D358" s="183"/>
      <c r="E358" s="184"/>
      <c r="F358" s="184" t="s">
        <v>43</v>
      </c>
      <c r="G358" s="204"/>
      <c r="H358" s="203"/>
      <c r="I358" s="205"/>
      <c r="J358" s="205"/>
      <c r="K358" s="184"/>
      <c r="L358" s="205"/>
      <c r="M358" s="205"/>
      <c r="N358" s="205"/>
      <c r="O358" s="205"/>
      <c r="P358" s="205"/>
      <c r="Q358" s="184"/>
      <c r="R358" s="184"/>
      <c r="S358" s="879"/>
      <c r="T358" s="879"/>
      <c r="U358" s="879"/>
      <c r="V358" s="879"/>
      <c r="W358" s="879"/>
      <c r="X358" s="879"/>
      <c r="Y358" s="879"/>
      <c r="Z358" s="879"/>
      <c r="AA358" s="879"/>
      <c r="AB358" s="879"/>
      <c r="AC358" s="879"/>
      <c r="AD358" s="879"/>
      <c r="AE358" s="879"/>
      <c r="AF358" s="879"/>
      <c r="AG358" s="879"/>
      <c r="AH358" s="879"/>
      <c r="AI358" s="879"/>
      <c r="AJ358" s="879"/>
      <c r="AK358" s="879"/>
      <c r="AL358" s="879"/>
      <c r="AM358" s="879"/>
      <c r="AN358" s="879"/>
      <c r="AO358" s="879"/>
      <c r="AP358" s="879"/>
      <c r="AQ358" s="879"/>
      <c r="AR358" s="879"/>
    </row>
    <row r="359" spans="1:44" x14ac:dyDescent="0.2">
      <c r="A359" s="184" t="s">
        <v>27</v>
      </c>
      <c r="B359" s="184" t="s">
        <v>1045</v>
      </c>
      <c r="C359" s="184" t="s">
        <v>1046</v>
      </c>
      <c r="D359" s="183" t="s">
        <v>26</v>
      </c>
      <c r="E359" s="184" t="s">
        <v>47</v>
      </c>
      <c r="F359" s="184"/>
      <c r="G359" s="204" t="s">
        <v>620</v>
      </c>
      <c r="H359" s="203">
        <v>15</v>
      </c>
      <c r="I359" s="205">
        <v>55.96</v>
      </c>
      <c r="J359" s="205">
        <v>1</v>
      </c>
      <c r="K359" s="184">
        <v>0.44</v>
      </c>
      <c r="L359" s="205">
        <v>0.1</v>
      </c>
      <c r="M359" s="205">
        <v>0.1</v>
      </c>
      <c r="N359" s="205">
        <v>0.1</v>
      </c>
      <c r="O359" s="205">
        <v>0.1</v>
      </c>
      <c r="P359" s="205">
        <v>0.1</v>
      </c>
      <c r="Q359" s="184"/>
      <c r="R359" s="184">
        <v>0.45</v>
      </c>
      <c r="S359" s="879"/>
      <c r="T359" s="879"/>
      <c r="U359" s="879"/>
      <c r="V359" s="879"/>
      <c r="W359" s="879"/>
      <c r="X359" s="879"/>
      <c r="Y359" s="879"/>
      <c r="Z359" s="879"/>
      <c r="AA359" s="879"/>
      <c r="AB359" s="879"/>
      <c r="AC359" s="879"/>
      <c r="AD359" s="879"/>
      <c r="AE359" s="879"/>
      <c r="AF359" s="879"/>
      <c r="AG359" s="879"/>
      <c r="AH359" s="879"/>
      <c r="AI359" s="879"/>
      <c r="AJ359" s="879"/>
      <c r="AK359" s="879"/>
      <c r="AL359" s="879"/>
      <c r="AM359" s="879">
        <v>0</v>
      </c>
      <c r="AN359" s="879">
        <v>0</v>
      </c>
      <c r="AO359" s="879">
        <v>0</v>
      </c>
      <c r="AP359" s="879">
        <v>0</v>
      </c>
      <c r="AQ359" s="879">
        <v>0</v>
      </c>
      <c r="AR359" s="879">
        <v>0</v>
      </c>
    </row>
    <row r="360" spans="1:44" x14ac:dyDescent="0.2">
      <c r="A360" s="184" t="s">
        <v>27</v>
      </c>
      <c r="B360" s="184"/>
      <c r="C360" s="184"/>
      <c r="D360" s="183"/>
      <c r="E360" s="184" t="s">
        <v>139</v>
      </c>
      <c r="F360" s="184"/>
      <c r="G360" s="204"/>
      <c r="H360" s="203"/>
      <c r="I360" s="205"/>
      <c r="J360" s="205"/>
      <c r="K360" s="184">
        <v>0.56000000000000005</v>
      </c>
      <c r="L360" s="205"/>
      <c r="M360" s="205"/>
      <c r="N360" s="205"/>
      <c r="O360" s="205"/>
      <c r="P360" s="205"/>
      <c r="Q360" s="184"/>
      <c r="R360" s="184"/>
      <c r="S360" s="879"/>
      <c r="T360" s="879"/>
      <c r="U360" s="879"/>
      <c r="V360" s="879"/>
      <c r="W360" s="879"/>
      <c r="X360" s="879"/>
      <c r="Y360" s="879"/>
      <c r="Z360" s="879"/>
      <c r="AA360" s="879"/>
      <c r="AB360" s="879"/>
      <c r="AC360" s="879"/>
      <c r="AD360" s="879"/>
      <c r="AE360" s="879"/>
      <c r="AF360" s="879"/>
      <c r="AG360" s="879"/>
      <c r="AH360" s="879"/>
      <c r="AI360" s="879"/>
      <c r="AJ360" s="879"/>
      <c r="AK360" s="879"/>
      <c r="AL360" s="879"/>
      <c r="AM360" s="879"/>
      <c r="AN360" s="879"/>
      <c r="AO360" s="879"/>
      <c r="AP360" s="879"/>
      <c r="AQ360" s="879"/>
      <c r="AR360" s="879"/>
    </row>
    <row r="361" spans="1:44" x14ac:dyDescent="0.2">
      <c r="A361" s="184" t="s">
        <v>27</v>
      </c>
      <c r="B361" s="184"/>
      <c r="C361" s="184"/>
      <c r="D361" s="183"/>
      <c r="E361" s="184"/>
      <c r="F361" s="184" t="s">
        <v>43</v>
      </c>
      <c r="G361" s="204"/>
      <c r="H361" s="203"/>
      <c r="I361" s="205"/>
      <c r="J361" s="205"/>
      <c r="K361" s="184"/>
      <c r="L361" s="205"/>
      <c r="M361" s="205"/>
      <c r="N361" s="205"/>
      <c r="O361" s="205"/>
      <c r="P361" s="205"/>
      <c r="Q361" s="184"/>
      <c r="R361" s="184"/>
      <c r="S361" s="879"/>
      <c r="T361" s="879"/>
      <c r="U361" s="879"/>
      <c r="V361" s="879"/>
      <c r="W361" s="879"/>
      <c r="X361" s="879"/>
      <c r="Y361" s="879"/>
      <c r="Z361" s="879"/>
      <c r="AA361" s="879"/>
      <c r="AB361" s="879"/>
      <c r="AC361" s="879"/>
      <c r="AD361" s="879"/>
      <c r="AE361" s="879"/>
      <c r="AF361" s="879"/>
      <c r="AG361" s="879"/>
      <c r="AH361" s="879"/>
      <c r="AI361" s="879"/>
      <c r="AJ361" s="879"/>
      <c r="AK361" s="879"/>
      <c r="AL361" s="879"/>
      <c r="AM361" s="879"/>
      <c r="AN361" s="879"/>
      <c r="AO361" s="879"/>
      <c r="AP361" s="879"/>
      <c r="AQ361" s="879"/>
      <c r="AR361" s="879"/>
    </row>
    <row r="362" spans="1:44" x14ac:dyDescent="0.2">
      <c r="A362" s="184" t="s">
        <v>27</v>
      </c>
      <c r="B362" s="184" t="s">
        <v>1047</v>
      </c>
      <c r="C362" s="184" t="s">
        <v>1048</v>
      </c>
      <c r="D362" s="183" t="s">
        <v>26</v>
      </c>
      <c r="E362" s="184" t="s">
        <v>47</v>
      </c>
      <c r="F362" s="184"/>
      <c r="G362" s="204" t="s">
        <v>640</v>
      </c>
      <c r="H362" s="203">
        <v>15</v>
      </c>
      <c r="I362" s="205">
        <v>55.96</v>
      </c>
      <c r="J362" s="205">
        <v>1</v>
      </c>
      <c r="K362" s="184">
        <v>0.44</v>
      </c>
      <c r="L362" s="205">
        <v>0.1</v>
      </c>
      <c r="M362" s="205">
        <v>0.1</v>
      </c>
      <c r="N362" s="205">
        <v>0.1</v>
      </c>
      <c r="O362" s="205">
        <v>0.1</v>
      </c>
      <c r="P362" s="205">
        <v>0.1</v>
      </c>
      <c r="Q362" s="184"/>
      <c r="R362" s="184">
        <v>0.45</v>
      </c>
      <c r="S362" s="879"/>
      <c r="T362" s="879"/>
      <c r="U362" s="879"/>
      <c r="V362" s="879"/>
      <c r="W362" s="879"/>
      <c r="X362" s="879"/>
      <c r="Y362" s="879"/>
      <c r="Z362" s="879"/>
      <c r="AA362" s="879"/>
      <c r="AB362" s="879"/>
      <c r="AC362" s="879"/>
      <c r="AD362" s="879"/>
      <c r="AE362" s="879"/>
      <c r="AF362" s="879"/>
      <c r="AG362" s="879"/>
      <c r="AH362" s="879"/>
      <c r="AI362" s="879"/>
      <c r="AJ362" s="879"/>
      <c r="AK362" s="879"/>
      <c r="AL362" s="879"/>
      <c r="AM362" s="879"/>
      <c r="AN362" s="879"/>
      <c r="AO362" s="879"/>
      <c r="AP362" s="879"/>
      <c r="AQ362" s="879"/>
      <c r="AR362" s="879"/>
    </row>
    <row r="363" spans="1:44" x14ac:dyDescent="0.2">
      <c r="A363" s="184" t="s">
        <v>27</v>
      </c>
      <c r="B363" s="184"/>
      <c r="C363" s="184"/>
      <c r="D363" s="183"/>
      <c r="E363" s="184" t="s">
        <v>139</v>
      </c>
      <c r="F363" s="184"/>
      <c r="G363" s="204"/>
      <c r="H363" s="203"/>
      <c r="I363" s="205"/>
      <c r="J363" s="205"/>
      <c r="K363" s="184">
        <v>0.56000000000000005</v>
      </c>
      <c r="L363" s="205"/>
      <c r="M363" s="205"/>
      <c r="N363" s="205" t="s">
        <v>514</v>
      </c>
      <c r="O363" s="205" t="s">
        <v>514</v>
      </c>
      <c r="P363" s="205" t="s">
        <v>514</v>
      </c>
      <c r="Q363" s="184"/>
      <c r="R363" s="184"/>
      <c r="S363" s="879"/>
      <c r="T363" s="879"/>
      <c r="U363" s="879"/>
      <c r="V363" s="879"/>
      <c r="W363" s="879"/>
      <c r="X363" s="879"/>
      <c r="Y363" s="879"/>
      <c r="Z363" s="879"/>
      <c r="AA363" s="879"/>
      <c r="AB363" s="879"/>
      <c r="AC363" s="879"/>
      <c r="AD363" s="879"/>
      <c r="AE363" s="879"/>
      <c r="AF363" s="879"/>
      <c r="AG363" s="879"/>
      <c r="AH363" s="879"/>
      <c r="AI363" s="879"/>
      <c r="AJ363" s="879"/>
      <c r="AK363" s="879"/>
      <c r="AL363" s="879"/>
      <c r="AM363" s="879"/>
      <c r="AN363" s="879"/>
      <c r="AO363" s="879"/>
      <c r="AP363" s="879"/>
      <c r="AQ363" s="879"/>
      <c r="AR363" s="879"/>
    </row>
    <row r="364" spans="1:44" x14ac:dyDescent="0.2">
      <c r="A364" s="184" t="s">
        <v>27</v>
      </c>
      <c r="B364" s="184"/>
      <c r="C364" s="184"/>
      <c r="D364" s="183"/>
      <c r="E364" s="184"/>
      <c r="F364" s="184" t="s">
        <v>43</v>
      </c>
      <c r="G364" s="204"/>
      <c r="H364" s="203"/>
      <c r="I364" s="205"/>
      <c r="J364" s="205"/>
      <c r="K364" s="184"/>
      <c r="L364" s="205"/>
      <c r="M364" s="205"/>
      <c r="N364" s="205"/>
      <c r="O364" s="205"/>
      <c r="P364" s="205"/>
      <c r="Q364" s="184"/>
      <c r="R364" s="184"/>
      <c r="S364" s="879"/>
      <c r="T364" s="879"/>
      <c r="U364" s="879"/>
      <c r="V364" s="879"/>
      <c r="W364" s="879"/>
      <c r="X364" s="879"/>
      <c r="Y364" s="879"/>
      <c r="Z364" s="879"/>
      <c r="AA364" s="879"/>
      <c r="AB364" s="879"/>
      <c r="AC364" s="879"/>
      <c r="AD364" s="879"/>
      <c r="AE364" s="879"/>
      <c r="AF364" s="879"/>
      <c r="AG364" s="879"/>
      <c r="AH364" s="879"/>
      <c r="AI364" s="879"/>
      <c r="AJ364" s="879"/>
      <c r="AK364" s="879"/>
      <c r="AL364" s="879"/>
      <c r="AM364" s="879"/>
      <c r="AN364" s="879"/>
      <c r="AO364" s="879"/>
      <c r="AP364" s="879"/>
      <c r="AQ364" s="879"/>
      <c r="AR364" s="879"/>
    </row>
    <row r="365" spans="1:44" x14ac:dyDescent="0.2">
      <c r="A365" s="184" t="s">
        <v>27</v>
      </c>
      <c r="B365" s="184" t="s">
        <v>1035</v>
      </c>
      <c r="C365" s="184" t="s">
        <v>1036</v>
      </c>
      <c r="D365" s="183" t="s">
        <v>26</v>
      </c>
      <c r="E365" s="184" t="s">
        <v>47</v>
      </c>
      <c r="F365" s="184"/>
      <c r="G365" s="204">
        <v>2020</v>
      </c>
      <c r="H365" s="203">
        <v>30</v>
      </c>
      <c r="I365" s="205">
        <v>86.7</v>
      </c>
      <c r="J365" s="205">
        <v>1</v>
      </c>
      <c r="K365" s="184">
        <v>0.44</v>
      </c>
      <c r="L365" s="205">
        <v>0.1</v>
      </c>
      <c r="M365" s="205">
        <v>0.1</v>
      </c>
      <c r="N365" s="205">
        <v>0.1</v>
      </c>
      <c r="O365" s="205">
        <v>0.1</v>
      </c>
      <c r="P365" s="205">
        <v>0.1</v>
      </c>
      <c r="Q365" s="184"/>
      <c r="R365" s="184">
        <v>0.45</v>
      </c>
      <c r="S365" s="879"/>
      <c r="T365" s="879"/>
      <c r="U365" s="879"/>
      <c r="V365" s="879"/>
      <c r="W365" s="879"/>
      <c r="X365" s="879"/>
      <c r="Y365" s="879"/>
      <c r="Z365" s="879"/>
      <c r="AA365" s="879"/>
      <c r="AB365" s="879"/>
      <c r="AC365" s="879"/>
      <c r="AD365" s="879"/>
      <c r="AE365" s="879"/>
      <c r="AF365" s="879"/>
      <c r="AG365" s="879"/>
      <c r="AH365" s="879"/>
      <c r="AI365" s="879"/>
      <c r="AJ365" s="879"/>
      <c r="AK365" s="879"/>
      <c r="AL365" s="879"/>
      <c r="AM365" s="879"/>
      <c r="AN365" s="879"/>
      <c r="AO365" s="879"/>
      <c r="AP365" s="879"/>
      <c r="AQ365" s="879"/>
      <c r="AR365" s="879"/>
    </row>
    <row r="366" spans="1:44" x14ac:dyDescent="0.2">
      <c r="A366" s="184" t="s">
        <v>27</v>
      </c>
      <c r="B366" s="184"/>
      <c r="C366" s="184"/>
      <c r="D366" s="183"/>
      <c r="E366" s="184" t="s">
        <v>139</v>
      </c>
      <c r="F366" s="184"/>
      <c r="G366" s="204"/>
      <c r="H366" s="203"/>
      <c r="I366" s="205"/>
      <c r="J366" s="205"/>
      <c r="K366" s="184">
        <v>0.56000000000000005</v>
      </c>
      <c r="L366" s="205"/>
      <c r="M366" s="205"/>
      <c r="N366" s="205"/>
      <c r="O366" s="205"/>
      <c r="P366" s="205"/>
      <c r="Q366" s="184"/>
      <c r="R366" s="184"/>
      <c r="S366" s="879"/>
      <c r="T366" s="879"/>
      <c r="U366" s="879"/>
      <c r="V366" s="879"/>
      <c r="W366" s="879"/>
      <c r="X366" s="879"/>
      <c r="Y366" s="879"/>
      <c r="Z366" s="879"/>
      <c r="AA366" s="879"/>
      <c r="AB366" s="879"/>
      <c r="AC366" s="879"/>
      <c r="AD366" s="879"/>
      <c r="AE366" s="879"/>
      <c r="AF366" s="879"/>
      <c r="AG366" s="879"/>
      <c r="AH366" s="879"/>
      <c r="AI366" s="879"/>
      <c r="AJ366" s="879"/>
      <c r="AK366" s="879"/>
      <c r="AL366" s="879"/>
      <c r="AM366" s="879"/>
      <c r="AN366" s="879"/>
      <c r="AO366" s="879"/>
      <c r="AP366" s="879"/>
      <c r="AQ366" s="879"/>
      <c r="AR366" s="879"/>
    </row>
    <row r="367" spans="1:44" x14ac:dyDescent="0.2">
      <c r="A367" s="184" t="s">
        <v>27</v>
      </c>
      <c r="B367" s="184"/>
      <c r="C367" s="184"/>
      <c r="D367" s="183"/>
      <c r="E367" s="184"/>
      <c r="F367" s="184" t="s">
        <v>43</v>
      </c>
      <c r="G367" s="204"/>
      <c r="H367" s="203"/>
      <c r="I367" s="205"/>
      <c r="J367" s="205"/>
      <c r="K367" s="184"/>
      <c r="L367" s="205"/>
      <c r="M367" s="205"/>
      <c r="N367" s="205"/>
      <c r="O367" s="205"/>
      <c r="P367" s="205"/>
      <c r="Q367" s="184"/>
      <c r="R367" s="184"/>
      <c r="S367" s="879"/>
      <c r="T367" s="879"/>
      <c r="U367" s="879"/>
      <c r="V367" s="879"/>
      <c r="W367" s="879"/>
      <c r="X367" s="879"/>
      <c r="Y367" s="879"/>
      <c r="Z367" s="879"/>
      <c r="AA367" s="879"/>
      <c r="AB367" s="879"/>
      <c r="AC367" s="879"/>
      <c r="AD367" s="879"/>
      <c r="AE367" s="879"/>
      <c r="AF367" s="879"/>
      <c r="AG367" s="879"/>
      <c r="AH367" s="879"/>
      <c r="AI367" s="879"/>
      <c r="AJ367" s="879"/>
      <c r="AK367" s="879"/>
      <c r="AL367" s="879"/>
      <c r="AM367" s="879"/>
      <c r="AN367" s="879"/>
      <c r="AO367" s="879"/>
      <c r="AP367" s="879"/>
      <c r="AQ367" s="879"/>
      <c r="AR367" s="879"/>
    </row>
    <row r="368" spans="1:44" x14ac:dyDescent="0.2">
      <c r="A368" s="184" t="s">
        <v>27</v>
      </c>
      <c r="B368" s="184" t="s">
        <v>1049</v>
      </c>
      <c r="C368" s="184" t="s">
        <v>1050</v>
      </c>
      <c r="D368" s="183" t="s">
        <v>26</v>
      </c>
      <c r="E368" s="184" t="s">
        <v>47</v>
      </c>
      <c r="F368" s="184"/>
      <c r="G368" s="204">
        <v>2030</v>
      </c>
      <c r="H368" s="203">
        <v>30</v>
      </c>
      <c r="I368" s="205">
        <v>86.7</v>
      </c>
      <c r="J368" s="205">
        <v>1</v>
      </c>
      <c r="K368" s="184">
        <v>0.44</v>
      </c>
      <c r="L368" s="205">
        <v>0.1</v>
      </c>
      <c r="M368" s="205">
        <v>0.1</v>
      </c>
      <c r="N368" s="205">
        <v>0.1</v>
      </c>
      <c r="O368" s="205">
        <v>0.1</v>
      </c>
      <c r="P368" s="205">
        <v>0.1</v>
      </c>
      <c r="Q368" s="184"/>
      <c r="R368" s="184">
        <v>0.45</v>
      </c>
      <c r="S368" s="879"/>
      <c r="T368" s="879"/>
      <c r="U368" s="879"/>
      <c r="V368" s="879"/>
      <c r="W368" s="879"/>
      <c r="X368" s="876"/>
      <c r="Y368" s="876"/>
      <c r="Z368" s="876"/>
      <c r="AA368" s="876"/>
      <c r="AB368" s="876"/>
      <c r="AC368" s="876"/>
      <c r="AD368" s="876"/>
      <c r="AE368" s="876"/>
      <c r="AF368" s="876"/>
      <c r="AG368" s="876"/>
      <c r="AH368" s="876"/>
      <c r="AI368" s="876"/>
      <c r="AJ368" s="876"/>
      <c r="AK368" s="876"/>
      <c r="AL368" s="876"/>
      <c r="AM368" s="876"/>
      <c r="AN368" s="876"/>
      <c r="AO368" s="876"/>
      <c r="AP368" s="876"/>
      <c r="AQ368" s="876"/>
      <c r="AR368" s="876"/>
    </row>
    <row r="369" spans="1:44" x14ac:dyDescent="0.2">
      <c r="A369" s="184" t="s">
        <v>27</v>
      </c>
      <c r="B369" s="184"/>
      <c r="C369" s="184"/>
      <c r="D369" s="183"/>
      <c r="E369" s="184" t="s">
        <v>139</v>
      </c>
      <c r="F369" s="184"/>
      <c r="G369" s="204"/>
      <c r="H369" s="203"/>
      <c r="I369" s="205"/>
      <c r="J369" s="205"/>
      <c r="K369" s="184">
        <v>0.56000000000000005</v>
      </c>
      <c r="L369" s="205"/>
      <c r="M369" s="205"/>
      <c r="N369" s="205"/>
      <c r="O369" s="205"/>
      <c r="P369" s="205"/>
      <c r="Q369" s="184"/>
      <c r="R369" s="184"/>
      <c r="S369" s="879"/>
      <c r="T369" s="879"/>
      <c r="U369" s="879"/>
      <c r="V369" s="879"/>
      <c r="W369" s="879"/>
      <c r="X369" s="876"/>
      <c r="Y369" s="876"/>
      <c r="Z369" s="876"/>
      <c r="AA369" s="876"/>
      <c r="AB369" s="876"/>
      <c r="AC369" s="876"/>
      <c r="AD369" s="876"/>
      <c r="AE369" s="876"/>
      <c r="AF369" s="876"/>
      <c r="AG369" s="876"/>
      <c r="AH369" s="876"/>
      <c r="AI369" s="876"/>
      <c r="AJ369" s="876"/>
      <c r="AK369" s="876"/>
      <c r="AL369" s="876"/>
      <c r="AM369" s="876"/>
      <c r="AN369" s="876"/>
      <c r="AO369" s="876"/>
      <c r="AP369" s="876"/>
      <c r="AQ369" s="876"/>
      <c r="AR369" s="876"/>
    </row>
    <row r="370" spans="1:44" x14ac:dyDescent="0.2">
      <c r="A370" s="184" t="s">
        <v>27</v>
      </c>
      <c r="B370" s="184"/>
      <c r="C370" s="184"/>
      <c r="D370" s="183"/>
      <c r="E370" s="184"/>
      <c r="F370" s="184" t="s">
        <v>43</v>
      </c>
      <c r="G370" s="204"/>
      <c r="H370" s="203"/>
      <c r="I370" s="205"/>
      <c r="J370" s="205"/>
      <c r="K370" s="184"/>
      <c r="L370" s="205"/>
      <c r="M370" s="205"/>
      <c r="N370" s="205"/>
      <c r="O370" s="205"/>
      <c r="P370" s="205"/>
      <c r="Q370" s="184"/>
      <c r="R370" s="184"/>
      <c r="S370" s="879"/>
      <c r="T370" s="879"/>
      <c r="U370" s="879"/>
      <c r="V370" s="879"/>
      <c r="W370" s="879"/>
      <c r="X370" s="876"/>
      <c r="Y370" s="876"/>
      <c r="Z370" s="876"/>
      <c r="AA370" s="876"/>
      <c r="AB370" s="876"/>
      <c r="AC370" s="876"/>
      <c r="AD370" s="876"/>
      <c r="AE370" s="876"/>
      <c r="AF370" s="876"/>
      <c r="AG370" s="876"/>
      <c r="AH370" s="876"/>
      <c r="AI370" s="876"/>
      <c r="AJ370" s="876"/>
      <c r="AK370" s="876"/>
      <c r="AL370" s="876"/>
      <c r="AM370" s="876"/>
      <c r="AN370" s="876"/>
      <c r="AO370" s="876"/>
      <c r="AP370" s="876"/>
      <c r="AQ370" s="876"/>
      <c r="AR370" s="876"/>
    </row>
    <row r="371" spans="1:44" x14ac:dyDescent="0.2">
      <c r="A371" s="184" t="s">
        <v>27</v>
      </c>
      <c r="B371" s="184" t="s">
        <v>1051</v>
      </c>
      <c r="C371" s="184" t="s">
        <v>1052</v>
      </c>
      <c r="D371" s="183" t="s">
        <v>26</v>
      </c>
      <c r="E371" s="184" t="s">
        <v>47</v>
      </c>
      <c r="F371" s="184"/>
      <c r="G371" s="204">
        <v>2040</v>
      </c>
      <c r="H371" s="203">
        <v>15</v>
      </c>
      <c r="I371" s="205">
        <v>55.96</v>
      </c>
      <c r="J371" s="205">
        <v>1</v>
      </c>
      <c r="K371" s="184">
        <v>0.44</v>
      </c>
      <c r="L371" s="205">
        <v>0.1</v>
      </c>
      <c r="M371" s="205">
        <v>0.1</v>
      </c>
      <c r="N371" s="205">
        <v>0.1</v>
      </c>
      <c r="O371" s="205">
        <v>0.1</v>
      </c>
      <c r="P371" s="205">
        <v>0.1</v>
      </c>
      <c r="Q371" s="184"/>
      <c r="R371" s="184">
        <v>0.45</v>
      </c>
      <c r="S371" s="879"/>
      <c r="T371" s="879"/>
      <c r="U371" s="879"/>
      <c r="V371" s="879"/>
      <c r="W371" s="879"/>
      <c r="X371" s="876"/>
      <c r="Y371" s="876"/>
      <c r="Z371" s="876"/>
      <c r="AA371" s="876"/>
      <c r="AB371" s="876"/>
      <c r="AC371" s="876"/>
      <c r="AD371" s="876"/>
      <c r="AE371" s="876"/>
      <c r="AF371" s="876"/>
      <c r="AG371" s="876"/>
      <c r="AH371" s="876"/>
      <c r="AI371" s="876"/>
      <c r="AJ371" s="876"/>
      <c r="AK371" s="876"/>
      <c r="AL371" s="876"/>
      <c r="AM371" s="876"/>
      <c r="AN371" s="876"/>
      <c r="AO371" s="876"/>
      <c r="AP371" s="876"/>
      <c r="AQ371" s="876"/>
      <c r="AR371" s="876"/>
    </row>
    <row r="372" spans="1:44" x14ac:dyDescent="0.2">
      <c r="A372" s="184" t="s">
        <v>27</v>
      </c>
      <c r="B372" s="184"/>
      <c r="C372" s="184"/>
      <c r="D372" s="183"/>
      <c r="E372" s="184" t="s">
        <v>139</v>
      </c>
      <c r="F372" s="184"/>
      <c r="G372" s="204"/>
      <c r="H372" s="203"/>
      <c r="I372" s="205"/>
      <c r="J372" s="205"/>
      <c r="K372" s="184">
        <v>0.56000000000000005</v>
      </c>
      <c r="L372" s="205"/>
      <c r="M372" s="205"/>
      <c r="N372" s="205"/>
      <c r="O372" s="205"/>
      <c r="P372" s="205"/>
      <c r="Q372" s="184"/>
      <c r="R372" s="184"/>
      <c r="S372" s="879"/>
      <c r="T372" s="879"/>
      <c r="U372" s="879"/>
      <c r="V372" s="879"/>
      <c r="W372" s="879"/>
      <c r="X372" s="876"/>
      <c r="Y372" s="876"/>
      <c r="Z372" s="876"/>
      <c r="AA372" s="876"/>
      <c r="AB372" s="876"/>
      <c r="AC372" s="876"/>
      <c r="AD372" s="876"/>
      <c r="AE372" s="876"/>
      <c r="AF372" s="876"/>
      <c r="AG372" s="876"/>
      <c r="AH372" s="876"/>
      <c r="AI372" s="876"/>
      <c r="AJ372" s="876"/>
      <c r="AK372" s="876"/>
      <c r="AL372" s="876"/>
      <c r="AM372" s="876"/>
      <c r="AN372" s="876"/>
      <c r="AO372" s="876"/>
      <c r="AP372" s="876"/>
      <c r="AQ372" s="876"/>
      <c r="AR372" s="876"/>
    </row>
    <row r="373" spans="1:44" x14ac:dyDescent="0.2">
      <c r="A373" s="184" t="s">
        <v>27</v>
      </c>
      <c r="B373" s="184"/>
      <c r="C373" s="184"/>
      <c r="D373" s="183"/>
      <c r="E373" s="184"/>
      <c r="F373" s="184" t="s">
        <v>43</v>
      </c>
      <c r="G373" s="204"/>
      <c r="H373" s="203"/>
      <c r="I373" s="205"/>
      <c r="J373" s="205"/>
      <c r="K373" s="184"/>
      <c r="L373" s="205"/>
      <c r="M373" s="205"/>
      <c r="N373" s="205"/>
      <c r="O373" s="205"/>
      <c r="P373" s="205"/>
      <c r="Q373" s="184"/>
      <c r="R373" s="184"/>
      <c r="S373" s="879"/>
      <c r="T373" s="879"/>
      <c r="U373" s="879"/>
      <c r="V373" s="879"/>
      <c r="W373" s="879"/>
      <c r="X373" s="876"/>
      <c r="Y373" s="876"/>
      <c r="Z373" s="876"/>
      <c r="AA373" s="876"/>
      <c r="AB373" s="876"/>
      <c r="AC373" s="876"/>
      <c r="AD373" s="876"/>
      <c r="AE373" s="876"/>
      <c r="AF373" s="876"/>
      <c r="AG373" s="876"/>
      <c r="AH373" s="876"/>
      <c r="AI373" s="876"/>
      <c r="AJ373" s="876"/>
      <c r="AK373" s="876"/>
      <c r="AL373" s="876"/>
      <c r="AM373" s="876"/>
      <c r="AN373" s="876"/>
      <c r="AO373" s="876"/>
      <c r="AP373" s="876"/>
      <c r="AQ373" s="876"/>
      <c r="AR373" s="876"/>
    </row>
    <row r="374" spans="1:44" x14ac:dyDescent="0.2">
      <c r="A374" s="184" t="s">
        <v>27</v>
      </c>
      <c r="B374" s="184" t="s">
        <v>1053</v>
      </c>
      <c r="C374" s="184" t="s">
        <v>1054</v>
      </c>
      <c r="D374" s="183" t="s">
        <v>26</v>
      </c>
      <c r="E374" s="184" t="s">
        <v>47</v>
      </c>
      <c r="F374" s="184"/>
      <c r="G374" s="204">
        <v>2040</v>
      </c>
      <c r="H374" s="203">
        <v>30</v>
      </c>
      <c r="I374" s="205">
        <v>86.7</v>
      </c>
      <c r="J374" s="205">
        <v>1</v>
      </c>
      <c r="K374" s="184">
        <v>0.44</v>
      </c>
      <c r="L374" s="205">
        <v>0.1</v>
      </c>
      <c r="M374" s="205">
        <v>0.1</v>
      </c>
      <c r="N374" s="205">
        <v>0.1</v>
      </c>
      <c r="O374" s="205">
        <v>0.1</v>
      </c>
      <c r="P374" s="205">
        <v>0.1</v>
      </c>
      <c r="Q374" s="184"/>
      <c r="R374" s="184">
        <v>0.45</v>
      </c>
      <c r="S374" s="879"/>
      <c r="T374" s="879"/>
      <c r="U374" s="879"/>
      <c r="V374" s="879"/>
      <c r="W374" s="879"/>
      <c r="X374" s="876"/>
      <c r="Y374" s="876"/>
      <c r="Z374" s="876"/>
      <c r="AA374" s="876"/>
      <c r="AB374" s="876"/>
      <c r="AC374" s="876"/>
      <c r="AD374" s="876"/>
      <c r="AE374" s="876"/>
      <c r="AF374" s="876"/>
      <c r="AG374" s="876"/>
      <c r="AH374" s="876"/>
      <c r="AI374" s="876"/>
      <c r="AJ374" s="876"/>
      <c r="AK374" s="876"/>
      <c r="AL374" s="876"/>
      <c r="AM374" s="876"/>
      <c r="AN374" s="876"/>
      <c r="AO374" s="876"/>
      <c r="AP374" s="876"/>
      <c r="AQ374" s="876"/>
      <c r="AR374" s="876"/>
    </row>
    <row r="375" spans="1:44" x14ac:dyDescent="0.2">
      <c r="A375" s="184" t="s">
        <v>27</v>
      </c>
      <c r="B375" s="184"/>
      <c r="C375" s="184"/>
      <c r="D375" s="183"/>
      <c r="E375" s="184" t="s">
        <v>139</v>
      </c>
      <c r="F375" s="184"/>
      <c r="G375" s="204"/>
      <c r="H375" s="203"/>
      <c r="I375" s="205"/>
      <c r="J375" s="205"/>
      <c r="K375" s="184">
        <v>0.56000000000000005</v>
      </c>
      <c r="L375" s="205"/>
      <c r="M375" s="205"/>
      <c r="N375" s="205"/>
      <c r="O375" s="205"/>
      <c r="P375" s="205"/>
      <c r="Q375" s="184"/>
      <c r="R375" s="184"/>
      <c r="S375" s="879"/>
      <c r="T375" s="879"/>
      <c r="U375" s="879"/>
      <c r="V375" s="879"/>
      <c r="W375" s="879"/>
      <c r="X375" s="876"/>
      <c r="Y375" s="876"/>
      <c r="Z375" s="876"/>
      <c r="AA375" s="876"/>
      <c r="AB375" s="876"/>
      <c r="AC375" s="876"/>
      <c r="AD375" s="876"/>
      <c r="AE375" s="876"/>
      <c r="AF375" s="876"/>
      <c r="AG375" s="876"/>
      <c r="AH375" s="876"/>
      <c r="AI375" s="876"/>
      <c r="AJ375" s="876"/>
      <c r="AK375" s="876"/>
      <c r="AL375" s="876"/>
      <c r="AM375" s="876"/>
      <c r="AN375" s="876"/>
      <c r="AO375" s="876"/>
      <c r="AP375" s="876"/>
      <c r="AQ375" s="876"/>
      <c r="AR375" s="876"/>
    </row>
    <row r="376" spans="1:44" x14ac:dyDescent="0.2">
      <c r="A376" s="184" t="s">
        <v>27</v>
      </c>
      <c r="B376" s="184"/>
      <c r="C376" s="184"/>
      <c r="D376" s="183"/>
      <c r="E376" s="184"/>
      <c r="F376" s="184" t="s">
        <v>43</v>
      </c>
      <c r="G376" s="204"/>
      <c r="H376" s="203"/>
      <c r="I376" s="205"/>
      <c r="J376" s="205"/>
      <c r="K376" s="184"/>
      <c r="L376" s="205"/>
      <c r="M376" s="205"/>
      <c r="N376" s="205"/>
      <c r="O376" s="205"/>
      <c r="P376" s="205"/>
      <c r="Q376" s="184"/>
      <c r="R376" s="184"/>
      <c r="S376" s="879"/>
      <c r="T376" s="879"/>
      <c r="U376" s="879"/>
      <c r="V376" s="879"/>
      <c r="W376" s="879"/>
      <c r="X376" s="876"/>
      <c r="Y376" s="876"/>
      <c r="Z376" s="876"/>
      <c r="AA376" s="876"/>
      <c r="AB376" s="876"/>
      <c r="AC376" s="876"/>
      <c r="AD376" s="876"/>
      <c r="AE376" s="876"/>
      <c r="AF376" s="876"/>
      <c r="AG376" s="876"/>
      <c r="AH376" s="876"/>
      <c r="AI376" s="876"/>
      <c r="AJ376" s="876"/>
      <c r="AK376" s="876"/>
      <c r="AL376" s="876"/>
      <c r="AM376" s="876"/>
      <c r="AN376" s="876"/>
      <c r="AO376" s="876"/>
      <c r="AP376" s="876"/>
      <c r="AQ376" s="876"/>
      <c r="AR376" s="876"/>
    </row>
    <row r="377" spans="1:44" x14ac:dyDescent="0.2">
      <c r="A377" s="184" t="s">
        <v>27</v>
      </c>
      <c r="B377" s="184" t="s">
        <v>1055</v>
      </c>
      <c r="C377" s="184" t="s">
        <v>1056</v>
      </c>
      <c r="D377" s="183" t="s">
        <v>26</v>
      </c>
      <c r="E377" s="184" t="s">
        <v>47</v>
      </c>
      <c r="F377" s="184"/>
      <c r="G377" s="204">
        <v>2050</v>
      </c>
      <c r="H377" s="203">
        <v>15</v>
      </c>
      <c r="I377" s="205">
        <v>55.96</v>
      </c>
      <c r="J377" s="205">
        <v>1</v>
      </c>
      <c r="K377" s="184">
        <v>0.44</v>
      </c>
      <c r="L377" s="205">
        <v>0.1</v>
      </c>
      <c r="M377" s="205">
        <v>0.1</v>
      </c>
      <c r="N377" s="205">
        <v>0.1</v>
      </c>
      <c r="O377" s="205">
        <v>0.1</v>
      </c>
      <c r="P377" s="205">
        <v>0.1</v>
      </c>
      <c r="Q377" s="184"/>
      <c r="R377" s="184">
        <v>0.45</v>
      </c>
      <c r="S377" s="879"/>
      <c r="T377" s="879"/>
      <c r="U377" s="879"/>
      <c r="V377" s="879"/>
      <c r="W377" s="879"/>
      <c r="X377" s="876"/>
      <c r="Y377" s="876"/>
      <c r="Z377" s="876"/>
      <c r="AA377" s="876"/>
      <c r="AB377" s="876"/>
      <c r="AC377" s="876"/>
      <c r="AD377" s="876"/>
      <c r="AE377" s="876"/>
      <c r="AF377" s="876"/>
      <c r="AG377" s="876"/>
      <c r="AH377" s="876"/>
      <c r="AI377" s="876"/>
      <c r="AJ377" s="876"/>
      <c r="AK377" s="876"/>
      <c r="AL377" s="876"/>
      <c r="AM377" s="876"/>
      <c r="AN377" s="876"/>
      <c r="AO377" s="876"/>
      <c r="AP377" s="876"/>
      <c r="AQ377" s="876"/>
      <c r="AR377" s="876"/>
    </row>
    <row r="378" spans="1:44" x14ac:dyDescent="0.2">
      <c r="A378" s="184" t="s">
        <v>27</v>
      </c>
      <c r="B378" s="184"/>
      <c r="C378" s="184"/>
      <c r="D378" s="183"/>
      <c r="E378" s="184" t="s">
        <v>139</v>
      </c>
      <c r="F378" s="184"/>
      <c r="G378" s="204"/>
      <c r="H378" s="203"/>
      <c r="I378" s="205"/>
      <c r="J378" s="205"/>
      <c r="K378" s="184">
        <v>0.56000000000000005</v>
      </c>
      <c r="L378" s="205"/>
      <c r="M378" s="205"/>
      <c r="N378" s="205"/>
      <c r="O378" s="205"/>
      <c r="P378" s="205"/>
      <c r="Q378" s="184"/>
      <c r="R378" s="184"/>
      <c r="S378" s="879"/>
      <c r="T378" s="879"/>
      <c r="U378" s="879"/>
      <c r="V378" s="879"/>
      <c r="W378" s="879"/>
      <c r="X378" s="876"/>
      <c r="Y378" s="876"/>
      <c r="Z378" s="876"/>
      <c r="AA378" s="876"/>
      <c r="AB378" s="876"/>
      <c r="AC378" s="876"/>
      <c r="AD378" s="876"/>
      <c r="AE378" s="876"/>
      <c r="AF378" s="876"/>
      <c r="AG378" s="876"/>
      <c r="AH378" s="876"/>
      <c r="AI378" s="876"/>
      <c r="AJ378" s="876"/>
      <c r="AK378" s="876"/>
      <c r="AL378" s="876"/>
      <c r="AM378" s="876"/>
      <c r="AN378" s="876"/>
      <c r="AO378" s="876"/>
      <c r="AP378" s="876"/>
      <c r="AQ378" s="876"/>
      <c r="AR378" s="876"/>
    </row>
    <row r="379" spans="1:44" x14ac:dyDescent="0.2">
      <c r="A379" s="184" t="s">
        <v>27</v>
      </c>
      <c r="B379" s="184"/>
      <c r="C379" s="184"/>
      <c r="D379" s="183"/>
      <c r="E379" s="184"/>
      <c r="F379" s="184" t="s">
        <v>43</v>
      </c>
      <c r="G379" s="204"/>
      <c r="H379" s="203"/>
      <c r="I379" s="205"/>
      <c r="J379" s="205"/>
      <c r="K379" s="184"/>
      <c r="L379" s="205"/>
      <c r="M379" s="205"/>
      <c r="N379" s="205"/>
      <c r="O379" s="205"/>
      <c r="P379" s="205"/>
      <c r="Q379" s="184"/>
      <c r="R379" s="184"/>
      <c r="S379" s="879"/>
      <c r="T379" s="879"/>
      <c r="U379" s="879"/>
      <c r="V379" s="879"/>
      <c r="W379" s="879"/>
      <c r="X379" s="876"/>
      <c r="Y379" s="876"/>
      <c r="Z379" s="876"/>
      <c r="AA379" s="876"/>
      <c r="AB379" s="876"/>
      <c r="AC379" s="876"/>
      <c r="AD379" s="876"/>
      <c r="AE379" s="876"/>
      <c r="AF379" s="876"/>
      <c r="AG379" s="876"/>
      <c r="AH379" s="876"/>
      <c r="AI379" s="876"/>
      <c r="AJ379" s="876"/>
      <c r="AK379" s="876"/>
      <c r="AL379" s="876"/>
      <c r="AM379" s="876"/>
      <c r="AN379" s="876"/>
      <c r="AO379" s="876"/>
      <c r="AP379" s="876"/>
      <c r="AQ379" s="876"/>
      <c r="AR379" s="876"/>
    </row>
    <row r="380" spans="1:44" x14ac:dyDescent="0.2">
      <c r="A380" s="184" t="s">
        <v>27</v>
      </c>
      <c r="B380" s="184" t="s">
        <v>1057</v>
      </c>
      <c r="C380" s="184" t="s">
        <v>1056</v>
      </c>
      <c r="D380" s="183" t="s">
        <v>26</v>
      </c>
      <c r="E380" s="184" t="s">
        <v>47</v>
      </c>
      <c r="F380" s="184"/>
      <c r="G380" s="204">
        <v>2050</v>
      </c>
      <c r="H380" s="203">
        <v>30</v>
      </c>
      <c r="I380" s="205">
        <v>86.7</v>
      </c>
      <c r="J380" s="205">
        <v>1</v>
      </c>
      <c r="K380" s="184">
        <v>0.44</v>
      </c>
      <c r="L380" s="205">
        <v>0.1</v>
      </c>
      <c r="M380" s="205">
        <v>0.1</v>
      </c>
      <c r="N380" s="205">
        <v>0.1</v>
      </c>
      <c r="O380" s="205">
        <v>0.1</v>
      </c>
      <c r="P380" s="205">
        <v>0.1</v>
      </c>
      <c r="Q380" s="184"/>
      <c r="R380" s="184">
        <v>0.45</v>
      </c>
      <c r="S380" s="879"/>
      <c r="T380" s="879"/>
      <c r="U380" s="879"/>
      <c r="V380" s="879"/>
      <c r="W380" s="879"/>
      <c r="X380" s="876"/>
      <c r="Y380" s="876"/>
      <c r="Z380" s="876"/>
      <c r="AA380" s="876"/>
      <c r="AB380" s="876"/>
      <c r="AC380" s="876"/>
      <c r="AD380" s="876"/>
      <c r="AE380" s="876"/>
      <c r="AF380" s="876"/>
      <c r="AG380" s="876"/>
      <c r="AH380" s="876"/>
      <c r="AI380" s="876"/>
      <c r="AJ380" s="876"/>
      <c r="AK380" s="876"/>
      <c r="AL380" s="876"/>
      <c r="AM380" s="876"/>
      <c r="AN380" s="876"/>
      <c r="AO380" s="876"/>
      <c r="AP380" s="876"/>
      <c r="AQ380" s="876"/>
      <c r="AR380" s="876"/>
    </row>
    <row r="381" spans="1:44" x14ac:dyDescent="0.2">
      <c r="A381" s="184" t="s">
        <v>27</v>
      </c>
      <c r="B381" s="184"/>
      <c r="C381" s="184"/>
      <c r="D381" s="183"/>
      <c r="E381" s="184" t="s">
        <v>139</v>
      </c>
      <c r="F381" s="184"/>
      <c r="G381" s="204"/>
      <c r="H381" s="203"/>
      <c r="I381" s="205"/>
      <c r="J381" s="205"/>
      <c r="K381" s="184">
        <v>0.56000000000000005</v>
      </c>
      <c r="L381" s="205"/>
      <c r="M381" s="205"/>
      <c r="N381" s="205"/>
      <c r="O381" s="205"/>
      <c r="P381" s="205"/>
      <c r="Q381" s="184"/>
      <c r="R381" s="184"/>
      <c r="S381" s="879"/>
      <c r="T381" s="879"/>
      <c r="U381" s="879"/>
      <c r="V381" s="879"/>
      <c r="W381" s="879"/>
      <c r="X381" s="876"/>
      <c r="Y381" s="876"/>
      <c r="Z381" s="876"/>
      <c r="AA381" s="876"/>
      <c r="AB381" s="876"/>
      <c r="AC381" s="876"/>
      <c r="AD381" s="876"/>
      <c r="AE381" s="876"/>
      <c r="AF381" s="876"/>
      <c r="AG381" s="876"/>
      <c r="AH381" s="876"/>
      <c r="AI381" s="876"/>
      <c r="AJ381" s="876"/>
      <c r="AK381" s="876"/>
      <c r="AL381" s="876"/>
      <c r="AM381" s="876"/>
      <c r="AN381" s="876"/>
      <c r="AO381" s="876"/>
      <c r="AP381" s="876"/>
      <c r="AQ381" s="876"/>
      <c r="AR381" s="876"/>
    </row>
    <row r="382" spans="1:44" x14ac:dyDescent="0.2">
      <c r="A382" s="184" t="s">
        <v>27</v>
      </c>
      <c r="B382" s="184"/>
      <c r="C382" s="184"/>
      <c r="D382" s="183"/>
      <c r="E382" s="184"/>
      <c r="F382" s="184" t="s">
        <v>43</v>
      </c>
      <c r="G382" s="204"/>
      <c r="H382" s="203"/>
      <c r="I382" s="205"/>
      <c r="J382" s="205"/>
      <c r="K382" s="184"/>
      <c r="L382" s="205"/>
      <c r="M382" s="205"/>
      <c r="N382" s="205"/>
      <c r="O382" s="205"/>
      <c r="P382" s="205"/>
      <c r="Q382" s="184"/>
      <c r="R382" s="184"/>
      <c r="S382" s="879"/>
      <c r="T382" s="879"/>
      <c r="U382" s="879"/>
      <c r="V382" s="879"/>
      <c r="W382" s="879"/>
      <c r="X382" s="876"/>
      <c r="Y382" s="876"/>
      <c r="Z382" s="876"/>
      <c r="AA382" s="876"/>
      <c r="AB382" s="876"/>
      <c r="AC382" s="876"/>
      <c r="AD382" s="876"/>
      <c r="AE382" s="876"/>
      <c r="AF382" s="876"/>
      <c r="AG382" s="876"/>
      <c r="AH382" s="876"/>
      <c r="AI382" s="876"/>
      <c r="AJ382" s="876"/>
      <c r="AK382" s="876"/>
      <c r="AL382" s="876"/>
      <c r="AM382" s="876"/>
      <c r="AN382" s="876"/>
      <c r="AO382" s="876"/>
      <c r="AP382" s="876"/>
      <c r="AQ382" s="876"/>
      <c r="AR382" s="876"/>
    </row>
    <row r="383" spans="1:44" x14ac:dyDescent="0.2">
      <c r="A383" s="194" t="s">
        <v>400</v>
      </c>
      <c r="B383" s="192"/>
      <c r="C383" s="192"/>
      <c r="D383" s="192"/>
      <c r="E383" s="194"/>
      <c r="F383" s="194"/>
      <c r="G383" s="872"/>
      <c r="H383" s="873"/>
      <c r="I383" s="873"/>
      <c r="J383" s="874"/>
      <c r="K383" s="873"/>
      <c r="L383" s="873"/>
      <c r="M383" s="873"/>
      <c r="N383" s="873"/>
      <c r="O383" s="873"/>
      <c r="P383" s="873"/>
      <c r="Q383" s="873"/>
      <c r="R383" s="874"/>
      <c r="S383" s="875"/>
      <c r="T383" s="875"/>
      <c r="U383" s="875"/>
      <c r="V383" s="875"/>
      <c r="W383" s="875"/>
      <c r="X383" s="876"/>
      <c r="Y383" s="876"/>
      <c r="Z383" s="876"/>
      <c r="AA383" s="876"/>
      <c r="AB383" s="876"/>
      <c r="AC383" s="876"/>
      <c r="AD383" s="876"/>
      <c r="AE383" s="876"/>
      <c r="AF383" s="876"/>
      <c r="AG383" s="876"/>
      <c r="AH383" s="876"/>
      <c r="AI383" s="876"/>
      <c r="AJ383" s="876"/>
      <c r="AK383" s="876"/>
      <c r="AL383" s="876"/>
      <c r="AM383" s="876"/>
      <c r="AN383" s="876"/>
      <c r="AO383" s="876"/>
      <c r="AP383" s="876"/>
      <c r="AQ383" s="876"/>
      <c r="AR383" s="876"/>
    </row>
    <row r="384" spans="1:44" x14ac:dyDescent="0.2">
      <c r="A384" s="184" t="s">
        <v>27</v>
      </c>
      <c r="B384" s="184" t="s">
        <v>1058</v>
      </c>
      <c r="C384" s="184" t="s">
        <v>1059</v>
      </c>
      <c r="D384" s="183" t="s">
        <v>26</v>
      </c>
      <c r="E384" s="184" t="str">
        <f>Commodities!$D$19</f>
        <v>RESELC</v>
      </c>
      <c r="F384" s="184" t="str">
        <f>Commodities!$D$16</f>
        <v>RRF</v>
      </c>
      <c r="G384" s="204">
        <v>2010</v>
      </c>
      <c r="H384" s="203">
        <v>15</v>
      </c>
      <c r="I384" s="205"/>
      <c r="J384" s="205" t="e">
        <f>#REF!</f>
        <v>#REF!</v>
      </c>
      <c r="K384" s="184">
        <v>1</v>
      </c>
      <c r="L384" s="205">
        <v>0</v>
      </c>
      <c r="M384" s="205">
        <v>0</v>
      </c>
      <c r="N384" s="205">
        <v>0</v>
      </c>
      <c r="O384" s="205">
        <v>0</v>
      </c>
      <c r="P384" s="205">
        <v>0</v>
      </c>
      <c r="Q384" s="184"/>
      <c r="R384" s="184">
        <v>0.18</v>
      </c>
      <c r="S384" s="880">
        <v>14.709046623791854</v>
      </c>
      <c r="T384" s="880">
        <v>7.9805438383817879</v>
      </c>
      <c r="U384" s="880">
        <v>9.1372867665236512</v>
      </c>
      <c r="V384" s="880">
        <v>2.7006704988814558</v>
      </c>
      <c r="W384" s="880">
        <v>12.963783038901443</v>
      </c>
      <c r="X384" s="880"/>
      <c r="Y384" s="880"/>
      <c r="Z384" s="880"/>
      <c r="AA384" s="880"/>
      <c r="AB384" s="880"/>
      <c r="AC384" s="880"/>
      <c r="AD384" s="880"/>
      <c r="AE384" s="880"/>
      <c r="AF384" s="880"/>
      <c r="AG384" s="880"/>
      <c r="AH384" s="880"/>
      <c r="AI384" s="879">
        <v>0</v>
      </c>
      <c r="AJ384" s="879">
        <v>0</v>
      </c>
      <c r="AK384" s="879">
        <v>0</v>
      </c>
      <c r="AL384" s="879">
        <v>0</v>
      </c>
      <c r="AM384" s="879">
        <v>0</v>
      </c>
      <c r="AN384" s="879">
        <v>0</v>
      </c>
      <c r="AO384" s="879">
        <v>0</v>
      </c>
      <c r="AP384" s="879">
        <v>0</v>
      </c>
      <c r="AQ384" s="879">
        <v>0</v>
      </c>
      <c r="AR384" s="879">
        <v>0</v>
      </c>
    </row>
    <row r="385" spans="1:44" x14ac:dyDescent="0.2">
      <c r="A385" s="184" t="s">
        <v>27</v>
      </c>
      <c r="B385" s="184" t="s">
        <v>1060</v>
      </c>
      <c r="C385" s="184" t="s">
        <v>1061</v>
      </c>
      <c r="D385" s="183" t="s">
        <v>26</v>
      </c>
      <c r="E385" s="184" t="str">
        <f>Commodities!$D$19</f>
        <v>RESELC</v>
      </c>
      <c r="F385" s="184" t="str">
        <f>Commodities!$D$16</f>
        <v>RRF</v>
      </c>
      <c r="G385" s="204" t="str">
        <f t="shared" ref="G385:G396" si="5">IF(RIGHT(B385,2)="TI",2010,CONCATENATE(20,RIGHT(B385,2)))</f>
        <v>2010</v>
      </c>
      <c r="H385" s="203">
        <v>15</v>
      </c>
      <c r="I385" s="205" t="e">
        <f>#REF!</f>
        <v>#REF!</v>
      </c>
      <c r="J385" s="205" t="e">
        <f>#REF!</f>
        <v>#REF!</v>
      </c>
      <c r="K385" s="184">
        <v>1</v>
      </c>
      <c r="L385" s="205">
        <v>0</v>
      </c>
      <c r="M385" s="205">
        <v>0</v>
      </c>
      <c r="N385" s="205">
        <v>0</v>
      </c>
      <c r="O385" s="205">
        <v>0</v>
      </c>
      <c r="P385" s="205">
        <v>0</v>
      </c>
      <c r="Q385" s="184"/>
      <c r="R385" s="184">
        <v>0.18</v>
      </c>
      <c r="S385" s="879"/>
      <c r="T385" s="879"/>
      <c r="U385" s="879"/>
      <c r="V385" s="879"/>
      <c r="W385" s="879"/>
      <c r="X385" s="879"/>
      <c r="Y385" s="879"/>
      <c r="Z385" s="879"/>
      <c r="AA385" s="879"/>
      <c r="AB385" s="879"/>
      <c r="AC385" s="879"/>
      <c r="AD385" s="879"/>
      <c r="AE385" s="879"/>
      <c r="AF385" s="879"/>
      <c r="AG385" s="879"/>
      <c r="AH385" s="879"/>
      <c r="AI385" s="879"/>
      <c r="AJ385" s="879"/>
      <c r="AK385" s="879">
        <v>0</v>
      </c>
      <c r="AL385" s="879">
        <v>0</v>
      </c>
      <c r="AM385" s="879">
        <v>0</v>
      </c>
      <c r="AN385" s="879">
        <v>0</v>
      </c>
      <c r="AO385" s="879">
        <v>0</v>
      </c>
      <c r="AP385" s="879">
        <v>0</v>
      </c>
      <c r="AQ385" s="879">
        <v>0</v>
      </c>
      <c r="AR385" s="879">
        <v>0</v>
      </c>
    </row>
    <row r="386" spans="1:44" x14ac:dyDescent="0.2">
      <c r="A386" s="184" t="s">
        <v>27</v>
      </c>
      <c r="B386" s="184" t="s">
        <v>1062</v>
      </c>
      <c r="C386" s="184" t="s">
        <v>1063</v>
      </c>
      <c r="D386" s="183" t="s">
        <v>26</v>
      </c>
      <c r="E386" s="184" t="str">
        <f>Commodities!$D$19</f>
        <v>RESELC</v>
      </c>
      <c r="F386" s="184" t="str">
        <f>Commodities!$D$16</f>
        <v>RRF</v>
      </c>
      <c r="G386" s="204" t="str">
        <f t="shared" si="5"/>
        <v>2015</v>
      </c>
      <c r="H386" s="203">
        <v>15</v>
      </c>
      <c r="I386" s="205" t="e">
        <f>#REF!</f>
        <v>#REF!</v>
      </c>
      <c r="J386" s="205" t="e">
        <f>#REF!</f>
        <v>#REF!</v>
      </c>
      <c r="K386" s="184">
        <v>1</v>
      </c>
      <c r="L386" s="205">
        <v>0</v>
      </c>
      <c r="M386" s="205">
        <v>0</v>
      </c>
      <c r="N386" s="205">
        <v>0</v>
      </c>
      <c r="O386" s="205">
        <v>0</v>
      </c>
      <c r="P386" s="205">
        <v>0</v>
      </c>
      <c r="Q386" s="184"/>
      <c r="R386" s="184">
        <v>0.18</v>
      </c>
      <c r="S386" s="879"/>
      <c r="T386" s="879"/>
      <c r="U386" s="879"/>
      <c r="V386" s="879"/>
      <c r="W386" s="879"/>
      <c r="X386" s="879"/>
      <c r="Y386" s="879"/>
      <c r="Z386" s="879"/>
      <c r="AA386" s="879"/>
      <c r="AB386" s="879"/>
      <c r="AC386" s="879"/>
      <c r="AD386" s="879"/>
      <c r="AE386" s="879"/>
      <c r="AF386" s="879"/>
      <c r="AG386" s="879"/>
      <c r="AH386" s="879"/>
      <c r="AI386" s="879"/>
      <c r="AJ386" s="879"/>
      <c r="AK386" s="879"/>
      <c r="AL386" s="879"/>
      <c r="AM386" s="879"/>
      <c r="AN386" s="879"/>
      <c r="AO386" s="879"/>
      <c r="AP386" s="879"/>
      <c r="AQ386" s="879"/>
      <c r="AR386" s="879"/>
    </row>
    <row r="387" spans="1:44" x14ac:dyDescent="0.2">
      <c r="A387" s="184" t="s">
        <v>27</v>
      </c>
      <c r="B387" s="184" t="s">
        <v>1064</v>
      </c>
      <c r="C387" s="184" t="s">
        <v>1065</v>
      </c>
      <c r="D387" s="183" t="s">
        <v>26</v>
      </c>
      <c r="E387" s="184" t="str">
        <f>Commodities!$D$19</f>
        <v>RESELC</v>
      </c>
      <c r="F387" s="184" t="str">
        <f>Commodities!$D$16</f>
        <v>RRF</v>
      </c>
      <c r="G387" s="204" t="str">
        <f t="shared" si="5"/>
        <v>2010</v>
      </c>
      <c r="H387" s="203">
        <v>15</v>
      </c>
      <c r="I387" s="205" t="e">
        <f>#REF!</f>
        <v>#REF!</v>
      </c>
      <c r="J387" s="205" t="e">
        <f>#REF!</f>
        <v>#REF!</v>
      </c>
      <c r="K387" s="184">
        <v>1</v>
      </c>
      <c r="L387" s="205">
        <v>0</v>
      </c>
      <c r="M387" s="205">
        <v>0</v>
      </c>
      <c r="N387" s="205">
        <v>0</v>
      </c>
      <c r="O387" s="205">
        <v>0</v>
      </c>
      <c r="P387" s="205">
        <v>0</v>
      </c>
      <c r="Q387" s="184"/>
      <c r="R387" s="184">
        <v>0.18</v>
      </c>
      <c r="S387" s="879"/>
      <c r="T387" s="879"/>
      <c r="U387" s="879"/>
      <c r="V387" s="879"/>
      <c r="W387" s="879"/>
      <c r="X387" s="879"/>
      <c r="Y387" s="879"/>
      <c r="Z387" s="879"/>
      <c r="AA387" s="879"/>
      <c r="AB387" s="879"/>
      <c r="AC387" s="879"/>
      <c r="AD387" s="879"/>
      <c r="AE387" s="879"/>
      <c r="AF387" s="879"/>
      <c r="AG387" s="879"/>
      <c r="AH387" s="879"/>
      <c r="AI387" s="879"/>
      <c r="AJ387" s="879"/>
      <c r="AK387" s="879">
        <v>0</v>
      </c>
      <c r="AL387" s="879">
        <v>0</v>
      </c>
      <c r="AM387" s="879">
        <v>0</v>
      </c>
      <c r="AN387" s="879">
        <v>0</v>
      </c>
      <c r="AO387" s="879">
        <v>0</v>
      </c>
      <c r="AP387" s="879">
        <v>0</v>
      </c>
      <c r="AQ387" s="879">
        <v>0</v>
      </c>
      <c r="AR387" s="879">
        <v>0</v>
      </c>
    </row>
    <row r="388" spans="1:44" x14ac:dyDescent="0.2">
      <c r="A388" s="184" t="s">
        <v>27</v>
      </c>
      <c r="B388" s="184" t="s">
        <v>1066</v>
      </c>
      <c r="C388" s="184" t="s">
        <v>1067</v>
      </c>
      <c r="D388" s="183" t="s">
        <v>26</v>
      </c>
      <c r="E388" s="184" t="str">
        <f>Commodities!$D$19</f>
        <v>RESELC</v>
      </c>
      <c r="F388" s="184" t="str">
        <f>Commodities!$D$16</f>
        <v>RRF</v>
      </c>
      <c r="G388" s="204" t="str">
        <f t="shared" si="5"/>
        <v>2015</v>
      </c>
      <c r="H388" s="203">
        <v>15</v>
      </c>
      <c r="I388" s="205" t="e">
        <f>#REF!</f>
        <v>#REF!</v>
      </c>
      <c r="J388" s="205" t="e">
        <f>#REF!</f>
        <v>#REF!</v>
      </c>
      <c r="K388" s="184">
        <v>1</v>
      </c>
      <c r="L388" s="205">
        <v>0</v>
      </c>
      <c r="M388" s="205">
        <v>0</v>
      </c>
      <c r="N388" s="205">
        <v>0</v>
      </c>
      <c r="O388" s="205">
        <v>0</v>
      </c>
      <c r="P388" s="205">
        <v>0</v>
      </c>
      <c r="Q388" s="184"/>
      <c r="R388" s="184">
        <v>0.18</v>
      </c>
      <c r="S388" s="879"/>
      <c r="T388" s="879"/>
      <c r="U388" s="879"/>
      <c r="V388" s="879"/>
      <c r="W388" s="879"/>
      <c r="X388" s="879"/>
      <c r="Y388" s="879"/>
      <c r="Z388" s="879"/>
      <c r="AA388" s="879"/>
      <c r="AB388" s="879"/>
      <c r="AC388" s="879"/>
      <c r="AD388" s="879"/>
      <c r="AE388" s="879"/>
      <c r="AF388" s="879"/>
      <c r="AG388" s="879"/>
      <c r="AH388" s="879"/>
      <c r="AI388" s="879"/>
      <c r="AJ388" s="879"/>
      <c r="AK388" s="879"/>
      <c r="AL388" s="879"/>
      <c r="AM388" s="879"/>
      <c r="AN388" s="879"/>
      <c r="AO388" s="879"/>
      <c r="AP388" s="879"/>
      <c r="AQ388" s="879"/>
      <c r="AR388" s="879"/>
    </row>
    <row r="389" spans="1:44" x14ac:dyDescent="0.2">
      <c r="A389" s="184" t="s">
        <v>27</v>
      </c>
      <c r="B389" s="184" t="s">
        <v>1068</v>
      </c>
      <c r="C389" s="184" t="s">
        <v>1069</v>
      </c>
      <c r="D389" s="183" t="s">
        <v>26</v>
      </c>
      <c r="E389" s="184" t="str">
        <f>Commodities!$D$19</f>
        <v>RESELC</v>
      </c>
      <c r="F389" s="184" t="str">
        <f>Commodities!$D$16</f>
        <v>RRF</v>
      </c>
      <c r="G389" s="204" t="str">
        <f t="shared" si="5"/>
        <v>2010</v>
      </c>
      <c r="H389" s="203">
        <v>15</v>
      </c>
      <c r="I389" s="205" t="e">
        <f>#REF!</f>
        <v>#REF!</v>
      </c>
      <c r="J389" s="205" t="e">
        <f>#REF!</f>
        <v>#REF!</v>
      </c>
      <c r="K389" s="184">
        <v>1</v>
      </c>
      <c r="L389" s="205">
        <v>0</v>
      </c>
      <c r="M389" s="205">
        <v>0</v>
      </c>
      <c r="N389" s="205">
        <v>0</v>
      </c>
      <c r="O389" s="205">
        <v>0</v>
      </c>
      <c r="P389" s="205">
        <v>0</v>
      </c>
      <c r="Q389" s="184"/>
      <c r="R389" s="184">
        <v>0.18</v>
      </c>
      <c r="S389" s="879"/>
      <c r="T389" s="879"/>
      <c r="U389" s="879"/>
      <c r="V389" s="879"/>
      <c r="W389" s="879"/>
      <c r="X389" s="879"/>
      <c r="Y389" s="879"/>
      <c r="Z389" s="879"/>
      <c r="AA389" s="879"/>
      <c r="AB389" s="879"/>
      <c r="AC389" s="879"/>
      <c r="AD389" s="879"/>
      <c r="AE389" s="879"/>
      <c r="AF389" s="879"/>
      <c r="AG389" s="879"/>
      <c r="AH389" s="879"/>
      <c r="AI389" s="879"/>
      <c r="AJ389" s="879"/>
      <c r="AK389" s="879">
        <v>0</v>
      </c>
      <c r="AL389" s="879">
        <v>0</v>
      </c>
      <c r="AM389" s="879">
        <v>0</v>
      </c>
      <c r="AN389" s="879">
        <v>0</v>
      </c>
      <c r="AO389" s="879">
        <v>0</v>
      </c>
      <c r="AP389" s="879">
        <v>0</v>
      </c>
      <c r="AQ389" s="879">
        <v>0</v>
      </c>
      <c r="AR389" s="879">
        <v>0</v>
      </c>
    </row>
    <row r="390" spans="1:44" x14ac:dyDescent="0.2">
      <c r="A390" s="184" t="s">
        <v>27</v>
      </c>
      <c r="B390" s="184" t="s">
        <v>1070</v>
      </c>
      <c r="C390" s="184" t="s">
        <v>1071</v>
      </c>
      <c r="D390" s="183" t="s">
        <v>26</v>
      </c>
      <c r="E390" s="184" t="str">
        <f>Commodities!$D$19</f>
        <v>RESELC</v>
      </c>
      <c r="F390" s="184" t="str">
        <f>Commodities!$D$16</f>
        <v>RRF</v>
      </c>
      <c r="G390" s="204" t="str">
        <f t="shared" si="5"/>
        <v>2015</v>
      </c>
      <c r="H390" s="203">
        <v>15</v>
      </c>
      <c r="I390" s="205" t="e">
        <f>#REF!</f>
        <v>#REF!</v>
      </c>
      <c r="J390" s="205" t="e">
        <f>#REF!</f>
        <v>#REF!</v>
      </c>
      <c r="K390" s="184">
        <v>1</v>
      </c>
      <c r="L390" s="205">
        <v>0</v>
      </c>
      <c r="M390" s="205">
        <v>0</v>
      </c>
      <c r="N390" s="205">
        <v>0</v>
      </c>
      <c r="O390" s="205">
        <v>0</v>
      </c>
      <c r="P390" s="205">
        <v>0</v>
      </c>
      <c r="Q390" s="184"/>
      <c r="R390" s="184">
        <v>0.18</v>
      </c>
      <c r="S390" s="879"/>
      <c r="T390" s="879"/>
      <c r="U390" s="879"/>
      <c r="V390" s="879"/>
      <c r="W390" s="879"/>
      <c r="X390" s="879"/>
      <c r="Y390" s="879"/>
      <c r="Z390" s="879"/>
      <c r="AA390" s="879"/>
      <c r="AB390" s="879"/>
      <c r="AC390" s="879"/>
      <c r="AD390" s="879"/>
      <c r="AE390" s="879"/>
      <c r="AF390" s="879"/>
      <c r="AG390" s="879"/>
      <c r="AH390" s="879"/>
      <c r="AI390" s="879"/>
      <c r="AJ390" s="879"/>
      <c r="AK390" s="879"/>
      <c r="AL390" s="879"/>
      <c r="AM390" s="879"/>
      <c r="AN390" s="879"/>
      <c r="AO390" s="879"/>
      <c r="AP390" s="879"/>
      <c r="AQ390" s="879"/>
      <c r="AR390" s="879"/>
    </row>
    <row r="391" spans="1:44" x14ac:dyDescent="0.2">
      <c r="A391" s="184" t="s">
        <v>27</v>
      </c>
      <c r="B391" s="184" t="s">
        <v>1072</v>
      </c>
      <c r="C391" s="184" t="s">
        <v>1073</v>
      </c>
      <c r="D391" s="183" t="s">
        <v>26</v>
      </c>
      <c r="E391" s="184" t="str">
        <f>Commodities!$D$19</f>
        <v>RESELC</v>
      </c>
      <c r="F391" s="184" t="str">
        <f>Commodities!$D$16</f>
        <v>RRF</v>
      </c>
      <c r="G391" s="204" t="str">
        <f t="shared" si="5"/>
        <v>2010</v>
      </c>
      <c r="H391" s="203">
        <v>15</v>
      </c>
      <c r="I391" s="205" t="e">
        <f>#REF!</f>
        <v>#REF!</v>
      </c>
      <c r="J391" s="205" t="e">
        <f>#REF!</f>
        <v>#REF!</v>
      </c>
      <c r="K391" s="184">
        <v>1</v>
      </c>
      <c r="L391" s="205">
        <v>0</v>
      </c>
      <c r="M391" s="205">
        <v>0</v>
      </c>
      <c r="N391" s="205">
        <v>0</v>
      </c>
      <c r="O391" s="205">
        <v>0</v>
      </c>
      <c r="P391" s="205">
        <v>0</v>
      </c>
      <c r="Q391" s="184"/>
      <c r="R391" s="184">
        <v>0.18</v>
      </c>
      <c r="S391" s="879"/>
      <c r="T391" s="879"/>
      <c r="U391" s="879"/>
      <c r="V391" s="879"/>
      <c r="W391" s="879"/>
      <c r="X391" s="879"/>
      <c r="Y391" s="879"/>
      <c r="Z391" s="879"/>
      <c r="AA391" s="879"/>
      <c r="AB391" s="879"/>
      <c r="AC391" s="879"/>
      <c r="AD391" s="879"/>
      <c r="AE391" s="879"/>
      <c r="AF391" s="879"/>
      <c r="AG391" s="879"/>
      <c r="AH391" s="879"/>
      <c r="AI391" s="879"/>
      <c r="AJ391" s="879"/>
      <c r="AK391" s="879"/>
      <c r="AL391" s="879"/>
      <c r="AM391" s="879"/>
      <c r="AN391" s="879"/>
      <c r="AO391" s="879"/>
      <c r="AP391" s="879"/>
      <c r="AQ391" s="879"/>
      <c r="AR391" s="879"/>
    </row>
    <row r="392" spans="1:44" x14ac:dyDescent="0.2">
      <c r="A392" s="184" t="s">
        <v>27</v>
      </c>
      <c r="B392" s="184" t="s">
        <v>1074</v>
      </c>
      <c r="C392" s="184" t="s">
        <v>1075</v>
      </c>
      <c r="D392" s="183" t="s">
        <v>26</v>
      </c>
      <c r="E392" s="184" t="str">
        <f>Commodities!$D$19</f>
        <v>RESELC</v>
      </c>
      <c r="F392" s="184" t="str">
        <f>Commodities!$D$16</f>
        <v>RRF</v>
      </c>
      <c r="G392" s="204" t="str">
        <f t="shared" si="5"/>
        <v>2010</v>
      </c>
      <c r="H392" s="203">
        <v>15</v>
      </c>
      <c r="I392" s="205" t="e">
        <f>#REF!</f>
        <v>#REF!</v>
      </c>
      <c r="J392" s="205" t="e">
        <f>#REF!</f>
        <v>#REF!</v>
      </c>
      <c r="K392" s="184">
        <v>1</v>
      </c>
      <c r="L392" s="205">
        <v>0</v>
      </c>
      <c r="M392" s="205">
        <v>0</v>
      </c>
      <c r="N392" s="205">
        <v>0</v>
      </c>
      <c r="O392" s="205">
        <v>0</v>
      </c>
      <c r="P392" s="205">
        <v>0</v>
      </c>
      <c r="Q392" s="184"/>
      <c r="R392" s="184">
        <v>0.18</v>
      </c>
      <c r="S392" s="879"/>
      <c r="T392" s="879"/>
      <c r="U392" s="879"/>
      <c r="V392" s="879"/>
      <c r="W392" s="879"/>
      <c r="X392" s="879"/>
      <c r="Y392" s="879"/>
      <c r="Z392" s="879"/>
      <c r="AA392" s="879"/>
      <c r="AB392" s="879"/>
      <c r="AC392" s="879"/>
      <c r="AD392" s="879"/>
      <c r="AE392" s="879"/>
      <c r="AF392" s="879"/>
      <c r="AG392" s="879"/>
      <c r="AH392" s="879"/>
      <c r="AI392" s="879"/>
      <c r="AJ392" s="879"/>
      <c r="AK392" s="879">
        <v>0</v>
      </c>
      <c r="AL392" s="879">
        <v>0</v>
      </c>
      <c r="AM392" s="879">
        <v>0</v>
      </c>
      <c r="AN392" s="879">
        <v>0</v>
      </c>
      <c r="AO392" s="879">
        <v>0</v>
      </c>
      <c r="AP392" s="879">
        <v>0</v>
      </c>
      <c r="AQ392" s="879">
        <v>0</v>
      </c>
      <c r="AR392" s="879">
        <v>0</v>
      </c>
    </row>
    <row r="393" spans="1:44" x14ac:dyDescent="0.2">
      <c r="A393" s="184" t="s">
        <v>27</v>
      </c>
      <c r="B393" s="184" t="s">
        <v>1076</v>
      </c>
      <c r="C393" s="184" t="s">
        <v>1077</v>
      </c>
      <c r="D393" s="183" t="s">
        <v>26</v>
      </c>
      <c r="E393" s="184" t="str">
        <f>Commodities!$D$19</f>
        <v>RESELC</v>
      </c>
      <c r="F393" s="184" t="str">
        <f>Commodities!$D$16</f>
        <v>RRF</v>
      </c>
      <c r="G393" s="204" t="str">
        <f t="shared" si="5"/>
        <v>2015</v>
      </c>
      <c r="H393" s="203">
        <v>15</v>
      </c>
      <c r="I393" s="205" t="e">
        <f>#REF!</f>
        <v>#REF!</v>
      </c>
      <c r="J393" s="205" t="e">
        <f>#REF!</f>
        <v>#REF!</v>
      </c>
      <c r="K393" s="184">
        <v>1</v>
      </c>
      <c r="L393" s="205">
        <v>0</v>
      </c>
      <c r="M393" s="205">
        <v>0</v>
      </c>
      <c r="N393" s="205">
        <v>0</v>
      </c>
      <c r="O393" s="205">
        <v>0</v>
      </c>
      <c r="P393" s="205">
        <v>0</v>
      </c>
      <c r="Q393" s="184"/>
      <c r="R393" s="184">
        <v>0.18</v>
      </c>
      <c r="S393" s="879"/>
      <c r="T393" s="879"/>
      <c r="U393" s="879"/>
      <c r="V393" s="879"/>
      <c r="W393" s="879"/>
      <c r="X393" s="879"/>
      <c r="Y393" s="879"/>
      <c r="Z393" s="879"/>
      <c r="AA393" s="879"/>
      <c r="AB393" s="879"/>
      <c r="AC393" s="879"/>
      <c r="AD393" s="879"/>
      <c r="AE393" s="879"/>
      <c r="AF393" s="879"/>
      <c r="AG393" s="879"/>
      <c r="AH393" s="879"/>
      <c r="AI393" s="879"/>
      <c r="AJ393" s="879"/>
      <c r="AK393" s="879"/>
      <c r="AL393" s="879"/>
      <c r="AM393" s="879"/>
      <c r="AN393" s="879"/>
      <c r="AO393" s="879"/>
      <c r="AP393" s="879"/>
      <c r="AQ393" s="879"/>
      <c r="AR393" s="879"/>
    </row>
    <row r="394" spans="1:44" x14ac:dyDescent="0.2">
      <c r="A394" s="184" t="s">
        <v>27</v>
      </c>
      <c r="B394" s="184" t="s">
        <v>1078</v>
      </c>
      <c r="C394" s="184" t="s">
        <v>1079</v>
      </c>
      <c r="D394" s="183" t="s">
        <v>26</v>
      </c>
      <c r="E394" s="184" t="str">
        <f>Commodities!$D$19</f>
        <v>RESELC</v>
      </c>
      <c r="F394" s="184" t="str">
        <f>Commodities!$D$16</f>
        <v>RRF</v>
      </c>
      <c r="G394" s="204" t="str">
        <f t="shared" si="5"/>
        <v>2010</v>
      </c>
      <c r="H394" s="203">
        <v>15</v>
      </c>
      <c r="I394" s="205" t="e">
        <f>#REF!</f>
        <v>#REF!</v>
      </c>
      <c r="J394" s="205" t="e">
        <f>#REF!</f>
        <v>#REF!</v>
      </c>
      <c r="K394" s="184">
        <v>1</v>
      </c>
      <c r="L394" s="205">
        <v>0</v>
      </c>
      <c r="M394" s="205">
        <v>0</v>
      </c>
      <c r="N394" s="205">
        <v>0</v>
      </c>
      <c r="O394" s="205">
        <v>0</v>
      </c>
      <c r="P394" s="205">
        <v>0</v>
      </c>
      <c r="Q394" s="184"/>
      <c r="R394" s="184">
        <v>0.18</v>
      </c>
      <c r="S394" s="879"/>
      <c r="T394" s="879"/>
      <c r="U394" s="879"/>
      <c r="V394" s="879"/>
      <c r="W394" s="879"/>
      <c r="X394" s="879"/>
      <c r="Y394" s="879"/>
      <c r="Z394" s="879"/>
      <c r="AA394" s="879"/>
      <c r="AB394" s="879"/>
      <c r="AC394" s="879"/>
      <c r="AD394" s="879"/>
      <c r="AE394" s="879"/>
      <c r="AF394" s="879"/>
      <c r="AG394" s="879"/>
      <c r="AH394" s="879"/>
      <c r="AI394" s="879"/>
      <c r="AJ394" s="879"/>
      <c r="AK394" s="879"/>
      <c r="AL394" s="879"/>
      <c r="AM394" s="879"/>
      <c r="AN394" s="879"/>
      <c r="AO394" s="879"/>
      <c r="AP394" s="879"/>
      <c r="AQ394" s="879"/>
      <c r="AR394" s="879"/>
    </row>
    <row r="395" spans="1:44" x14ac:dyDescent="0.2">
      <c r="A395" s="184" t="s">
        <v>27</v>
      </c>
      <c r="B395" s="184" t="s">
        <v>1080</v>
      </c>
      <c r="C395" s="184" t="s">
        <v>1081</v>
      </c>
      <c r="D395" s="183" t="s">
        <v>26</v>
      </c>
      <c r="E395" s="184" t="str">
        <f>Commodities!$D$19</f>
        <v>RESELC</v>
      </c>
      <c r="F395" s="184" t="str">
        <f>Commodities!$D$16</f>
        <v>RRF</v>
      </c>
      <c r="G395" s="204" t="str">
        <f t="shared" si="5"/>
        <v>2010</v>
      </c>
      <c r="H395" s="203">
        <v>15</v>
      </c>
      <c r="I395" s="205" t="e">
        <f>#REF!</f>
        <v>#REF!</v>
      </c>
      <c r="J395" s="205" t="e">
        <f>#REF!</f>
        <v>#REF!</v>
      </c>
      <c r="K395" s="184">
        <v>1</v>
      </c>
      <c r="L395" s="205">
        <v>0</v>
      </c>
      <c r="M395" s="205">
        <v>0</v>
      </c>
      <c r="N395" s="205">
        <v>0</v>
      </c>
      <c r="O395" s="205">
        <v>0</v>
      </c>
      <c r="P395" s="205">
        <v>0</v>
      </c>
      <c r="Q395" s="184"/>
      <c r="R395" s="184">
        <v>0.18</v>
      </c>
      <c r="S395" s="879"/>
      <c r="T395" s="879"/>
      <c r="U395" s="879"/>
      <c r="V395" s="879"/>
      <c r="W395" s="879"/>
      <c r="X395" s="879"/>
      <c r="Y395" s="879"/>
      <c r="Z395" s="879"/>
      <c r="AA395" s="879"/>
      <c r="AB395" s="879"/>
      <c r="AC395" s="879"/>
      <c r="AD395" s="879"/>
      <c r="AE395" s="879"/>
      <c r="AF395" s="879"/>
      <c r="AG395" s="879"/>
      <c r="AH395" s="879"/>
      <c r="AI395" s="879"/>
      <c r="AJ395" s="879"/>
      <c r="AK395" s="879">
        <v>0</v>
      </c>
      <c r="AL395" s="879">
        <v>0</v>
      </c>
      <c r="AM395" s="879">
        <v>0</v>
      </c>
      <c r="AN395" s="879">
        <v>0</v>
      </c>
      <c r="AO395" s="879">
        <v>0</v>
      </c>
      <c r="AP395" s="879">
        <v>0</v>
      </c>
      <c r="AQ395" s="879">
        <v>0</v>
      </c>
      <c r="AR395" s="879">
        <v>0</v>
      </c>
    </row>
    <row r="396" spans="1:44" x14ac:dyDescent="0.2">
      <c r="A396" s="184" t="s">
        <v>27</v>
      </c>
      <c r="B396" s="184" t="s">
        <v>1082</v>
      </c>
      <c r="C396" s="184" t="s">
        <v>1083</v>
      </c>
      <c r="D396" s="183" t="s">
        <v>26</v>
      </c>
      <c r="E396" s="184" t="str">
        <f>Commodities!$D$19</f>
        <v>RESELC</v>
      </c>
      <c r="F396" s="184" t="str">
        <f>Commodities!$D$16</f>
        <v>RRF</v>
      </c>
      <c r="G396" s="204" t="str">
        <f t="shared" si="5"/>
        <v>2015</v>
      </c>
      <c r="H396" s="203">
        <v>15</v>
      </c>
      <c r="I396" s="205" t="e">
        <f>#REF!</f>
        <v>#REF!</v>
      </c>
      <c r="J396" s="205" t="e">
        <f>#REF!</f>
        <v>#REF!</v>
      </c>
      <c r="K396" s="184">
        <v>1</v>
      </c>
      <c r="L396" s="205" t="e">
        <f>#REF!</f>
        <v>#REF!</v>
      </c>
      <c r="M396" s="205"/>
      <c r="N396" s="205"/>
      <c r="O396" s="205"/>
      <c r="P396" s="205"/>
      <c r="Q396" s="184"/>
      <c r="R396" s="184">
        <v>0.18</v>
      </c>
      <c r="S396" s="879"/>
      <c r="T396" s="879"/>
      <c r="U396" s="879"/>
      <c r="V396" s="879"/>
      <c r="W396" s="879"/>
      <c r="X396" s="879"/>
      <c r="Y396" s="879"/>
      <c r="Z396" s="879"/>
      <c r="AA396" s="879"/>
      <c r="AB396" s="879"/>
      <c r="AC396" s="879"/>
      <c r="AD396" s="879"/>
      <c r="AE396" s="879"/>
      <c r="AF396" s="879"/>
      <c r="AG396" s="879"/>
      <c r="AH396" s="879"/>
      <c r="AI396" s="879"/>
      <c r="AJ396" s="879"/>
      <c r="AK396" s="879"/>
      <c r="AL396" s="879"/>
      <c r="AM396" s="879"/>
      <c r="AN396" s="879"/>
      <c r="AO396" s="879"/>
      <c r="AP396" s="879"/>
      <c r="AQ396" s="879"/>
      <c r="AR396" s="879"/>
    </row>
    <row r="397" spans="1:44" x14ac:dyDescent="0.2">
      <c r="A397" s="194" t="s">
        <v>401</v>
      </c>
      <c r="B397" s="192"/>
      <c r="C397" s="192"/>
      <c r="D397" s="192"/>
      <c r="E397" s="194"/>
      <c r="F397" s="194"/>
      <c r="G397" s="872"/>
      <c r="H397" s="873"/>
      <c r="I397" s="873"/>
      <c r="J397" s="874"/>
      <c r="K397" s="873"/>
      <c r="L397" s="873"/>
      <c r="M397" s="873"/>
      <c r="N397" s="873"/>
      <c r="O397" s="873"/>
      <c r="P397" s="873"/>
      <c r="Q397" s="873"/>
      <c r="R397" s="874"/>
      <c r="S397" s="875"/>
      <c r="T397" s="875"/>
      <c r="U397" s="875"/>
      <c r="V397" s="875"/>
      <c r="W397" s="875"/>
      <c r="X397" s="875"/>
      <c r="Y397" s="875"/>
      <c r="Z397" s="875"/>
      <c r="AA397" s="875"/>
      <c r="AB397" s="875"/>
      <c r="AC397" s="875"/>
      <c r="AD397" s="875"/>
      <c r="AE397" s="875"/>
      <c r="AF397" s="875"/>
      <c r="AG397" s="875"/>
      <c r="AH397" s="875"/>
      <c r="AI397" s="875"/>
      <c r="AJ397" s="875"/>
      <c r="AK397" s="875"/>
      <c r="AL397" s="875"/>
      <c r="AM397" s="875"/>
      <c r="AN397" s="875"/>
      <c r="AO397" s="875"/>
      <c r="AP397" s="875"/>
      <c r="AQ397" s="875"/>
      <c r="AR397" s="877"/>
    </row>
    <row r="398" spans="1:44" x14ac:dyDescent="0.2">
      <c r="A398" s="184" t="s">
        <v>27</v>
      </c>
      <c r="B398" s="184" t="s">
        <v>1084</v>
      </c>
      <c r="C398" s="184" t="s">
        <v>1085</v>
      </c>
      <c r="D398" s="183" t="s">
        <v>26</v>
      </c>
      <c r="E398" s="184" t="str">
        <f>Commodities!$D$19</f>
        <v>RESELC</v>
      </c>
      <c r="F398" s="184" t="str">
        <f>Commodities!$D$10</f>
        <v>RFZ</v>
      </c>
      <c r="G398" s="204">
        <v>2010</v>
      </c>
      <c r="H398" s="203">
        <v>15</v>
      </c>
      <c r="I398" s="184"/>
      <c r="J398" s="205" t="e">
        <f>#REF!</f>
        <v>#REF!</v>
      </c>
      <c r="K398" s="184">
        <v>1</v>
      </c>
      <c r="L398" s="205">
        <v>0</v>
      </c>
      <c r="M398" s="205">
        <v>0</v>
      </c>
      <c r="N398" s="205">
        <v>0</v>
      </c>
      <c r="O398" s="205">
        <v>0</v>
      </c>
      <c r="P398" s="205">
        <v>0</v>
      </c>
      <c r="Q398" s="184"/>
      <c r="R398" s="184">
        <v>0.18</v>
      </c>
      <c r="S398" s="880">
        <v>0</v>
      </c>
      <c r="T398" s="880">
        <v>0</v>
      </c>
      <c r="U398" s="880">
        <v>0</v>
      </c>
      <c r="V398" s="880">
        <v>0</v>
      </c>
      <c r="W398" s="880">
        <v>0</v>
      </c>
      <c r="X398" s="880"/>
      <c r="Y398" s="880"/>
      <c r="Z398" s="880"/>
      <c r="AA398" s="880"/>
      <c r="AB398" s="880"/>
      <c r="AC398" s="880"/>
      <c r="AD398" s="880"/>
      <c r="AE398" s="880"/>
      <c r="AF398" s="880"/>
      <c r="AG398" s="880"/>
      <c r="AH398" s="880"/>
      <c r="AI398" s="879">
        <v>0</v>
      </c>
      <c r="AJ398" s="879">
        <v>0</v>
      </c>
      <c r="AK398" s="879">
        <v>0</v>
      </c>
      <c r="AL398" s="879">
        <v>0</v>
      </c>
      <c r="AM398" s="879">
        <v>0</v>
      </c>
      <c r="AN398" s="879">
        <v>0</v>
      </c>
      <c r="AO398" s="879">
        <v>0</v>
      </c>
      <c r="AP398" s="879">
        <v>0</v>
      </c>
      <c r="AQ398" s="879">
        <v>0</v>
      </c>
      <c r="AR398" s="879">
        <v>0</v>
      </c>
    </row>
    <row r="399" spans="1:44" x14ac:dyDescent="0.2">
      <c r="A399" s="184" t="s">
        <v>27</v>
      </c>
      <c r="B399" s="184" t="s">
        <v>1086</v>
      </c>
      <c r="C399" s="184" t="s">
        <v>1087</v>
      </c>
      <c r="D399" s="183" t="s">
        <v>26</v>
      </c>
      <c r="E399" s="184" t="str">
        <f>Commodities!$D$19</f>
        <v>RESELC</v>
      </c>
      <c r="F399" s="184" t="str">
        <f>Commodities!$D$10</f>
        <v>RFZ</v>
      </c>
      <c r="G399" s="204" t="str">
        <f t="shared" ref="G399:G404" si="6">IF(RIGHT(B399,2)="TI",2010,CONCATENATE(20,RIGHT(B399,2)))</f>
        <v>2010</v>
      </c>
      <c r="H399" s="203">
        <v>15</v>
      </c>
      <c r="I399" s="205" t="e">
        <f>#REF!</f>
        <v>#REF!</v>
      </c>
      <c r="J399" s="205" t="e">
        <f>#REF!</f>
        <v>#REF!</v>
      </c>
      <c r="K399" s="184">
        <v>1</v>
      </c>
      <c r="L399" s="205">
        <v>0</v>
      </c>
      <c r="M399" s="205">
        <v>0</v>
      </c>
      <c r="N399" s="205">
        <v>0</v>
      </c>
      <c r="O399" s="205">
        <v>0</v>
      </c>
      <c r="P399" s="205">
        <v>0</v>
      </c>
      <c r="Q399" s="184"/>
      <c r="R399" s="184">
        <v>0.18</v>
      </c>
      <c r="S399" s="879"/>
      <c r="T399" s="879"/>
      <c r="U399" s="879"/>
      <c r="V399" s="879"/>
      <c r="W399" s="879"/>
      <c r="X399" s="879"/>
      <c r="Y399" s="879"/>
      <c r="Z399" s="879"/>
      <c r="AA399" s="879"/>
      <c r="AB399" s="879"/>
      <c r="AC399" s="879"/>
      <c r="AD399" s="879"/>
      <c r="AE399" s="879"/>
      <c r="AF399" s="879"/>
      <c r="AG399" s="879"/>
      <c r="AH399" s="879"/>
      <c r="AI399" s="879"/>
      <c r="AJ399" s="879"/>
      <c r="AK399" s="879"/>
      <c r="AL399" s="879"/>
      <c r="AM399" s="879"/>
      <c r="AN399" s="879"/>
      <c r="AO399" s="879"/>
      <c r="AP399" s="879"/>
      <c r="AQ399" s="879"/>
      <c r="AR399" s="879"/>
    </row>
    <row r="400" spans="1:44" x14ac:dyDescent="0.2">
      <c r="A400" s="184" t="s">
        <v>27</v>
      </c>
      <c r="B400" s="184" t="s">
        <v>1088</v>
      </c>
      <c r="C400" s="184" t="s">
        <v>1089</v>
      </c>
      <c r="D400" s="183" t="s">
        <v>26</v>
      </c>
      <c r="E400" s="184" t="str">
        <f>Commodities!$D$19</f>
        <v>RESELC</v>
      </c>
      <c r="F400" s="184" t="str">
        <f>Commodities!$D$10</f>
        <v>RFZ</v>
      </c>
      <c r="G400" s="204" t="str">
        <f t="shared" si="6"/>
        <v>2010</v>
      </c>
      <c r="H400" s="203">
        <v>15</v>
      </c>
      <c r="I400" s="205" t="e">
        <f>#REF!</f>
        <v>#REF!</v>
      </c>
      <c r="J400" s="205" t="e">
        <f>#REF!</f>
        <v>#REF!</v>
      </c>
      <c r="K400" s="184">
        <v>1</v>
      </c>
      <c r="L400" s="205">
        <v>0</v>
      </c>
      <c r="M400" s="205">
        <v>0</v>
      </c>
      <c r="N400" s="205">
        <v>0</v>
      </c>
      <c r="O400" s="205">
        <v>0</v>
      </c>
      <c r="P400" s="205">
        <v>0</v>
      </c>
      <c r="Q400" s="184"/>
      <c r="R400" s="184">
        <v>0.18</v>
      </c>
      <c r="S400" s="879"/>
      <c r="T400" s="879"/>
      <c r="U400" s="879"/>
      <c r="V400" s="879"/>
      <c r="W400" s="879"/>
      <c r="X400" s="879"/>
      <c r="Y400" s="879"/>
      <c r="Z400" s="879"/>
      <c r="AA400" s="879"/>
      <c r="AB400" s="879"/>
      <c r="AC400" s="879"/>
      <c r="AD400" s="879"/>
      <c r="AE400" s="879"/>
      <c r="AF400" s="879"/>
      <c r="AG400" s="879"/>
      <c r="AH400" s="879"/>
      <c r="AI400" s="879"/>
      <c r="AJ400" s="879"/>
      <c r="AK400" s="879">
        <v>0</v>
      </c>
      <c r="AL400" s="879">
        <v>0</v>
      </c>
      <c r="AM400" s="879">
        <v>0</v>
      </c>
      <c r="AN400" s="879">
        <v>0</v>
      </c>
      <c r="AO400" s="879">
        <v>0</v>
      </c>
      <c r="AP400" s="879">
        <v>0</v>
      </c>
      <c r="AQ400" s="879">
        <v>0</v>
      </c>
      <c r="AR400" s="879">
        <v>0</v>
      </c>
    </row>
    <row r="401" spans="1:44" x14ac:dyDescent="0.2">
      <c r="A401" s="184" t="s">
        <v>27</v>
      </c>
      <c r="B401" s="184" t="s">
        <v>1090</v>
      </c>
      <c r="C401" s="184" t="s">
        <v>1091</v>
      </c>
      <c r="D401" s="183" t="s">
        <v>26</v>
      </c>
      <c r="E401" s="184" t="str">
        <f>Commodities!$D$19</f>
        <v>RESELC</v>
      </c>
      <c r="F401" s="184" t="str">
        <f>Commodities!$D$10</f>
        <v>RFZ</v>
      </c>
      <c r="G401" s="204" t="str">
        <f t="shared" si="6"/>
        <v>2015</v>
      </c>
      <c r="H401" s="203">
        <v>15</v>
      </c>
      <c r="I401" s="205" t="e">
        <f>#REF!</f>
        <v>#REF!</v>
      </c>
      <c r="J401" s="205" t="e">
        <f>#REF!</f>
        <v>#REF!</v>
      </c>
      <c r="K401" s="184">
        <v>1</v>
      </c>
      <c r="L401" s="205">
        <v>0</v>
      </c>
      <c r="M401" s="205">
        <v>0</v>
      </c>
      <c r="N401" s="205">
        <v>0</v>
      </c>
      <c r="O401" s="205">
        <v>0</v>
      </c>
      <c r="P401" s="205">
        <v>0</v>
      </c>
      <c r="Q401" s="184"/>
      <c r="R401" s="184">
        <v>0.18</v>
      </c>
      <c r="S401" s="879"/>
      <c r="T401" s="879"/>
      <c r="U401" s="879"/>
      <c r="V401" s="879"/>
      <c r="W401" s="879"/>
      <c r="X401" s="879"/>
      <c r="Y401" s="879"/>
      <c r="Z401" s="879"/>
      <c r="AA401" s="879"/>
      <c r="AB401" s="879"/>
      <c r="AC401" s="879"/>
      <c r="AD401" s="879"/>
      <c r="AE401" s="879"/>
      <c r="AF401" s="879"/>
      <c r="AG401" s="879"/>
      <c r="AH401" s="879"/>
      <c r="AI401" s="879"/>
      <c r="AJ401" s="879"/>
      <c r="AK401" s="879"/>
      <c r="AL401" s="879"/>
      <c r="AM401" s="879"/>
      <c r="AN401" s="879"/>
      <c r="AO401" s="879"/>
      <c r="AP401" s="879"/>
      <c r="AQ401" s="879"/>
      <c r="AR401" s="879"/>
    </row>
    <row r="402" spans="1:44" x14ac:dyDescent="0.2">
      <c r="A402" s="184" t="s">
        <v>27</v>
      </c>
      <c r="B402" s="184" t="s">
        <v>1092</v>
      </c>
      <c r="C402" s="184" t="s">
        <v>1093</v>
      </c>
      <c r="D402" s="183" t="s">
        <v>26</v>
      </c>
      <c r="E402" s="184" t="str">
        <f>Commodities!$D$19</f>
        <v>RESELC</v>
      </c>
      <c r="F402" s="184" t="str">
        <f>Commodities!$D$10</f>
        <v>RFZ</v>
      </c>
      <c r="G402" s="204" t="str">
        <f t="shared" si="6"/>
        <v>2010</v>
      </c>
      <c r="H402" s="203">
        <v>15</v>
      </c>
      <c r="I402" s="205" t="e">
        <f>#REF!</f>
        <v>#REF!</v>
      </c>
      <c r="J402" s="205" t="e">
        <f>#REF!</f>
        <v>#REF!</v>
      </c>
      <c r="K402" s="184">
        <v>1</v>
      </c>
      <c r="L402" s="205">
        <v>0</v>
      </c>
      <c r="M402" s="205">
        <v>0</v>
      </c>
      <c r="N402" s="205">
        <v>0</v>
      </c>
      <c r="O402" s="205">
        <v>0</v>
      </c>
      <c r="P402" s="205">
        <v>0</v>
      </c>
      <c r="Q402" s="184"/>
      <c r="R402" s="184">
        <v>0.18</v>
      </c>
      <c r="S402" s="879"/>
      <c r="T402" s="879"/>
      <c r="U402" s="879"/>
      <c r="V402" s="879"/>
      <c r="W402" s="879"/>
      <c r="X402" s="879"/>
      <c r="Y402" s="879"/>
      <c r="Z402" s="879"/>
      <c r="AA402" s="879"/>
      <c r="AB402" s="879"/>
      <c r="AC402" s="879"/>
      <c r="AD402" s="879"/>
      <c r="AE402" s="879"/>
      <c r="AF402" s="879"/>
      <c r="AG402" s="879"/>
      <c r="AH402" s="879"/>
      <c r="AI402" s="879"/>
      <c r="AJ402" s="879"/>
      <c r="AK402" s="879"/>
      <c r="AL402" s="879"/>
      <c r="AM402" s="879"/>
      <c r="AN402" s="879"/>
      <c r="AO402" s="879"/>
      <c r="AP402" s="879"/>
      <c r="AQ402" s="879"/>
      <c r="AR402" s="879"/>
    </row>
    <row r="403" spans="1:44" x14ac:dyDescent="0.2">
      <c r="A403" s="184" t="s">
        <v>27</v>
      </c>
      <c r="B403" s="184" t="s">
        <v>1094</v>
      </c>
      <c r="C403" s="184" t="s">
        <v>1095</v>
      </c>
      <c r="D403" s="183" t="s">
        <v>26</v>
      </c>
      <c r="E403" s="184" t="str">
        <f>Commodities!$D$19</f>
        <v>RESELC</v>
      </c>
      <c r="F403" s="184" t="str">
        <f>Commodities!$D$10</f>
        <v>RFZ</v>
      </c>
      <c r="G403" s="204" t="str">
        <f t="shared" si="6"/>
        <v>2010</v>
      </c>
      <c r="H403" s="203">
        <v>15</v>
      </c>
      <c r="I403" s="205" t="e">
        <f>#REF!</f>
        <v>#REF!</v>
      </c>
      <c r="J403" s="205" t="e">
        <f>#REF!</f>
        <v>#REF!</v>
      </c>
      <c r="K403" s="184">
        <v>1</v>
      </c>
      <c r="L403" s="205">
        <v>0</v>
      </c>
      <c r="M403" s="205">
        <v>0</v>
      </c>
      <c r="N403" s="205">
        <v>0</v>
      </c>
      <c r="O403" s="205">
        <v>0</v>
      </c>
      <c r="P403" s="205">
        <v>0</v>
      </c>
      <c r="Q403" s="184"/>
      <c r="R403" s="184">
        <v>0.18</v>
      </c>
      <c r="S403" s="879"/>
      <c r="T403" s="879"/>
      <c r="U403" s="879"/>
      <c r="V403" s="879"/>
      <c r="W403" s="879"/>
      <c r="X403" s="879"/>
      <c r="Y403" s="879"/>
      <c r="Z403" s="879"/>
      <c r="AA403" s="879"/>
      <c r="AB403" s="879"/>
      <c r="AC403" s="879"/>
      <c r="AD403" s="879"/>
      <c r="AE403" s="879"/>
      <c r="AF403" s="879"/>
      <c r="AG403" s="879"/>
      <c r="AH403" s="879"/>
      <c r="AI403" s="879"/>
      <c r="AJ403" s="879"/>
      <c r="AK403" s="879">
        <v>0</v>
      </c>
      <c r="AL403" s="879">
        <v>0</v>
      </c>
      <c r="AM403" s="879">
        <v>0</v>
      </c>
      <c r="AN403" s="879">
        <v>0</v>
      </c>
      <c r="AO403" s="879">
        <v>0</v>
      </c>
      <c r="AP403" s="879">
        <v>0</v>
      </c>
      <c r="AQ403" s="879">
        <v>0</v>
      </c>
      <c r="AR403" s="879">
        <v>0</v>
      </c>
    </row>
    <row r="404" spans="1:44" x14ac:dyDescent="0.2">
      <c r="A404" s="184" t="s">
        <v>27</v>
      </c>
      <c r="B404" s="184" t="s">
        <v>1096</v>
      </c>
      <c r="C404" s="184" t="s">
        <v>1097</v>
      </c>
      <c r="D404" s="183" t="s">
        <v>26</v>
      </c>
      <c r="E404" s="184" t="str">
        <f>Commodities!$D$19</f>
        <v>RESELC</v>
      </c>
      <c r="F404" s="184" t="str">
        <f>Commodities!$D$10</f>
        <v>RFZ</v>
      </c>
      <c r="G404" s="204" t="str">
        <f t="shared" si="6"/>
        <v>2015</v>
      </c>
      <c r="H404" s="203">
        <v>15</v>
      </c>
      <c r="I404" s="205" t="e">
        <f>#REF!</f>
        <v>#REF!</v>
      </c>
      <c r="J404" s="205" t="e">
        <f>#REF!</f>
        <v>#REF!</v>
      </c>
      <c r="K404" s="184">
        <v>1</v>
      </c>
      <c r="L404" s="205">
        <v>0</v>
      </c>
      <c r="M404" s="205">
        <v>0</v>
      </c>
      <c r="N404" s="205">
        <v>0</v>
      </c>
      <c r="O404" s="205">
        <v>0</v>
      </c>
      <c r="P404" s="205">
        <v>0</v>
      </c>
      <c r="Q404" s="184"/>
      <c r="R404" s="184">
        <v>0.18</v>
      </c>
      <c r="S404" s="879"/>
      <c r="T404" s="879"/>
      <c r="U404" s="879"/>
      <c r="V404" s="879"/>
      <c r="W404" s="879"/>
      <c r="X404" s="879"/>
      <c r="Y404" s="879"/>
      <c r="Z404" s="879"/>
      <c r="AA404" s="879"/>
      <c r="AB404" s="879"/>
      <c r="AC404" s="879"/>
      <c r="AD404" s="879"/>
      <c r="AE404" s="879"/>
      <c r="AF404" s="879"/>
      <c r="AG404" s="879"/>
      <c r="AH404" s="879"/>
      <c r="AI404" s="879"/>
      <c r="AJ404" s="879"/>
      <c r="AK404" s="879"/>
      <c r="AL404" s="879"/>
      <c r="AM404" s="879"/>
      <c r="AN404" s="879"/>
      <c r="AO404" s="879"/>
      <c r="AP404" s="879"/>
      <c r="AQ404" s="879"/>
      <c r="AR404" s="879"/>
    </row>
    <row r="405" spans="1:44" x14ac:dyDescent="0.2">
      <c r="A405" s="194" t="s">
        <v>562</v>
      </c>
      <c r="B405" s="192"/>
      <c r="C405" s="192"/>
      <c r="D405" s="192"/>
      <c r="E405" s="194"/>
      <c r="F405" s="194"/>
      <c r="G405" s="872"/>
      <c r="H405" s="873"/>
      <c r="I405" s="873"/>
      <c r="J405" s="874"/>
      <c r="K405" s="873"/>
      <c r="L405" s="873"/>
      <c r="M405" s="873"/>
      <c r="N405" s="873"/>
      <c r="O405" s="873"/>
      <c r="P405" s="873"/>
      <c r="Q405" s="873"/>
      <c r="R405" s="874"/>
      <c r="S405" s="875"/>
      <c r="T405" s="875"/>
      <c r="U405" s="875"/>
      <c r="V405" s="875"/>
      <c r="W405" s="875"/>
      <c r="X405" s="875"/>
      <c r="Y405" s="875"/>
      <c r="Z405" s="875"/>
      <c r="AA405" s="875"/>
      <c r="AB405" s="875"/>
      <c r="AC405" s="875"/>
      <c r="AD405" s="875"/>
      <c r="AE405" s="875"/>
      <c r="AF405" s="875"/>
      <c r="AG405" s="875"/>
      <c r="AH405" s="875"/>
      <c r="AI405" s="875"/>
      <c r="AJ405" s="875"/>
      <c r="AK405" s="875"/>
      <c r="AL405" s="875"/>
      <c r="AM405" s="875"/>
      <c r="AN405" s="875"/>
      <c r="AO405" s="875"/>
      <c r="AP405" s="875"/>
      <c r="AQ405" s="875"/>
      <c r="AR405" s="877"/>
    </row>
    <row r="406" spans="1:44" x14ac:dyDescent="0.2">
      <c r="A406" s="184" t="s">
        <v>27</v>
      </c>
      <c r="B406" s="184" t="s">
        <v>1098</v>
      </c>
      <c r="C406" s="184" t="s">
        <v>1099</v>
      </c>
      <c r="D406" s="183" t="s">
        <v>34</v>
      </c>
      <c r="E406" s="184" t="str">
        <f>Commodities!$D$19</f>
        <v>RESELC</v>
      </c>
      <c r="F406" s="184" t="str">
        <f>Commodities!$D$12</f>
        <v>RLT</v>
      </c>
      <c r="G406" s="204">
        <v>2010</v>
      </c>
      <c r="H406" s="206" t="e">
        <f>#REF!</f>
        <v>#REF!</v>
      </c>
      <c r="I406" s="205" t="e">
        <f>#REF!</f>
        <v>#REF!</v>
      </c>
      <c r="J406" s="205" t="e">
        <f>#REF!</f>
        <v>#REF!</v>
      </c>
      <c r="K406" s="184">
        <v>1</v>
      </c>
      <c r="L406" s="184">
        <v>1</v>
      </c>
      <c r="M406" s="184">
        <v>1</v>
      </c>
      <c r="N406" s="184">
        <v>1</v>
      </c>
      <c r="O406" s="184">
        <v>1</v>
      </c>
      <c r="P406" s="184">
        <v>1</v>
      </c>
      <c r="Q406" s="184"/>
      <c r="R406" s="184">
        <v>0.18</v>
      </c>
      <c r="S406" s="878"/>
      <c r="T406" s="878"/>
      <c r="U406" s="878"/>
      <c r="V406" s="878"/>
      <c r="W406" s="878"/>
      <c r="X406" s="878"/>
      <c r="Y406" s="878"/>
      <c r="Z406" s="878"/>
      <c r="AA406" s="878"/>
      <c r="AB406" s="878"/>
      <c r="AC406" s="878"/>
      <c r="AD406" s="878"/>
      <c r="AE406" s="878"/>
      <c r="AF406" s="878"/>
      <c r="AG406" s="878"/>
      <c r="AH406" s="878"/>
      <c r="AI406" s="879">
        <v>0</v>
      </c>
      <c r="AJ406" s="879">
        <v>0</v>
      </c>
      <c r="AK406" s="879">
        <v>0</v>
      </c>
      <c r="AL406" s="879">
        <v>0</v>
      </c>
      <c r="AM406" s="879">
        <v>0</v>
      </c>
      <c r="AN406" s="879">
        <v>0</v>
      </c>
      <c r="AO406" s="879">
        <v>0</v>
      </c>
      <c r="AP406" s="879">
        <v>0</v>
      </c>
      <c r="AQ406" s="879">
        <v>0</v>
      </c>
      <c r="AR406" s="879">
        <v>0</v>
      </c>
    </row>
    <row r="407" spans="1:44" x14ac:dyDescent="0.2">
      <c r="A407" s="184" t="s">
        <v>27</v>
      </c>
      <c r="B407" s="184" t="s">
        <v>1100</v>
      </c>
      <c r="C407" s="184" t="s">
        <v>1101</v>
      </c>
      <c r="D407" s="183" t="s">
        <v>34</v>
      </c>
      <c r="E407" s="184" t="str">
        <f>Commodities!$D$19</f>
        <v>RESELC</v>
      </c>
      <c r="F407" s="184" t="str">
        <f>Commodities!$D$12</f>
        <v>RLT</v>
      </c>
      <c r="G407" s="204" t="str">
        <f>IF(RIGHT(B407,2)="TI",2010,CONCATENATE(20,RIGHT(B407,2)))</f>
        <v>2015</v>
      </c>
      <c r="H407" s="206" t="e">
        <f>#REF!</f>
        <v>#REF!</v>
      </c>
      <c r="I407" s="205" t="e">
        <f>#REF!</f>
        <v>#REF!</v>
      </c>
      <c r="J407" s="205" t="e">
        <f>#REF!</f>
        <v>#REF!</v>
      </c>
      <c r="K407" s="184">
        <v>1</v>
      </c>
      <c r="L407" s="184">
        <v>1</v>
      </c>
      <c r="M407" s="184">
        <v>1</v>
      </c>
      <c r="N407" s="184">
        <v>1</v>
      </c>
      <c r="O407" s="184">
        <v>1</v>
      </c>
      <c r="P407" s="184">
        <v>1</v>
      </c>
      <c r="Q407" s="184"/>
      <c r="R407" s="184">
        <v>0.18</v>
      </c>
      <c r="S407" s="879"/>
      <c r="T407" s="879"/>
      <c r="U407" s="879"/>
      <c r="V407" s="879"/>
      <c r="W407" s="879"/>
      <c r="X407" s="879"/>
      <c r="Y407" s="879"/>
      <c r="Z407" s="879"/>
      <c r="AA407" s="879"/>
      <c r="AB407" s="879"/>
      <c r="AC407" s="879"/>
      <c r="AD407" s="879"/>
      <c r="AE407" s="879"/>
      <c r="AF407" s="879"/>
      <c r="AG407" s="879"/>
      <c r="AH407" s="879"/>
      <c r="AI407" s="879">
        <v>0</v>
      </c>
      <c r="AJ407" s="879">
        <v>0</v>
      </c>
      <c r="AK407" s="879">
        <v>0</v>
      </c>
      <c r="AL407" s="879">
        <v>0</v>
      </c>
      <c r="AM407" s="879">
        <v>0</v>
      </c>
      <c r="AN407" s="879">
        <v>0</v>
      </c>
      <c r="AO407" s="879">
        <v>0</v>
      </c>
      <c r="AP407" s="879">
        <v>0</v>
      </c>
      <c r="AQ407" s="879">
        <v>0</v>
      </c>
      <c r="AR407" s="879">
        <v>0</v>
      </c>
    </row>
    <row r="408" spans="1:44" x14ac:dyDescent="0.2">
      <c r="A408" s="183" t="s">
        <v>27</v>
      </c>
      <c r="B408" s="184"/>
      <c r="C408" s="184"/>
      <c r="D408" s="183"/>
      <c r="E408" s="184"/>
      <c r="F408" s="184"/>
      <c r="G408" s="204"/>
      <c r="H408" s="206"/>
      <c r="I408" s="205"/>
      <c r="J408" s="205"/>
      <c r="K408" s="184"/>
      <c r="L408" s="184"/>
      <c r="M408" s="184" t="s">
        <v>514</v>
      </c>
      <c r="N408" s="184" t="s">
        <v>514</v>
      </c>
      <c r="O408" s="184" t="s">
        <v>514</v>
      </c>
      <c r="P408" s="184" t="s">
        <v>514</v>
      </c>
      <c r="Q408" s="184"/>
      <c r="R408" s="184"/>
      <c r="S408" s="879"/>
      <c r="T408" s="879"/>
      <c r="U408" s="879"/>
      <c r="V408" s="879"/>
      <c r="W408" s="879"/>
      <c r="X408" s="879"/>
      <c r="Y408" s="879"/>
      <c r="Z408" s="879"/>
      <c r="AA408" s="879"/>
      <c r="AB408" s="879"/>
      <c r="AC408" s="879"/>
      <c r="AD408" s="879"/>
      <c r="AE408" s="879"/>
      <c r="AF408" s="879"/>
      <c r="AG408" s="879"/>
      <c r="AH408" s="879"/>
      <c r="AI408" s="879"/>
      <c r="AJ408" s="879"/>
      <c r="AK408" s="879"/>
      <c r="AL408" s="879"/>
      <c r="AM408" s="879"/>
      <c r="AN408" s="879"/>
      <c r="AO408" s="879"/>
      <c r="AP408" s="879"/>
      <c r="AQ408" s="879"/>
      <c r="AR408" s="879"/>
    </row>
    <row r="409" spans="1:44" x14ac:dyDescent="0.2">
      <c r="A409" s="184" t="s">
        <v>27</v>
      </c>
      <c r="B409" s="184" t="s">
        <v>1102</v>
      </c>
      <c r="C409" s="184" t="s">
        <v>1103</v>
      </c>
      <c r="D409" s="183" t="s">
        <v>34</v>
      </c>
      <c r="E409" s="184" t="str">
        <f>Commodities!$D$19</f>
        <v>RESELC</v>
      </c>
      <c r="F409" s="184" t="str">
        <f>Commodities!$D$12</f>
        <v>RLT</v>
      </c>
      <c r="G409" s="204" t="str">
        <f>IF(RIGHT(B409,2)="TI",2010,CONCATENATE(20,RIGHT(B409,2)))</f>
        <v>2015</v>
      </c>
      <c r="H409" s="206" t="e">
        <f>#REF!</f>
        <v>#REF!</v>
      </c>
      <c r="I409" s="205" t="e">
        <f>#REF!</f>
        <v>#REF!</v>
      </c>
      <c r="J409" s="205" t="e">
        <f>#REF!</f>
        <v>#REF!</v>
      </c>
      <c r="K409" s="184">
        <v>1</v>
      </c>
      <c r="L409" s="184">
        <v>1</v>
      </c>
      <c r="M409" s="184">
        <v>1</v>
      </c>
      <c r="N409" s="184">
        <v>1</v>
      </c>
      <c r="O409" s="184">
        <v>1</v>
      </c>
      <c r="P409" s="184">
        <v>1</v>
      </c>
      <c r="Q409" s="184"/>
      <c r="R409" s="184">
        <v>0.28000000000000003</v>
      </c>
      <c r="S409" s="878"/>
      <c r="T409" s="879"/>
      <c r="U409" s="879"/>
      <c r="V409" s="879"/>
      <c r="W409" s="879"/>
      <c r="X409" s="879"/>
      <c r="Y409" s="879"/>
      <c r="Z409" s="879"/>
      <c r="AA409" s="879"/>
      <c r="AB409" s="879"/>
      <c r="AC409" s="879"/>
      <c r="AD409" s="879"/>
      <c r="AE409" s="879"/>
      <c r="AF409" s="879"/>
      <c r="AG409" s="879"/>
      <c r="AH409" s="879"/>
      <c r="AI409" s="879">
        <v>0</v>
      </c>
      <c r="AJ409" s="879"/>
      <c r="AK409" s="879">
        <v>0</v>
      </c>
      <c r="AL409" s="879">
        <v>0</v>
      </c>
      <c r="AM409" s="879">
        <v>0</v>
      </c>
      <c r="AN409" s="879">
        <v>0</v>
      </c>
      <c r="AO409" s="879">
        <v>0</v>
      </c>
      <c r="AP409" s="879">
        <v>0</v>
      </c>
      <c r="AQ409" s="879">
        <v>0</v>
      </c>
      <c r="AR409" s="879">
        <v>0</v>
      </c>
    </row>
    <row r="410" spans="1:44" x14ac:dyDescent="0.2">
      <c r="A410" s="184" t="s">
        <v>27</v>
      </c>
      <c r="B410" s="184" t="s">
        <v>1104</v>
      </c>
      <c r="C410" s="184" t="s">
        <v>1105</v>
      </c>
      <c r="D410" s="183" t="s">
        <v>34</v>
      </c>
      <c r="E410" s="184" t="str">
        <f>Commodities!$D$19</f>
        <v>RESELC</v>
      </c>
      <c r="F410" s="184" t="str">
        <f>Commodities!$D$12</f>
        <v>RLT</v>
      </c>
      <c r="G410" s="204" t="str">
        <f>IF(RIGHT(B410,2)="TI",2010,CONCATENATE(20,RIGHT(B410,2)))</f>
        <v>2020</v>
      </c>
      <c r="H410" s="206" t="e">
        <f>#REF!</f>
        <v>#REF!</v>
      </c>
      <c r="I410" s="205" t="e">
        <f>#REF!</f>
        <v>#REF!</v>
      </c>
      <c r="J410" s="205" t="e">
        <f>#REF!</f>
        <v>#REF!</v>
      </c>
      <c r="K410" s="184">
        <v>1</v>
      </c>
      <c r="L410" s="184">
        <v>1</v>
      </c>
      <c r="M410" s="184">
        <v>1</v>
      </c>
      <c r="N410" s="184">
        <v>1</v>
      </c>
      <c r="O410" s="184">
        <v>1</v>
      </c>
      <c r="P410" s="184">
        <v>1</v>
      </c>
      <c r="Q410" s="184"/>
      <c r="R410" s="184">
        <v>0.28000000000000003</v>
      </c>
      <c r="S410" s="879"/>
      <c r="T410" s="879"/>
      <c r="U410" s="879"/>
      <c r="V410" s="879"/>
      <c r="W410" s="879"/>
      <c r="X410" s="879"/>
      <c r="Y410" s="879"/>
      <c r="Z410" s="879"/>
      <c r="AA410" s="879"/>
      <c r="AB410" s="879"/>
      <c r="AC410" s="879"/>
      <c r="AD410" s="879"/>
      <c r="AE410" s="879"/>
      <c r="AF410" s="879"/>
      <c r="AG410" s="879"/>
      <c r="AH410" s="879"/>
      <c r="AI410" s="879">
        <v>0</v>
      </c>
      <c r="AJ410" s="879">
        <v>0</v>
      </c>
      <c r="AK410" s="879"/>
      <c r="AL410" s="879"/>
      <c r="AM410" s="879">
        <v>0</v>
      </c>
      <c r="AN410" s="879">
        <v>0</v>
      </c>
      <c r="AO410" s="879">
        <v>0</v>
      </c>
      <c r="AP410" s="879">
        <v>0</v>
      </c>
      <c r="AQ410" s="879">
        <v>0</v>
      </c>
      <c r="AR410" s="879">
        <v>0</v>
      </c>
    </row>
    <row r="411" spans="1:44" x14ac:dyDescent="0.2">
      <c r="A411" s="184" t="s">
        <v>27</v>
      </c>
      <c r="B411" s="184" t="s">
        <v>1106</v>
      </c>
      <c r="C411" s="184" t="s">
        <v>1107</v>
      </c>
      <c r="D411" s="183" t="s">
        <v>34</v>
      </c>
      <c r="E411" s="184" t="str">
        <f>Commodities!$D$19</f>
        <v>RESELC</v>
      </c>
      <c r="F411" s="184" t="str">
        <f>Commodities!$D$12</f>
        <v>RLT</v>
      </c>
      <c r="G411" s="204" t="str">
        <f>IF(RIGHT(B411,2)="TI",2010,CONCATENATE(20,RIGHT(B411,2)))</f>
        <v>2030</v>
      </c>
      <c r="H411" s="206" t="e">
        <f>#REF!</f>
        <v>#REF!</v>
      </c>
      <c r="I411" s="205" t="e">
        <f>#REF!</f>
        <v>#REF!</v>
      </c>
      <c r="J411" s="205" t="e">
        <f>#REF!</f>
        <v>#REF!</v>
      </c>
      <c r="K411" s="184">
        <v>1</v>
      </c>
      <c r="L411" s="184">
        <v>1</v>
      </c>
      <c r="M411" s="184">
        <v>1</v>
      </c>
      <c r="N411" s="184">
        <v>1</v>
      </c>
      <c r="O411" s="184">
        <v>1</v>
      </c>
      <c r="P411" s="184">
        <v>1</v>
      </c>
      <c r="Q411" s="184"/>
      <c r="R411" s="184">
        <v>0.28000000000000003</v>
      </c>
      <c r="S411" s="879"/>
      <c r="T411" s="879"/>
      <c r="U411" s="879"/>
      <c r="V411" s="879"/>
      <c r="W411" s="879"/>
      <c r="X411" s="879"/>
      <c r="Y411" s="879"/>
      <c r="Z411" s="879"/>
      <c r="AA411" s="879"/>
      <c r="AB411" s="879"/>
      <c r="AC411" s="879"/>
      <c r="AD411" s="879"/>
      <c r="AE411" s="879"/>
      <c r="AF411" s="879"/>
      <c r="AG411" s="879"/>
      <c r="AH411" s="879"/>
      <c r="AI411" s="879">
        <v>0</v>
      </c>
      <c r="AJ411" s="879">
        <v>0</v>
      </c>
      <c r="AK411" s="879">
        <v>0</v>
      </c>
      <c r="AL411" s="879">
        <v>0</v>
      </c>
      <c r="AM411" s="879"/>
      <c r="AN411" s="879"/>
      <c r="AO411" s="879"/>
      <c r="AP411" s="879"/>
      <c r="AQ411" s="879"/>
      <c r="AR411" s="879"/>
    </row>
    <row r="412" spans="1:44" x14ac:dyDescent="0.2">
      <c r="A412" s="184" t="s">
        <v>27</v>
      </c>
      <c r="B412" s="184" t="s">
        <v>1108</v>
      </c>
      <c r="C412" s="184" t="s">
        <v>1109</v>
      </c>
      <c r="D412" s="183" t="s">
        <v>34</v>
      </c>
      <c r="E412" s="184" t="str">
        <f>Commodities!$D$19</f>
        <v>RESELC</v>
      </c>
      <c r="F412" s="184" t="str">
        <f>Commodities!$D$12</f>
        <v>RLT</v>
      </c>
      <c r="G412" s="204" t="str">
        <f>IF(RIGHT(B412,2)="TI",2010,CONCATENATE(20,RIGHT(B412,2)))</f>
        <v>2040</v>
      </c>
      <c r="H412" s="206" t="e">
        <f>#REF!</f>
        <v>#REF!</v>
      </c>
      <c r="I412" s="205" t="e">
        <f>#REF!</f>
        <v>#REF!</v>
      </c>
      <c r="J412" s="205" t="e">
        <f>#REF!</f>
        <v>#REF!</v>
      </c>
      <c r="K412" s="184">
        <v>1</v>
      </c>
      <c r="L412" s="184">
        <v>1</v>
      </c>
      <c r="M412" s="184">
        <v>1</v>
      </c>
      <c r="N412" s="184">
        <v>1</v>
      </c>
      <c r="O412" s="184">
        <v>1</v>
      </c>
      <c r="P412" s="184">
        <v>1</v>
      </c>
      <c r="Q412" s="184"/>
      <c r="R412" s="184">
        <v>0.28000000000000003</v>
      </c>
      <c r="S412" s="879"/>
      <c r="T412" s="879"/>
      <c r="U412" s="879"/>
      <c r="V412" s="879"/>
      <c r="W412" s="879"/>
      <c r="X412" s="879"/>
      <c r="Y412" s="879"/>
      <c r="Z412" s="879"/>
      <c r="AA412" s="879"/>
      <c r="AB412" s="879"/>
      <c r="AC412" s="879"/>
      <c r="AD412" s="879"/>
      <c r="AE412" s="879"/>
      <c r="AF412" s="879"/>
      <c r="AG412" s="879"/>
      <c r="AH412" s="879"/>
      <c r="AI412" s="879">
        <v>0</v>
      </c>
      <c r="AJ412" s="879">
        <v>0</v>
      </c>
      <c r="AK412" s="879">
        <v>0</v>
      </c>
      <c r="AL412" s="879">
        <v>0</v>
      </c>
      <c r="AM412" s="879">
        <v>0</v>
      </c>
      <c r="AN412" s="879">
        <v>0</v>
      </c>
      <c r="AO412" s="879"/>
      <c r="AP412" s="879"/>
      <c r="AQ412" s="879"/>
      <c r="AR412" s="879"/>
    </row>
    <row r="413" spans="1:44" x14ac:dyDescent="0.2">
      <c r="A413" s="183" t="s">
        <v>27</v>
      </c>
      <c r="B413" s="184"/>
      <c r="C413" s="184"/>
      <c r="D413" s="183"/>
      <c r="E413" s="184"/>
      <c r="F413" s="184"/>
      <c r="G413" s="204"/>
      <c r="H413" s="206"/>
      <c r="I413" s="205"/>
      <c r="J413" s="205"/>
      <c r="K413" s="184"/>
      <c r="L413" s="184"/>
      <c r="M413" s="184" t="s">
        <v>514</v>
      </c>
      <c r="N413" s="184" t="s">
        <v>514</v>
      </c>
      <c r="O413" s="184" t="s">
        <v>514</v>
      </c>
      <c r="P413" s="184" t="s">
        <v>514</v>
      </c>
      <c r="Q413" s="184"/>
      <c r="R413" s="184"/>
      <c r="S413" s="879"/>
      <c r="T413" s="879"/>
      <c r="U413" s="879"/>
      <c r="V413" s="879"/>
      <c r="W413" s="879"/>
      <c r="X413" s="879"/>
      <c r="Y413" s="879"/>
      <c r="Z413" s="879"/>
      <c r="AA413" s="879"/>
      <c r="AB413" s="879"/>
      <c r="AC413" s="879"/>
      <c r="AD413" s="879"/>
      <c r="AE413" s="879"/>
      <c r="AF413" s="879"/>
      <c r="AG413" s="879"/>
      <c r="AH413" s="879"/>
      <c r="AI413" s="879"/>
      <c r="AJ413" s="879"/>
      <c r="AK413" s="879"/>
      <c r="AL413" s="879"/>
      <c r="AM413" s="879"/>
      <c r="AN413" s="879"/>
      <c r="AO413" s="879"/>
      <c r="AP413" s="879"/>
      <c r="AQ413" s="879"/>
      <c r="AR413" s="879"/>
    </row>
    <row r="414" spans="1:44" x14ac:dyDescent="0.2">
      <c r="A414" s="184" t="s">
        <v>27</v>
      </c>
      <c r="B414" s="184" t="s">
        <v>1110</v>
      </c>
      <c r="C414" s="184" t="s">
        <v>1111</v>
      </c>
      <c r="D414" s="183" t="s">
        <v>34</v>
      </c>
      <c r="E414" s="184" t="str">
        <f>Commodities!$D$19</f>
        <v>RESELC</v>
      </c>
      <c r="F414" s="184" t="str">
        <f>Commodities!$D$12</f>
        <v>RLT</v>
      </c>
      <c r="G414" s="204" t="str">
        <f>IF(RIGHT(B414,2)="TI",2010,CONCATENATE(20,RIGHT(B414,2)))</f>
        <v>2015</v>
      </c>
      <c r="H414" s="206" t="e">
        <f>#REF!</f>
        <v>#REF!</v>
      </c>
      <c r="I414" s="205" t="e">
        <f>#REF!</f>
        <v>#REF!</v>
      </c>
      <c r="J414" s="205" t="e">
        <f>#REF!</f>
        <v>#REF!</v>
      </c>
      <c r="K414" s="184">
        <v>1</v>
      </c>
      <c r="L414" s="184">
        <v>1</v>
      </c>
      <c r="M414" s="184">
        <v>1</v>
      </c>
      <c r="N414" s="184">
        <v>1</v>
      </c>
      <c r="O414" s="184">
        <v>1</v>
      </c>
      <c r="P414" s="184">
        <v>1</v>
      </c>
      <c r="Q414" s="184"/>
      <c r="R414" s="184">
        <v>0.45</v>
      </c>
      <c r="S414" s="879"/>
      <c r="T414" s="879"/>
      <c r="U414" s="879"/>
      <c r="V414" s="879"/>
      <c r="W414" s="879"/>
      <c r="X414" s="879"/>
      <c r="Y414" s="879"/>
      <c r="Z414" s="879"/>
      <c r="AA414" s="879"/>
      <c r="AB414" s="879"/>
      <c r="AC414" s="879"/>
      <c r="AD414" s="879"/>
      <c r="AE414" s="879"/>
      <c r="AF414" s="879"/>
      <c r="AG414" s="879"/>
      <c r="AH414" s="879"/>
      <c r="AI414" s="879">
        <v>0</v>
      </c>
      <c r="AJ414" s="879"/>
      <c r="AK414" s="879">
        <v>0</v>
      </c>
      <c r="AL414" s="879">
        <v>0</v>
      </c>
      <c r="AM414" s="879">
        <v>0</v>
      </c>
      <c r="AN414" s="879">
        <v>0</v>
      </c>
      <c r="AO414" s="879">
        <v>0</v>
      </c>
      <c r="AP414" s="879">
        <v>0</v>
      </c>
      <c r="AQ414" s="879">
        <v>0</v>
      </c>
      <c r="AR414" s="879">
        <v>0</v>
      </c>
    </row>
    <row r="415" spans="1:44" x14ac:dyDescent="0.2">
      <c r="A415" s="184" t="s">
        <v>27</v>
      </c>
      <c r="B415" s="184" t="s">
        <v>1112</v>
      </c>
      <c r="C415" s="184" t="s">
        <v>1113</v>
      </c>
      <c r="D415" s="183" t="s">
        <v>34</v>
      </c>
      <c r="E415" s="184" t="str">
        <f>Commodities!$D$19</f>
        <v>RESELC</v>
      </c>
      <c r="F415" s="184" t="str">
        <f>Commodities!$D$12</f>
        <v>RLT</v>
      </c>
      <c r="G415" s="204" t="str">
        <f>IF(RIGHT(B415,2)="TI",2010,CONCATENATE(20,RIGHT(B415,2)))</f>
        <v>2020</v>
      </c>
      <c r="H415" s="206" t="e">
        <f>#REF!</f>
        <v>#REF!</v>
      </c>
      <c r="I415" s="205" t="e">
        <f>#REF!</f>
        <v>#REF!</v>
      </c>
      <c r="J415" s="205" t="e">
        <f>#REF!</f>
        <v>#REF!</v>
      </c>
      <c r="K415" s="184">
        <v>1</v>
      </c>
      <c r="L415" s="184">
        <v>1</v>
      </c>
      <c r="M415" s="184">
        <v>1</v>
      </c>
      <c r="N415" s="184">
        <v>1</v>
      </c>
      <c r="O415" s="184">
        <v>1</v>
      </c>
      <c r="P415" s="184">
        <v>1</v>
      </c>
      <c r="Q415" s="184"/>
      <c r="R415" s="184">
        <v>0.45</v>
      </c>
      <c r="S415" s="879"/>
      <c r="T415" s="879"/>
      <c r="U415" s="879"/>
      <c r="V415" s="879"/>
      <c r="W415" s="879"/>
      <c r="X415" s="879"/>
      <c r="Y415" s="879"/>
      <c r="Z415" s="879"/>
      <c r="AA415" s="879"/>
      <c r="AB415" s="879"/>
      <c r="AC415" s="879"/>
      <c r="AD415" s="879"/>
      <c r="AE415" s="879"/>
      <c r="AF415" s="879"/>
      <c r="AG415" s="879"/>
      <c r="AH415" s="879"/>
      <c r="AI415" s="879">
        <v>0</v>
      </c>
      <c r="AJ415" s="879"/>
      <c r="AK415" s="879"/>
      <c r="AL415" s="879">
        <v>0</v>
      </c>
      <c r="AM415" s="879">
        <v>0</v>
      </c>
      <c r="AN415" s="879">
        <v>0</v>
      </c>
      <c r="AO415" s="879">
        <v>0</v>
      </c>
      <c r="AP415" s="879">
        <v>0</v>
      </c>
      <c r="AQ415" s="879">
        <v>0</v>
      </c>
      <c r="AR415" s="879">
        <v>0</v>
      </c>
    </row>
    <row r="416" spans="1:44" x14ac:dyDescent="0.2">
      <c r="A416" s="184" t="s">
        <v>27</v>
      </c>
      <c r="B416" s="184" t="s">
        <v>1114</v>
      </c>
      <c r="C416" s="184" t="s">
        <v>1115</v>
      </c>
      <c r="D416" s="183" t="s">
        <v>34</v>
      </c>
      <c r="E416" s="184" t="str">
        <f>Commodities!$D$19</f>
        <v>RESELC</v>
      </c>
      <c r="F416" s="184" t="str">
        <f>Commodities!$D$12</f>
        <v>RLT</v>
      </c>
      <c r="G416" s="204" t="str">
        <f>IF(RIGHT(B416,2)="TI",2010,CONCATENATE(20,RIGHT(B416,2)))</f>
        <v>2025</v>
      </c>
      <c r="H416" s="206" t="e">
        <f>#REF!</f>
        <v>#REF!</v>
      </c>
      <c r="I416" s="205" t="e">
        <f>#REF!</f>
        <v>#REF!</v>
      </c>
      <c r="J416" s="205" t="e">
        <f>#REF!</f>
        <v>#REF!</v>
      </c>
      <c r="K416" s="184">
        <v>1</v>
      </c>
      <c r="L416" s="184">
        <v>1</v>
      </c>
      <c r="M416" s="184">
        <v>1</v>
      </c>
      <c r="N416" s="184">
        <v>1</v>
      </c>
      <c r="O416" s="184">
        <v>1</v>
      </c>
      <c r="P416" s="184">
        <v>1</v>
      </c>
      <c r="Q416" s="184"/>
      <c r="R416" s="184">
        <v>0.45</v>
      </c>
      <c r="S416" s="879"/>
      <c r="T416" s="879"/>
      <c r="U416" s="879"/>
      <c r="V416" s="879"/>
      <c r="W416" s="879"/>
      <c r="X416" s="879"/>
      <c r="Y416" s="879"/>
      <c r="Z416" s="879"/>
      <c r="AA416" s="879"/>
      <c r="AB416" s="879"/>
      <c r="AC416" s="879"/>
      <c r="AD416" s="879"/>
      <c r="AE416" s="879"/>
      <c r="AF416" s="879"/>
      <c r="AG416" s="879"/>
      <c r="AH416" s="879"/>
      <c r="AI416" s="879">
        <v>0</v>
      </c>
      <c r="AJ416" s="879">
        <v>0</v>
      </c>
      <c r="AK416" s="879">
        <v>0</v>
      </c>
      <c r="AL416" s="879"/>
      <c r="AM416" s="879">
        <v>0</v>
      </c>
      <c r="AN416" s="879">
        <v>0</v>
      </c>
      <c r="AO416" s="879">
        <v>0</v>
      </c>
      <c r="AP416" s="879">
        <v>0</v>
      </c>
      <c r="AQ416" s="879">
        <v>0</v>
      </c>
      <c r="AR416" s="879">
        <v>0</v>
      </c>
    </row>
    <row r="417" spans="1:44" x14ac:dyDescent="0.2">
      <c r="A417" s="184" t="s">
        <v>27</v>
      </c>
      <c r="B417" s="184" t="s">
        <v>1116</v>
      </c>
      <c r="C417" s="184" t="s">
        <v>1117</v>
      </c>
      <c r="D417" s="183" t="s">
        <v>34</v>
      </c>
      <c r="E417" s="184" t="str">
        <f>Commodities!$D$19</f>
        <v>RESELC</v>
      </c>
      <c r="F417" s="184" t="str">
        <f>Commodities!$D$12</f>
        <v>RLT</v>
      </c>
      <c r="G417" s="204" t="str">
        <f>IF(RIGHT(B417,2)="TI",2010,CONCATENATE(20,RIGHT(B417,2)))</f>
        <v>2030</v>
      </c>
      <c r="H417" s="206" t="e">
        <f>#REF!</f>
        <v>#REF!</v>
      </c>
      <c r="I417" s="205" t="e">
        <f>#REF!</f>
        <v>#REF!</v>
      </c>
      <c r="J417" s="205" t="e">
        <f>#REF!</f>
        <v>#REF!</v>
      </c>
      <c r="K417" s="184">
        <v>1</v>
      </c>
      <c r="L417" s="184">
        <v>1</v>
      </c>
      <c r="M417" s="184">
        <v>1</v>
      </c>
      <c r="N417" s="184">
        <v>1</v>
      </c>
      <c r="O417" s="184">
        <v>1</v>
      </c>
      <c r="P417" s="184">
        <v>1</v>
      </c>
      <c r="Q417" s="184"/>
      <c r="R417" s="184">
        <v>0.45</v>
      </c>
      <c r="S417" s="878"/>
      <c r="T417" s="878"/>
      <c r="U417" s="878"/>
      <c r="V417" s="878"/>
      <c r="W417" s="878"/>
      <c r="X417" s="878"/>
      <c r="Y417" s="878"/>
      <c r="Z417" s="878"/>
      <c r="AA417" s="878"/>
      <c r="AB417" s="878"/>
      <c r="AC417" s="878"/>
      <c r="AD417" s="878"/>
      <c r="AE417" s="878"/>
      <c r="AF417" s="878"/>
      <c r="AG417" s="878"/>
      <c r="AH417" s="878"/>
      <c r="AI417" s="879">
        <v>0</v>
      </c>
      <c r="AJ417" s="879">
        <v>0</v>
      </c>
      <c r="AK417" s="879">
        <v>0</v>
      </c>
      <c r="AL417" s="879">
        <v>0</v>
      </c>
      <c r="AM417" s="879"/>
      <c r="AN417" s="879"/>
      <c r="AO417" s="879"/>
      <c r="AP417" s="879">
        <v>0</v>
      </c>
      <c r="AQ417" s="879">
        <v>0</v>
      </c>
      <c r="AR417" s="879">
        <v>0</v>
      </c>
    </row>
    <row r="418" spans="1:44" x14ac:dyDescent="0.2">
      <c r="A418" s="184" t="s">
        <v>27</v>
      </c>
      <c r="B418" s="184" t="s">
        <v>1118</v>
      </c>
      <c r="C418" s="184" t="s">
        <v>1119</v>
      </c>
      <c r="D418" s="183" t="s">
        <v>34</v>
      </c>
      <c r="E418" s="184" t="str">
        <f>Commodities!$D$19</f>
        <v>RESELC</v>
      </c>
      <c r="F418" s="184" t="str">
        <f>Commodities!$D$12</f>
        <v>RLT</v>
      </c>
      <c r="G418" s="204" t="str">
        <f>IF(RIGHT(B418,2)="TI",2010,CONCATENATE(20,RIGHT(B418,2)))</f>
        <v>2040</v>
      </c>
      <c r="H418" s="206" t="e">
        <f>#REF!</f>
        <v>#REF!</v>
      </c>
      <c r="I418" s="205" t="e">
        <f>#REF!</f>
        <v>#REF!</v>
      </c>
      <c r="J418" s="205" t="e">
        <f>#REF!</f>
        <v>#REF!</v>
      </c>
      <c r="K418" s="184">
        <v>1</v>
      </c>
      <c r="L418" s="184">
        <v>1</v>
      </c>
      <c r="M418" s="184">
        <v>1</v>
      </c>
      <c r="N418" s="184">
        <v>1</v>
      </c>
      <c r="O418" s="184">
        <v>1</v>
      </c>
      <c r="P418" s="184">
        <v>1</v>
      </c>
      <c r="Q418" s="184"/>
      <c r="R418" s="184">
        <v>0.45</v>
      </c>
      <c r="S418" s="878"/>
      <c r="T418" s="878"/>
      <c r="U418" s="879"/>
      <c r="V418" s="879"/>
      <c r="W418" s="879"/>
      <c r="X418" s="879"/>
      <c r="Y418" s="879"/>
      <c r="Z418" s="879"/>
      <c r="AA418" s="879"/>
      <c r="AB418" s="879"/>
      <c r="AC418" s="879"/>
      <c r="AD418" s="879"/>
      <c r="AE418" s="879"/>
      <c r="AF418" s="879"/>
      <c r="AG418" s="879"/>
      <c r="AH418" s="879"/>
      <c r="AI418" s="879">
        <v>0</v>
      </c>
      <c r="AJ418" s="879">
        <v>0</v>
      </c>
      <c r="AK418" s="879">
        <v>0</v>
      </c>
      <c r="AL418" s="879">
        <v>0</v>
      </c>
      <c r="AM418" s="879">
        <v>0</v>
      </c>
      <c r="AN418" s="879">
        <v>0</v>
      </c>
      <c r="AO418" s="879"/>
      <c r="AP418" s="879"/>
      <c r="AQ418" s="879"/>
      <c r="AR418" s="879"/>
    </row>
    <row r="419" spans="1:44" x14ac:dyDescent="0.2">
      <c r="A419" s="184" t="s">
        <v>27</v>
      </c>
      <c r="B419" s="184" t="s">
        <v>1120</v>
      </c>
      <c r="C419" s="184" t="s">
        <v>1121</v>
      </c>
      <c r="D419" s="183" t="s">
        <v>34</v>
      </c>
      <c r="E419" s="184" t="str">
        <f>Commodities!$D$19</f>
        <v>RESELC</v>
      </c>
      <c r="F419" s="184" t="str">
        <f>Commodities!$D$12</f>
        <v>RLT</v>
      </c>
      <c r="G419" s="204">
        <v>2010</v>
      </c>
      <c r="H419" s="206" t="e">
        <f>#REF!</f>
        <v>#REF!</v>
      </c>
      <c r="I419" s="205" t="e">
        <f>#REF!</f>
        <v>#REF!</v>
      </c>
      <c r="J419" s="205" t="e">
        <f>#REF!</f>
        <v>#REF!</v>
      </c>
      <c r="K419" s="184">
        <v>1</v>
      </c>
      <c r="L419" s="184">
        <v>1</v>
      </c>
      <c r="M419" s="184">
        <v>1</v>
      </c>
      <c r="N419" s="184">
        <v>1</v>
      </c>
      <c r="O419" s="184">
        <v>1</v>
      </c>
      <c r="P419" s="184">
        <v>1</v>
      </c>
      <c r="Q419" s="184"/>
      <c r="R419" s="184">
        <v>0.28000000000000003</v>
      </c>
      <c r="S419" s="878"/>
      <c r="T419" s="878"/>
      <c r="U419" s="878"/>
      <c r="V419" s="878"/>
      <c r="W419" s="878"/>
      <c r="X419" s="878"/>
      <c r="Y419" s="878"/>
      <c r="Z419" s="878"/>
      <c r="AA419" s="878"/>
      <c r="AB419" s="878"/>
      <c r="AC419" s="878"/>
      <c r="AD419" s="878"/>
      <c r="AE419" s="878"/>
      <c r="AF419" s="878"/>
      <c r="AG419" s="878"/>
      <c r="AH419" s="878"/>
      <c r="AI419" s="879">
        <v>0</v>
      </c>
      <c r="AJ419" s="879">
        <v>0</v>
      </c>
      <c r="AK419" s="879">
        <v>0</v>
      </c>
      <c r="AL419" s="879">
        <v>0</v>
      </c>
      <c r="AM419" s="879">
        <v>0</v>
      </c>
      <c r="AN419" s="879">
        <v>0</v>
      </c>
      <c r="AO419" s="879">
        <v>0</v>
      </c>
      <c r="AP419" s="879">
        <v>0</v>
      </c>
      <c r="AQ419" s="879">
        <v>0</v>
      </c>
      <c r="AR419" s="879">
        <v>0</v>
      </c>
    </row>
    <row r="420" spans="1:44" x14ac:dyDescent="0.2">
      <c r="A420" s="184" t="s">
        <v>27</v>
      </c>
      <c r="B420" s="184" t="s">
        <v>1122</v>
      </c>
      <c r="C420" s="184" t="s">
        <v>1123</v>
      </c>
      <c r="D420" s="183" t="s">
        <v>34</v>
      </c>
      <c r="E420" s="184" t="str">
        <f>Commodities!$D$19</f>
        <v>RESELC</v>
      </c>
      <c r="F420" s="184" t="str">
        <f>Commodities!$D$12</f>
        <v>RLT</v>
      </c>
      <c r="G420" s="204" t="str">
        <f>IF(RIGHT(B420,2)="TI",2010,CONCATENATE(20,RIGHT(B420,2)))</f>
        <v>2010</v>
      </c>
      <c r="H420" s="206" t="e">
        <f>#REF!</f>
        <v>#REF!</v>
      </c>
      <c r="I420" s="205" t="e">
        <f>#REF!</f>
        <v>#REF!</v>
      </c>
      <c r="J420" s="205" t="e">
        <f>#REF!</f>
        <v>#REF!</v>
      </c>
      <c r="K420" s="184">
        <v>1</v>
      </c>
      <c r="L420" s="184">
        <v>1</v>
      </c>
      <c r="M420" s="184">
        <v>1</v>
      </c>
      <c r="N420" s="184">
        <v>1</v>
      </c>
      <c r="O420" s="184">
        <v>1</v>
      </c>
      <c r="P420" s="184">
        <v>1</v>
      </c>
      <c r="Q420" s="184"/>
      <c r="R420" s="184">
        <v>0.45</v>
      </c>
      <c r="S420" s="879"/>
      <c r="T420" s="879"/>
      <c r="U420" s="879"/>
      <c r="V420" s="879"/>
      <c r="W420" s="879"/>
      <c r="X420" s="879"/>
      <c r="Y420" s="879"/>
      <c r="Z420" s="879"/>
      <c r="AA420" s="879"/>
      <c r="AB420" s="879"/>
      <c r="AC420" s="879"/>
      <c r="AD420" s="879"/>
      <c r="AE420" s="879"/>
      <c r="AF420" s="879"/>
      <c r="AG420" s="879"/>
      <c r="AH420" s="879"/>
      <c r="AI420" s="879">
        <v>0</v>
      </c>
      <c r="AJ420" s="879">
        <v>0</v>
      </c>
      <c r="AK420" s="879">
        <v>0</v>
      </c>
      <c r="AL420" s="879">
        <v>0</v>
      </c>
      <c r="AM420" s="879">
        <v>0</v>
      </c>
      <c r="AN420" s="879">
        <v>0</v>
      </c>
      <c r="AO420" s="879">
        <v>0</v>
      </c>
      <c r="AP420" s="879">
        <v>0</v>
      </c>
      <c r="AQ420" s="879">
        <v>0</v>
      </c>
      <c r="AR420" s="879">
        <v>0</v>
      </c>
    </row>
    <row r="421" spans="1:44" x14ac:dyDescent="0.2">
      <c r="A421" s="183" t="s">
        <v>27</v>
      </c>
      <c r="B421" s="184"/>
      <c r="C421" s="184"/>
      <c r="D421" s="183"/>
      <c r="E421" s="184"/>
      <c r="F421" s="184"/>
      <c r="G421" s="204"/>
      <c r="H421" s="206"/>
      <c r="I421" s="205"/>
      <c r="J421" s="205"/>
      <c r="K421" s="184"/>
      <c r="L421" s="184"/>
      <c r="M421" s="184" t="s">
        <v>514</v>
      </c>
      <c r="N421" s="184" t="s">
        <v>514</v>
      </c>
      <c r="O421" s="184" t="s">
        <v>514</v>
      </c>
      <c r="P421" s="184" t="s">
        <v>514</v>
      </c>
      <c r="Q421" s="184"/>
      <c r="R421" s="184"/>
      <c r="S421" s="878"/>
      <c r="T421" s="878"/>
      <c r="U421" s="879"/>
      <c r="V421" s="879"/>
      <c r="W421" s="879"/>
      <c r="X421" s="879"/>
      <c r="Y421" s="879"/>
      <c r="Z421" s="879"/>
      <c r="AA421" s="879"/>
      <c r="AB421" s="879"/>
      <c r="AC421" s="879"/>
      <c r="AD421" s="879"/>
      <c r="AE421" s="879"/>
      <c r="AF421" s="879"/>
      <c r="AG421" s="879"/>
      <c r="AH421" s="879"/>
      <c r="AI421" s="879"/>
      <c r="AJ421" s="879"/>
      <c r="AK421" s="879"/>
      <c r="AL421" s="879"/>
      <c r="AM421" s="879"/>
      <c r="AN421" s="879"/>
      <c r="AO421" s="879"/>
      <c r="AP421" s="879"/>
      <c r="AQ421" s="879"/>
      <c r="AR421" s="879"/>
    </row>
    <row r="422" spans="1:44" x14ac:dyDescent="0.2">
      <c r="A422" s="184" t="s">
        <v>27</v>
      </c>
      <c r="B422" s="184" t="s">
        <v>1124</v>
      </c>
      <c r="C422" s="184" t="s">
        <v>1125</v>
      </c>
      <c r="D422" s="183" t="s">
        <v>34</v>
      </c>
      <c r="E422" s="184" t="str">
        <f>Commodities!$D$19</f>
        <v>RESELC</v>
      </c>
      <c r="F422" s="184" t="str">
        <f>Commodities!$D$12</f>
        <v>RLT</v>
      </c>
      <c r="G422" s="204" t="str">
        <f t="shared" ref="G422:G434" si="7">IF(RIGHT(B422,2)="TI",2010,CONCATENATE(20,RIGHT(B422,2)))</f>
        <v>2020</v>
      </c>
      <c r="H422" s="206" t="e">
        <f>#REF!</f>
        <v>#REF!</v>
      </c>
      <c r="I422" s="205" t="e">
        <f>#REF!</f>
        <v>#REF!</v>
      </c>
      <c r="J422" s="205" t="e">
        <f>#REF!</f>
        <v>#REF!</v>
      </c>
      <c r="K422" s="184">
        <v>1</v>
      </c>
      <c r="L422" s="184">
        <v>1</v>
      </c>
      <c r="M422" s="184">
        <v>1</v>
      </c>
      <c r="N422" s="184">
        <v>1</v>
      </c>
      <c r="O422" s="184">
        <v>1</v>
      </c>
      <c r="P422" s="184">
        <v>1</v>
      </c>
      <c r="Q422" s="184"/>
      <c r="R422" s="184">
        <v>0.18</v>
      </c>
      <c r="S422" s="879"/>
      <c r="T422" s="879"/>
      <c r="U422" s="879"/>
      <c r="V422" s="879"/>
      <c r="W422" s="879"/>
      <c r="X422" s="879"/>
      <c r="Y422" s="879"/>
      <c r="Z422" s="879"/>
      <c r="AA422" s="879"/>
      <c r="AB422" s="879"/>
      <c r="AC422" s="879"/>
      <c r="AD422" s="879"/>
      <c r="AE422" s="879"/>
      <c r="AF422" s="879"/>
      <c r="AG422" s="879"/>
      <c r="AH422" s="879"/>
      <c r="AI422" s="879">
        <v>0</v>
      </c>
      <c r="AJ422" s="879">
        <v>0</v>
      </c>
      <c r="AK422" s="879"/>
      <c r="AL422" s="879">
        <v>0</v>
      </c>
      <c r="AM422" s="879">
        <v>0</v>
      </c>
      <c r="AN422" s="879">
        <v>0</v>
      </c>
      <c r="AO422" s="879">
        <v>0</v>
      </c>
      <c r="AP422" s="879">
        <v>0</v>
      </c>
      <c r="AQ422" s="879">
        <v>0</v>
      </c>
      <c r="AR422" s="879">
        <v>0</v>
      </c>
    </row>
    <row r="423" spans="1:44" x14ac:dyDescent="0.2">
      <c r="A423" s="184" t="s">
        <v>27</v>
      </c>
      <c r="B423" s="184" t="s">
        <v>1126</v>
      </c>
      <c r="C423" s="184" t="s">
        <v>1127</v>
      </c>
      <c r="D423" s="183" t="s">
        <v>34</v>
      </c>
      <c r="E423" s="184" t="str">
        <f>Commodities!$D$19</f>
        <v>RESELC</v>
      </c>
      <c r="F423" s="184" t="str">
        <f>Commodities!$D$12</f>
        <v>RLT</v>
      </c>
      <c r="G423" s="204" t="str">
        <f t="shared" si="7"/>
        <v>2030</v>
      </c>
      <c r="H423" s="206" t="e">
        <f>#REF!</f>
        <v>#REF!</v>
      </c>
      <c r="I423" s="205" t="e">
        <f>#REF!</f>
        <v>#REF!</v>
      </c>
      <c r="J423" s="205" t="e">
        <f>#REF!</f>
        <v>#REF!</v>
      </c>
      <c r="K423" s="184">
        <v>1</v>
      </c>
      <c r="L423" s="184">
        <v>1</v>
      </c>
      <c r="M423" s="184">
        <v>1</v>
      </c>
      <c r="N423" s="184">
        <v>1</v>
      </c>
      <c r="O423" s="184">
        <v>1</v>
      </c>
      <c r="P423" s="184">
        <v>1</v>
      </c>
      <c r="Q423" s="184"/>
      <c r="R423" s="184">
        <v>0.18</v>
      </c>
      <c r="S423" s="879"/>
      <c r="T423" s="879"/>
      <c r="U423" s="879"/>
      <c r="V423" s="879"/>
      <c r="W423" s="879"/>
      <c r="X423" s="879"/>
      <c r="Y423" s="879"/>
      <c r="Z423" s="879"/>
      <c r="AA423" s="879"/>
      <c r="AB423" s="879"/>
      <c r="AC423" s="879"/>
      <c r="AD423" s="879"/>
      <c r="AE423" s="879"/>
      <c r="AF423" s="879"/>
      <c r="AG423" s="879"/>
      <c r="AH423" s="879"/>
      <c r="AI423" s="879">
        <v>0</v>
      </c>
      <c r="AJ423" s="879"/>
      <c r="AK423" s="879"/>
      <c r="AL423" s="879">
        <v>0</v>
      </c>
      <c r="AM423" s="879">
        <v>0</v>
      </c>
      <c r="AN423" s="879">
        <v>0</v>
      </c>
      <c r="AO423" s="879">
        <v>0</v>
      </c>
      <c r="AP423" s="879">
        <v>0</v>
      </c>
      <c r="AQ423" s="879">
        <v>0</v>
      </c>
      <c r="AR423" s="879">
        <v>0</v>
      </c>
    </row>
    <row r="424" spans="1:44" x14ac:dyDescent="0.2">
      <c r="A424" s="184" t="s">
        <v>27</v>
      </c>
      <c r="B424" s="184" t="s">
        <v>1128</v>
      </c>
      <c r="C424" s="184" t="s">
        <v>1129</v>
      </c>
      <c r="D424" s="183" t="s">
        <v>34</v>
      </c>
      <c r="E424" s="184" t="str">
        <f>Commodities!$D$19</f>
        <v>RESELC</v>
      </c>
      <c r="F424" s="184" t="str">
        <f>Commodities!$D$12</f>
        <v>RLT</v>
      </c>
      <c r="G424" s="204" t="str">
        <f t="shared" si="7"/>
        <v>2040</v>
      </c>
      <c r="H424" s="206" t="e">
        <f>#REF!</f>
        <v>#REF!</v>
      </c>
      <c r="I424" s="205" t="e">
        <f>#REF!</f>
        <v>#REF!</v>
      </c>
      <c r="J424" s="205" t="e">
        <f>#REF!</f>
        <v>#REF!</v>
      </c>
      <c r="K424" s="184">
        <v>1</v>
      </c>
      <c r="L424" s="184">
        <v>1</v>
      </c>
      <c r="M424" s="184">
        <v>1</v>
      </c>
      <c r="N424" s="184">
        <v>1</v>
      </c>
      <c r="O424" s="184">
        <v>1</v>
      </c>
      <c r="P424" s="184">
        <v>1</v>
      </c>
      <c r="Q424" s="184"/>
      <c r="R424" s="184">
        <v>0.18</v>
      </c>
      <c r="S424" s="878"/>
      <c r="T424" s="878"/>
      <c r="U424" s="878"/>
      <c r="V424" s="878"/>
      <c r="W424" s="878"/>
      <c r="X424" s="878"/>
      <c r="Y424" s="878"/>
      <c r="Z424" s="878"/>
      <c r="AA424" s="878"/>
      <c r="AB424" s="878"/>
      <c r="AC424" s="878"/>
      <c r="AD424" s="878"/>
      <c r="AE424" s="878"/>
      <c r="AF424" s="878"/>
      <c r="AG424" s="878"/>
      <c r="AH424" s="878"/>
      <c r="AI424" s="879">
        <v>0</v>
      </c>
      <c r="AJ424" s="879"/>
      <c r="AK424" s="879"/>
      <c r="AL424" s="879">
        <v>0</v>
      </c>
      <c r="AM424" s="879">
        <v>0</v>
      </c>
      <c r="AN424" s="879">
        <v>0</v>
      </c>
      <c r="AO424" s="879">
        <v>0</v>
      </c>
      <c r="AP424" s="879">
        <v>0</v>
      </c>
      <c r="AQ424" s="879">
        <v>0</v>
      </c>
      <c r="AR424" s="879">
        <v>0</v>
      </c>
    </row>
    <row r="425" spans="1:44" x14ac:dyDescent="0.2">
      <c r="A425" s="184" t="s">
        <v>27</v>
      </c>
      <c r="B425" s="184" t="s">
        <v>1130</v>
      </c>
      <c r="C425" s="184" t="s">
        <v>1131</v>
      </c>
      <c r="D425" s="183" t="s">
        <v>34</v>
      </c>
      <c r="E425" s="184" t="str">
        <f>Commodities!$D$19</f>
        <v>RESELC</v>
      </c>
      <c r="F425" s="184" t="str">
        <f>Commodities!$D$12</f>
        <v>RLT</v>
      </c>
      <c r="G425" s="204" t="str">
        <f t="shared" si="7"/>
        <v>2020</v>
      </c>
      <c r="H425" s="206" t="e">
        <f>#REF!</f>
        <v>#REF!</v>
      </c>
      <c r="I425" s="205" t="e">
        <f>#REF!</f>
        <v>#REF!</v>
      </c>
      <c r="J425" s="205" t="e">
        <f>#REF!</f>
        <v>#REF!</v>
      </c>
      <c r="K425" s="184">
        <v>1</v>
      </c>
      <c r="L425" s="184">
        <v>1</v>
      </c>
      <c r="M425" s="184">
        <v>1</v>
      </c>
      <c r="N425" s="184">
        <v>1</v>
      </c>
      <c r="O425" s="184">
        <v>1</v>
      </c>
      <c r="P425" s="184">
        <v>1</v>
      </c>
      <c r="Q425" s="184"/>
      <c r="R425" s="184">
        <v>0.28000000000000003</v>
      </c>
      <c r="S425" s="879"/>
      <c r="T425" s="879"/>
      <c r="U425" s="879"/>
      <c r="V425" s="879"/>
      <c r="W425" s="879"/>
      <c r="X425" s="879"/>
      <c r="Y425" s="879"/>
      <c r="Z425" s="879"/>
      <c r="AA425" s="879"/>
      <c r="AB425" s="879"/>
      <c r="AC425" s="879"/>
      <c r="AD425" s="879"/>
      <c r="AE425" s="879"/>
      <c r="AF425" s="879"/>
      <c r="AG425" s="879"/>
      <c r="AH425" s="879"/>
      <c r="AI425" s="879">
        <v>0</v>
      </c>
      <c r="AJ425" s="879"/>
      <c r="AK425" s="879"/>
      <c r="AL425" s="879"/>
      <c r="AM425" s="879">
        <v>0</v>
      </c>
      <c r="AN425" s="879">
        <v>0</v>
      </c>
      <c r="AO425" s="879">
        <v>0</v>
      </c>
      <c r="AP425" s="879">
        <v>0</v>
      </c>
      <c r="AQ425" s="879">
        <v>0</v>
      </c>
      <c r="AR425" s="879">
        <v>0</v>
      </c>
    </row>
    <row r="426" spans="1:44" x14ac:dyDescent="0.2">
      <c r="A426" s="184" t="s">
        <v>27</v>
      </c>
      <c r="B426" s="184" t="s">
        <v>1132</v>
      </c>
      <c r="C426" s="184" t="s">
        <v>1133</v>
      </c>
      <c r="D426" s="183" t="s">
        <v>34</v>
      </c>
      <c r="E426" s="184" t="str">
        <f>Commodities!$D$19</f>
        <v>RESELC</v>
      </c>
      <c r="F426" s="184" t="str">
        <f>Commodities!$D$12</f>
        <v>RLT</v>
      </c>
      <c r="G426" s="204" t="str">
        <f t="shared" si="7"/>
        <v>2030</v>
      </c>
      <c r="H426" s="206" t="e">
        <f>#REF!</f>
        <v>#REF!</v>
      </c>
      <c r="I426" s="205" t="e">
        <f>#REF!</f>
        <v>#REF!</v>
      </c>
      <c r="J426" s="205" t="e">
        <f>#REF!</f>
        <v>#REF!</v>
      </c>
      <c r="K426" s="184">
        <v>1</v>
      </c>
      <c r="L426" s="184">
        <v>1</v>
      </c>
      <c r="M426" s="184">
        <v>1</v>
      </c>
      <c r="N426" s="184">
        <v>1</v>
      </c>
      <c r="O426" s="184">
        <v>1</v>
      </c>
      <c r="P426" s="184">
        <v>1</v>
      </c>
      <c r="Q426" s="184"/>
      <c r="R426" s="184">
        <v>0.28000000000000003</v>
      </c>
      <c r="S426" s="879"/>
      <c r="T426" s="879"/>
      <c r="U426" s="879"/>
      <c r="V426" s="879"/>
      <c r="W426" s="879"/>
      <c r="X426" s="879"/>
      <c r="Y426" s="879"/>
      <c r="Z426" s="879"/>
      <c r="AA426" s="879"/>
      <c r="AB426" s="879"/>
      <c r="AC426" s="879"/>
      <c r="AD426" s="879"/>
      <c r="AE426" s="879"/>
      <c r="AF426" s="879"/>
      <c r="AG426" s="879"/>
      <c r="AH426" s="879"/>
      <c r="AI426" s="879">
        <v>0</v>
      </c>
      <c r="AJ426" s="879"/>
      <c r="AK426" s="879"/>
      <c r="AL426" s="879"/>
      <c r="AM426" s="879"/>
      <c r="AN426" s="879"/>
      <c r="AO426" s="879">
        <v>0</v>
      </c>
      <c r="AP426" s="879">
        <v>0</v>
      </c>
      <c r="AQ426" s="879">
        <v>0</v>
      </c>
      <c r="AR426" s="879">
        <v>0</v>
      </c>
    </row>
    <row r="427" spans="1:44" x14ac:dyDescent="0.2">
      <c r="A427" s="184" t="s">
        <v>27</v>
      </c>
      <c r="B427" s="184" t="s">
        <v>1134</v>
      </c>
      <c r="C427" s="184" t="s">
        <v>1135</v>
      </c>
      <c r="D427" s="183" t="s">
        <v>34</v>
      </c>
      <c r="E427" s="184" t="str">
        <f>Commodities!$D$19</f>
        <v>RESELC</v>
      </c>
      <c r="F427" s="184" t="str">
        <f>Commodities!$D$12</f>
        <v>RLT</v>
      </c>
      <c r="G427" s="204" t="str">
        <f t="shared" si="7"/>
        <v>2040</v>
      </c>
      <c r="H427" s="206" t="e">
        <f>#REF!</f>
        <v>#REF!</v>
      </c>
      <c r="I427" s="205" t="e">
        <f>#REF!</f>
        <v>#REF!</v>
      </c>
      <c r="J427" s="205" t="e">
        <f>#REF!</f>
        <v>#REF!</v>
      </c>
      <c r="K427" s="184">
        <v>1</v>
      </c>
      <c r="L427" s="184">
        <v>1</v>
      </c>
      <c r="M427" s="184">
        <v>1</v>
      </c>
      <c r="N427" s="184">
        <v>1</v>
      </c>
      <c r="O427" s="184">
        <v>1</v>
      </c>
      <c r="P427" s="184">
        <v>1</v>
      </c>
      <c r="Q427" s="184"/>
      <c r="R427" s="184">
        <v>0.28000000000000003</v>
      </c>
      <c r="S427" s="879"/>
      <c r="T427" s="879"/>
      <c r="U427" s="879"/>
      <c r="V427" s="879"/>
      <c r="W427" s="879"/>
      <c r="X427" s="879"/>
      <c r="Y427" s="879"/>
      <c r="Z427" s="879"/>
      <c r="AA427" s="879"/>
      <c r="AB427" s="879"/>
      <c r="AC427" s="879"/>
      <c r="AD427" s="879"/>
      <c r="AE427" s="879"/>
      <c r="AF427" s="879"/>
      <c r="AG427" s="879"/>
      <c r="AH427" s="879"/>
      <c r="AI427" s="879">
        <v>0</v>
      </c>
      <c r="AJ427" s="879"/>
      <c r="AK427" s="879"/>
      <c r="AL427" s="879"/>
      <c r="AM427" s="879"/>
      <c r="AN427" s="879"/>
      <c r="AO427" s="879"/>
      <c r="AP427" s="879"/>
      <c r="AQ427" s="879"/>
      <c r="AR427" s="879"/>
    </row>
    <row r="428" spans="1:44" x14ac:dyDescent="0.2">
      <c r="A428" s="184" t="s">
        <v>27</v>
      </c>
      <c r="B428" s="184" t="s">
        <v>1136</v>
      </c>
      <c r="C428" s="184" t="s">
        <v>1137</v>
      </c>
      <c r="D428" s="183" t="s">
        <v>34</v>
      </c>
      <c r="E428" s="184" t="str">
        <f>Commodities!$D$19</f>
        <v>RESELC</v>
      </c>
      <c r="F428" s="184" t="str">
        <f>Commodities!$D$12</f>
        <v>RLT</v>
      </c>
      <c r="G428" s="204" t="str">
        <f t="shared" si="7"/>
        <v>2020</v>
      </c>
      <c r="H428" s="206" t="e">
        <f>#REF!</f>
        <v>#REF!</v>
      </c>
      <c r="I428" s="205" t="e">
        <f>#REF!</f>
        <v>#REF!</v>
      </c>
      <c r="J428" s="205" t="e">
        <f>#REF!</f>
        <v>#REF!</v>
      </c>
      <c r="K428" s="184">
        <v>1</v>
      </c>
      <c r="L428" s="184">
        <v>1</v>
      </c>
      <c r="M428" s="184">
        <v>1</v>
      </c>
      <c r="N428" s="184">
        <v>1</v>
      </c>
      <c r="O428" s="184">
        <v>1</v>
      </c>
      <c r="P428" s="184">
        <v>1</v>
      </c>
      <c r="Q428" s="184"/>
      <c r="R428" s="184">
        <v>0.18</v>
      </c>
      <c r="S428" s="879"/>
      <c r="T428" s="878"/>
      <c r="U428" s="879"/>
      <c r="V428" s="879"/>
      <c r="W428" s="879"/>
      <c r="X428" s="879"/>
      <c r="Y428" s="879"/>
      <c r="Z428" s="879"/>
      <c r="AA428" s="879"/>
      <c r="AB428" s="879"/>
      <c r="AC428" s="879"/>
      <c r="AD428" s="879"/>
      <c r="AE428" s="879"/>
      <c r="AF428" s="879"/>
      <c r="AG428" s="879"/>
      <c r="AH428" s="879"/>
      <c r="AI428" s="879">
        <v>0</v>
      </c>
      <c r="AJ428" s="879"/>
      <c r="AK428" s="879"/>
      <c r="AL428" s="879"/>
      <c r="AM428" s="879">
        <v>0</v>
      </c>
      <c r="AN428" s="879">
        <v>0</v>
      </c>
      <c r="AO428" s="879">
        <v>0</v>
      </c>
      <c r="AP428" s="879">
        <v>0</v>
      </c>
      <c r="AQ428" s="879">
        <v>0</v>
      </c>
      <c r="AR428" s="879">
        <v>0</v>
      </c>
    </row>
    <row r="429" spans="1:44" x14ac:dyDescent="0.2">
      <c r="A429" s="184" t="s">
        <v>27</v>
      </c>
      <c r="B429" s="184" t="s">
        <v>1138</v>
      </c>
      <c r="C429" s="184" t="s">
        <v>1139</v>
      </c>
      <c r="D429" s="183" t="s">
        <v>34</v>
      </c>
      <c r="E429" s="184" t="str">
        <f>Commodities!$D$19</f>
        <v>RESELC</v>
      </c>
      <c r="F429" s="184" t="str">
        <f>Commodities!$D$12</f>
        <v>RLT</v>
      </c>
      <c r="G429" s="204" t="str">
        <f t="shared" si="7"/>
        <v>2030</v>
      </c>
      <c r="H429" s="206" t="e">
        <f>#REF!</f>
        <v>#REF!</v>
      </c>
      <c r="I429" s="205" t="e">
        <f>#REF!</f>
        <v>#REF!</v>
      </c>
      <c r="J429" s="205" t="e">
        <f>#REF!</f>
        <v>#REF!</v>
      </c>
      <c r="K429" s="184">
        <v>1</v>
      </c>
      <c r="L429" s="184">
        <v>1</v>
      </c>
      <c r="M429" s="184">
        <v>1</v>
      </c>
      <c r="N429" s="184">
        <v>1</v>
      </c>
      <c r="O429" s="184">
        <v>1</v>
      </c>
      <c r="P429" s="184">
        <v>1</v>
      </c>
      <c r="Q429" s="184"/>
      <c r="R429" s="184">
        <v>0.18</v>
      </c>
      <c r="S429" s="879"/>
      <c r="T429" s="878"/>
      <c r="U429" s="879"/>
      <c r="V429" s="879"/>
      <c r="W429" s="879"/>
      <c r="X429" s="879"/>
      <c r="Y429" s="879"/>
      <c r="Z429" s="879"/>
      <c r="AA429" s="879"/>
      <c r="AB429" s="879"/>
      <c r="AC429" s="879"/>
      <c r="AD429" s="879"/>
      <c r="AE429" s="879"/>
      <c r="AF429" s="879"/>
      <c r="AG429" s="879"/>
      <c r="AH429" s="879"/>
      <c r="AI429" s="879">
        <v>0</v>
      </c>
      <c r="AJ429" s="879"/>
      <c r="AK429" s="879"/>
      <c r="AL429" s="879"/>
      <c r="AM429" s="879"/>
      <c r="AN429" s="879"/>
      <c r="AO429" s="879">
        <v>0</v>
      </c>
      <c r="AP429" s="879">
        <v>0</v>
      </c>
      <c r="AQ429" s="879">
        <v>0</v>
      </c>
      <c r="AR429" s="879">
        <v>0</v>
      </c>
    </row>
    <row r="430" spans="1:44" x14ac:dyDescent="0.2">
      <c r="A430" s="184" t="s">
        <v>27</v>
      </c>
      <c r="B430" s="184" t="s">
        <v>1140</v>
      </c>
      <c r="C430" s="184" t="s">
        <v>1141</v>
      </c>
      <c r="D430" s="183" t="s">
        <v>34</v>
      </c>
      <c r="E430" s="184" t="str">
        <f>Commodities!$D$19</f>
        <v>RESELC</v>
      </c>
      <c r="F430" s="184" t="str">
        <f>Commodities!$D$12</f>
        <v>RLT</v>
      </c>
      <c r="G430" s="204" t="str">
        <f t="shared" si="7"/>
        <v>2040</v>
      </c>
      <c r="H430" s="206" t="e">
        <f>#REF!</f>
        <v>#REF!</v>
      </c>
      <c r="I430" s="205" t="e">
        <f>#REF!</f>
        <v>#REF!</v>
      </c>
      <c r="J430" s="205" t="e">
        <f>#REF!</f>
        <v>#REF!</v>
      </c>
      <c r="K430" s="184">
        <v>1</v>
      </c>
      <c r="L430" s="184">
        <v>1</v>
      </c>
      <c r="M430" s="184">
        <v>1</v>
      </c>
      <c r="N430" s="184">
        <v>1</v>
      </c>
      <c r="O430" s="184">
        <v>1</v>
      </c>
      <c r="P430" s="184">
        <v>1</v>
      </c>
      <c r="Q430" s="184"/>
      <c r="R430" s="184">
        <v>0.18</v>
      </c>
      <c r="S430" s="879"/>
      <c r="T430" s="879"/>
      <c r="U430" s="879"/>
      <c r="V430" s="879"/>
      <c r="W430" s="879"/>
      <c r="X430" s="879"/>
      <c r="Y430" s="879"/>
      <c r="Z430" s="879"/>
      <c r="AA430" s="879"/>
      <c r="AB430" s="879"/>
      <c r="AC430" s="879"/>
      <c r="AD430" s="879"/>
      <c r="AE430" s="879"/>
      <c r="AF430" s="879"/>
      <c r="AG430" s="879"/>
      <c r="AH430" s="879"/>
      <c r="AI430" s="879">
        <v>0</v>
      </c>
      <c r="AJ430" s="879"/>
      <c r="AK430" s="879"/>
      <c r="AL430" s="879"/>
      <c r="AM430" s="879"/>
      <c r="AN430" s="879"/>
      <c r="AO430" s="879"/>
      <c r="AP430" s="879"/>
      <c r="AQ430" s="879"/>
      <c r="AR430" s="879"/>
    </row>
    <row r="431" spans="1:44" x14ac:dyDescent="0.2">
      <c r="A431" s="184" t="s">
        <v>27</v>
      </c>
      <c r="B431" s="184" t="s">
        <v>1142</v>
      </c>
      <c r="C431" s="184" t="s">
        <v>1143</v>
      </c>
      <c r="D431" s="183" t="s">
        <v>34</v>
      </c>
      <c r="E431" s="184" t="str">
        <f>Commodities!$D$19</f>
        <v>RESELC</v>
      </c>
      <c r="F431" s="184" t="str">
        <f>Commodities!$D$12</f>
        <v>RLT</v>
      </c>
      <c r="G431" s="204" t="str">
        <f t="shared" si="7"/>
        <v>2015</v>
      </c>
      <c r="H431" s="206" t="e">
        <f>#REF!</f>
        <v>#REF!</v>
      </c>
      <c r="I431" s="205" t="e">
        <f>#REF!</f>
        <v>#REF!</v>
      </c>
      <c r="J431" s="205" t="e">
        <f>#REF!</f>
        <v>#REF!</v>
      </c>
      <c r="K431" s="184">
        <v>1</v>
      </c>
      <c r="L431" s="184">
        <v>1</v>
      </c>
      <c r="M431" s="184">
        <v>1</v>
      </c>
      <c r="N431" s="184">
        <v>1</v>
      </c>
      <c r="O431" s="184">
        <v>1</v>
      </c>
      <c r="P431" s="184">
        <v>1</v>
      </c>
      <c r="Q431" s="184"/>
      <c r="R431" s="184">
        <v>0.45</v>
      </c>
      <c r="S431" s="879"/>
      <c r="T431" s="878"/>
      <c r="U431" s="879"/>
      <c r="V431" s="879"/>
      <c r="W431" s="879"/>
      <c r="X431" s="879"/>
      <c r="Y431" s="879"/>
      <c r="Z431" s="879"/>
      <c r="AA431" s="879"/>
      <c r="AB431" s="879"/>
      <c r="AC431" s="879"/>
      <c r="AD431" s="879"/>
      <c r="AE431" s="879"/>
      <c r="AF431" s="879"/>
      <c r="AG431" s="879"/>
      <c r="AH431" s="879"/>
      <c r="AI431" s="879">
        <v>0</v>
      </c>
      <c r="AJ431" s="879">
        <v>0</v>
      </c>
      <c r="AK431" s="879">
        <v>0</v>
      </c>
      <c r="AL431" s="879">
        <v>0</v>
      </c>
      <c r="AM431" s="879">
        <v>0</v>
      </c>
      <c r="AN431" s="879">
        <v>0</v>
      </c>
      <c r="AO431" s="879">
        <v>0</v>
      </c>
      <c r="AP431" s="879">
        <v>0</v>
      </c>
      <c r="AQ431" s="879">
        <v>0</v>
      </c>
      <c r="AR431" s="879">
        <v>0</v>
      </c>
    </row>
    <row r="432" spans="1:44" x14ac:dyDescent="0.2">
      <c r="A432" s="184" t="s">
        <v>27</v>
      </c>
      <c r="B432" s="184" t="s">
        <v>1144</v>
      </c>
      <c r="C432" s="184" t="s">
        <v>1145</v>
      </c>
      <c r="D432" s="183" t="s">
        <v>34</v>
      </c>
      <c r="E432" s="184" t="str">
        <f>Commodities!$D$19</f>
        <v>RESELC</v>
      </c>
      <c r="F432" s="184" t="str">
        <f>Commodities!$D$12</f>
        <v>RLT</v>
      </c>
      <c r="G432" s="204" t="str">
        <f t="shared" si="7"/>
        <v>2020</v>
      </c>
      <c r="H432" s="206" t="e">
        <f>#REF!</f>
        <v>#REF!</v>
      </c>
      <c r="I432" s="205" t="e">
        <f>#REF!</f>
        <v>#REF!</v>
      </c>
      <c r="J432" s="205" t="e">
        <f>#REF!</f>
        <v>#REF!</v>
      </c>
      <c r="K432" s="184">
        <v>1</v>
      </c>
      <c r="L432" s="184">
        <v>1</v>
      </c>
      <c r="M432" s="184">
        <v>1</v>
      </c>
      <c r="N432" s="184">
        <v>1</v>
      </c>
      <c r="O432" s="184">
        <v>1</v>
      </c>
      <c r="P432" s="184">
        <v>1</v>
      </c>
      <c r="Q432" s="184"/>
      <c r="R432" s="184">
        <v>0.45</v>
      </c>
      <c r="S432" s="879"/>
      <c r="T432" s="879"/>
      <c r="U432" s="879"/>
      <c r="V432" s="879"/>
      <c r="W432" s="879"/>
      <c r="X432" s="879"/>
      <c r="Y432" s="879"/>
      <c r="Z432" s="879"/>
      <c r="AA432" s="879"/>
      <c r="AB432" s="879"/>
      <c r="AC432" s="879"/>
      <c r="AD432" s="879"/>
      <c r="AE432" s="879"/>
      <c r="AF432" s="879"/>
      <c r="AG432" s="879"/>
      <c r="AH432" s="879"/>
      <c r="AI432" s="879">
        <v>0</v>
      </c>
      <c r="AJ432" s="879"/>
      <c r="AK432" s="879"/>
      <c r="AL432" s="879">
        <v>0</v>
      </c>
      <c r="AM432" s="879">
        <v>0</v>
      </c>
      <c r="AN432" s="879">
        <v>0</v>
      </c>
      <c r="AO432" s="879">
        <v>0</v>
      </c>
      <c r="AP432" s="879">
        <v>0</v>
      </c>
      <c r="AQ432" s="879">
        <v>0</v>
      </c>
      <c r="AR432" s="879">
        <v>0</v>
      </c>
    </row>
    <row r="433" spans="1:44" x14ac:dyDescent="0.2">
      <c r="A433" s="184" t="s">
        <v>27</v>
      </c>
      <c r="B433" s="184" t="s">
        <v>1146</v>
      </c>
      <c r="C433" s="184" t="s">
        <v>1147</v>
      </c>
      <c r="D433" s="183" t="s">
        <v>34</v>
      </c>
      <c r="E433" s="184" t="str">
        <f>Commodities!$D$19</f>
        <v>RESELC</v>
      </c>
      <c r="F433" s="184" t="str">
        <f>Commodities!$D$12</f>
        <v>RLT</v>
      </c>
      <c r="G433" s="204" t="str">
        <f t="shared" si="7"/>
        <v>2025</v>
      </c>
      <c r="H433" s="206" t="e">
        <f>#REF!</f>
        <v>#REF!</v>
      </c>
      <c r="I433" s="205" t="e">
        <f>#REF!</f>
        <v>#REF!</v>
      </c>
      <c r="J433" s="205" t="e">
        <f>#REF!</f>
        <v>#REF!</v>
      </c>
      <c r="K433" s="184">
        <v>1</v>
      </c>
      <c r="L433" s="184">
        <v>1</v>
      </c>
      <c r="M433" s="184">
        <v>1</v>
      </c>
      <c r="N433" s="184">
        <v>1</v>
      </c>
      <c r="O433" s="184">
        <v>1</v>
      </c>
      <c r="P433" s="184">
        <v>1</v>
      </c>
      <c r="Q433" s="184"/>
      <c r="R433" s="184">
        <v>0.45</v>
      </c>
      <c r="S433" s="878"/>
      <c r="T433" s="878"/>
      <c r="U433" s="878"/>
      <c r="V433" s="878"/>
      <c r="W433" s="878"/>
      <c r="X433" s="878"/>
      <c r="Y433" s="878"/>
      <c r="Z433" s="878"/>
      <c r="AA433" s="878"/>
      <c r="AB433" s="878"/>
      <c r="AC433" s="878"/>
      <c r="AD433" s="878"/>
      <c r="AE433" s="878"/>
      <c r="AF433" s="878"/>
      <c r="AG433" s="878"/>
      <c r="AH433" s="878"/>
      <c r="AI433" s="879">
        <v>0</v>
      </c>
      <c r="AJ433" s="879"/>
      <c r="AK433" s="879"/>
      <c r="AL433" s="879"/>
      <c r="AM433" s="879">
        <v>0</v>
      </c>
      <c r="AN433" s="879">
        <v>0</v>
      </c>
      <c r="AO433" s="879">
        <v>0</v>
      </c>
      <c r="AP433" s="879">
        <v>0</v>
      </c>
      <c r="AQ433" s="879">
        <v>0</v>
      </c>
      <c r="AR433" s="879">
        <v>0</v>
      </c>
    </row>
    <row r="434" spans="1:44" x14ac:dyDescent="0.2">
      <c r="A434" s="184" t="s">
        <v>27</v>
      </c>
      <c r="B434" s="184" t="s">
        <v>1148</v>
      </c>
      <c r="C434" s="184" t="s">
        <v>1149</v>
      </c>
      <c r="D434" s="183" t="s">
        <v>34</v>
      </c>
      <c r="E434" s="184" t="str">
        <f>Commodities!$D$19</f>
        <v>RESELC</v>
      </c>
      <c r="F434" s="184" t="str">
        <f>Commodities!$D$12</f>
        <v>RLT</v>
      </c>
      <c r="G434" s="204" t="str">
        <f t="shared" si="7"/>
        <v>2030</v>
      </c>
      <c r="H434" s="206" t="e">
        <f>#REF!</f>
        <v>#REF!</v>
      </c>
      <c r="I434" s="205" t="e">
        <f>#REF!</f>
        <v>#REF!</v>
      </c>
      <c r="J434" s="205" t="e">
        <f>#REF!</f>
        <v>#REF!</v>
      </c>
      <c r="K434" s="184">
        <v>1</v>
      </c>
      <c r="L434" s="184">
        <v>1</v>
      </c>
      <c r="M434" s="184">
        <v>1</v>
      </c>
      <c r="N434" s="184">
        <v>1</v>
      </c>
      <c r="O434" s="184">
        <v>1</v>
      </c>
      <c r="P434" s="184">
        <v>1</v>
      </c>
      <c r="Q434" s="184"/>
      <c r="R434" s="184">
        <v>0.45</v>
      </c>
      <c r="S434" s="881"/>
      <c r="T434" s="881"/>
      <c r="U434" s="881"/>
      <c r="V434" s="881"/>
      <c r="W434" s="881"/>
      <c r="X434" s="881"/>
      <c r="Y434" s="881"/>
      <c r="Z434" s="881"/>
      <c r="AA434" s="881"/>
      <c r="AB434" s="881"/>
      <c r="AC434" s="881"/>
      <c r="AD434" s="881"/>
      <c r="AE434" s="881"/>
      <c r="AF434" s="881"/>
      <c r="AG434" s="881"/>
      <c r="AH434" s="881"/>
      <c r="AI434" s="879">
        <v>0</v>
      </c>
      <c r="AJ434" s="879"/>
      <c r="AK434" s="879"/>
      <c r="AL434" s="879"/>
      <c r="AM434" s="879"/>
      <c r="AN434" s="879"/>
      <c r="AO434" s="879">
        <v>0</v>
      </c>
      <c r="AP434" s="879">
        <v>0</v>
      </c>
      <c r="AQ434" s="879">
        <v>0</v>
      </c>
      <c r="AR434" s="879">
        <v>0</v>
      </c>
    </row>
    <row r="435" spans="1:44" x14ac:dyDescent="0.2">
      <c r="A435" s="184" t="s">
        <v>27</v>
      </c>
      <c r="B435" s="184" t="s">
        <v>1150</v>
      </c>
      <c r="C435" s="184" t="s">
        <v>1151</v>
      </c>
      <c r="D435" s="183" t="s">
        <v>34</v>
      </c>
      <c r="E435" s="184" t="str">
        <f>Commodities!$D$19</f>
        <v>RESELC</v>
      </c>
      <c r="F435" s="184" t="str">
        <f>Commodities!$D$12</f>
        <v>RLT</v>
      </c>
      <c r="G435" s="204" t="str">
        <f>IF(RIGHT(B435,2)="TI",2010,CONCATENATE(20,RIGHT(B435,2)))</f>
        <v>2010</v>
      </c>
      <c r="H435" s="206" t="e">
        <f>#REF!</f>
        <v>#REF!</v>
      </c>
      <c r="I435" s="205" t="e">
        <f>#REF!</f>
        <v>#REF!</v>
      </c>
      <c r="J435" s="205" t="e">
        <f>#REF!</f>
        <v>#REF!</v>
      </c>
      <c r="K435" s="184">
        <v>1</v>
      </c>
      <c r="L435" s="184">
        <v>1</v>
      </c>
      <c r="M435" s="184">
        <v>1</v>
      </c>
      <c r="N435" s="184">
        <v>1</v>
      </c>
      <c r="O435" s="184">
        <v>1</v>
      </c>
      <c r="P435" s="184">
        <v>1</v>
      </c>
      <c r="Q435" s="184"/>
      <c r="R435" s="184">
        <v>0.28000000000000003</v>
      </c>
      <c r="S435" s="879"/>
      <c r="T435" s="879"/>
      <c r="U435" s="879"/>
      <c r="V435" s="879"/>
      <c r="W435" s="879"/>
      <c r="X435" s="879"/>
      <c r="Y435" s="879"/>
      <c r="Z435" s="879"/>
      <c r="AA435" s="879"/>
      <c r="AB435" s="879"/>
      <c r="AC435" s="879"/>
      <c r="AD435" s="879"/>
      <c r="AE435" s="879"/>
      <c r="AF435" s="879"/>
      <c r="AG435" s="879"/>
      <c r="AH435" s="879"/>
      <c r="AI435" s="879">
        <v>0</v>
      </c>
      <c r="AJ435" s="879">
        <v>0</v>
      </c>
      <c r="AK435" s="879">
        <v>0</v>
      </c>
      <c r="AL435" s="879">
        <v>0</v>
      </c>
      <c r="AM435" s="879">
        <v>0</v>
      </c>
      <c r="AN435" s="879">
        <v>0</v>
      </c>
      <c r="AO435" s="879">
        <v>0</v>
      </c>
      <c r="AP435" s="879">
        <v>0</v>
      </c>
      <c r="AQ435" s="879">
        <v>0</v>
      </c>
      <c r="AR435" s="879">
        <v>0</v>
      </c>
    </row>
    <row r="436" spans="1:44" x14ac:dyDescent="0.2">
      <c r="A436" s="184" t="s">
        <v>27</v>
      </c>
      <c r="B436" s="184" t="s">
        <v>1152</v>
      </c>
      <c r="C436" s="184" t="s">
        <v>1153</v>
      </c>
      <c r="D436" s="183" t="s">
        <v>34</v>
      </c>
      <c r="E436" s="184" t="str">
        <f>Commodities!$D$19</f>
        <v>RESELC</v>
      </c>
      <c r="F436" s="184" t="str">
        <f>Commodities!$D$12</f>
        <v>RLT</v>
      </c>
      <c r="G436" s="204" t="str">
        <f>IF(RIGHT(B436,2)="TI",2010,CONCATENATE(20,RIGHT(B436,2)))</f>
        <v>2010</v>
      </c>
      <c r="H436" s="206" t="e">
        <f>#REF!</f>
        <v>#REF!</v>
      </c>
      <c r="I436" s="205" t="e">
        <f>#REF!</f>
        <v>#REF!</v>
      </c>
      <c r="J436" s="205" t="e">
        <f>#REF!</f>
        <v>#REF!</v>
      </c>
      <c r="K436" s="184">
        <v>1</v>
      </c>
      <c r="L436" s="184">
        <v>1</v>
      </c>
      <c r="M436" s="184">
        <v>1</v>
      </c>
      <c r="N436" s="184">
        <v>1</v>
      </c>
      <c r="O436" s="184">
        <v>1</v>
      </c>
      <c r="P436" s="184">
        <v>1</v>
      </c>
      <c r="Q436" s="184"/>
      <c r="R436" s="184">
        <v>0.18</v>
      </c>
      <c r="S436" s="878"/>
      <c r="T436" s="878"/>
      <c r="U436" s="878"/>
      <c r="V436" s="878"/>
      <c r="W436" s="878"/>
      <c r="X436" s="878"/>
      <c r="Y436" s="878"/>
      <c r="Z436" s="878"/>
      <c r="AA436" s="878"/>
      <c r="AB436" s="878"/>
      <c r="AC436" s="878"/>
      <c r="AD436" s="878"/>
      <c r="AE436" s="878"/>
      <c r="AF436" s="878"/>
      <c r="AG436" s="878"/>
      <c r="AH436" s="878"/>
      <c r="AI436" s="879">
        <v>0</v>
      </c>
      <c r="AJ436" s="879">
        <v>0</v>
      </c>
      <c r="AK436" s="879">
        <v>0</v>
      </c>
      <c r="AL436" s="879">
        <v>0</v>
      </c>
      <c r="AM436" s="879">
        <v>0</v>
      </c>
      <c r="AN436" s="879">
        <v>0</v>
      </c>
      <c r="AO436" s="879">
        <v>0</v>
      </c>
      <c r="AP436" s="879">
        <v>0</v>
      </c>
      <c r="AQ436" s="879">
        <v>0</v>
      </c>
      <c r="AR436" s="879">
        <v>0</v>
      </c>
    </row>
    <row r="437" spans="1:44" x14ac:dyDescent="0.2">
      <c r="A437" s="184" t="s">
        <v>27</v>
      </c>
      <c r="B437" s="184" t="s">
        <v>1154</v>
      </c>
      <c r="C437" s="184" t="s">
        <v>1155</v>
      </c>
      <c r="D437" s="183" t="s">
        <v>34</v>
      </c>
      <c r="E437" s="184" t="str">
        <f>Commodities!$D$19</f>
        <v>RESELC</v>
      </c>
      <c r="F437" s="184" t="str">
        <f>Commodities!$D$12</f>
        <v>RLT</v>
      </c>
      <c r="G437" s="204" t="str">
        <f>IF(RIGHT(B437,2)="TI",2010,CONCATENATE(20,RIGHT(B437,2)))</f>
        <v>2010</v>
      </c>
      <c r="H437" s="206" t="e">
        <f>#REF!</f>
        <v>#REF!</v>
      </c>
      <c r="I437" s="205" t="e">
        <f>#REF!</f>
        <v>#REF!</v>
      </c>
      <c r="J437" s="205" t="e">
        <f>#REF!</f>
        <v>#REF!</v>
      </c>
      <c r="K437" s="184">
        <v>1</v>
      </c>
      <c r="L437" s="184">
        <v>1</v>
      </c>
      <c r="M437" s="184">
        <v>1</v>
      </c>
      <c r="N437" s="184">
        <v>1</v>
      </c>
      <c r="O437" s="184">
        <v>1</v>
      </c>
      <c r="P437" s="184">
        <v>1</v>
      </c>
      <c r="Q437" s="184"/>
      <c r="R437" s="184">
        <v>0.45</v>
      </c>
      <c r="S437" s="879"/>
      <c r="T437" s="879"/>
      <c r="U437" s="879"/>
      <c r="V437" s="879"/>
      <c r="W437" s="879"/>
      <c r="X437" s="879"/>
      <c r="Y437" s="879"/>
      <c r="Z437" s="879"/>
      <c r="AA437" s="879"/>
      <c r="AB437" s="879"/>
      <c r="AC437" s="879"/>
      <c r="AD437" s="879"/>
      <c r="AE437" s="879"/>
      <c r="AF437" s="879"/>
      <c r="AG437" s="879"/>
      <c r="AH437" s="879"/>
      <c r="AI437" s="879">
        <v>0</v>
      </c>
      <c r="AJ437" s="879">
        <v>0</v>
      </c>
      <c r="AK437" s="879">
        <v>0</v>
      </c>
      <c r="AL437" s="879">
        <v>0</v>
      </c>
      <c r="AM437" s="879">
        <v>0</v>
      </c>
      <c r="AN437" s="879">
        <v>0</v>
      </c>
      <c r="AO437" s="879">
        <v>0</v>
      </c>
      <c r="AP437" s="879">
        <v>0</v>
      </c>
      <c r="AQ437" s="879">
        <v>0</v>
      </c>
      <c r="AR437" s="879">
        <v>0</v>
      </c>
    </row>
    <row r="438" spans="1:44" x14ac:dyDescent="0.2">
      <c r="A438" s="184" t="s">
        <v>27</v>
      </c>
      <c r="B438" s="184"/>
      <c r="C438" s="184"/>
      <c r="D438" s="183"/>
      <c r="E438" s="184"/>
      <c r="F438" s="184"/>
      <c r="G438" s="204"/>
      <c r="H438" s="206"/>
      <c r="I438" s="205"/>
      <c r="J438" s="205"/>
      <c r="K438" s="184"/>
      <c r="L438" s="184"/>
      <c r="M438" s="184" t="s">
        <v>514</v>
      </c>
      <c r="N438" s="184" t="s">
        <v>514</v>
      </c>
      <c r="O438" s="184" t="s">
        <v>514</v>
      </c>
      <c r="P438" s="184" t="s">
        <v>514</v>
      </c>
      <c r="Q438" s="184"/>
      <c r="R438" s="184"/>
      <c r="S438" s="881"/>
      <c r="T438" s="881"/>
      <c r="U438" s="881"/>
      <c r="V438" s="881"/>
      <c r="W438" s="881"/>
      <c r="X438" s="881"/>
      <c r="Y438" s="881"/>
      <c r="Z438" s="881"/>
      <c r="AA438" s="881"/>
      <c r="AB438" s="881"/>
      <c r="AC438" s="881"/>
      <c r="AD438" s="881"/>
      <c r="AE438" s="881"/>
      <c r="AF438" s="881"/>
      <c r="AG438" s="881"/>
      <c r="AH438" s="881"/>
      <c r="AI438" s="879"/>
      <c r="AJ438" s="879"/>
      <c r="AK438" s="879"/>
      <c r="AL438" s="879"/>
      <c r="AM438" s="879"/>
      <c r="AN438" s="879"/>
      <c r="AO438" s="879"/>
      <c r="AP438" s="879"/>
      <c r="AQ438" s="879"/>
      <c r="AR438" s="879"/>
    </row>
    <row r="439" spans="1:44" x14ac:dyDescent="0.2">
      <c r="A439" s="184" t="s">
        <v>27</v>
      </c>
      <c r="B439" s="184" t="s">
        <v>1156</v>
      </c>
      <c r="C439" s="184" t="s">
        <v>1157</v>
      </c>
      <c r="D439" s="183" t="s">
        <v>34</v>
      </c>
      <c r="E439" s="184" t="str">
        <f>Commodities!$D$19</f>
        <v>RESELC</v>
      </c>
      <c r="F439" s="184" t="str">
        <f>Commodities!$D$12</f>
        <v>RLT</v>
      </c>
      <c r="G439" s="204" t="str">
        <f>IF(RIGHT(B439,2)="TI",2010,CONCATENATE(20,RIGHT(B439,2)))</f>
        <v>2030</v>
      </c>
      <c r="H439" s="206" t="e">
        <f>#REF!</f>
        <v>#REF!</v>
      </c>
      <c r="I439" s="205" t="e">
        <f>#REF!</f>
        <v>#REF!</v>
      </c>
      <c r="J439" s="205" t="e">
        <f>#REF!</f>
        <v>#REF!</v>
      </c>
      <c r="K439" s="184">
        <v>1</v>
      </c>
      <c r="L439" s="184">
        <v>1</v>
      </c>
      <c r="M439" s="184">
        <v>1</v>
      </c>
      <c r="N439" s="184">
        <v>1</v>
      </c>
      <c r="O439" s="184">
        <v>1</v>
      </c>
      <c r="P439" s="184">
        <v>1</v>
      </c>
      <c r="Q439" s="184"/>
      <c r="R439" s="184">
        <v>0.18</v>
      </c>
      <c r="S439" s="879"/>
      <c r="T439" s="879"/>
      <c r="U439" s="879"/>
      <c r="V439" s="879"/>
      <c r="W439" s="879"/>
      <c r="X439" s="879"/>
      <c r="Y439" s="879"/>
      <c r="Z439" s="879"/>
      <c r="AA439" s="879"/>
      <c r="AB439" s="879"/>
      <c r="AC439" s="879"/>
      <c r="AD439" s="879"/>
      <c r="AE439" s="879"/>
      <c r="AF439" s="879"/>
      <c r="AG439" s="879"/>
      <c r="AH439" s="879"/>
      <c r="AI439" s="882">
        <v>0</v>
      </c>
      <c r="AJ439" s="879"/>
      <c r="AK439" s="879"/>
      <c r="AL439" s="879"/>
      <c r="AM439" s="879"/>
      <c r="AN439" s="879"/>
      <c r="AO439" s="879"/>
      <c r="AP439" s="879"/>
      <c r="AQ439" s="879"/>
      <c r="AR439" s="879"/>
    </row>
    <row r="440" spans="1:44" x14ac:dyDescent="0.2">
      <c r="A440" s="184" t="s">
        <v>27</v>
      </c>
      <c r="B440" s="184" t="s">
        <v>1158</v>
      </c>
      <c r="C440" s="184" t="s">
        <v>1159</v>
      </c>
      <c r="D440" s="183" t="s">
        <v>34</v>
      </c>
      <c r="E440" s="184" t="str">
        <f>Commodities!$D$19</f>
        <v>RESELC</v>
      </c>
      <c r="F440" s="184" t="str">
        <f>Commodities!$D$12</f>
        <v>RLT</v>
      </c>
      <c r="G440" s="204" t="str">
        <f>IF(RIGHT(B440,2)="TI",2010,CONCATENATE(20,RIGHT(B440,2)))</f>
        <v>2015</v>
      </c>
      <c r="H440" s="206" t="e">
        <f>#REF!</f>
        <v>#REF!</v>
      </c>
      <c r="I440" s="205" t="e">
        <f>#REF!</f>
        <v>#REF!</v>
      </c>
      <c r="J440" s="205" t="e">
        <f>#REF!</f>
        <v>#REF!</v>
      </c>
      <c r="K440" s="184">
        <v>1</v>
      </c>
      <c r="L440" s="184">
        <v>1</v>
      </c>
      <c r="M440" s="184">
        <v>1</v>
      </c>
      <c r="N440" s="184">
        <v>1</v>
      </c>
      <c r="O440" s="184">
        <v>1</v>
      </c>
      <c r="P440" s="184">
        <v>1</v>
      </c>
      <c r="Q440" s="184"/>
      <c r="R440" s="184">
        <v>0.45</v>
      </c>
      <c r="S440" s="880"/>
      <c r="T440" s="880"/>
      <c r="U440" s="880"/>
      <c r="V440" s="880"/>
      <c r="W440" s="880"/>
      <c r="X440" s="880"/>
      <c r="Y440" s="880"/>
      <c r="Z440" s="880"/>
      <c r="AA440" s="880"/>
      <c r="AB440" s="880"/>
      <c r="AC440" s="880"/>
      <c r="AD440" s="880"/>
      <c r="AE440" s="880"/>
      <c r="AF440" s="880"/>
      <c r="AG440" s="880"/>
      <c r="AH440" s="880"/>
      <c r="AI440" s="882">
        <v>0</v>
      </c>
      <c r="AJ440" s="879">
        <v>0</v>
      </c>
      <c r="AK440" s="879">
        <v>0</v>
      </c>
      <c r="AL440" s="879">
        <v>0</v>
      </c>
      <c r="AM440" s="879">
        <v>0</v>
      </c>
      <c r="AN440" s="879">
        <v>0</v>
      </c>
      <c r="AO440" s="879">
        <v>0</v>
      </c>
      <c r="AP440" s="879">
        <v>0</v>
      </c>
      <c r="AQ440" s="879">
        <v>0</v>
      </c>
      <c r="AR440" s="879">
        <v>0</v>
      </c>
    </row>
    <row r="441" spans="1:44" x14ac:dyDescent="0.2">
      <c r="A441" s="184" t="s">
        <v>27</v>
      </c>
      <c r="B441" s="184" t="s">
        <v>1160</v>
      </c>
      <c r="C441" s="184" t="s">
        <v>1161</v>
      </c>
      <c r="D441" s="183" t="s">
        <v>34</v>
      </c>
      <c r="E441" s="184" t="str">
        <f>Commodities!$D$19</f>
        <v>RESELC</v>
      </c>
      <c r="F441" s="184" t="str">
        <f>Commodities!$D$12</f>
        <v>RLT</v>
      </c>
      <c r="G441" s="204" t="str">
        <f>IF(RIGHT(B441,2)="TI",2010,CONCATENATE(20,RIGHT(B441,2)))</f>
        <v>2020</v>
      </c>
      <c r="H441" s="206" t="e">
        <f>#REF!</f>
        <v>#REF!</v>
      </c>
      <c r="I441" s="205" t="e">
        <f>#REF!</f>
        <v>#REF!</v>
      </c>
      <c r="J441" s="205" t="e">
        <f>#REF!</f>
        <v>#REF!</v>
      </c>
      <c r="K441" s="184">
        <v>1</v>
      </c>
      <c r="L441" s="184">
        <v>1</v>
      </c>
      <c r="M441" s="184">
        <v>1</v>
      </c>
      <c r="N441" s="184">
        <v>1</v>
      </c>
      <c r="O441" s="184">
        <v>1</v>
      </c>
      <c r="P441" s="184">
        <v>1</v>
      </c>
      <c r="Q441" s="184"/>
      <c r="R441" s="184">
        <v>0.45</v>
      </c>
      <c r="S441" s="879"/>
      <c r="T441" s="879"/>
      <c r="U441" s="879"/>
      <c r="V441" s="879"/>
      <c r="W441" s="879"/>
      <c r="X441" s="879"/>
      <c r="Y441" s="879"/>
      <c r="Z441" s="879"/>
      <c r="AA441" s="879"/>
      <c r="AB441" s="879"/>
      <c r="AC441" s="879"/>
      <c r="AD441" s="879"/>
      <c r="AE441" s="879"/>
      <c r="AF441" s="879"/>
      <c r="AG441" s="879"/>
      <c r="AH441" s="879"/>
      <c r="AI441" s="879">
        <v>0</v>
      </c>
      <c r="AJ441" s="879"/>
      <c r="AK441" s="879"/>
      <c r="AL441" s="879"/>
      <c r="AM441" s="879">
        <v>0</v>
      </c>
      <c r="AN441" s="879">
        <v>0</v>
      </c>
      <c r="AO441" s="879">
        <v>0</v>
      </c>
      <c r="AP441" s="879">
        <v>0</v>
      </c>
      <c r="AQ441" s="879">
        <v>0</v>
      </c>
      <c r="AR441" s="879">
        <v>0</v>
      </c>
    </row>
    <row r="442" spans="1:44" x14ac:dyDescent="0.2">
      <c r="A442" s="184" t="s">
        <v>27</v>
      </c>
      <c r="B442" s="184" t="s">
        <v>1162</v>
      </c>
      <c r="C442" s="184" t="s">
        <v>1163</v>
      </c>
      <c r="D442" s="183" t="s">
        <v>34</v>
      </c>
      <c r="E442" s="184" t="str">
        <f>Commodities!$D$19</f>
        <v>RESELC</v>
      </c>
      <c r="F442" s="184" t="str">
        <f>Commodities!$D$12</f>
        <v>RLT</v>
      </c>
      <c r="G442" s="204" t="str">
        <f>IF(RIGHT(B442,2)="TI",2010,CONCATENATE(20,RIGHT(B442,2)))</f>
        <v>2030</v>
      </c>
      <c r="H442" s="206" t="e">
        <f>#REF!</f>
        <v>#REF!</v>
      </c>
      <c r="I442" s="205" t="e">
        <f>#REF!</f>
        <v>#REF!</v>
      </c>
      <c r="J442" s="205" t="e">
        <f>#REF!</f>
        <v>#REF!</v>
      </c>
      <c r="K442" s="184">
        <v>1</v>
      </c>
      <c r="L442" s="184">
        <v>1</v>
      </c>
      <c r="M442" s="184">
        <v>1</v>
      </c>
      <c r="N442" s="184">
        <v>1</v>
      </c>
      <c r="O442" s="184">
        <v>1</v>
      </c>
      <c r="P442" s="184">
        <v>1</v>
      </c>
      <c r="Q442" s="184"/>
      <c r="R442" s="184">
        <v>0.45</v>
      </c>
      <c r="S442" s="879"/>
      <c r="T442" s="879"/>
      <c r="U442" s="879"/>
      <c r="V442" s="879"/>
      <c r="W442" s="879"/>
      <c r="X442" s="879"/>
      <c r="Y442" s="879"/>
      <c r="Z442" s="879"/>
      <c r="AA442" s="879"/>
      <c r="AB442" s="879"/>
      <c r="AC442" s="879"/>
      <c r="AD442" s="879"/>
      <c r="AE442" s="879"/>
      <c r="AF442" s="879"/>
      <c r="AG442" s="879"/>
      <c r="AH442" s="879"/>
      <c r="AI442" s="879">
        <v>0</v>
      </c>
      <c r="AJ442" s="879"/>
      <c r="AK442" s="879"/>
      <c r="AL442" s="879"/>
      <c r="AM442" s="879"/>
      <c r="AN442" s="879"/>
      <c r="AO442" s="879"/>
      <c r="AP442" s="879"/>
      <c r="AQ442" s="879"/>
      <c r="AR442" s="879"/>
    </row>
    <row r="443" spans="1:44" x14ac:dyDescent="0.2">
      <c r="A443" s="184" t="s">
        <v>27</v>
      </c>
      <c r="B443" s="184" t="s">
        <v>1164</v>
      </c>
      <c r="C443" s="184" t="s">
        <v>1165</v>
      </c>
      <c r="D443" s="183" t="s">
        <v>34</v>
      </c>
      <c r="E443" s="184" t="str">
        <f>Commodities!$D$19</f>
        <v>RESELC</v>
      </c>
      <c r="F443" s="184" t="str">
        <f>Commodities!$D$12</f>
        <v>RLT</v>
      </c>
      <c r="G443" s="204">
        <v>2010</v>
      </c>
      <c r="H443" s="206" t="e">
        <f>#REF!</f>
        <v>#REF!</v>
      </c>
      <c r="I443" s="205" t="e">
        <f>#REF!</f>
        <v>#REF!</v>
      </c>
      <c r="J443" s="205" t="e">
        <f>#REF!</f>
        <v>#REF!</v>
      </c>
      <c r="K443" s="184">
        <v>1</v>
      </c>
      <c r="L443" s="184">
        <v>1</v>
      </c>
      <c r="M443" s="184">
        <v>1</v>
      </c>
      <c r="N443" s="184">
        <v>1</v>
      </c>
      <c r="O443" s="184">
        <v>1</v>
      </c>
      <c r="P443" s="184">
        <v>1</v>
      </c>
      <c r="Q443" s="184"/>
      <c r="R443" s="184">
        <v>0.18</v>
      </c>
      <c r="S443" s="878"/>
      <c r="T443" s="878"/>
      <c r="U443" s="878"/>
      <c r="V443" s="878"/>
      <c r="W443" s="878"/>
      <c r="X443" s="878"/>
      <c r="Y443" s="878"/>
      <c r="Z443" s="878"/>
      <c r="AA443" s="878"/>
      <c r="AB443" s="878"/>
      <c r="AC443" s="878"/>
      <c r="AD443" s="878"/>
      <c r="AE443" s="878"/>
      <c r="AF443" s="878"/>
      <c r="AG443" s="878"/>
      <c r="AH443" s="878"/>
      <c r="AI443" s="879">
        <v>0</v>
      </c>
      <c r="AJ443" s="879">
        <v>0</v>
      </c>
      <c r="AK443" s="879"/>
      <c r="AL443" s="879"/>
      <c r="AM443" s="879">
        <v>0</v>
      </c>
      <c r="AN443" s="879">
        <v>0</v>
      </c>
      <c r="AO443" s="879">
        <v>0</v>
      </c>
      <c r="AP443" s="879">
        <v>0</v>
      </c>
      <c r="AQ443" s="879">
        <v>0</v>
      </c>
      <c r="AR443" s="879">
        <v>0</v>
      </c>
    </row>
    <row r="444" spans="1:44" x14ac:dyDescent="0.2">
      <c r="A444" s="184" t="s">
        <v>27</v>
      </c>
      <c r="B444" s="184" t="s">
        <v>1166</v>
      </c>
      <c r="C444" s="184" t="s">
        <v>1167</v>
      </c>
      <c r="D444" s="183" t="s">
        <v>34</v>
      </c>
      <c r="E444" s="184" t="str">
        <f>Commodities!$D$19</f>
        <v>RESELC</v>
      </c>
      <c r="F444" s="184" t="str">
        <f>Commodities!$D$12</f>
        <v>RLT</v>
      </c>
      <c r="G444" s="204" t="str">
        <f>IF(RIGHT(B444,2)="TI",2010,CONCATENATE(20,RIGHT(B444,2)))</f>
        <v>2010</v>
      </c>
      <c r="H444" s="206" t="e">
        <f>#REF!</f>
        <v>#REF!</v>
      </c>
      <c r="I444" s="205" t="e">
        <f>#REF!</f>
        <v>#REF!</v>
      </c>
      <c r="J444" s="205" t="e">
        <f>#REF!</f>
        <v>#REF!</v>
      </c>
      <c r="K444" s="184">
        <v>1</v>
      </c>
      <c r="L444" s="184">
        <v>1</v>
      </c>
      <c r="M444" s="184">
        <v>1</v>
      </c>
      <c r="N444" s="184">
        <v>1</v>
      </c>
      <c r="O444" s="184">
        <v>1</v>
      </c>
      <c r="P444" s="184">
        <v>1</v>
      </c>
      <c r="Q444" s="184"/>
      <c r="R444" s="184">
        <v>0.18</v>
      </c>
      <c r="S444" s="879"/>
      <c r="T444" s="879"/>
      <c r="U444" s="879"/>
      <c r="V444" s="879"/>
      <c r="W444" s="879"/>
      <c r="X444" s="879"/>
      <c r="Y444" s="879"/>
      <c r="Z444" s="879"/>
      <c r="AA444" s="879"/>
      <c r="AB444" s="879"/>
      <c r="AC444" s="879"/>
      <c r="AD444" s="879"/>
      <c r="AE444" s="879"/>
      <c r="AF444" s="879"/>
      <c r="AG444" s="879"/>
      <c r="AH444" s="879"/>
      <c r="AI444" s="879">
        <v>0</v>
      </c>
      <c r="AJ444" s="879"/>
      <c r="AK444" s="879"/>
      <c r="AL444" s="879"/>
      <c r="AM444" s="879">
        <v>0</v>
      </c>
      <c r="AN444" s="879">
        <v>0</v>
      </c>
      <c r="AO444" s="879">
        <v>0</v>
      </c>
      <c r="AP444" s="879">
        <v>0</v>
      </c>
      <c r="AQ444" s="879">
        <v>0</v>
      </c>
      <c r="AR444" s="879">
        <v>0</v>
      </c>
    </row>
    <row r="445" spans="1:44" x14ac:dyDescent="0.2">
      <c r="A445" s="184" t="s">
        <v>27</v>
      </c>
      <c r="B445" s="184" t="s">
        <v>1168</v>
      </c>
      <c r="C445" s="184" t="s">
        <v>1169</v>
      </c>
      <c r="D445" s="183" t="s">
        <v>34</v>
      </c>
      <c r="E445" s="184" t="str">
        <f>Commodities!$D$19</f>
        <v>RESELC</v>
      </c>
      <c r="F445" s="184" t="str">
        <f>Commodities!$D$12</f>
        <v>RLT</v>
      </c>
      <c r="G445" s="204" t="str">
        <f>IF(RIGHT(B445,2)="TI",2010,CONCATENATE(20,RIGHT(B445,2)))</f>
        <v>2010</v>
      </c>
      <c r="H445" s="206" t="e">
        <f>#REF!</f>
        <v>#REF!</v>
      </c>
      <c r="I445" s="205" t="e">
        <f>#REF!</f>
        <v>#REF!</v>
      </c>
      <c r="J445" s="205" t="e">
        <f>#REF!</f>
        <v>#REF!</v>
      </c>
      <c r="K445" s="184">
        <v>1</v>
      </c>
      <c r="L445" s="184">
        <v>1</v>
      </c>
      <c r="M445" s="184">
        <v>1</v>
      </c>
      <c r="N445" s="184">
        <v>1</v>
      </c>
      <c r="O445" s="184">
        <v>1</v>
      </c>
      <c r="P445" s="184">
        <v>1</v>
      </c>
      <c r="Q445" s="184"/>
      <c r="R445" s="184">
        <v>0.45</v>
      </c>
      <c r="S445" s="878"/>
      <c r="T445" s="878"/>
      <c r="U445" s="878"/>
      <c r="V445" s="878"/>
      <c r="W445" s="878"/>
      <c r="X445" s="878"/>
      <c r="Y445" s="878"/>
      <c r="Z445" s="878"/>
      <c r="AA445" s="878"/>
      <c r="AB445" s="878"/>
      <c r="AC445" s="878"/>
      <c r="AD445" s="878"/>
      <c r="AE445" s="878"/>
      <c r="AF445" s="878"/>
      <c r="AG445" s="878"/>
      <c r="AH445" s="878"/>
      <c r="AI445" s="882">
        <v>0</v>
      </c>
      <c r="AJ445" s="879">
        <v>0</v>
      </c>
      <c r="AK445" s="879">
        <v>0</v>
      </c>
      <c r="AL445" s="879">
        <v>0</v>
      </c>
      <c r="AM445" s="879">
        <v>0</v>
      </c>
      <c r="AN445" s="879">
        <v>0</v>
      </c>
      <c r="AO445" s="879">
        <v>0</v>
      </c>
      <c r="AP445" s="879">
        <v>0</v>
      </c>
      <c r="AQ445" s="879">
        <v>0</v>
      </c>
      <c r="AR445" s="879">
        <v>0</v>
      </c>
    </row>
    <row r="446" spans="1:44" x14ac:dyDescent="0.2">
      <c r="A446" s="184" t="s">
        <v>27</v>
      </c>
      <c r="B446" s="184"/>
      <c r="C446" s="184"/>
      <c r="D446" s="183"/>
      <c r="E446" s="184"/>
      <c r="F446" s="184"/>
      <c r="G446" s="204"/>
      <c r="H446" s="206"/>
      <c r="I446" s="205"/>
      <c r="J446" s="205"/>
      <c r="K446" s="184"/>
      <c r="L446" s="184"/>
      <c r="M446" s="184" t="s">
        <v>514</v>
      </c>
      <c r="N446" s="184" t="s">
        <v>514</v>
      </c>
      <c r="O446" s="184" t="s">
        <v>514</v>
      </c>
      <c r="P446" s="184" t="s">
        <v>514</v>
      </c>
      <c r="Q446" s="184"/>
      <c r="R446" s="184"/>
      <c r="S446" s="879"/>
      <c r="T446" s="879"/>
      <c r="U446" s="879"/>
      <c r="V446" s="879"/>
      <c r="W446" s="879"/>
      <c r="X446" s="879"/>
      <c r="Y446" s="879"/>
      <c r="Z446" s="879"/>
      <c r="AA446" s="879"/>
      <c r="AB446" s="879"/>
      <c r="AC446" s="879"/>
      <c r="AD446" s="879"/>
      <c r="AE446" s="879"/>
      <c r="AF446" s="879"/>
      <c r="AG446" s="879"/>
      <c r="AH446" s="879"/>
      <c r="AI446" s="879"/>
      <c r="AJ446" s="879"/>
      <c r="AK446" s="879"/>
      <c r="AL446" s="879"/>
      <c r="AM446" s="879"/>
      <c r="AN446" s="879"/>
      <c r="AO446" s="879"/>
      <c r="AP446" s="879"/>
      <c r="AQ446" s="879"/>
      <c r="AR446" s="879"/>
    </row>
    <row r="447" spans="1:44" x14ac:dyDescent="0.2">
      <c r="A447" s="184" t="s">
        <v>27</v>
      </c>
      <c r="B447" s="184" t="s">
        <v>1170</v>
      </c>
      <c r="C447" s="184" t="s">
        <v>1171</v>
      </c>
      <c r="D447" s="183" t="s">
        <v>34</v>
      </c>
      <c r="E447" s="184" t="str">
        <f>Commodities!$D$19</f>
        <v>RESELC</v>
      </c>
      <c r="F447" s="184" t="str">
        <f>Commodities!$D$12</f>
        <v>RLT</v>
      </c>
      <c r="G447" s="204" t="str">
        <f t="shared" ref="G447:G458" si="8">IF(RIGHT(B447,2)="TI",2010,CONCATENATE(20,RIGHT(B447,2)))</f>
        <v>2015</v>
      </c>
      <c r="H447" s="206" t="e">
        <f>#REF!</f>
        <v>#REF!</v>
      </c>
      <c r="I447" s="205" t="e">
        <f>#REF!</f>
        <v>#REF!</v>
      </c>
      <c r="J447" s="205" t="e">
        <f>#REF!</f>
        <v>#REF!</v>
      </c>
      <c r="K447" s="184">
        <v>1</v>
      </c>
      <c r="L447" s="184">
        <v>1</v>
      </c>
      <c r="M447" s="184">
        <v>1</v>
      </c>
      <c r="N447" s="184">
        <v>1</v>
      </c>
      <c r="O447" s="184">
        <v>1</v>
      </c>
      <c r="P447" s="184">
        <v>1</v>
      </c>
      <c r="Q447" s="184"/>
      <c r="R447" s="184">
        <v>0.18</v>
      </c>
      <c r="S447" s="879"/>
      <c r="T447" s="879"/>
      <c r="U447" s="879"/>
      <c r="V447" s="879"/>
      <c r="W447" s="879"/>
      <c r="X447" s="879"/>
      <c r="Y447" s="879"/>
      <c r="Z447" s="879"/>
      <c r="AA447" s="879"/>
      <c r="AB447" s="879"/>
      <c r="AC447" s="879"/>
      <c r="AD447" s="879"/>
      <c r="AE447" s="879"/>
      <c r="AF447" s="879"/>
      <c r="AG447" s="879"/>
      <c r="AH447" s="879"/>
      <c r="AI447" s="879">
        <v>0</v>
      </c>
      <c r="AJ447" s="879">
        <v>0</v>
      </c>
      <c r="AK447" s="879">
        <v>0</v>
      </c>
      <c r="AL447" s="879">
        <v>0</v>
      </c>
      <c r="AM447" s="879">
        <v>0</v>
      </c>
      <c r="AN447" s="879">
        <v>0</v>
      </c>
      <c r="AO447" s="879">
        <v>0</v>
      </c>
      <c r="AP447" s="879">
        <v>0</v>
      </c>
      <c r="AQ447" s="879">
        <v>0</v>
      </c>
      <c r="AR447" s="879">
        <v>0</v>
      </c>
    </row>
    <row r="448" spans="1:44" x14ac:dyDescent="0.2">
      <c r="A448" s="184" t="s">
        <v>27</v>
      </c>
      <c r="B448" s="184" t="s">
        <v>1172</v>
      </c>
      <c r="C448" s="184" t="s">
        <v>1173</v>
      </c>
      <c r="D448" s="183" t="s">
        <v>34</v>
      </c>
      <c r="E448" s="184" t="str">
        <f>Commodities!$D$19</f>
        <v>RESELC</v>
      </c>
      <c r="F448" s="184" t="str">
        <f>Commodities!$D$12</f>
        <v>RLT</v>
      </c>
      <c r="G448" s="204" t="str">
        <f t="shared" si="8"/>
        <v>2020</v>
      </c>
      <c r="H448" s="206" t="e">
        <f>#REF!</f>
        <v>#REF!</v>
      </c>
      <c r="I448" s="205" t="e">
        <f>#REF!</f>
        <v>#REF!</v>
      </c>
      <c r="J448" s="205" t="e">
        <f>#REF!</f>
        <v>#REF!</v>
      </c>
      <c r="K448" s="184">
        <v>1</v>
      </c>
      <c r="L448" s="184">
        <v>1</v>
      </c>
      <c r="M448" s="184">
        <v>1</v>
      </c>
      <c r="N448" s="184">
        <v>1</v>
      </c>
      <c r="O448" s="184">
        <v>1</v>
      </c>
      <c r="P448" s="184">
        <v>1</v>
      </c>
      <c r="Q448" s="184"/>
      <c r="R448" s="184">
        <v>0.18</v>
      </c>
      <c r="S448" s="879"/>
      <c r="T448" s="879"/>
      <c r="U448" s="879"/>
      <c r="V448" s="879"/>
      <c r="W448" s="879"/>
      <c r="X448" s="879"/>
      <c r="Y448" s="879"/>
      <c r="Z448" s="879"/>
      <c r="AA448" s="879"/>
      <c r="AB448" s="879"/>
      <c r="AC448" s="879"/>
      <c r="AD448" s="879"/>
      <c r="AE448" s="879"/>
      <c r="AF448" s="879"/>
      <c r="AG448" s="879"/>
      <c r="AH448" s="879"/>
      <c r="AI448" s="879">
        <v>0</v>
      </c>
      <c r="AJ448" s="879"/>
      <c r="AK448" s="879"/>
      <c r="AL448" s="879">
        <v>0</v>
      </c>
      <c r="AM448" s="879">
        <v>0</v>
      </c>
      <c r="AN448" s="879">
        <v>0</v>
      </c>
      <c r="AO448" s="879">
        <v>0</v>
      </c>
      <c r="AP448" s="879">
        <v>0</v>
      </c>
      <c r="AQ448" s="879">
        <v>0</v>
      </c>
      <c r="AR448" s="879">
        <v>0</v>
      </c>
    </row>
    <row r="449" spans="1:44" x14ac:dyDescent="0.2">
      <c r="A449" s="184" t="s">
        <v>27</v>
      </c>
      <c r="B449" s="184" t="s">
        <v>1174</v>
      </c>
      <c r="C449" s="184" t="s">
        <v>1175</v>
      </c>
      <c r="D449" s="183" t="s">
        <v>34</v>
      </c>
      <c r="E449" s="184" t="str">
        <f>Commodities!$D$19</f>
        <v>RESELC</v>
      </c>
      <c r="F449" s="184" t="str">
        <f>Commodities!$D$12</f>
        <v>RLT</v>
      </c>
      <c r="G449" s="204" t="str">
        <f t="shared" si="8"/>
        <v>2030</v>
      </c>
      <c r="H449" s="206" t="e">
        <f>#REF!</f>
        <v>#REF!</v>
      </c>
      <c r="I449" s="205" t="e">
        <f>#REF!</f>
        <v>#REF!</v>
      </c>
      <c r="J449" s="205" t="e">
        <f>#REF!</f>
        <v>#REF!</v>
      </c>
      <c r="K449" s="184">
        <v>1</v>
      </c>
      <c r="L449" s="184">
        <v>1</v>
      </c>
      <c r="M449" s="184">
        <v>1</v>
      </c>
      <c r="N449" s="184">
        <v>1</v>
      </c>
      <c r="O449" s="184">
        <v>1</v>
      </c>
      <c r="P449" s="184">
        <v>1</v>
      </c>
      <c r="Q449" s="184"/>
      <c r="R449" s="184">
        <v>0.18</v>
      </c>
      <c r="S449" s="879"/>
      <c r="T449" s="879"/>
      <c r="U449" s="879"/>
      <c r="V449" s="879"/>
      <c r="W449" s="879"/>
      <c r="X449" s="879"/>
      <c r="Y449" s="879"/>
      <c r="Z449" s="879"/>
      <c r="AA449" s="879"/>
      <c r="AB449" s="879"/>
      <c r="AC449" s="879"/>
      <c r="AD449" s="879"/>
      <c r="AE449" s="879"/>
      <c r="AF449" s="879"/>
      <c r="AG449" s="879"/>
      <c r="AH449" s="879"/>
      <c r="AI449" s="879">
        <v>0</v>
      </c>
      <c r="AJ449" s="879"/>
      <c r="AK449" s="879"/>
      <c r="AL449" s="879">
        <v>0</v>
      </c>
      <c r="AM449" s="879">
        <v>0</v>
      </c>
      <c r="AN449" s="879">
        <v>0</v>
      </c>
      <c r="AO449" s="879">
        <v>0</v>
      </c>
      <c r="AP449" s="879">
        <v>0</v>
      </c>
      <c r="AQ449" s="879">
        <v>0</v>
      </c>
      <c r="AR449" s="879">
        <v>0</v>
      </c>
    </row>
    <row r="450" spans="1:44" x14ac:dyDescent="0.2">
      <c r="A450" s="184" t="s">
        <v>27</v>
      </c>
      <c r="B450" s="184" t="s">
        <v>1176</v>
      </c>
      <c r="C450" s="184" t="s">
        <v>1177</v>
      </c>
      <c r="D450" s="183" t="s">
        <v>34</v>
      </c>
      <c r="E450" s="184" t="str">
        <f>Commodities!$D$19</f>
        <v>RESELC</v>
      </c>
      <c r="F450" s="184" t="str">
        <f>Commodities!$D$12</f>
        <v>RLT</v>
      </c>
      <c r="G450" s="204" t="str">
        <f t="shared" si="8"/>
        <v>2040</v>
      </c>
      <c r="H450" s="206" t="e">
        <f>#REF!</f>
        <v>#REF!</v>
      </c>
      <c r="I450" s="205" t="e">
        <f>#REF!</f>
        <v>#REF!</v>
      </c>
      <c r="J450" s="205" t="e">
        <f>#REF!</f>
        <v>#REF!</v>
      </c>
      <c r="K450" s="184">
        <v>1</v>
      </c>
      <c r="L450" s="184">
        <v>1</v>
      </c>
      <c r="M450" s="184">
        <v>1</v>
      </c>
      <c r="N450" s="184">
        <v>1</v>
      </c>
      <c r="O450" s="184">
        <v>1</v>
      </c>
      <c r="P450" s="184">
        <v>1</v>
      </c>
      <c r="Q450" s="184"/>
      <c r="R450" s="184">
        <v>0.18</v>
      </c>
      <c r="S450" s="879"/>
      <c r="T450" s="879"/>
      <c r="U450" s="879"/>
      <c r="V450" s="879"/>
      <c r="W450" s="879"/>
      <c r="X450" s="879"/>
      <c r="Y450" s="879"/>
      <c r="Z450" s="879"/>
      <c r="AA450" s="879"/>
      <c r="AB450" s="879"/>
      <c r="AC450" s="879"/>
      <c r="AD450" s="879"/>
      <c r="AE450" s="879"/>
      <c r="AF450" s="879"/>
      <c r="AG450" s="879"/>
      <c r="AH450" s="879"/>
      <c r="AI450" s="879">
        <v>0</v>
      </c>
      <c r="AJ450" s="879"/>
      <c r="AK450" s="879"/>
      <c r="AL450" s="879">
        <v>0</v>
      </c>
      <c r="AM450" s="879">
        <v>0</v>
      </c>
      <c r="AN450" s="879">
        <v>0</v>
      </c>
      <c r="AO450" s="879">
        <v>0</v>
      </c>
      <c r="AP450" s="879">
        <v>0</v>
      </c>
      <c r="AQ450" s="879">
        <v>0</v>
      </c>
      <c r="AR450" s="879">
        <v>0</v>
      </c>
    </row>
    <row r="451" spans="1:44" x14ac:dyDescent="0.2">
      <c r="A451" s="184" t="s">
        <v>27</v>
      </c>
      <c r="B451" s="184" t="s">
        <v>1178</v>
      </c>
      <c r="C451" s="184" t="s">
        <v>1179</v>
      </c>
      <c r="D451" s="183" t="s">
        <v>34</v>
      </c>
      <c r="E451" s="184" t="str">
        <f>Commodities!$D$19</f>
        <v>RESELC</v>
      </c>
      <c r="F451" s="184" t="str">
        <f>Commodities!$D$12</f>
        <v>RLT</v>
      </c>
      <c r="G451" s="204" t="str">
        <f t="shared" si="8"/>
        <v>2020</v>
      </c>
      <c r="H451" s="206" t="e">
        <f>#REF!</f>
        <v>#REF!</v>
      </c>
      <c r="I451" s="205" t="e">
        <f>#REF!</f>
        <v>#REF!</v>
      </c>
      <c r="J451" s="205" t="e">
        <f>#REF!</f>
        <v>#REF!</v>
      </c>
      <c r="K451" s="184">
        <v>1</v>
      </c>
      <c r="L451" s="184">
        <v>1</v>
      </c>
      <c r="M451" s="184">
        <v>1</v>
      </c>
      <c r="N451" s="184">
        <v>1</v>
      </c>
      <c r="O451" s="184">
        <v>1</v>
      </c>
      <c r="P451" s="184">
        <v>1</v>
      </c>
      <c r="Q451" s="184"/>
      <c r="R451" s="184">
        <v>0.28000000000000003</v>
      </c>
      <c r="S451" s="879"/>
      <c r="T451" s="879"/>
      <c r="U451" s="879"/>
      <c r="V451" s="879"/>
      <c r="W451" s="879"/>
      <c r="X451" s="879"/>
      <c r="Y451" s="879"/>
      <c r="Z451" s="879"/>
      <c r="AA451" s="879"/>
      <c r="AB451" s="879"/>
      <c r="AC451" s="879"/>
      <c r="AD451" s="879"/>
      <c r="AE451" s="879"/>
      <c r="AF451" s="879"/>
      <c r="AG451" s="879"/>
      <c r="AH451" s="879"/>
      <c r="AI451" s="879">
        <v>0</v>
      </c>
      <c r="AJ451" s="879"/>
      <c r="AK451" s="879"/>
      <c r="AL451" s="879"/>
      <c r="AM451" s="879">
        <v>0</v>
      </c>
      <c r="AN451" s="879">
        <v>0</v>
      </c>
      <c r="AO451" s="879">
        <v>0</v>
      </c>
      <c r="AP451" s="879">
        <v>0</v>
      </c>
      <c r="AQ451" s="879">
        <v>0</v>
      </c>
      <c r="AR451" s="879">
        <v>0</v>
      </c>
    </row>
    <row r="452" spans="1:44" x14ac:dyDescent="0.2">
      <c r="A452" s="184" t="s">
        <v>27</v>
      </c>
      <c r="B452" s="184" t="s">
        <v>1180</v>
      </c>
      <c r="C452" s="184" t="s">
        <v>1181</v>
      </c>
      <c r="D452" s="183" t="s">
        <v>34</v>
      </c>
      <c r="E452" s="184" t="str">
        <f>Commodities!$D$19</f>
        <v>RESELC</v>
      </c>
      <c r="F452" s="184" t="str">
        <f>Commodities!$D$12</f>
        <v>RLT</v>
      </c>
      <c r="G452" s="204" t="str">
        <f t="shared" si="8"/>
        <v>2030</v>
      </c>
      <c r="H452" s="206" t="e">
        <f>#REF!</f>
        <v>#REF!</v>
      </c>
      <c r="I452" s="205" t="e">
        <f>#REF!</f>
        <v>#REF!</v>
      </c>
      <c r="J452" s="205" t="e">
        <f>#REF!</f>
        <v>#REF!</v>
      </c>
      <c r="K452" s="184">
        <v>1</v>
      </c>
      <c r="L452" s="184">
        <v>1</v>
      </c>
      <c r="M452" s="184">
        <v>1</v>
      </c>
      <c r="N452" s="184">
        <v>1</v>
      </c>
      <c r="O452" s="184">
        <v>1</v>
      </c>
      <c r="P452" s="184">
        <v>1</v>
      </c>
      <c r="Q452" s="184"/>
      <c r="R452" s="184">
        <v>0.28000000000000003</v>
      </c>
      <c r="S452" s="879"/>
      <c r="T452" s="879"/>
      <c r="U452" s="879"/>
      <c r="V452" s="879"/>
      <c r="W452" s="879"/>
      <c r="X452" s="879"/>
      <c r="Y452" s="879"/>
      <c r="Z452" s="879"/>
      <c r="AA452" s="879"/>
      <c r="AB452" s="879"/>
      <c r="AC452" s="879"/>
      <c r="AD452" s="879"/>
      <c r="AE452" s="879"/>
      <c r="AF452" s="879"/>
      <c r="AG452" s="879"/>
      <c r="AH452" s="879"/>
      <c r="AI452" s="879">
        <v>0</v>
      </c>
      <c r="AJ452" s="879"/>
      <c r="AK452" s="879"/>
      <c r="AL452" s="879"/>
      <c r="AM452" s="879"/>
      <c r="AN452" s="879"/>
      <c r="AO452" s="879">
        <v>0</v>
      </c>
      <c r="AP452" s="879">
        <v>0</v>
      </c>
      <c r="AQ452" s="879">
        <v>0</v>
      </c>
      <c r="AR452" s="879">
        <v>0</v>
      </c>
    </row>
    <row r="453" spans="1:44" x14ac:dyDescent="0.2">
      <c r="A453" s="184" t="s">
        <v>27</v>
      </c>
      <c r="B453" s="184" t="s">
        <v>1182</v>
      </c>
      <c r="C453" s="184" t="s">
        <v>1183</v>
      </c>
      <c r="D453" s="183" t="s">
        <v>34</v>
      </c>
      <c r="E453" s="184" t="str">
        <f>Commodities!$D$19</f>
        <v>RESELC</v>
      </c>
      <c r="F453" s="184" t="str">
        <f>Commodities!$D$12</f>
        <v>RLT</v>
      </c>
      <c r="G453" s="204" t="str">
        <f t="shared" si="8"/>
        <v>2040</v>
      </c>
      <c r="H453" s="206" t="e">
        <f>#REF!</f>
        <v>#REF!</v>
      </c>
      <c r="I453" s="205" t="e">
        <f>#REF!</f>
        <v>#REF!</v>
      </c>
      <c r="J453" s="205" t="e">
        <f>#REF!</f>
        <v>#REF!</v>
      </c>
      <c r="K453" s="184">
        <v>1</v>
      </c>
      <c r="L453" s="184">
        <v>1</v>
      </c>
      <c r="M453" s="184">
        <v>1</v>
      </c>
      <c r="N453" s="184">
        <v>1</v>
      </c>
      <c r="O453" s="184">
        <v>1</v>
      </c>
      <c r="P453" s="184">
        <v>1</v>
      </c>
      <c r="Q453" s="184"/>
      <c r="R453" s="184">
        <v>0.28000000000000003</v>
      </c>
      <c r="S453" s="879"/>
      <c r="T453" s="879"/>
      <c r="U453" s="879"/>
      <c r="V453" s="879"/>
      <c r="W453" s="879"/>
      <c r="X453" s="879"/>
      <c r="Y453" s="879"/>
      <c r="Z453" s="879"/>
      <c r="AA453" s="879"/>
      <c r="AB453" s="879"/>
      <c r="AC453" s="879"/>
      <c r="AD453" s="879"/>
      <c r="AE453" s="879"/>
      <c r="AF453" s="879"/>
      <c r="AG453" s="879"/>
      <c r="AH453" s="879"/>
      <c r="AI453" s="879">
        <v>0</v>
      </c>
      <c r="AJ453" s="879"/>
      <c r="AK453" s="879"/>
      <c r="AL453" s="879"/>
      <c r="AM453" s="879"/>
      <c r="AN453" s="879"/>
      <c r="AO453" s="879"/>
      <c r="AP453" s="879"/>
      <c r="AQ453" s="879"/>
      <c r="AR453" s="879"/>
    </row>
    <row r="454" spans="1:44" x14ac:dyDescent="0.2">
      <c r="A454" s="184" t="s">
        <v>27</v>
      </c>
      <c r="B454" s="184" t="s">
        <v>1184</v>
      </c>
      <c r="C454" s="184" t="s">
        <v>1185</v>
      </c>
      <c r="D454" s="183" t="s">
        <v>34</v>
      </c>
      <c r="E454" s="184" t="str">
        <f>Commodities!$D$19</f>
        <v>RESELC</v>
      </c>
      <c r="F454" s="184" t="str">
        <f>Commodities!$D$12</f>
        <v>RLT</v>
      </c>
      <c r="G454" s="204" t="str">
        <f t="shared" si="8"/>
        <v>2020</v>
      </c>
      <c r="H454" s="206" t="e">
        <f>#REF!</f>
        <v>#REF!</v>
      </c>
      <c r="I454" s="205" t="e">
        <f>#REF!</f>
        <v>#REF!</v>
      </c>
      <c r="J454" s="205" t="e">
        <f>#REF!</f>
        <v>#REF!</v>
      </c>
      <c r="K454" s="184">
        <v>1</v>
      </c>
      <c r="L454" s="184">
        <v>1</v>
      </c>
      <c r="M454" s="184">
        <v>1</v>
      </c>
      <c r="N454" s="184">
        <v>1</v>
      </c>
      <c r="O454" s="184">
        <v>1</v>
      </c>
      <c r="P454" s="184">
        <v>1</v>
      </c>
      <c r="Q454" s="184"/>
      <c r="R454" s="184">
        <v>0.18</v>
      </c>
      <c r="S454" s="879"/>
      <c r="T454" s="879"/>
      <c r="U454" s="879"/>
      <c r="V454" s="879"/>
      <c r="W454" s="879"/>
      <c r="X454" s="879"/>
      <c r="Y454" s="879"/>
      <c r="Z454" s="879"/>
      <c r="AA454" s="879"/>
      <c r="AB454" s="879"/>
      <c r="AC454" s="879"/>
      <c r="AD454" s="879"/>
      <c r="AE454" s="879"/>
      <c r="AF454" s="879"/>
      <c r="AG454" s="879"/>
      <c r="AH454" s="879"/>
      <c r="AI454" s="879">
        <v>0</v>
      </c>
      <c r="AJ454" s="879"/>
      <c r="AK454" s="879"/>
      <c r="AL454" s="879"/>
      <c r="AM454" s="879"/>
      <c r="AN454" s="879"/>
      <c r="AO454" s="879"/>
      <c r="AP454" s="879"/>
      <c r="AQ454" s="879"/>
      <c r="AR454" s="879"/>
    </row>
    <row r="455" spans="1:44" x14ac:dyDescent="0.2">
      <c r="A455" s="184" t="s">
        <v>27</v>
      </c>
      <c r="B455" s="184" t="s">
        <v>1186</v>
      </c>
      <c r="C455" s="184" t="s">
        <v>1187</v>
      </c>
      <c r="D455" s="183" t="s">
        <v>34</v>
      </c>
      <c r="E455" s="184" t="str">
        <f>Commodities!$D$19</f>
        <v>RESELC</v>
      </c>
      <c r="F455" s="184" t="str">
        <f>Commodities!$D$12</f>
        <v>RLT</v>
      </c>
      <c r="G455" s="204" t="str">
        <f t="shared" si="8"/>
        <v>2015</v>
      </c>
      <c r="H455" s="206" t="e">
        <f>#REF!</f>
        <v>#REF!</v>
      </c>
      <c r="I455" s="205" t="e">
        <f>#REF!</f>
        <v>#REF!</v>
      </c>
      <c r="J455" s="205" t="e">
        <f>#REF!</f>
        <v>#REF!</v>
      </c>
      <c r="K455" s="184">
        <v>1</v>
      </c>
      <c r="L455" s="184">
        <v>1</v>
      </c>
      <c r="M455" s="184">
        <v>1</v>
      </c>
      <c r="N455" s="184">
        <v>1</v>
      </c>
      <c r="O455" s="184">
        <v>1</v>
      </c>
      <c r="P455" s="184">
        <v>1</v>
      </c>
      <c r="Q455" s="184"/>
      <c r="R455" s="184">
        <v>0.45</v>
      </c>
      <c r="S455" s="879"/>
      <c r="T455" s="879"/>
      <c r="U455" s="879"/>
      <c r="V455" s="879"/>
      <c r="W455" s="879"/>
      <c r="X455" s="879"/>
      <c r="Y455" s="879"/>
      <c r="Z455" s="879"/>
      <c r="AA455" s="879"/>
      <c r="AB455" s="879"/>
      <c r="AC455" s="879"/>
      <c r="AD455" s="879"/>
      <c r="AE455" s="879"/>
      <c r="AF455" s="879"/>
      <c r="AG455" s="879"/>
      <c r="AH455" s="879"/>
      <c r="AI455" s="879">
        <v>0</v>
      </c>
      <c r="AJ455" s="879">
        <v>0</v>
      </c>
      <c r="AK455" s="879">
        <v>0</v>
      </c>
      <c r="AL455" s="879">
        <v>0</v>
      </c>
      <c r="AM455" s="879">
        <v>0</v>
      </c>
      <c r="AN455" s="879">
        <v>0</v>
      </c>
      <c r="AO455" s="879">
        <v>0</v>
      </c>
      <c r="AP455" s="879">
        <v>0</v>
      </c>
      <c r="AQ455" s="879">
        <v>0</v>
      </c>
      <c r="AR455" s="879">
        <v>0</v>
      </c>
    </row>
    <row r="456" spans="1:44" x14ac:dyDescent="0.2">
      <c r="A456" s="184" t="s">
        <v>27</v>
      </c>
      <c r="B456" s="184" t="s">
        <v>1188</v>
      </c>
      <c r="C456" s="184" t="s">
        <v>1189</v>
      </c>
      <c r="D456" s="183" t="s">
        <v>34</v>
      </c>
      <c r="E456" s="184" t="str">
        <f>Commodities!$D$19</f>
        <v>RESELC</v>
      </c>
      <c r="F456" s="184" t="str">
        <f>Commodities!$D$12</f>
        <v>RLT</v>
      </c>
      <c r="G456" s="204" t="str">
        <f t="shared" si="8"/>
        <v>2020</v>
      </c>
      <c r="H456" s="206" t="e">
        <f>#REF!</f>
        <v>#REF!</v>
      </c>
      <c r="I456" s="205" t="e">
        <f>#REF!</f>
        <v>#REF!</v>
      </c>
      <c r="J456" s="205" t="e">
        <f>#REF!</f>
        <v>#REF!</v>
      </c>
      <c r="K456" s="184">
        <v>1</v>
      </c>
      <c r="L456" s="184">
        <v>1</v>
      </c>
      <c r="M456" s="184">
        <v>1</v>
      </c>
      <c r="N456" s="184">
        <v>1</v>
      </c>
      <c r="O456" s="184">
        <v>1</v>
      </c>
      <c r="P456" s="184">
        <v>1</v>
      </c>
      <c r="Q456" s="184"/>
      <c r="R456" s="184">
        <v>0.45</v>
      </c>
      <c r="S456" s="879"/>
      <c r="T456" s="879"/>
      <c r="U456" s="879"/>
      <c r="V456" s="879"/>
      <c r="W456" s="879"/>
      <c r="X456" s="879"/>
      <c r="Y456" s="879"/>
      <c r="Z456" s="879"/>
      <c r="AA456" s="879"/>
      <c r="AB456" s="879"/>
      <c r="AC456" s="879"/>
      <c r="AD456" s="879"/>
      <c r="AE456" s="879"/>
      <c r="AF456" s="879"/>
      <c r="AG456" s="879"/>
      <c r="AH456" s="879"/>
      <c r="AI456" s="879">
        <v>0</v>
      </c>
      <c r="AJ456" s="879"/>
      <c r="AK456" s="879"/>
      <c r="AL456" s="879">
        <v>0</v>
      </c>
      <c r="AM456" s="879">
        <v>0</v>
      </c>
      <c r="AN456" s="879">
        <v>0</v>
      </c>
      <c r="AO456" s="879">
        <v>0</v>
      </c>
      <c r="AP456" s="879">
        <v>0</v>
      </c>
      <c r="AQ456" s="879">
        <v>0</v>
      </c>
      <c r="AR456" s="879">
        <v>0</v>
      </c>
    </row>
    <row r="457" spans="1:44" x14ac:dyDescent="0.2">
      <c r="A457" s="184" t="s">
        <v>27</v>
      </c>
      <c r="B457" s="184" t="s">
        <v>1190</v>
      </c>
      <c r="C457" s="184" t="s">
        <v>1191</v>
      </c>
      <c r="D457" s="183" t="s">
        <v>34</v>
      </c>
      <c r="E457" s="184" t="str">
        <f>Commodities!$D$19</f>
        <v>RESELC</v>
      </c>
      <c r="F457" s="184" t="str">
        <f>Commodities!$D$12</f>
        <v>RLT</v>
      </c>
      <c r="G457" s="204" t="str">
        <f t="shared" si="8"/>
        <v>2025</v>
      </c>
      <c r="H457" s="206" t="e">
        <f>#REF!</f>
        <v>#REF!</v>
      </c>
      <c r="I457" s="205" t="e">
        <f>#REF!</f>
        <v>#REF!</v>
      </c>
      <c r="J457" s="205" t="e">
        <f>#REF!</f>
        <v>#REF!</v>
      </c>
      <c r="K457" s="184">
        <v>1</v>
      </c>
      <c r="L457" s="184">
        <v>1</v>
      </c>
      <c r="M457" s="184">
        <v>1</v>
      </c>
      <c r="N457" s="184">
        <v>1</v>
      </c>
      <c r="O457" s="184">
        <v>1</v>
      </c>
      <c r="P457" s="184">
        <v>1</v>
      </c>
      <c r="Q457" s="184"/>
      <c r="R457" s="184">
        <v>0.45</v>
      </c>
      <c r="S457" s="879"/>
      <c r="T457" s="879"/>
      <c r="U457" s="879"/>
      <c r="V457" s="879"/>
      <c r="W457" s="879"/>
      <c r="X457" s="879"/>
      <c r="Y457" s="879"/>
      <c r="Z457" s="879"/>
      <c r="AA457" s="879"/>
      <c r="AB457" s="879"/>
      <c r="AC457" s="879"/>
      <c r="AD457" s="879"/>
      <c r="AE457" s="879"/>
      <c r="AF457" s="879"/>
      <c r="AG457" s="879"/>
      <c r="AH457" s="879"/>
      <c r="AI457" s="879">
        <v>0</v>
      </c>
      <c r="AJ457" s="879"/>
      <c r="AK457" s="879"/>
      <c r="AL457" s="879"/>
      <c r="AM457" s="879">
        <v>0</v>
      </c>
      <c r="AN457" s="879">
        <v>0</v>
      </c>
      <c r="AO457" s="879">
        <v>0</v>
      </c>
      <c r="AP457" s="879">
        <v>0</v>
      </c>
      <c r="AQ457" s="879">
        <v>0</v>
      </c>
      <c r="AR457" s="879">
        <v>0</v>
      </c>
    </row>
    <row r="458" spans="1:44" x14ac:dyDescent="0.2">
      <c r="A458" s="184" t="s">
        <v>27</v>
      </c>
      <c r="B458" s="184" t="s">
        <v>1192</v>
      </c>
      <c r="C458" s="184" t="s">
        <v>1193</v>
      </c>
      <c r="D458" s="183" t="s">
        <v>34</v>
      </c>
      <c r="E458" s="184" t="str">
        <f>Commodities!$D$19</f>
        <v>RESELC</v>
      </c>
      <c r="F458" s="184" t="str">
        <f>Commodities!$D$12</f>
        <v>RLT</v>
      </c>
      <c r="G458" s="204" t="str">
        <f t="shared" si="8"/>
        <v>2030</v>
      </c>
      <c r="H458" s="206" t="e">
        <f>#REF!</f>
        <v>#REF!</v>
      </c>
      <c r="I458" s="205" t="e">
        <f>#REF!</f>
        <v>#REF!</v>
      </c>
      <c r="J458" s="205" t="e">
        <f>#REF!</f>
        <v>#REF!</v>
      </c>
      <c r="K458" s="184">
        <v>1</v>
      </c>
      <c r="L458" s="184">
        <v>1</v>
      </c>
      <c r="M458" s="184">
        <v>1</v>
      </c>
      <c r="N458" s="184">
        <v>1</v>
      </c>
      <c r="O458" s="184">
        <v>1</v>
      </c>
      <c r="P458" s="184">
        <v>1</v>
      </c>
      <c r="Q458" s="184"/>
      <c r="R458" s="184">
        <v>0.45</v>
      </c>
      <c r="S458" s="879"/>
      <c r="T458" s="879"/>
      <c r="U458" s="879"/>
      <c r="V458" s="879"/>
      <c r="W458" s="879"/>
      <c r="X458" s="879"/>
      <c r="Y458" s="879"/>
      <c r="Z458" s="879"/>
      <c r="AA458" s="879"/>
      <c r="AB458" s="879"/>
      <c r="AC458" s="879"/>
      <c r="AD458" s="879"/>
      <c r="AE458" s="879"/>
      <c r="AF458" s="879"/>
      <c r="AG458" s="879"/>
      <c r="AH458" s="879"/>
      <c r="AI458" s="879">
        <v>0</v>
      </c>
      <c r="AJ458" s="879"/>
      <c r="AK458" s="879"/>
      <c r="AL458" s="879"/>
      <c r="AM458" s="879"/>
      <c r="AN458" s="879"/>
      <c r="AO458" s="879"/>
      <c r="AP458" s="879"/>
      <c r="AQ458" s="879"/>
      <c r="AR458" s="879"/>
    </row>
    <row r="459" spans="1:44" x14ac:dyDescent="0.2">
      <c r="A459" s="184" t="s">
        <v>27</v>
      </c>
      <c r="B459" s="184" t="s">
        <v>1194</v>
      </c>
      <c r="C459" s="184" t="s">
        <v>1195</v>
      </c>
      <c r="D459" s="183" t="s">
        <v>34</v>
      </c>
      <c r="E459" s="184" t="str">
        <f>Commodities!$D$19</f>
        <v>RESELC</v>
      </c>
      <c r="F459" s="184" t="str">
        <f>Commodities!$D$12</f>
        <v>RLT</v>
      </c>
      <c r="G459" s="204" t="str">
        <f>IF(RIGHT(B459,2)="TI",2010,CONCATENATE(20,RIGHT(B459,2)))</f>
        <v>2010</v>
      </c>
      <c r="H459" s="206" t="e">
        <f>#REF!</f>
        <v>#REF!</v>
      </c>
      <c r="I459" s="205" t="e">
        <f>#REF!</f>
        <v>#REF!</v>
      </c>
      <c r="J459" s="205" t="e">
        <f>#REF!</f>
        <v>#REF!</v>
      </c>
      <c r="K459" s="184">
        <v>1</v>
      </c>
      <c r="L459" s="184">
        <v>1</v>
      </c>
      <c r="M459" s="184">
        <v>1</v>
      </c>
      <c r="N459" s="184">
        <v>1</v>
      </c>
      <c r="O459" s="184">
        <v>1</v>
      </c>
      <c r="P459" s="184">
        <v>1</v>
      </c>
      <c r="Q459" s="184"/>
      <c r="R459" s="184">
        <v>0.18</v>
      </c>
      <c r="S459" s="878"/>
      <c r="T459" s="878"/>
      <c r="U459" s="878"/>
      <c r="V459" s="878"/>
      <c r="W459" s="878"/>
      <c r="X459" s="878"/>
      <c r="Y459" s="878"/>
      <c r="Z459" s="878"/>
      <c r="AA459" s="878"/>
      <c r="AB459" s="878"/>
      <c r="AC459" s="878"/>
      <c r="AD459" s="878"/>
      <c r="AE459" s="878"/>
      <c r="AF459" s="878"/>
      <c r="AG459" s="878"/>
      <c r="AH459" s="878"/>
      <c r="AI459" s="879">
        <v>0</v>
      </c>
      <c r="AJ459" s="879">
        <v>0</v>
      </c>
      <c r="AK459" s="879">
        <v>0</v>
      </c>
      <c r="AL459" s="879">
        <v>0</v>
      </c>
      <c r="AM459" s="879">
        <v>0</v>
      </c>
      <c r="AN459" s="879">
        <v>0</v>
      </c>
      <c r="AO459" s="879">
        <v>0</v>
      </c>
      <c r="AP459" s="879">
        <v>0</v>
      </c>
      <c r="AQ459" s="879">
        <v>0</v>
      </c>
      <c r="AR459" s="879">
        <v>0</v>
      </c>
    </row>
    <row r="460" spans="1:44" x14ac:dyDescent="0.2">
      <c r="A460" s="184" t="s">
        <v>27</v>
      </c>
      <c r="B460" s="184" t="s">
        <v>1196</v>
      </c>
      <c r="C460" s="184" t="s">
        <v>1197</v>
      </c>
      <c r="D460" s="183" t="s">
        <v>34</v>
      </c>
      <c r="E460" s="184" t="str">
        <f>Commodities!$D$19</f>
        <v>RESELC</v>
      </c>
      <c r="F460" s="184" t="str">
        <f>Commodities!$D$12</f>
        <v>RLT</v>
      </c>
      <c r="G460" s="204" t="str">
        <f>IF(RIGHT(B460,2)="TI",2010,CONCATENATE(20,RIGHT(B460,2)))</f>
        <v>2010</v>
      </c>
      <c r="H460" s="206" t="e">
        <f>#REF!</f>
        <v>#REF!</v>
      </c>
      <c r="I460" s="205" t="e">
        <f>#REF!</f>
        <v>#REF!</v>
      </c>
      <c r="J460" s="205" t="e">
        <f>#REF!</f>
        <v>#REF!</v>
      </c>
      <c r="K460" s="184">
        <v>1</v>
      </c>
      <c r="L460" s="184">
        <v>1</v>
      </c>
      <c r="M460" s="184">
        <v>1</v>
      </c>
      <c r="N460" s="184">
        <v>1</v>
      </c>
      <c r="O460" s="184">
        <v>1</v>
      </c>
      <c r="P460" s="184">
        <v>1</v>
      </c>
      <c r="Q460" s="184"/>
      <c r="R460" s="184">
        <v>0.28000000000000003</v>
      </c>
      <c r="S460" s="879"/>
      <c r="T460" s="879"/>
      <c r="U460" s="879"/>
      <c r="V460" s="879"/>
      <c r="W460" s="879"/>
      <c r="X460" s="879"/>
      <c r="Y460" s="879"/>
      <c r="Z460" s="879"/>
      <c r="AA460" s="879"/>
      <c r="AB460" s="879"/>
      <c r="AC460" s="879"/>
      <c r="AD460" s="879"/>
      <c r="AE460" s="879"/>
      <c r="AF460" s="879"/>
      <c r="AG460" s="879"/>
      <c r="AH460" s="879"/>
      <c r="AI460" s="879">
        <v>0</v>
      </c>
      <c r="AJ460" s="879">
        <v>0</v>
      </c>
      <c r="AK460" s="879">
        <v>0</v>
      </c>
      <c r="AL460" s="879">
        <v>0</v>
      </c>
      <c r="AM460" s="879">
        <v>0</v>
      </c>
      <c r="AN460" s="879">
        <v>0</v>
      </c>
      <c r="AO460" s="879">
        <v>0</v>
      </c>
      <c r="AP460" s="879">
        <v>0</v>
      </c>
      <c r="AQ460" s="879">
        <v>0</v>
      </c>
      <c r="AR460" s="879">
        <v>0</v>
      </c>
    </row>
    <row r="461" spans="1:44" x14ac:dyDescent="0.2">
      <c r="A461" s="184" t="s">
        <v>27</v>
      </c>
      <c r="B461" s="184" t="s">
        <v>1198</v>
      </c>
      <c r="C461" s="184" t="s">
        <v>1199</v>
      </c>
      <c r="D461" s="183" t="s">
        <v>34</v>
      </c>
      <c r="E461" s="184" t="str">
        <f>Commodities!$D$19</f>
        <v>RESELC</v>
      </c>
      <c r="F461" s="184" t="str">
        <f>Commodities!$D$12</f>
        <v>RLT</v>
      </c>
      <c r="G461" s="204" t="str">
        <f>IF(RIGHT(B461,2)="TI",2010,CONCATENATE(20,RIGHT(B461,2)))</f>
        <v>2010</v>
      </c>
      <c r="H461" s="206" t="e">
        <f>#REF!</f>
        <v>#REF!</v>
      </c>
      <c r="I461" s="205" t="e">
        <f>#REF!</f>
        <v>#REF!</v>
      </c>
      <c r="J461" s="205" t="e">
        <f>#REF!</f>
        <v>#REF!</v>
      </c>
      <c r="K461" s="184">
        <v>1</v>
      </c>
      <c r="L461" s="184">
        <v>1</v>
      </c>
      <c r="M461" s="184">
        <v>1</v>
      </c>
      <c r="N461" s="184">
        <v>1</v>
      </c>
      <c r="O461" s="184">
        <v>1</v>
      </c>
      <c r="P461" s="184">
        <v>1</v>
      </c>
      <c r="Q461" s="184"/>
      <c r="R461" s="184">
        <v>0.18</v>
      </c>
      <c r="S461" s="879"/>
      <c r="T461" s="879"/>
      <c r="U461" s="879"/>
      <c r="V461" s="879"/>
      <c r="W461" s="879"/>
      <c r="X461" s="879"/>
      <c r="Y461" s="879"/>
      <c r="Z461" s="879"/>
      <c r="AA461" s="879"/>
      <c r="AB461" s="879"/>
      <c r="AC461" s="879"/>
      <c r="AD461" s="879"/>
      <c r="AE461" s="879"/>
      <c r="AF461" s="879"/>
      <c r="AG461" s="879"/>
      <c r="AH461" s="879"/>
      <c r="AI461" s="879">
        <v>0</v>
      </c>
      <c r="AJ461" s="879">
        <v>0</v>
      </c>
      <c r="AK461" s="879">
        <v>0</v>
      </c>
      <c r="AL461" s="879">
        <v>0</v>
      </c>
      <c r="AM461" s="879">
        <v>0</v>
      </c>
      <c r="AN461" s="879">
        <v>0</v>
      </c>
      <c r="AO461" s="879">
        <v>0</v>
      </c>
      <c r="AP461" s="879">
        <v>0</v>
      </c>
      <c r="AQ461" s="879">
        <v>0</v>
      </c>
      <c r="AR461" s="879">
        <v>0</v>
      </c>
    </row>
    <row r="462" spans="1:44" x14ac:dyDescent="0.2">
      <c r="A462" s="184" t="s">
        <v>27</v>
      </c>
      <c r="B462" s="184" t="s">
        <v>1200</v>
      </c>
      <c r="C462" s="184" t="s">
        <v>1201</v>
      </c>
      <c r="D462" s="183" t="s">
        <v>34</v>
      </c>
      <c r="E462" s="184" t="str">
        <f>Commodities!$D$19</f>
        <v>RESELC</v>
      </c>
      <c r="F462" s="184" t="str">
        <f>Commodities!$D$12</f>
        <v>RLT</v>
      </c>
      <c r="G462" s="204" t="str">
        <f>IF(RIGHT(B462,2)="TI",2010,CONCATENATE(20,RIGHT(B462,2)))</f>
        <v>2010</v>
      </c>
      <c r="H462" s="206" t="e">
        <f>#REF!</f>
        <v>#REF!</v>
      </c>
      <c r="I462" s="205" t="e">
        <f>#REF!</f>
        <v>#REF!</v>
      </c>
      <c r="J462" s="205" t="e">
        <f>#REF!</f>
        <v>#REF!</v>
      </c>
      <c r="K462" s="184">
        <v>1</v>
      </c>
      <c r="L462" s="184">
        <v>1</v>
      </c>
      <c r="M462" s="184">
        <v>1</v>
      </c>
      <c r="N462" s="184">
        <v>1</v>
      </c>
      <c r="O462" s="184">
        <v>1</v>
      </c>
      <c r="P462" s="184">
        <v>1</v>
      </c>
      <c r="Q462" s="184"/>
      <c r="R462" s="184">
        <v>0.45</v>
      </c>
      <c r="S462" s="879"/>
      <c r="T462" s="879"/>
      <c r="U462" s="879"/>
      <c r="V462" s="879"/>
      <c r="W462" s="879"/>
      <c r="X462" s="879"/>
      <c r="Y462" s="879"/>
      <c r="Z462" s="879"/>
      <c r="AA462" s="879"/>
      <c r="AB462" s="879"/>
      <c r="AC462" s="879"/>
      <c r="AD462" s="879"/>
      <c r="AE462" s="879"/>
      <c r="AF462" s="879"/>
      <c r="AG462" s="879"/>
      <c r="AH462" s="879"/>
      <c r="AI462" s="879">
        <v>0</v>
      </c>
      <c r="AJ462" s="879">
        <v>0</v>
      </c>
      <c r="AK462" s="879">
        <v>0</v>
      </c>
      <c r="AL462" s="879">
        <v>0</v>
      </c>
      <c r="AM462" s="879">
        <v>0</v>
      </c>
      <c r="AN462" s="879">
        <v>0</v>
      </c>
      <c r="AO462" s="879">
        <v>0</v>
      </c>
      <c r="AP462" s="879">
        <v>0</v>
      </c>
      <c r="AQ462" s="879">
        <v>0</v>
      </c>
      <c r="AR462" s="879">
        <v>0</v>
      </c>
    </row>
    <row r="463" spans="1:44" x14ac:dyDescent="0.2">
      <c r="A463" s="194" t="s">
        <v>573</v>
      </c>
      <c r="B463" s="192"/>
      <c r="C463" s="192"/>
      <c r="D463" s="192"/>
      <c r="E463" s="194"/>
      <c r="F463" s="194"/>
      <c r="G463" s="872"/>
      <c r="H463" s="873"/>
      <c r="I463" s="873"/>
      <c r="J463" s="874"/>
      <c r="K463" s="873"/>
      <c r="L463" s="873"/>
      <c r="M463" s="873" t="s">
        <v>514</v>
      </c>
      <c r="N463" s="873" t="s">
        <v>514</v>
      </c>
      <c r="O463" s="873" t="s">
        <v>514</v>
      </c>
      <c r="P463" s="873" t="s">
        <v>514</v>
      </c>
      <c r="Q463" s="873"/>
      <c r="R463" s="874"/>
      <c r="S463" s="875"/>
      <c r="T463" s="875"/>
      <c r="U463" s="875"/>
      <c r="V463" s="875"/>
      <c r="W463" s="875"/>
      <c r="X463" s="875"/>
      <c r="Y463" s="875"/>
      <c r="Z463" s="875"/>
      <c r="AA463" s="875"/>
      <c r="AB463" s="875"/>
      <c r="AC463" s="875"/>
      <c r="AD463" s="875"/>
      <c r="AE463" s="875"/>
      <c r="AF463" s="875"/>
      <c r="AG463" s="875"/>
      <c r="AH463" s="875"/>
      <c r="AI463" s="875"/>
      <c r="AJ463" s="875"/>
      <c r="AK463" s="875"/>
      <c r="AL463" s="875"/>
      <c r="AM463" s="875"/>
      <c r="AN463" s="875"/>
      <c r="AO463" s="875"/>
      <c r="AP463" s="875"/>
      <c r="AQ463" s="875"/>
      <c r="AR463" s="877"/>
    </row>
    <row r="464" spans="1:44" x14ac:dyDescent="0.2">
      <c r="A464" s="184" t="s">
        <v>27</v>
      </c>
      <c r="B464" s="184" t="s">
        <v>1202</v>
      </c>
      <c r="C464" s="184" t="s">
        <v>1203</v>
      </c>
      <c r="D464" s="183" t="s">
        <v>26</v>
      </c>
      <c r="E464" s="184" t="s">
        <v>61</v>
      </c>
      <c r="F464" s="184" t="s">
        <v>39</v>
      </c>
      <c r="G464" s="204">
        <v>2010</v>
      </c>
      <c r="H464" s="184">
        <v>45</v>
      </c>
      <c r="I464" s="205"/>
      <c r="J464" s="184">
        <v>1</v>
      </c>
      <c r="K464" s="184">
        <v>1</v>
      </c>
      <c r="L464" s="184">
        <v>1</v>
      </c>
      <c r="M464" s="184">
        <v>1</v>
      </c>
      <c r="N464" s="184">
        <v>1</v>
      </c>
      <c r="O464" s="184">
        <v>1</v>
      </c>
      <c r="P464" s="184">
        <v>1</v>
      </c>
      <c r="Q464" s="184"/>
      <c r="R464" s="184">
        <v>0.18</v>
      </c>
      <c r="S464" s="879"/>
      <c r="T464" s="879"/>
      <c r="U464" s="879"/>
      <c r="V464" s="879"/>
      <c r="W464" s="879"/>
      <c r="X464" s="876"/>
      <c r="Y464" s="876"/>
      <c r="Z464" s="876"/>
      <c r="AA464" s="876"/>
      <c r="AB464" s="876"/>
      <c r="AC464" s="876"/>
      <c r="AD464" s="876"/>
      <c r="AE464" s="876"/>
      <c r="AF464" s="876"/>
      <c r="AG464" s="876"/>
      <c r="AH464" s="876"/>
      <c r="AI464" s="876"/>
      <c r="AJ464" s="876"/>
      <c r="AK464" s="876"/>
      <c r="AL464" s="876"/>
      <c r="AM464" s="876"/>
      <c r="AN464" s="876"/>
      <c r="AO464" s="876"/>
      <c r="AP464" s="876"/>
      <c r="AQ464" s="876"/>
      <c r="AR464" s="876"/>
    </row>
    <row r="465" spans="1:44" x14ac:dyDescent="0.2">
      <c r="A465" s="194" t="s">
        <v>578</v>
      </c>
      <c r="B465" s="192"/>
      <c r="C465" s="192"/>
      <c r="D465" s="192"/>
      <c r="E465" s="194"/>
      <c r="F465" s="194"/>
      <c r="G465" s="872"/>
      <c r="H465" s="873"/>
      <c r="I465" s="873"/>
      <c r="J465" s="874"/>
      <c r="K465" s="873"/>
      <c r="L465" s="873"/>
      <c r="M465" s="873"/>
      <c r="N465" s="873"/>
      <c r="O465" s="873"/>
      <c r="P465" s="873"/>
      <c r="Q465" s="873"/>
      <c r="R465" s="874"/>
      <c r="S465" s="875"/>
      <c r="T465" s="875"/>
      <c r="U465" s="875"/>
      <c r="V465" s="875"/>
      <c r="W465" s="875"/>
      <c r="X465" s="876"/>
      <c r="Y465" s="876"/>
      <c r="Z465" s="876"/>
      <c r="AA465" s="876"/>
      <c r="AB465" s="876"/>
      <c r="AC465" s="876"/>
      <c r="AD465" s="876"/>
      <c r="AE465" s="876"/>
      <c r="AF465" s="876"/>
      <c r="AG465" s="876"/>
      <c r="AH465" s="876"/>
      <c r="AI465" s="876"/>
      <c r="AJ465" s="876"/>
      <c r="AK465" s="876"/>
      <c r="AL465" s="876"/>
      <c r="AM465" s="876"/>
      <c r="AN465" s="876"/>
      <c r="AO465" s="876"/>
      <c r="AP465" s="876"/>
      <c r="AQ465" s="876"/>
      <c r="AR465" s="876"/>
    </row>
    <row r="466" spans="1:44" x14ac:dyDescent="0.2">
      <c r="A466" s="184" t="s">
        <v>27</v>
      </c>
      <c r="B466" s="184"/>
      <c r="C466" s="184"/>
      <c r="D466" s="184"/>
      <c r="E466" s="184"/>
      <c r="F466" s="184"/>
      <c r="G466" s="204"/>
      <c r="H466" s="184"/>
      <c r="I466" s="184"/>
      <c r="J466" s="184"/>
      <c r="K466" s="184"/>
      <c r="L466" s="184"/>
      <c r="M466" s="184"/>
      <c r="N466" s="184"/>
      <c r="O466" s="184"/>
      <c r="P466" s="184"/>
      <c r="Q466" s="184"/>
      <c r="R466" s="184"/>
      <c r="S466" s="879"/>
      <c r="T466" s="879"/>
      <c r="U466" s="879"/>
      <c r="V466" s="879"/>
      <c r="W466" s="879"/>
      <c r="X466" s="876"/>
      <c r="Y466" s="876"/>
      <c r="Z466" s="876"/>
      <c r="AA466" s="876"/>
      <c r="AB466" s="876"/>
      <c r="AC466" s="876"/>
      <c r="AD466" s="876"/>
      <c r="AE466" s="876"/>
      <c r="AF466" s="876"/>
      <c r="AG466" s="876"/>
      <c r="AH466" s="876"/>
      <c r="AI466" s="876"/>
      <c r="AJ466" s="876"/>
      <c r="AK466" s="876"/>
      <c r="AL466" s="876"/>
      <c r="AM466" s="876"/>
      <c r="AN466" s="876"/>
      <c r="AO466" s="876"/>
      <c r="AP466" s="876"/>
      <c r="AQ466" s="876"/>
      <c r="AR466" s="876"/>
    </row>
    <row r="467" spans="1:44" x14ac:dyDescent="0.2">
      <c r="A467" s="184" t="s">
        <v>27</v>
      </c>
      <c r="B467" s="184" t="s">
        <v>1204</v>
      </c>
      <c r="C467" s="184" t="s">
        <v>1205</v>
      </c>
      <c r="D467" s="183" t="s">
        <v>581</v>
      </c>
      <c r="E467" s="184" t="s">
        <v>80</v>
      </c>
      <c r="F467" s="184" t="s">
        <v>101</v>
      </c>
      <c r="G467" s="204">
        <v>2010</v>
      </c>
      <c r="H467" s="184">
        <v>55</v>
      </c>
      <c r="I467" s="184">
        <v>0</v>
      </c>
      <c r="J467" s="184">
        <v>1</v>
      </c>
      <c r="K467" s="184"/>
      <c r="L467" s="184">
        <v>1</v>
      </c>
      <c r="M467" s="184">
        <v>1</v>
      </c>
      <c r="N467" s="184">
        <v>1</v>
      </c>
      <c r="O467" s="184">
        <v>1</v>
      </c>
      <c r="P467" s="184">
        <v>1</v>
      </c>
      <c r="Q467" s="184">
        <v>0</v>
      </c>
      <c r="R467" s="184">
        <v>0.01</v>
      </c>
      <c r="S467" s="879"/>
      <c r="T467" s="879"/>
      <c r="U467" s="879"/>
      <c r="V467" s="879"/>
      <c r="W467" s="879"/>
      <c r="X467" s="876"/>
      <c r="Y467" s="876"/>
      <c r="Z467" s="876"/>
      <c r="AA467" s="876"/>
      <c r="AB467" s="876"/>
      <c r="AC467" s="876"/>
      <c r="AD467" s="876"/>
      <c r="AE467" s="876"/>
      <c r="AF467" s="876"/>
      <c r="AG467" s="876"/>
      <c r="AH467" s="876"/>
      <c r="AI467" s="876"/>
      <c r="AJ467" s="876"/>
      <c r="AK467" s="876"/>
      <c r="AL467" s="876"/>
      <c r="AM467" s="876"/>
      <c r="AN467" s="876"/>
      <c r="AO467" s="876"/>
      <c r="AP467" s="876"/>
      <c r="AQ467" s="876"/>
      <c r="AR467" s="876"/>
    </row>
    <row r="468" spans="1:44" x14ac:dyDescent="0.2">
      <c r="A468" s="184" t="s">
        <v>27</v>
      </c>
      <c r="B468" s="184"/>
      <c r="C468" s="184"/>
      <c r="D468" s="183"/>
      <c r="E468" s="184"/>
      <c r="F468" s="184"/>
      <c r="G468" s="204"/>
      <c r="H468" s="184"/>
      <c r="I468" s="184"/>
      <c r="J468" s="184"/>
      <c r="K468" s="184"/>
      <c r="L468" s="184"/>
      <c r="M468" s="184"/>
      <c r="N468" s="184"/>
      <c r="O468" s="184"/>
      <c r="P468" s="184"/>
      <c r="Q468" s="184"/>
      <c r="R468" s="184"/>
      <c r="S468" s="879"/>
      <c r="T468" s="879"/>
      <c r="U468" s="879"/>
      <c r="V468" s="879"/>
      <c r="W468" s="879"/>
      <c r="X468" s="876"/>
      <c r="Y468" s="876"/>
      <c r="Z468" s="876"/>
      <c r="AA468" s="876"/>
      <c r="AB468" s="876"/>
      <c r="AC468" s="876"/>
      <c r="AD468" s="876"/>
      <c r="AE468" s="876"/>
      <c r="AF468" s="876"/>
      <c r="AG468" s="876"/>
      <c r="AH468" s="876"/>
      <c r="AI468" s="876"/>
      <c r="AJ468" s="876"/>
      <c r="AK468" s="876"/>
      <c r="AL468" s="876"/>
      <c r="AM468" s="876"/>
      <c r="AN468" s="876"/>
      <c r="AO468" s="876"/>
      <c r="AP468" s="876"/>
      <c r="AQ468" s="876"/>
      <c r="AR468" s="876"/>
    </row>
    <row r="469" spans="1:44" x14ac:dyDescent="0.2">
      <c r="A469" s="184" t="s">
        <v>27</v>
      </c>
      <c r="B469" s="184"/>
      <c r="C469" s="184"/>
      <c r="D469" s="184"/>
      <c r="E469" s="184"/>
      <c r="F469" s="184"/>
      <c r="G469" s="204"/>
      <c r="H469" s="184"/>
      <c r="I469" s="184"/>
      <c r="J469" s="184"/>
      <c r="K469" s="184"/>
      <c r="L469" s="184"/>
      <c r="M469" s="184"/>
      <c r="N469" s="184"/>
      <c r="O469" s="184"/>
      <c r="P469" s="184"/>
      <c r="Q469" s="184"/>
      <c r="R469" s="184"/>
      <c r="S469" s="879"/>
      <c r="T469" s="879"/>
      <c r="U469" s="879"/>
      <c r="V469" s="879"/>
      <c r="W469" s="879"/>
      <c r="X469" s="876"/>
      <c r="Y469" s="876"/>
      <c r="Z469" s="876"/>
      <c r="AA469" s="876"/>
      <c r="AB469" s="876"/>
      <c r="AC469" s="876"/>
      <c r="AD469" s="876"/>
      <c r="AE469" s="876"/>
      <c r="AF469" s="876"/>
      <c r="AG469" s="876"/>
      <c r="AH469" s="876"/>
      <c r="AI469" s="876"/>
      <c r="AJ469" s="876"/>
      <c r="AK469" s="876"/>
      <c r="AL469" s="876"/>
      <c r="AM469" s="876"/>
      <c r="AN469" s="876"/>
      <c r="AO469" s="876"/>
      <c r="AP469" s="876"/>
      <c r="AQ469" s="876"/>
      <c r="AR469" s="876"/>
    </row>
    <row r="470" spans="1:44" x14ac:dyDescent="0.2">
      <c r="A470" s="194" t="s">
        <v>592</v>
      </c>
      <c r="B470" s="192"/>
      <c r="C470" s="192"/>
      <c r="D470" s="192"/>
      <c r="E470" s="194"/>
      <c r="F470" s="194"/>
      <c r="G470" s="872"/>
      <c r="H470" s="873"/>
      <c r="I470" s="873"/>
      <c r="J470" s="874"/>
      <c r="K470" s="873"/>
      <c r="L470" s="873"/>
      <c r="M470" s="873"/>
      <c r="N470" s="873"/>
      <c r="O470" s="873"/>
      <c r="P470" s="873"/>
      <c r="Q470" s="873"/>
      <c r="R470" s="874"/>
      <c r="S470" s="875"/>
      <c r="T470" s="875"/>
      <c r="U470" s="875"/>
      <c r="V470" s="875"/>
      <c r="W470" s="875"/>
      <c r="X470" s="876"/>
      <c r="Y470" s="876"/>
      <c r="Z470" s="876"/>
      <c r="AA470" s="876"/>
      <c r="AB470" s="876"/>
      <c r="AC470" s="876"/>
      <c r="AD470" s="876"/>
      <c r="AE470" s="876"/>
      <c r="AF470" s="876"/>
      <c r="AG470" s="876"/>
      <c r="AH470" s="876"/>
      <c r="AI470" s="876"/>
      <c r="AJ470" s="876"/>
      <c r="AK470" s="876"/>
      <c r="AL470" s="876"/>
      <c r="AM470" s="876"/>
      <c r="AN470" s="876"/>
      <c r="AO470" s="876"/>
      <c r="AP470" s="876"/>
      <c r="AQ470" s="876"/>
      <c r="AR470" s="876"/>
    </row>
    <row r="471" spans="1:44" x14ac:dyDescent="0.2">
      <c r="A471" s="184" t="s">
        <v>27</v>
      </c>
      <c r="B471" s="184"/>
      <c r="C471" s="184"/>
      <c r="D471" s="183"/>
      <c r="E471" s="184"/>
      <c r="F471" s="184"/>
      <c r="G471" s="204"/>
      <c r="H471" s="184"/>
      <c r="I471" s="184"/>
      <c r="J471" s="184"/>
      <c r="K471" s="184"/>
      <c r="L471" s="184"/>
      <c r="M471" s="184"/>
      <c r="N471" s="184"/>
      <c r="O471" s="184"/>
      <c r="P471" s="184"/>
      <c r="Q471" s="184"/>
      <c r="R471" s="184"/>
      <c r="S471" s="879"/>
      <c r="T471" s="879"/>
      <c r="U471" s="879"/>
      <c r="V471" s="879"/>
      <c r="W471" s="879"/>
      <c r="X471" s="876"/>
      <c r="Y471" s="876"/>
      <c r="Z471" s="876"/>
      <c r="AA471" s="876"/>
      <c r="AB471" s="876"/>
      <c r="AC471" s="876"/>
      <c r="AD471" s="876"/>
      <c r="AE471" s="876"/>
      <c r="AF471" s="876"/>
      <c r="AG471" s="876"/>
      <c r="AH471" s="876"/>
      <c r="AI471" s="876"/>
      <c r="AJ471" s="876"/>
      <c r="AK471" s="876"/>
      <c r="AL471" s="876"/>
      <c r="AM471" s="876"/>
      <c r="AN471" s="876"/>
      <c r="AO471" s="876"/>
      <c r="AP471" s="876"/>
      <c r="AQ471" s="876"/>
      <c r="AR471" s="876"/>
    </row>
    <row r="472" spans="1:44" x14ac:dyDescent="0.2">
      <c r="A472" s="184" t="s">
        <v>27</v>
      </c>
      <c r="B472" s="184" t="s">
        <v>1206</v>
      </c>
      <c r="C472" s="184" t="s">
        <v>1207</v>
      </c>
      <c r="D472" s="183" t="s">
        <v>26</v>
      </c>
      <c r="E472" s="184" t="s">
        <v>92</v>
      </c>
      <c r="F472" s="184" t="s">
        <v>30</v>
      </c>
      <c r="G472" s="204">
        <v>2010</v>
      </c>
      <c r="H472" s="184">
        <v>55</v>
      </c>
      <c r="I472" s="184">
        <v>0</v>
      </c>
      <c r="J472" s="184">
        <v>1</v>
      </c>
      <c r="K472" s="184">
        <v>1</v>
      </c>
      <c r="L472" s="184">
        <v>0.1</v>
      </c>
      <c r="M472" s="184">
        <v>0.1</v>
      </c>
      <c r="N472" s="184">
        <v>0.1</v>
      </c>
      <c r="O472" s="184">
        <v>0.1</v>
      </c>
      <c r="P472" s="184">
        <v>0.1</v>
      </c>
      <c r="Q472" s="184">
        <v>0</v>
      </c>
      <c r="R472" s="184">
        <v>0.01</v>
      </c>
      <c r="S472" s="879"/>
      <c r="T472" s="879"/>
      <c r="U472" s="879"/>
      <c r="V472" s="879"/>
      <c r="W472" s="879"/>
      <c r="X472" s="876"/>
      <c r="Y472" s="876"/>
      <c r="Z472" s="876"/>
      <c r="AA472" s="876"/>
      <c r="AB472" s="876"/>
      <c r="AC472" s="876"/>
      <c r="AD472" s="876"/>
      <c r="AE472" s="876"/>
      <c r="AF472" s="876"/>
      <c r="AG472" s="876"/>
      <c r="AH472" s="876"/>
      <c r="AI472" s="876"/>
      <c r="AJ472" s="876"/>
      <c r="AK472" s="876"/>
      <c r="AL472" s="876"/>
      <c r="AM472" s="876"/>
      <c r="AN472" s="876"/>
      <c r="AO472" s="876"/>
      <c r="AP472" s="876"/>
      <c r="AQ472" s="876"/>
      <c r="AR472" s="876"/>
    </row>
    <row r="473" spans="1:44" x14ac:dyDescent="0.2">
      <c r="A473" s="184" t="s">
        <v>27</v>
      </c>
      <c r="B473" s="184" t="s">
        <v>1208</v>
      </c>
      <c r="C473" s="184" t="s">
        <v>1209</v>
      </c>
      <c r="D473" s="183" t="s">
        <v>26</v>
      </c>
      <c r="E473" s="184" t="s">
        <v>94</v>
      </c>
      <c r="F473" s="184" t="s">
        <v>30</v>
      </c>
      <c r="G473" s="204">
        <v>2010</v>
      </c>
      <c r="H473" s="184">
        <v>55</v>
      </c>
      <c r="I473" s="184">
        <v>0</v>
      </c>
      <c r="J473" s="184">
        <v>1</v>
      </c>
      <c r="K473" s="184">
        <v>1</v>
      </c>
      <c r="L473" s="184">
        <v>0.1</v>
      </c>
      <c r="M473" s="184">
        <v>0.1</v>
      </c>
      <c r="N473" s="184">
        <v>0.1</v>
      </c>
      <c r="O473" s="184">
        <v>0.1</v>
      </c>
      <c r="P473" s="184">
        <v>0.1</v>
      </c>
      <c r="Q473" s="184">
        <v>0</v>
      </c>
      <c r="R473" s="184">
        <v>0.01</v>
      </c>
      <c r="S473" s="879"/>
      <c r="T473" s="879"/>
      <c r="U473" s="879"/>
      <c r="V473" s="879"/>
      <c r="W473" s="879"/>
      <c r="X473" s="876"/>
      <c r="Y473" s="876"/>
      <c r="Z473" s="876"/>
      <c r="AA473" s="876"/>
      <c r="AB473" s="876"/>
      <c r="AC473" s="876"/>
      <c r="AD473" s="876"/>
      <c r="AE473" s="876"/>
      <c r="AF473" s="876"/>
      <c r="AG473" s="876"/>
      <c r="AH473" s="876"/>
      <c r="AI473" s="876"/>
      <c r="AJ473" s="876"/>
      <c r="AK473" s="876"/>
      <c r="AL473" s="876"/>
      <c r="AM473" s="876"/>
      <c r="AN473" s="876"/>
      <c r="AO473" s="876"/>
      <c r="AP473" s="876"/>
      <c r="AQ473" s="876"/>
      <c r="AR473" s="876"/>
    </row>
    <row r="474" spans="1:44" x14ac:dyDescent="0.2">
      <c r="A474" s="184" t="s">
        <v>27</v>
      </c>
      <c r="B474" s="184" t="s">
        <v>1210</v>
      </c>
      <c r="C474" s="184" t="s">
        <v>1211</v>
      </c>
      <c r="D474" s="183" t="s">
        <v>26</v>
      </c>
      <c r="E474" s="184" t="s">
        <v>96</v>
      </c>
      <c r="F474" s="184" t="s">
        <v>30</v>
      </c>
      <c r="G474" s="204">
        <v>2010</v>
      </c>
      <c r="H474" s="184">
        <v>55</v>
      </c>
      <c r="I474" s="184">
        <v>0</v>
      </c>
      <c r="J474" s="184">
        <v>1</v>
      </c>
      <c r="K474" s="184">
        <v>1</v>
      </c>
      <c r="L474" s="184">
        <v>0.1</v>
      </c>
      <c r="M474" s="184">
        <v>0.1</v>
      </c>
      <c r="N474" s="184">
        <v>0.1</v>
      </c>
      <c r="O474" s="184">
        <v>0.1</v>
      </c>
      <c r="P474" s="184">
        <v>0.1</v>
      </c>
      <c r="Q474" s="184">
        <v>0</v>
      </c>
      <c r="R474" s="184">
        <v>0.01</v>
      </c>
      <c r="S474" s="879"/>
      <c r="T474" s="879"/>
      <c r="U474" s="879"/>
      <c r="V474" s="879"/>
      <c r="W474" s="879"/>
      <c r="X474" s="876"/>
      <c r="Y474" s="876"/>
      <c r="Z474" s="876"/>
      <c r="AA474" s="876"/>
      <c r="AB474" s="876"/>
      <c r="AC474" s="876"/>
      <c r="AD474" s="876"/>
      <c r="AE474" s="876"/>
      <c r="AF474" s="876"/>
      <c r="AG474" s="876"/>
      <c r="AH474" s="876"/>
      <c r="AI474" s="876"/>
      <c r="AJ474" s="876"/>
      <c r="AK474" s="876"/>
      <c r="AL474" s="876"/>
      <c r="AM474" s="876"/>
      <c r="AN474" s="876"/>
      <c r="AO474" s="876"/>
      <c r="AP474" s="876"/>
      <c r="AQ474" s="876"/>
      <c r="AR474" s="876"/>
    </row>
    <row r="475" spans="1:44" x14ac:dyDescent="0.2">
      <c r="A475" s="184" t="s">
        <v>27</v>
      </c>
      <c r="B475" s="184" t="s">
        <v>1212</v>
      </c>
      <c r="C475" s="184" t="s">
        <v>1213</v>
      </c>
      <c r="D475" s="183" t="s">
        <v>26</v>
      </c>
      <c r="E475" s="184" t="s">
        <v>98</v>
      </c>
      <c r="F475" s="184" t="s">
        <v>30</v>
      </c>
      <c r="G475" s="204">
        <v>2010</v>
      </c>
      <c r="H475" s="184">
        <v>55</v>
      </c>
      <c r="I475" s="184">
        <v>0</v>
      </c>
      <c r="J475" s="184"/>
      <c r="K475" s="184">
        <v>1</v>
      </c>
      <c r="L475" s="184">
        <v>0.1</v>
      </c>
      <c r="M475" s="184">
        <v>0.1</v>
      </c>
      <c r="N475" s="184">
        <v>0.1</v>
      </c>
      <c r="O475" s="184">
        <v>0.1</v>
      </c>
      <c r="P475" s="184">
        <v>0.1</v>
      </c>
      <c r="Q475" s="184">
        <v>0</v>
      </c>
      <c r="R475" s="184">
        <v>0.01</v>
      </c>
      <c r="S475" s="879"/>
      <c r="T475" s="879"/>
      <c r="U475" s="879"/>
      <c r="V475" s="879"/>
      <c r="W475" s="879"/>
      <c r="X475" s="876"/>
      <c r="Y475" s="876"/>
      <c r="Z475" s="876"/>
      <c r="AA475" s="876"/>
      <c r="AB475" s="876"/>
      <c r="AC475" s="876"/>
      <c r="AD475" s="876"/>
      <c r="AE475" s="876"/>
      <c r="AF475" s="876"/>
      <c r="AG475" s="876"/>
      <c r="AH475" s="876"/>
      <c r="AI475" s="876"/>
      <c r="AJ475" s="876"/>
      <c r="AK475" s="876"/>
      <c r="AL475" s="876"/>
      <c r="AM475" s="876"/>
      <c r="AN475" s="876"/>
      <c r="AO475" s="876"/>
      <c r="AP475" s="876"/>
      <c r="AQ475" s="876"/>
      <c r="AR475" s="876"/>
    </row>
    <row r="476" spans="1:44" x14ac:dyDescent="0.2">
      <c r="A476" s="184" t="s">
        <v>27</v>
      </c>
      <c r="B476" s="184" t="s">
        <v>1214</v>
      </c>
      <c r="C476" s="184" t="s">
        <v>1215</v>
      </c>
      <c r="D476" s="183" t="s">
        <v>26</v>
      </c>
      <c r="E476" s="184" t="s">
        <v>92</v>
      </c>
      <c r="F476" s="184" t="s">
        <v>24</v>
      </c>
      <c r="G476" s="204">
        <v>2010</v>
      </c>
      <c r="H476" s="184">
        <v>55</v>
      </c>
      <c r="I476" s="184">
        <v>0</v>
      </c>
      <c r="J476" s="184">
        <v>1</v>
      </c>
      <c r="K476" s="184">
        <v>1</v>
      </c>
      <c r="L476" s="184">
        <v>0.1</v>
      </c>
      <c r="M476" s="184">
        <v>0.1</v>
      </c>
      <c r="N476" s="184">
        <v>0.1</v>
      </c>
      <c r="O476" s="184">
        <v>0.1</v>
      </c>
      <c r="P476" s="184">
        <v>0.1</v>
      </c>
      <c r="Q476" s="184">
        <v>0.1</v>
      </c>
      <c r="R476" s="184">
        <v>0.01</v>
      </c>
      <c r="S476" s="879"/>
      <c r="T476" s="879"/>
      <c r="U476" s="879"/>
      <c r="V476" s="879"/>
      <c r="W476" s="879"/>
      <c r="X476" s="876"/>
      <c r="Y476" s="876"/>
      <c r="Z476" s="876"/>
      <c r="AA476" s="876"/>
      <c r="AB476" s="876"/>
      <c r="AC476" s="876"/>
      <c r="AD476" s="876"/>
      <c r="AE476" s="876"/>
      <c r="AF476" s="876"/>
      <c r="AG476" s="876"/>
      <c r="AH476" s="876"/>
      <c r="AI476" s="876"/>
      <c r="AJ476" s="876"/>
      <c r="AK476" s="876"/>
      <c r="AL476" s="876"/>
      <c r="AM476" s="876"/>
      <c r="AN476" s="876"/>
      <c r="AO476" s="876"/>
      <c r="AP476" s="876"/>
      <c r="AQ476" s="876"/>
      <c r="AR476" s="876"/>
    </row>
    <row r="477" spans="1:44" x14ac:dyDescent="0.2">
      <c r="A477" s="184" t="s">
        <v>27</v>
      </c>
      <c r="B477" s="184" t="s">
        <v>1216</v>
      </c>
      <c r="C477" s="184" t="s">
        <v>1217</v>
      </c>
      <c r="D477" s="183" t="s">
        <v>26</v>
      </c>
      <c r="E477" s="184" t="s">
        <v>94</v>
      </c>
      <c r="F477" s="184" t="s">
        <v>24</v>
      </c>
      <c r="G477" s="204">
        <v>2010</v>
      </c>
      <c r="H477" s="184">
        <v>55</v>
      </c>
      <c r="I477" s="184">
        <v>0</v>
      </c>
      <c r="J477" s="184">
        <v>1</v>
      </c>
      <c r="K477" s="184">
        <v>1</v>
      </c>
      <c r="L477" s="184">
        <v>0.1</v>
      </c>
      <c r="M477" s="184">
        <v>0.1</v>
      </c>
      <c r="N477" s="184">
        <v>0.1</v>
      </c>
      <c r="O477" s="184">
        <v>0.1</v>
      </c>
      <c r="P477" s="184">
        <v>0.1</v>
      </c>
      <c r="Q477" s="184">
        <v>0.1</v>
      </c>
      <c r="R477" s="184">
        <v>0.01</v>
      </c>
      <c r="S477" s="879"/>
      <c r="T477" s="879"/>
      <c r="U477" s="879"/>
      <c r="V477" s="879"/>
      <c r="W477" s="879"/>
      <c r="X477" s="876"/>
      <c r="Y477" s="876"/>
      <c r="Z477" s="876"/>
      <c r="AA477" s="876"/>
      <c r="AB477" s="876"/>
      <c r="AC477" s="876"/>
      <c r="AD477" s="876"/>
      <c r="AE477" s="876"/>
      <c r="AF477" s="876"/>
      <c r="AG477" s="876"/>
      <c r="AH477" s="876"/>
      <c r="AI477" s="876"/>
      <c r="AJ477" s="876"/>
      <c r="AK477" s="876"/>
      <c r="AL477" s="876"/>
      <c r="AM477" s="876"/>
      <c r="AN477" s="876"/>
      <c r="AO477" s="876"/>
      <c r="AP477" s="876"/>
      <c r="AQ477" s="876"/>
      <c r="AR477" s="876"/>
    </row>
    <row r="478" spans="1:44" x14ac:dyDescent="0.2">
      <c r="A478" s="184" t="s">
        <v>27</v>
      </c>
      <c r="B478" s="184" t="s">
        <v>1218</v>
      </c>
      <c r="C478" s="184" t="s">
        <v>1219</v>
      </c>
      <c r="D478" s="183" t="s">
        <v>26</v>
      </c>
      <c r="E478" s="184" t="s">
        <v>96</v>
      </c>
      <c r="F478" s="184" t="s">
        <v>24</v>
      </c>
      <c r="G478" s="204">
        <v>2010</v>
      </c>
      <c r="H478" s="184">
        <v>55</v>
      </c>
      <c r="I478" s="184">
        <v>0</v>
      </c>
      <c r="J478" s="184">
        <v>1</v>
      </c>
      <c r="K478" s="184">
        <v>1</v>
      </c>
      <c r="L478" s="184">
        <v>0.1</v>
      </c>
      <c r="M478" s="184">
        <v>0.1</v>
      </c>
      <c r="N478" s="184">
        <v>0.1</v>
      </c>
      <c r="O478" s="184">
        <v>0.1</v>
      </c>
      <c r="P478" s="184">
        <v>0.1</v>
      </c>
      <c r="Q478" s="184">
        <v>0.15</v>
      </c>
      <c r="R478" s="184">
        <v>0.01</v>
      </c>
      <c r="S478" s="879"/>
      <c r="T478" s="879"/>
      <c r="U478" s="879"/>
      <c r="V478" s="879"/>
      <c r="W478" s="879"/>
      <c r="X478" s="876"/>
      <c r="Y478" s="876"/>
      <c r="Z478" s="876"/>
      <c r="AA478" s="876"/>
      <c r="AB478" s="876"/>
      <c r="AC478" s="876"/>
      <c r="AD478" s="876"/>
      <c r="AE478" s="876"/>
      <c r="AF478" s="876"/>
      <c r="AG478" s="876"/>
      <c r="AH478" s="876"/>
      <c r="AI478" s="876"/>
      <c r="AJ478" s="876"/>
      <c r="AK478" s="876"/>
      <c r="AL478" s="876"/>
      <c r="AM478" s="876"/>
      <c r="AN478" s="876"/>
      <c r="AO478" s="876"/>
      <c r="AP478" s="876"/>
      <c r="AQ478" s="876"/>
      <c r="AR478" s="876"/>
    </row>
    <row r="479" spans="1:44" x14ac:dyDescent="0.2">
      <c r="A479" s="184" t="s">
        <v>27</v>
      </c>
      <c r="B479" s="184" t="s">
        <v>1220</v>
      </c>
      <c r="C479" s="184" t="s">
        <v>1221</v>
      </c>
      <c r="D479" s="183" t="s">
        <v>26</v>
      </c>
      <c r="E479" s="184" t="s">
        <v>98</v>
      </c>
      <c r="F479" s="184" t="s">
        <v>24</v>
      </c>
      <c r="G479" s="204">
        <v>2010</v>
      </c>
      <c r="H479" s="184">
        <v>55</v>
      </c>
      <c r="I479" s="184">
        <v>0</v>
      </c>
      <c r="J479" s="184">
        <v>1</v>
      </c>
      <c r="K479" s="184">
        <v>1</v>
      </c>
      <c r="L479" s="184">
        <v>0.1</v>
      </c>
      <c r="M479" s="184">
        <v>0.1</v>
      </c>
      <c r="N479" s="184">
        <v>0.1</v>
      </c>
      <c r="O479" s="184">
        <v>0.1</v>
      </c>
      <c r="P479" s="184">
        <v>0.1</v>
      </c>
      <c r="Q479" s="184">
        <v>0.2</v>
      </c>
      <c r="R479" s="184">
        <v>0.01</v>
      </c>
      <c r="S479" s="879"/>
      <c r="T479" s="879"/>
      <c r="U479" s="879"/>
      <c r="V479" s="879"/>
      <c r="W479" s="879"/>
      <c r="X479" s="876"/>
      <c r="Y479" s="876"/>
      <c r="Z479" s="876"/>
      <c r="AA479" s="876"/>
      <c r="AB479" s="876"/>
      <c r="AC479" s="876"/>
      <c r="AD479" s="876"/>
      <c r="AE479" s="876"/>
      <c r="AF479" s="876"/>
      <c r="AG479" s="876"/>
      <c r="AH479" s="876"/>
      <c r="AI479" s="876"/>
      <c r="AJ479" s="876"/>
      <c r="AK479" s="876"/>
      <c r="AL479" s="876"/>
      <c r="AM479" s="876"/>
      <c r="AN479" s="876"/>
      <c r="AO479" s="876"/>
      <c r="AP479" s="876"/>
      <c r="AQ479" s="876"/>
      <c r="AR479" s="876"/>
    </row>
  </sheetData>
  <autoFilter ref="A7:AG72" xr:uid="{00000000-0001-0000-1600-000000000000}"/>
  <phoneticPr fontId="0" type="noConversion"/>
  <pageMargins left="0.75" right="0.75" top="1" bottom="1" header="0.5" footer="0.5"/>
  <pageSetup paperSize="9" orientation="landscape" horizontalDpi="1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4">
    <tabColor rgb="FFFFC000"/>
  </sheetPr>
  <dimension ref="A1:BI22"/>
  <sheetViews>
    <sheetView zoomScale="85" workbookViewId="0">
      <selection activeCell="B11" sqref="B11"/>
    </sheetView>
  </sheetViews>
  <sheetFormatPr defaultColWidth="26.85546875" defaultRowHeight="12.75" x14ac:dyDescent="0.2"/>
  <cols>
    <col min="1" max="1" width="21.140625" style="12" customWidth="1"/>
    <col min="2" max="2" width="29.85546875" style="12" bestFit="1" customWidth="1"/>
    <col min="3" max="3" width="37.85546875" style="12" bestFit="1" customWidth="1"/>
    <col min="4" max="4" width="6.140625" style="12" bestFit="1" customWidth="1"/>
    <col min="5" max="5" width="8.140625" style="12" bestFit="1" customWidth="1"/>
    <col min="6" max="6" width="10.42578125" style="12" bestFit="1" customWidth="1"/>
    <col min="7" max="7" width="13.140625" style="202" bestFit="1" customWidth="1"/>
    <col min="8" max="8" width="12.140625" style="12" bestFit="1" customWidth="1"/>
    <col min="9" max="9" width="13.42578125" style="12" bestFit="1" customWidth="1"/>
    <col min="10" max="10" width="11.140625" style="12" bestFit="1" customWidth="1"/>
    <col min="11" max="11" width="5.140625" style="12" bestFit="1" customWidth="1"/>
    <col min="12" max="12" width="16.85546875" style="12" bestFit="1" customWidth="1"/>
    <col min="13" max="22" width="17.5703125" style="12" bestFit="1" customWidth="1"/>
    <col min="23" max="23" width="11.140625" style="12" bestFit="1" customWidth="1"/>
    <col min="24" max="25" width="15.140625" style="12" bestFit="1" customWidth="1"/>
    <col min="26" max="27" width="12.42578125" style="12" bestFit="1" customWidth="1"/>
    <col min="28" max="28" width="12.140625" style="12" bestFit="1" customWidth="1"/>
    <col min="29" max="30" width="15.85546875" style="12" bestFit="1" customWidth="1"/>
    <col min="31" max="31" width="13.140625" style="12" bestFit="1" customWidth="1"/>
    <col min="32" max="32" width="12.42578125" style="12" bestFit="1" customWidth="1"/>
    <col min="33" max="33" width="13.140625" style="12" bestFit="1" customWidth="1"/>
    <col min="34" max="35" width="16.5703125" style="12" bestFit="1" customWidth="1"/>
    <col min="36" max="36" width="13.85546875" style="12" bestFit="1" customWidth="1"/>
    <col min="37" max="37" width="12.42578125" style="12" bestFit="1" customWidth="1"/>
    <col min="38" max="38" width="13.85546875" style="12" bestFit="1" customWidth="1"/>
    <col min="39" max="39" width="13.42578125" style="12" bestFit="1" customWidth="1"/>
    <col min="40" max="40" width="26.85546875" style="12"/>
    <col min="41" max="41" width="5.140625" style="12" bestFit="1" customWidth="1"/>
    <col min="42" max="42" width="6.85546875" style="12" bestFit="1" customWidth="1"/>
    <col min="43" max="43" width="6.85546875" style="12" customWidth="1"/>
    <col min="44" max="45" width="18.42578125" style="12" bestFit="1" customWidth="1"/>
    <col min="46" max="61" width="18.85546875" style="12" bestFit="1" customWidth="1"/>
    <col min="62" max="16384" width="26.85546875" style="12"/>
  </cols>
  <sheetData>
    <row r="1" spans="1:61" x14ac:dyDescent="0.2">
      <c r="A1" s="1" t="s">
        <v>465</v>
      </c>
      <c r="B1" s="12" t="s">
        <v>12</v>
      </c>
      <c r="G1" s="199"/>
      <c r="H1" s="200"/>
      <c r="I1" s="200"/>
      <c r="J1" s="200"/>
      <c r="K1" s="200"/>
      <c r="M1" s="200"/>
      <c r="N1" s="200"/>
      <c r="O1" s="200"/>
      <c r="P1" s="200"/>
      <c r="Q1" s="200"/>
      <c r="R1" s="200"/>
      <c r="S1" s="200"/>
      <c r="T1" s="200"/>
      <c r="U1" s="200"/>
      <c r="V1" s="200"/>
      <c r="W1" s="200"/>
      <c r="X1" s="200"/>
      <c r="Y1" s="200"/>
      <c r="Z1" s="200"/>
      <c r="AA1" s="200"/>
      <c r="AB1" s="200"/>
      <c r="AC1" s="200"/>
      <c r="AD1" s="200"/>
      <c r="AF1" s="200"/>
      <c r="AK1" s="200"/>
      <c r="AO1" s="200"/>
      <c r="AP1" s="200"/>
      <c r="AQ1" s="200"/>
      <c r="AR1" s="200"/>
      <c r="AS1" s="200"/>
      <c r="AT1" s="200"/>
      <c r="AU1" s="200"/>
      <c r="AV1" s="200"/>
      <c r="AW1" s="200"/>
      <c r="AX1" s="200"/>
      <c r="AY1" s="200"/>
      <c r="AZ1" s="200"/>
      <c r="BA1" s="200"/>
      <c r="BB1" s="200"/>
      <c r="BC1" s="200"/>
      <c r="BD1" s="200"/>
      <c r="BE1" s="200"/>
      <c r="BF1" s="200"/>
      <c r="BG1" s="200"/>
      <c r="BH1" s="200"/>
      <c r="BI1" s="200"/>
    </row>
    <row r="2" spans="1:61" x14ac:dyDescent="0.2">
      <c r="G2" s="199"/>
      <c r="H2" s="200"/>
      <c r="I2" s="200"/>
      <c r="J2" s="200"/>
      <c r="K2" s="200"/>
      <c r="M2" s="200"/>
      <c r="N2" s="200"/>
      <c r="O2" s="200"/>
      <c r="P2" s="200"/>
      <c r="Q2" s="200"/>
      <c r="R2" s="200"/>
      <c r="S2" s="200"/>
      <c r="T2" s="200"/>
      <c r="U2" s="200"/>
      <c r="V2" s="200"/>
      <c r="W2" s="200"/>
      <c r="X2" s="200"/>
      <c r="Y2" s="200"/>
      <c r="Z2" s="200"/>
      <c r="AA2" s="200"/>
      <c r="AB2" s="200"/>
      <c r="AC2" s="200"/>
      <c r="AF2" s="200"/>
      <c r="AK2" s="200"/>
      <c r="AO2" s="200"/>
      <c r="AP2" s="200"/>
      <c r="AQ2" s="200"/>
      <c r="AR2" s="200"/>
      <c r="AS2" s="200"/>
      <c r="AT2" s="200"/>
      <c r="AU2" s="200"/>
      <c r="AV2" s="200"/>
      <c r="AW2" s="200"/>
      <c r="AX2" s="200"/>
      <c r="AY2" s="200"/>
      <c r="AZ2" s="200"/>
      <c r="BA2" s="200"/>
      <c r="BB2" s="200"/>
      <c r="BC2" s="200"/>
      <c r="BD2" s="200"/>
      <c r="BE2" s="200"/>
      <c r="BF2" s="200"/>
      <c r="BG2" s="200"/>
      <c r="BH2" s="200"/>
      <c r="BI2" s="200"/>
    </row>
    <row r="3" spans="1:61" x14ac:dyDescent="0.2">
      <c r="G3" s="199"/>
      <c r="H3" s="200"/>
      <c r="I3" s="200"/>
      <c r="J3" s="200"/>
      <c r="K3" s="200"/>
      <c r="M3" s="200"/>
      <c r="N3" s="200"/>
      <c r="O3" s="200"/>
      <c r="P3" s="200"/>
      <c r="Q3" s="200"/>
      <c r="R3" s="200"/>
      <c r="S3" s="200"/>
      <c r="T3" s="200"/>
      <c r="U3" s="200"/>
      <c r="V3" s="200"/>
      <c r="W3" s="200"/>
      <c r="X3" s="200"/>
      <c r="Y3" s="200"/>
      <c r="Z3" s="200"/>
      <c r="AA3" s="200"/>
      <c r="AB3" s="200"/>
      <c r="AC3" s="200"/>
      <c r="AF3" s="200"/>
      <c r="AK3" s="200"/>
      <c r="AO3" s="200"/>
      <c r="AP3" s="200"/>
      <c r="AQ3" s="200"/>
      <c r="AR3" s="200"/>
      <c r="AS3" s="200"/>
      <c r="AT3" s="200"/>
      <c r="AU3" s="200"/>
      <c r="AV3" s="200"/>
      <c r="AW3" s="200"/>
      <c r="AX3" s="200"/>
      <c r="AY3" s="200"/>
      <c r="AZ3" s="200"/>
      <c r="BA3" s="200"/>
      <c r="BB3" s="200"/>
      <c r="BC3" s="200"/>
      <c r="BD3" s="200"/>
      <c r="BE3" s="200"/>
      <c r="BF3" s="200"/>
      <c r="BG3" s="200"/>
      <c r="BH3" s="200"/>
      <c r="BI3" s="200"/>
    </row>
    <row r="4" spans="1:61" ht="17.25" customHeight="1" x14ac:dyDescent="0.2">
      <c r="F4" s="198" t="s">
        <v>424</v>
      </c>
      <c r="G4" s="199"/>
      <c r="H4" s="200"/>
      <c r="I4" s="200"/>
      <c r="J4" s="200"/>
      <c r="K4" s="200"/>
      <c r="M4" s="200"/>
      <c r="N4" s="200"/>
      <c r="O4" s="200"/>
      <c r="P4" s="200"/>
      <c r="Q4" s="200"/>
      <c r="R4" s="200"/>
      <c r="S4" s="200"/>
      <c r="T4" s="200"/>
      <c r="U4" s="200"/>
      <c r="V4" s="200"/>
      <c r="W4" s="200"/>
      <c r="X4" s="200"/>
      <c r="Y4" s="200"/>
      <c r="Z4" s="200"/>
      <c r="AA4" s="200"/>
      <c r="AB4" s="200"/>
      <c r="AC4" s="200"/>
      <c r="AF4" s="200"/>
      <c r="AK4" s="200"/>
      <c r="AO4" s="200"/>
      <c r="AP4" s="200"/>
      <c r="AQ4" s="200"/>
      <c r="AR4" s="200"/>
      <c r="AS4" s="200"/>
      <c r="AT4" s="200"/>
      <c r="AU4" s="200"/>
      <c r="AV4" s="200"/>
      <c r="AW4" s="200"/>
      <c r="AX4" s="200"/>
      <c r="AY4" s="200"/>
      <c r="AZ4" s="200"/>
      <c r="BA4" s="200"/>
      <c r="BB4" s="200"/>
      <c r="BC4" s="200"/>
      <c r="BD4" s="200"/>
      <c r="BE4" s="200"/>
      <c r="BF4" s="200"/>
      <c r="BG4" s="200"/>
      <c r="BH4" s="200"/>
      <c r="BI4" s="200"/>
    </row>
    <row r="5" spans="1:61" ht="15.75" customHeight="1" x14ac:dyDescent="0.2">
      <c r="A5" s="181" t="s">
        <v>14</v>
      </c>
      <c r="B5" s="181" t="s">
        <v>7</v>
      </c>
      <c r="C5" s="181" t="s">
        <v>466</v>
      </c>
      <c r="D5" s="181" t="s">
        <v>426</v>
      </c>
      <c r="E5" s="181" t="s">
        <v>467</v>
      </c>
      <c r="F5" s="181" t="s">
        <v>468</v>
      </c>
      <c r="G5" s="181" t="s">
        <v>469</v>
      </c>
      <c r="H5" s="181" t="s">
        <v>470</v>
      </c>
      <c r="I5" s="181" t="s">
        <v>1222</v>
      </c>
      <c r="J5" s="181" t="s">
        <v>472</v>
      </c>
      <c r="K5" s="181" t="s">
        <v>1223</v>
      </c>
      <c r="L5" s="237" t="s">
        <v>1224</v>
      </c>
      <c r="M5" s="181" t="s">
        <v>1225</v>
      </c>
      <c r="N5" s="181" t="s">
        <v>1226</v>
      </c>
      <c r="O5" s="181" t="s">
        <v>1227</v>
      </c>
      <c r="P5" s="181" t="s">
        <v>1228</v>
      </c>
      <c r="Q5" s="181" t="s">
        <v>1229</v>
      </c>
      <c r="R5" s="181" t="s">
        <v>1230</v>
      </c>
      <c r="S5" s="181" t="s">
        <v>1231</v>
      </c>
      <c r="T5" s="181" t="s">
        <v>1232</v>
      </c>
      <c r="U5" s="181" t="s">
        <v>1233</v>
      </c>
      <c r="V5" s="181" t="s">
        <v>1234</v>
      </c>
      <c r="W5" s="181" t="s">
        <v>479</v>
      </c>
      <c r="X5" s="181" t="s">
        <v>1235</v>
      </c>
      <c r="Y5" s="181" t="s">
        <v>1236</v>
      </c>
      <c r="Z5" s="181" t="s">
        <v>1237</v>
      </c>
      <c r="AA5" s="181" t="s">
        <v>1238</v>
      </c>
      <c r="AB5" s="181" t="s">
        <v>1239</v>
      </c>
      <c r="AC5" s="181" t="s">
        <v>1240</v>
      </c>
      <c r="AD5" s="181" t="s">
        <v>1241</v>
      </c>
      <c r="AE5" s="181" t="s">
        <v>1242</v>
      </c>
      <c r="AF5" s="181" t="s">
        <v>1243</v>
      </c>
      <c r="AG5" s="181" t="s">
        <v>1244</v>
      </c>
      <c r="AH5" s="181" t="s">
        <v>1245</v>
      </c>
      <c r="AI5" s="181" t="s">
        <v>1246</v>
      </c>
      <c r="AJ5" s="181" t="s">
        <v>1247</v>
      </c>
      <c r="AK5" s="181" t="s">
        <v>1248</v>
      </c>
      <c r="AL5" s="181" t="s">
        <v>1249</v>
      </c>
      <c r="AM5" s="181" t="s">
        <v>480</v>
      </c>
      <c r="AO5" s="200" t="s">
        <v>1250</v>
      </c>
      <c r="AP5" s="201" t="s">
        <v>1251</v>
      </c>
      <c r="AQ5" s="201"/>
      <c r="AR5" s="181" t="s">
        <v>1252</v>
      </c>
      <c r="AS5" s="181" t="s">
        <v>1253</v>
      </c>
      <c r="AT5" s="181" t="s">
        <v>1254</v>
      </c>
      <c r="AU5" s="181" t="s">
        <v>1255</v>
      </c>
      <c r="AV5" s="181" t="s">
        <v>1256</v>
      </c>
      <c r="AW5" s="181" t="s">
        <v>1257</v>
      </c>
      <c r="AX5" s="181" t="s">
        <v>1258</v>
      </c>
      <c r="AY5" s="181" t="s">
        <v>1259</v>
      </c>
      <c r="AZ5" s="181" t="s">
        <v>1260</v>
      </c>
      <c r="BA5" s="181" t="s">
        <v>1261</v>
      </c>
      <c r="BB5" s="181" t="s">
        <v>1262</v>
      </c>
      <c r="BC5" s="181" t="s">
        <v>1263</v>
      </c>
      <c r="BD5" s="181" t="s">
        <v>1264</v>
      </c>
      <c r="BE5" s="181" t="s">
        <v>1265</v>
      </c>
      <c r="BF5" s="181" t="s">
        <v>1266</v>
      </c>
      <c r="BG5" s="181" t="s">
        <v>1267</v>
      </c>
      <c r="BH5" s="181" t="s">
        <v>1268</v>
      </c>
      <c r="BI5" s="181" t="s">
        <v>1269</v>
      </c>
    </row>
    <row r="6" spans="1:61" x14ac:dyDescent="0.2">
      <c r="A6" s="192" t="s">
        <v>1270</v>
      </c>
      <c r="B6" s="192"/>
      <c r="C6" s="192"/>
      <c r="D6" s="192"/>
      <c r="E6" s="192"/>
      <c r="F6" s="192"/>
      <c r="G6" s="234"/>
      <c r="H6" s="192"/>
      <c r="I6" s="192"/>
      <c r="J6" s="192"/>
      <c r="K6" s="192"/>
      <c r="L6" s="238"/>
      <c r="M6" s="192"/>
      <c r="N6" s="192"/>
      <c r="O6" s="192"/>
      <c r="P6" s="192"/>
      <c r="Q6" s="192"/>
      <c r="R6" s="192"/>
      <c r="S6" s="192"/>
      <c r="T6" s="192"/>
      <c r="U6" s="192"/>
      <c r="V6" s="192"/>
      <c r="W6" s="192"/>
      <c r="X6" s="192"/>
      <c r="Y6" s="192"/>
      <c r="Z6" s="192"/>
      <c r="AA6" s="192"/>
      <c r="AB6" s="192"/>
      <c r="AC6" s="192"/>
      <c r="AD6" s="192"/>
      <c r="AE6" s="192"/>
      <c r="AF6" s="192"/>
      <c r="AG6" s="192"/>
      <c r="AH6" s="192"/>
      <c r="AI6" s="192"/>
      <c r="AJ6" s="192"/>
      <c r="AK6" s="192"/>
      <c r="AL6" s="192"/>
      <c r="AM6" s="192"/>
      <c r="AR6" s="192"/>
      <c r="AS6" s="192"/>
      <c r="AT6" s="192"/>
      <c r="AU6" s="192"/>
      <c r="AV6" s="192"/>
      <c r="AW6" s="192"/>
      <c r="AX6" s="192"/>
      <c r="AY6" s="192"/>
      <c r="AZ6" s="192"/>
      <c r="BA6" s="192"/>
      <c r="BB6" s="192"/>
      <c r="BC6" s="192"/>
      <c r="BD6" s="192"/>
      <c r="BE6" s="192"/>
      <c r="BF6" s="192"/>
      <c r="BG6" s="192"/>
      <c r="BH6" s="192"/>
      <c r="BI6" s="192"/>
    </row>
    <row r="7" spans="1:61" x14ac:dyDescent="0.2">
      <c r="A7" s="184" t="s">
        <v>464</v>
      </c>
      <c r="B7" s="184" t="s">
        <v>1271</v>
      </c>
      <c r="C7" s="184" t="s">
        <v>1272</v>
      </c>
      <c r="D7" s="184"/>
      <c r="E7" s="184" t="s">
        <v>136</v>
      </c>
      <c r="F7" s="184" t="s">
        <v>47</v>
      </c>
      <c r="G7" s="204">
        <v>2010</v>
      </c>
      <c r="H7" s="184">
        <v>30</v>
      </c>
      <c r="I7" s="184">
        <v>31.536000000000001</v>
      </c>
      <c r="J7" s="184">
        <f t="shared" ref="J7:J12" si="0">AP7/AO7</f>
        <v>0.34965034965034969</v>
      </c>
      <c r="K7" s="184">
        <v>0.1</v>
      </c>
      <c r="L7" s="243">
        <v>0</v>
      </c>
      <c r="M7" s="233">
        <v>6546.9994999999999</v>
      </c>
      <c r="N7" s="233">
        <v>3903.1781000000001</v>
      </c>
      <c r="O7" s="233">
        <v>3453.8020999999999</v>
      </c>
      <c r="P7" s="233">
        <v>3004.4261000000001</v>
      </c>
      <c r="Q7" s="233">
        <v>2839.3022000000001</v>
      </c>
      <c r="R7" s="233">
        <v>2674.1783999999998</v>
      </c>
      <c r="S7" s="233">
        <v>2596.4180000000001</v>
      </c>
      <c r="T7" s="233">
        <v>2558.6682999999998</v>
      </c>
      <c r="U7" s="233">
        <v>2540.0679</v>
      </c>
      <c r="V7" s="233">
        <v>2530.8353000000002</v>
      </c>
      <c r="W7" s="184">
        <v>10</v>
      </c>
      <c r="X7" s="184">
        <v>0</v>
      </c>
      <c r="Y7" s="184">
        <v>0.31357247061412835</v>
      </c>
      <c r="Z7" s="184">
        <v>0.31357247061412835</v>
      </c>
      <c r="AA7" s="184">
        <f>Z7*0.2</f>
        <v>6.2714494122825676E-2</v>
      </c>
      <c r="AB7" s="184">
        <v>0</v>
      </c>
      <c r="AC7" s="184">
        <v>0.30607339523151467</v>
      </c>
      <c r="AD7" s="184">
        <v>0.30607339523151467</v>
      </c>
      <c r="AE7" s="184">
        <v>0.30607339523151467</v>
      </c>
      <c r="AF7" s="184">
        <f>AE7*0.2</f>
        <v>6.1214679046302935E-2</v>
      </c>
      <c r="AG7" s="184">
        <v>0</v>
      </c>
      <c r="AH7" s="184">
        <v>0.30200089769518484</v>
      </c>
      <c r="AI7" s="184">
        <v>0.30200089769518484</v>
      </c>
      <c r="AJ7" s="184">
        <v>0.30200089769518484</v>
      </c>
      <c r="AK7" s="184">
        <f>AJ7*0.2</f>
        <v>6.0400179539036973E-2</v>
      </c>
      <c r="AL7" s="184">
        <v>0</v>
      </c>
      <c r="AM7" s="184">
        <v>0.15</v>
      </c>
      <c r="AO7" s="12">
        <v>2.86</v>
      </c>
      <c r="AP7" s="12">
        <v>1</v>
      </c>
      <c r="AR7" s="205"/>
      <c r="AS7" s="205"/>
      <c r="AT7" s="205"/>
      <c r="AU7" s="205"/>
      <c r="AV7" s="205"/>
      <c r="AW7" s="205"/>
      <c r="AX7" s="205"/>
      <c r="AY7" s="205"/>
      <c r="AZ7" s="205"/>
      <c r="BA7" s="205"/>
      <c r="BB7" s="205"/>
      <c r="BC7" s="205"/>
      <c r="BD7" s="205"/>
      <c r="BE7" s="205"/>
      <c r="BF7" s="205"/>
      <c r="BG7" s="205"/>
      <c r="BH7" s="205"/>
      <c r="BI7" s="205"/>
    </row>
    <row r="8" spans="1:61" x14ac:dyDescent="0.2">
      <c r="A8" s="184" t="s">
        <v>450</v>
      </c>
      <c r="B8" s="184" t="s">
        <v>1271</v>
      </c>
      <c r="C8" s="184" t="s">
        <v>1272</v>
      </c>
      <c r="D8" s="184"/>
      <c r="E8" s="184" t="s">
        <v>136</v>
      </c>
      <c r="F8" s="184" t="s">
        <v>47</v>
      </c>
      <c r="G8" s="204">
        <v>2010</v>
      </c>
      <c r="H8" s="184">
        <v>30</v>
      </c>
      <c r="I8" s="184">
        <v>31.536000000000001</v>
      </c>
      <c r="J8" s="184">
        <f t="shared" si="0"/>
        <v>0.34965034965034969</v>
      </c>
      <c r="K8" s="184">
        <v>0.1</v>
      </c>
      <c r="L8" s="243">
        <v>2E-3</v>
      </c>
      <c r="M8" s="233">
        <v>6546.9994999999999</v>
      </c>
      <c r="N8" s="233">
        <v>3903.1781000000001</v>
      </c>
      <c r="O8" s="233">
        <v>3453.8020999999999</v>
      </c>
      <c r="P8" s="233">
        <v>3004.4261000000001</v>
      </c>
      <c r="Q8" s="233">
        <v>2839.3022000000001</v>
      </c>
      <c r="R8" s="233">
        <v>2674.1783999999998</v>
      </c>
      <c r="S8" s="233">
        <v>2596.4180000000001</v>
      </c>
      <c r="T8" s="233">
        <v>2558.6682999999998</v>
      </c>
      <c r="U8" s="233">
        <v>2540.0679</v>
      </c>
      <c r="V8" s="233">
        <v>2530.8353000000002</v>
      </c>
      <c r="W8" s="184">
        <v>10</v>
      </c>
      <c r="X8" s="184">
        <v>0</v>
      </c>
      <c r="Y8" s="184">
        <v>0.31735100022049006</v>
      </c>
      <c r="Z8" s="184">
        <v>0.31735100022049006</v>
      </c>
      <c r="AA8" s="184">
        <f t="shared" ref="AA8:AA12" si="1">Z8*0.2</f>
        <v>6.3470200044098021E-2</v>
      </c>
      <c r="AB8" s="184">
        <v>0</v>
      </c>
      <c r="AC8" s="184">
        <v>0.30541736829054811</v>
      </c>
      <c r="AD8" s="184">
        <v>0.30541736829054811</v>
      </c>
      <c r="AE8" s="184">
        <v>0.30541736829054811</v>
      </c>
      <c r="AF8" s="184">
        <f t="shared" ref="AF8:AF12" si="2">AE8*0.2</f>
        <v>6.1083473658109622E-2</v>
      </c>
      <c r="AG8" s="184">
        <v>0</v>
      </c>
      <c r="AH8" s="184">
        <v>0.29271621122891978</v>
      </c>
      <c r="AI8" s="184">
        <v>0.29271621122891978</v>
      </c>
      <c r="AJ8" s="184">
        <v>0.29271621122891978</v>
      </c>
      <c r="AK8" s="184">
        <f t="shared" ref="AK8:AK12" si="3">AJ8*0.2</f>
        <v>5.8543242245783958E-2</v>
      </c>
      <c r="AL8" s="184">
        <v>0</v>
      </c>
      <c r="AM8" s="184">
        <v>0.15</v>
      </c>
      <c r="AO8" s="12">
        <v>2.86</v>
      </c>
      <c r="AP8" s="12">
        <v>1</v>
      </c>
      <c r="AR8" s="205">
        <f>'Rooftop Calc'!M70</f>
        <v>7.1942858114977873E-3</v>
      </c>
      <c r="AS8" s="205">
        <f>'Rooftop Calc'!M76</f>
        <v>0.10932347717678081</v>
      </c>
      <c r="AT8" s="205">
        <f>'Rooftop Calc'!M82</f>
        <v>0.24495479522829974</v>
      </c>
      <c r="AU8" s="205">
        <f>'Rooftop Calc'!M89</f>
        <v>0.43038220592845922</v>
      </c>
      <c r="AV8" s="205">
        <f>'Rooftop Calc'!M96</f>
        <v>0.61580961662861866</v>
      </c>
      <c r="AW8" s="205">
        <f>'Rooftop Calc'!M103</f>
        <v>0.80123702732877811</v>
      </c>
      <c r="AX8" s="205">
        <f>'Rooftop Calc'!M110</f>
        <v>0.98666443802893755</v>
      </c>
      <c r="AY8" s="205">
        <f>'Rooftop Calc'!M117</f>
        <v>1.1648975629175993</v>
      </c>
      <c r="AZ8" s="205">
        <f>'Rooftop Calc'!M124</f>
        <v>1.2410014964409779</v>
      </c>
      <c r="BA8" s="205">
        <f>'Rooftop Calc'!M131</f>
        <v>1.3072234056828123</v>
      </c>
      <c r="BB8" s="205">
        <f>'Rooftop Calc'!U82</f>
        <v>0.37638511428005966</v>
      </c>
      <c r="BC8" s="205">
        <f>'Rooftop Calc'!U89</f>
        <v>0.64266586940350445</v>
      </c>
      <c r="BD8" s="205">
        <f>'Rooftop Calc'!U96</f>
        <v>0.90972750650678336</v>
      </c>
      <c r="BE8" s="205">
        <f>'Rooftop Calc'!U103</f>
        <v>1.1760082616302281</v>
      </c>
      <c r="BF8" s="205">
        <f>'Rooftop Calc'!U110</f>
        <v>1.4430698987335069</v>
      </c>
      <c r="BG8" s="205">
        <f>'Rooftop Calc'!U117</f>
        <v>1.7093506538569516</v>
      </c>
      <c r="BH8" s="205">
        <f>'Rooftop Calc'!U124</f>
        <v>1.9764122909602304</v>
      </c>
      <c r="BI8" s="205">
        <f>'Rooftop Calc'!U131</f>
        <v>2.2426930460836751</v>
      </c>
    </row>
    <row r="9" spans="1:61" x14ac:dyDescent="0.2">
      <c r="A9" s="184" t="s">
        <v>453</v>
      </c>
      <c r="B9" s="184" t="s">
        <v>1271</v>
      </c>
      <c r="C9" s="184" t="s">
        <v>1272</v>
      </c>
      <c r="D9" s="184"/>
      <c r="E9" s="184" t="s">
        <v>136</v>
      </c>
      <c r="F9" s="184" t="s">
        <v>47</v>
      </c>
      <c r="G9" s="204">
        <v>2010</v>
      </c>
      <c r="H9" s="184">
        <v>30</v>
      </c>
      <c r="I9" s="184">
        <v>31.536000000000001</v>
      </c>
      <c r="J9" s="184">
        <f t="shared" si="0"/>
        <v>0.34965034965034969</v>
      </c>
      <c r="K9" s="184">
        <v>0.1</v>
      </c>
      <c r="L9" s="243">
        <v>2E-3</v>
      </c>
      <c r="M9" s="233">
        <v>6546.9994999999999</v>
      </c>
      <c r="N9" s="233">
        <v>3903.1781000000001</v>
      </c>
      <c r="O9" s="233">
        <v>3453.8020999999999</v>
      </c>
      <c r="P9" s="233">
        <v>3004.4261000000001</v>
      </c>
      <c r="Q9" s="233">
        <v>2839.3022000000001</v>
      </c>
      <c r="R9" s="233">
        <v>2674.1783999999998</v>
      </c>
      <c r="S9" s="233">
        <v>2596.4180000000001</v>
      </c>
      <c r="T9" s="233">
        <v>2558.6682999999998</v>
      </c>
      <c r="U9" s="233">
        <v>2540.0679</v>
      </c>
      <c r="V9" s="233">
        <v>2530.8353000000002</v>
      </c>
      <c r="W9" s="184">
        <v>10</v>
      </c>
      <c r="X9" s="184">
        <v>0</v>
      </c>
      <c r="Y9" s="184">
        <v>0.29713463926757661</v>
      </c>
      <c r="Z9" s="184">
        <v>0.29713463926757661</v>
      </c>
      <c r="AA9" s="184">
        <f t="shared" si="1"/>
        <v>5.9426927853515325E-2</v>
      </c>
      <c r="AB9" s="184">
        <v>0</v>
      </c>
      <c r="AC9" s="184">
        <v>0.30672516343634604</v>
      </c>
      <c r="AD9" s="184">
        <v>0.30672516343634604</v>
      </c>
      <c r="AE9" s="184">
        <v>0.30672516343634604</v>
      </c>
      <c r="AF9" s="184">
        <f t="shared" si="2"/>
        <v>6.1345032687269208E-2</v>
      </c>
      <c r="AG9" s="184">
        <v>0</v>
      </c>
      <c r="AH9" s="184">
        <v>0.26137286823123029</v>
      </c>
      <c r="AI9" s="184">
        <v>0.26137286823123029</v>
      </c>
      <c r="AJ9" s="184">
        <v>0.26137286823123029</v>
      </c>
      <c r="AK9" s="184">
        <f t="shared" si="3"/>
        <v>5.2274573646246061E-2</v>
      </c>
      <c r="AL9" s="184">
        <v>0</v>
      </c>
      <c r="AM9" s="184">
        <v>0.15</v>
      </c>
      <c r="AO9" s="12">
        <v>2.86</v>
      </c>
      <c r="AP9" s="12">
        <v>1</v>
      </c>
      <c r="AR9" s="205">
        <f>'Rooftop Calc'!N70</f>
        <v>3.7521802351898671E-3</v>
      </c>
      <c r="AS9" s="205">
        <f>'Rooftop Calc'!N76</f>
        <v>7.3445453862883162E-2</v>
      </c>
      <c r="AT9" s="205">
        <f>'Rooftop Calc'!N82</f>
        <v>0.13819492254042207</v>
      </c>
      <c r="AU9" s="205">
        <f>'Rooftop Calc'!N89</f>
        <v>0.20768261722539577</v>
      </c>
      <c r="AV9" s="205">
        <f>'Rooftop Calc'!N96</f>
        <v>0.27717031191036945</v>
      </c>
      <c r="AW9" s="205">
        <f>'Rooftop Calc'!N103</f>
        <v>0.34665800659534318</v>
      </c>
      <c r="AX9" s="205">
        <f>'Rooftop Calc'!N110</f>
        <v>0.41614570128031692</v>
      </c>
      <c r="AY9" s="205">
        <f>'Rooftop Calc'!N117</f>
        <v>0.48188121573010079</v>
      </c>
      <c r="AZ9" s="205">
        <f>'Rooftop Calc'!N124</f>
        <v>0.47792345655219137</v>
      </c>
      <c r="BA9" s="205">
        <f>'Rooftop Calc'!N131</f>
        <v>0.46631307989141807</v>
      </c>
      <c r="BB9" s="205">
        <f>'Rooftop Calc'!V82</f>
        <v>0.25286220544221205</v>
      </c>
      <c r="BC9" s="205">
        <f>'Rooftop Calc'!V89</f>
        <v>0.43175434663680606</v>
      </c>
      <c r="BD9" s="205">
        <f>'Rooftop Calc'!V96</f>
        <v>0.61117109821613502</v>
      </c>
      <c r="BE9" s="205">
        <f>'Rooftop Calc'!V103</f>
        <v>0.79006323941072898</v>
      </c>
      <c r="BF9" s="205">
        <f>'Rooftop Calc'!V110</f>
        <v>0.96947999099005777</v>
      </c>
      <c r="BG9" s="205">
        <f>'Rooftop Calc'!V117</f>
        <v>1.1483721321846518</v>
      </c>
      <c r="BH9" s="205">
        <f>'Rooftop Calc'!V124</f>
        <v>1.3277888837639806</v>
      </c>
      <c r="BI9" s="205">
        <f>'Rooftop Calc'!V131</f>
        <v>1.5066810249585747</v>
      </c>
    </row>
    <row r="10" spans="1:61" x14ac:dyDescent="0.2">
      <c r="A10" s="184" t="s">
        <v>384</v>
      </c>
      <c r="B10" s="184" t="s">
        <v>1271</v>
      </c>
      <c r="C10" s="184" t="s">
        <v>1272</v>
      </c>
      <c r="D10" s="184"/>
      <c r="E10" s="184" t="s">
        <v>136</v>
      </c>
      <c r="F10" s="184" t="s">
        <v>47</v>
      </c>
      <c r="G10" s="204">
        <v>2010</v>
      </c>
      <c r="H10" s="184">
        <v>30</v>
      </c>
      <c r="I10" s="184">
        <v>31.536000000000001</v>
      </c>
      <c r="J10" s="184">
        <f t="shared" si="0"/>
        <v>0.34965034965034969</v>
      </c>
      <c r="K10" s="184">
        <v>0.1</v>
      </c>
      <c r="L10" s="243">
        <v>4.0000000000000002E-4</v>
      </c>
      <c r="M10" s="233">
        <v>6546.9994999999999</v>
      </c>
      <c r="N10" s="233">
        <v>3903.1781000000001</v>
      </c>
      <c r="O10" s="233">
        <v>3453.8020999999999</v>
      </c>
      <c r="P10" s="233">
        <v>3004.4261000000001</v>
      </c>
      <c r="Q10" s="233">
        <v>2839.3022000000001</v>
      </c>
      <c r="R10" s="233">
        <v>2674.1783999999998</v>
      </c>
      <c r="S10" s="233">
        <v>2596.4180000000001</v>
      </c>
      <c r="T10" s="233">
        <v>2558.6682999999998</v>
      </c>
      <c r="U10" s="233">
        <v>2540.0679</v>
      </c>
      <c r="V10" s="233">
        <v>2530.8353000000002</v>
      </c>
      <c r="W10" s="184">
        <v>10</v>
      </c>
      <c r="X10" s="184">
        <v>0</v>
      </c>
      <c r="Y10" s="184">
        <v>0.33039362066850508</v>
      </c>
      <c r="Z10" s="184">
        <v>0.33039362066850508</v>
      </c>
      <c r="AA10" s="184">
        <f t="shared" si="1"/>
        <v>6.6078724133701014E-2</v>
      </c>
      <c r="AB10" s="184">
        <v>0</v>
      </c>
      <c r="AC10" s="184">
        <v>0.32440091699064305</v>
      </c>
      <c r="AD10" s="184">
        <v>0.32440091699064305</v>
      </c>
      <c r="AE10" s="184">
        <v>0.32440091699064305</v>
      </c>
      <c r="AF10" s="184">
        <f t="shared" si="2"/>
        <v>6.4880183398128607E-2</v>
      </c>
      <c r="AG10" s="184">
        <v>0</v>
      </c>
      <c r="AH10" s="184">
        <v>0.34679381784356855</v>
      </c>
      <c r="AI10" s="184">
        <v>0.34679381784356855</v>
      </c>
      <c r="AJ10" s="184">
        <v>0.34679381784356855</v>
      </c>
      <c r="AK10" s="184">
        <f t="shared" si="3"/>
        <v>6.9358763568713719E-2</v>
      </c>
      <c r="AL10" s="184">
        <v>0</v>
      </c>
      <c r="AM10" s="184">
        <v>0.15</v>
      </c>
      <c r="AO10" s="12">
        <v>2.86</v>
      </c>
      <c r="AP10" s="12">
        <v>1</v>
      </c>
      <c r="AR10" s="205">
        <f>'Rooftop Calc'!O70</f>
        <v>1.1971758218316494E-3</v>
      </c>
      <c r="AS10" s="205">
        <f>'Rooftop Calc'!O76</f>
        <v>9.3113675031350502E-3</v>
      </c>
      <c r="AT10" s="205">
        <f>'Rooftop Calc'!O82</f>
        <v>1.7876875466478162E-2</v>
      </c>
      <c r="AU10" s="205">
        <f>'Rooftop Calc'!O89</f>
        <v>2.4528127494151133E-2</v>
      </c>
      <c r="AV10" s="205">
        <f>'Rooftop Calc'!O96</f>
        <v>3.1179379521824105E-2</v>
      </c>
      <c r="AW10" s="205">
        <f>'Rooftop Calc'!O103</f>
        <v>3.7830631549497076E-2</v>
      </c>
      <c r="AX10" s="205">
        <f>'Rooftop Calc'!O110</f>
        <v>4.4481883577170048E-2</v>
      </c>
      <c r="AY10" s="205">
        <f>'Rooftop Calc'!O117</f>
        <v>4.9935959783011373E-2</v>
      </c>
      <c r="AZ10" s="205">
        <f>'Rooftop Calc'!O124</f>
        <v>4.7275844307549296E-2</v>
      </c>
      <c r="BA10" s="205">
        <f>'Rooftop Calc'!O131</f>
        <v>4.2167344118867592E-2</v>
      </c>
      <c r="BB10" s="205">
        <f>'Rooftop Calc'!W82</f>
        <v>3.2057708117936387E-2</v>
      </c>
      <c r="BC10" s="205">
        <f>'Rooftop Calc'!W89</f>
        <v>5.4737538964858189E-2</v>
      </c>
      <c r="BD10" s="205">
        <f>'Rooftop Calc'!W96</f>
        <v>7.7483879579659534E-2</v>
      </c>
      <c r="BE10" s="205">
        <f>'Rooftop Calc'!W103</f>
        <v>0.10016371042658133</v>
      </c>
      <c r="BF10" s="205">
        <f>'Rooftop Calc'!W110</f>
        <v>0.12291005104138267</v>
      </c>
      <c r="BG10" s="205">
        <f>'Rooftop Calc'!W117</f>
        <v>0.14558988188830449</v>
      </c>
      <c r="BH10" s="205">
        <f>'Rooftop Calc'!W124</f>
        <v>0.16833622250310581</v>
      </c>
      <c r="BI10" s="205">
        <f>'Rooftop Calc'!W131</f>
        <v>0.19101605335002761</v>
      </c>
    </row>
    <row r="11" spans="1:61" x14ac:dyDescent="0.2">
      <c r="A11" s="184" t="s">
        <v>458</v>
      </c>
      <c r="B11" s="184" t="s">
        <v>1271</v>
      </c>
      <c r="C11" s="184" t="s">
        <v>1272</v>
      </c>
      <c r="D11" s="184"/>
      <c r="E11" s="184" t="s">
        <v>136</v>
      </c>
      <c r="F11" s="184" t="s">
        <v>47</v>
      </c>
      <c r="G11" s="204">
        <v>2010</v>
      </c>
      <c r="H11" s="184">
        <v>30</v>
      </c>
      <c r="I11" s="184">
        <v>31.536000000000001</v>
      </c>
      <c r="J11" s="184">
        <f t="shared" si="0"/>
        <v>0.34965034965034969</v>
      </c>
      <c r="K11" s="184">
        <v>0.1</v>
      </c>
      <c r="L11" s="243">
        <v>5.9999999999999995E-4</v>
      </c>
      <c r="M11" s="233">
        <v>6546.9994999999999</v>
      </c>
      <c r="N11" s="233">
        <v>3903.1781000000001</v>
      </c>
      <c r="O11" s="233">
        <v>3453.8020999999999</v>
      </c>
      <c r="P11" s="233">
        <v>3004.4261000000001</v>
      </c>
      <c r="Q11" s="233">
        <v>2839.3022000000001</v>
      </c>
      <c r="R11" s="233">
        <v>2674.1783999999998</v>
      </c>
      <c r="S11" s="233">
        <v>2596.4180000000001</v>
      </c>
      <c r="T11" s="233">
        <v>2558.6682999999998</v>
      </c>
      <c r="U11" s="233">
        <v>2540.0679</v>
      </c>
      <c r="V11" s="233">
        <v>2530.8353000000002</v>
      </c>
      <c r="W11" s="184">
        <v>10</v>
      </c>
      <c r="X11" s="184">
        <v>0</v>
      </c>
      <c r="Y11" s="184">
        <v>0.34379747607645139</v>
      </c>
      <c r="Z11" s="184">
        <v>0.34379747607645139</v>
      </c>
      <c r="AA11" s="184">
        <f t="shared" si="1"/>
        <v>6.8759495215290276E-2</v>
      </c>
      <c r="AB11" s="184">
        <v>0</v>
      </c>
      <c r="AC11" s="184">
        <v>0.29466039144191863</v>
      </c>
      <c r="AD11" s="184">
        <v>0.29466039144191863</v>
      </c>
      <c r="AE11" s="184">
        <v>0.29466039144191863</v>
      </c>
      <c r="AF11" s="184">
        <f t="shared" si="2"/>
        <v>5.8932078288383732E-2</v>
      </c>
      <c r="AG11" s="184">
        <v>0</v>
      </c>
      <c r="AH11" s="184">
        <v>0.36077416278414398</v>
      </c>
      <c r="AI11" s="184">
        <v>0.36077416278414398</v>
      </c>
      <c r="AJ11" s="184">
        <v>0.36077416278414398</v>
      </c>
      <c r="AK11" s="184">
        <f t="shared" si="3"/>
        <v>7.2154832556828793E-2</v>
      </c>
      <c r="AL11" s="184">
        <v>0</v>
      </c>
      <c r="AM11" s="184">
        <v>0.15</v>
      </c>
      <c r="AO11" s="12">
        <v>2.86</v>
      </c>
      <c r="AP11" s="12">
        <v>1</v>
      </c>
      <c r="AR11" s="205">
        <f>'Rooftop Calc'!P70</f>
        <v>1.7437234650240132E-3</v>
      </c>
      <c r="AS11" s="205">
        <f>'Rooftop Calc'!P76</f>
        <v>0.32033225772176427</v>
      </c>
      <c r="AT11" s="205">
        <f>'Rooftop Calc'!P82</f>
        <v>0.57040472589791513</v>
      </c>
      <c r="AU11" s="205">
        <f>'Rooftop Calc'!P89</f>
        <v>1.0832857924118793</v>
      </c>
      <c r="AV11" s="205">
        <f>'Rooftop Calc'!P96</f>
        <v>1.5961668589258433</v>
      </c>
      <c r="AW11" s="205">
        <f>'Rooftop Calc'!P103</f>
        <v>2.1090479254398073</v>
      </c>
      <c r="AX11" s="205">
        <f>'Rooftop Calc'!P110</f>
        <v>2.6219289919537712</v>
      </c>
      <c r="AY11" s="205">
        <f>'Rooftop Calc'!P117</f>
        <v>3.1330663350027113</v>
      </c>
      <c r="AZ11" s="205">
        <f>'Rooftop Calc'!P124</f>
        <v>3.3256151437949111</v>
      </c>
      <c r="BA11" s="205">
        <f>'Rooftop Calc'!P131</f>
        <v>3.7957364031769276</v>
      </c>
      <c r="BB11" s="205">
        <f>'Rooftop Calc'!X82</f>
        <v>1.1028582015849313</v>
      </c>
      <c r="BC11" s="205">
        <f>'Rooftop Calc'!X89</f>
        <v>1.883096057892943</v>
      </c>
      <c r="BD11" s="205">
        <f>'Rooftop Calc'!X96</f>
        <v>2.6656220017561103</v>
      </c>
      <c r="BE11" s="205">
        <f>'Rooftop Calc'!X103</f>
        <v>3.4458598580641215</v>
      </c>
      <c r="BF11" s="205">
        <f>'Rooftop Calc'!X110</f>
        <v>4.2283858019272884</v>
      </c>
      <c r="BG11" s="205">
        <f>'Rooftop Calc'!X117</f>
        <v>5.008623658235301</v>
      </c>
      <c r="BH11" s="205">
        <f>'Rooftop Calc'!X124</f>
        <v>5.791149602098467</v>
      </c>
      <c r="BI11" s="205">
        <f>'Rooftop Calc'!X131</f>
        <v>6.5713874584064786</v>
      </c>
    </row>
    <row r="12" spans="1:61" x14ac:dyDescent="0.2">
      <c r="A12" s="184" t="s">
        <v>461</v>
      </c>
      <c r="B12" s="184" t="s">
        <v>1271</v>
      </c>
      <c r="C12" s="184" t="s">
        <v>1272</v>
      </c>
      <c r="D12" s="184"/>
      <c r="E12" s="184" t="s">
        <v>136</v>
      </c>
      <c r="F12" s="184" t="s">
        <v>47</v>
      </c>
      <c r="G12" s="204">
        <v>2010</v>
      </c>
      <c r="H12" s="184">
        <v>30</v>
      </c>
      <c r="I12" s="184">
        <v>31.536000000000001</v>
      </c>
      <c r="J12" s="184">
        <f t="shared" si="0"/>
        <v>0.34965034965034969</v>
      </c>
      <c r="K12" s="184">
        <v>0.1</v>
      </c>
      <c r="L12" s="243">
        <v>4.0000000000000001E-3</v>
      </c>
      <c r="M12" s="233">
        <v>6546.9994999999999</v>
      </c>
      <c r="N12" s="233">
        <v>3903.1781000000001</v>
      </c>
      <c r="O12" s="233">
        <v>3453.8020999999999</v>
      </c>
      <c r="P12" s="233">
        <v>3004.4261000000001</v>
      </c>
      <c r="Q12" s="233">
        <v>2839.3022000000001</v>
      </c>
      <c r="R12" s="233">
        <v>2674.1783999999998</v>
      </c>
      <c r="S12" s="233">
        <v>2596.4180000000001</v>
      </c>
      <c r="T12" s="233">
        <v>2558.6682999999998</v>
      </c>
      <c r="U12" s="233">
        <v>2540.0679</v>
      </c>
      <c r="V12" s="233">
        <v>2530.8353000000002</v>
      </c>
      <c r="W12" s="184">
        <v>10</v>
      </c>
      <c r="X12" s="184">
        <v>0</v>
      </c>
      <c r="Y12" s="184">
        <v>0.34054374080256677</v>
      </c>
      <c r="Z12" s="184">
        <v>0.34054374080256677</v>
      </c>
      <c r="AA12" s="184">
        <f t="shared" si="1"/>
        <v>6.8108748160513363E-2</v>
      </c>
      <c r="AB12" s="184">
        <v>0</v>
      </c>
      <c r="AC12" s="184">
        <v>0.30737100997881689</v>
      </c>
      <c r="AD12" s="184">
        <v>0.30737100997881689</v>
      </c>
      <c r="AE12" s="184">
        <v>0.30737100997881689</v>
      </c>
      <c r="AF12" s="184">
        <f t="shared" si="2"/>
        <v>6.1474201995763381E-2</v>
      </c>
      <c r="AG12" s="184">
        <v>0</v>
      </c>
      <c r="AH12" s="184">
        <v>0.32128123658006663</v>
      </c>
      <c r="AI12" s="184">
        <v>0.32128123658006663</v>
      </c>
      <c r="AJ12" s="184">
        <v>0.32128123658006663</v>
      </c>
      <c r="AK12" s="184">
        <f t="shared" si="3"/>
        <v>6.4256247316013329E-2</v>
      </c>
      <c r="AL12" s="184">
        <v>0</v>
      </c>
      <c r="AM12" s="184">
        <v>0.15</v>
      </c>
      <c r="AO12" s="12">
        <v>2.86</v>
      </c>
      <c r="AP12" s="12">
        <v>1</v>
      </c>
      <c r="AR12" s="205">
        <f>'Rooftop Calc'!Q70</f>
        <v>1.2992495251735915E-2</v>
      </c>
      <c r="AS12" s="205">
        <f>'Rooftop Calc'!Q76</f>
        <v>0.17522773201354364</v>
      </c>
      <c r="AT12" s="205">
        <f>'Rooftop Calc'!Q82</f>
        <v>0.4719279286366293</v>
      </c>
      <c r="AU12" s="205">
        <f>'Rooftop Calc'!Q89</f>
        <v>0.89933032747714281</v>
      </c>
      <c r="AV12" s="205">
        <f>'Rooftop Calc'!Q96</f>
        <v>1.3267327263176563</v>
      </c>
      <c r="AW12" s="205">
        <f>'Rooftop Calc'!Q103</f>
        <v>1.7541351251581698</v>
      </c>
      <c r="AX12" s="205">
        <f>'Rooftop Calc'!Q110</f>
        <v>2.1815375239986832</v>
      </c>
      <c r="AY12" s="205">
        <f>'Rooftop Calc'!Q117</f>
        <v>2.5959474275874608</v>
      </c>
      <c r="AZ12" s="205">
        <f>'Rooftop Calc'!Q124</f>
        <v>2.8481220944144305</v>
      </c>
      <c r="BA12" s="205">
        <f>'Rooftop Calc'!Q131</f>
        <v>3.1386879447525131</v>
      </c>
      <c r="BB12" s="205">
        <f>'Rooftop Calc'!Y82</f>
        <v>0.60328404878948594</v>
      </c>
      <c r="BC12" s="205">
        <f>'Rooftop Calc'!Y89</f>
        <v>1.0300887389081888</v>
      </c>
      <c r="BD12" s="205">
        <f>'Rooftop Calc'!Y96</f>
        <v>1.4581450556841313</v>
      </c>
      <c r="BE12" s="205">
        <f>'Rooftop Calc'!Y103</f>
        <v>1.8849497458028339</v>
      </c>
      <c r="BF12" s="205">
        <f>'Rooftop Calc'!Y110</f>
        <v>2.3130060625787761</v>
      </c>
      <c r="BG12" s="205">
        <f>'Rooftop Calc'!Y117</f>
        <v>2.7398107526974789</v>
      </c>
      <c r="BH12" s="205">
        <f>'Rooftop Calc'!Y124</f>
        <v>3.167867069473421</v>
      </c>
      <c r="BI12" s="205">
        <f>'Rooftop Calc'!Y131</f>
        <v>3.5946717595921238</v>
      </c>
    </row>
    <row r="13" spans="1:61" x14ac:dyDescent="0.2">
      <c r="A13" s="184" t="s">
        <v>27</v>
      </c>
      <c r="B13" s="184"/>
      <c r="C13" s="184"/>
      <c r="D13" s="184"/>
      <c r="E13" s="184"/>
      <c r="F13" s="184"/>
      <c r="G13" s="204"/>
      <c r="H13" s="184"/>
      <c r="I13" s="184"/>
      <c r="J13" s="184"/>
      <c r="K13" s="184"/>
      <c r="L13" s="242"/>
      <c r="M13" s="184"/>
      <c r="N13" s="184"/>
      <c r="O13" s="184"/>
      <c r="P13" s="184"/>
      <c r="Q13" s="184"/>
      <c r="R13" s="184"/>
      <c r="S13" s="184"/>
      <c r="T13" s="184"/>
      <c r="U13" s="184"/>
      <c r="V13" s="184"/>
      <c r="W13" s="184"/>
      <c r="X13" s="184"/>
      <c r="Y13" s="184"/>
      <c r="Z13" s="184"/>
      <c r="AA13" s="184"/>
      <c r="AB13" s="184"/>
      <c r="AC13" s="184"/>
      <c r="AD13" s="184"/>
      <c r="AE13" s="184"/>
      <c r="AF13" s="184"/>
      <c r="AG13" s="184"/>
      <c r="AH13" s="184"/>
      <c r="AI13" s="184"/>
      <c r="AJ13" s="184"/>
      <c r="AK13" s="184"/>
      <c r="AL13" s="184"/>
      <c r="AM13" s="184"/>
      <c r="AR13" s="205">
        <f>SUM(AR8:AR12)</f>
        <v>2.6879860585279233E-2</v>
      </c>
      <c r="AS13" s="205">
        <f>SUM(AS8:AS12)</f>
        <v>0.68764028827810697</v>
      </c>
      <c r="AT13" s="205">
        <f t="shared" ref="AT13:BI13" si="4">SUM(AT8:AT12)</f>
        <v>1.4433592477697443</v>
      </c>
      <c r="AU13" s="205">
        <f t="shared" si="4"/>
        <v>2.6452090705370281</v>
      </c>
      <c r="AV13" s="205">
        <f t="shared" si="4"/>
        <v>3.8470588933043119</v>
      </c>
      <c r="AW13" s="205">
        <f t="shared" si="4"/>
        <v>5.0489087160715957</v>
      </c>
      <c r="AX13" s="205">
        <f t="shared" si="4"/>
        <v>6.2507585388388787</v>
      </c>
      <c r="AY13" s="205">
        <f t="shared" si="4"/>
        <v>7.4257285010208829</v>
      </c>
      <c r="AZ13" s="205">
        <f t="shared" si="4"/>
        <v>7.9399380355100604</v>
      </c>
      <c r="BA13" s="205">
        <f t="shared" si="4"/>
        <v>8.750128177622539</v>
      </c>
      <c r="BB13" s="205">
        <f t="shared" si="4"/>
        <v>2.367447278214625</v>
      </c>
      <c r="BC13" s="205">
        <f t="shared" si="4"/>
        <v>4.0423425518063008</v>
      </c>
      <c r="BD13" s="205">
        <f t="shared" si="4"/>
        <v>5.7221495417428194</v>
      </c>
      <c r="BE13" s="205">
        <f t="shared" si="4"/>
        <v>7.3970448153344943</v>
      </c>
      <c r="BF13" s="205">
        <f t="shared" si="4"/>
        <v>9.0768518052710121</v>
      </c>
      <c r="BG13" s="205">
        <f t="shared" si="4"/>
        <v>10.751747078862689</v>
      </c>
      <c r="BH13" s="205">
        <f t="shared" si="4"/>
        <v>12.431554068799205</v>
      </c>
      <c r="BI13" s="205">
        <f t="shared" si="4"/>
        <v>14.106449342390881</v>
      </c>
    </row>
    <row r="14" spans="1:61" x14ac:dyDescent="0.2">
      <c r="A14" s="184" t="s">
        <v>27</v>
      </c>
      <c r="B14" s="184"/>
      <c r="C14" s="184"/>
      <c r="D14" s="184"/>
      <c r="E14" s="184"/>
      <c r="F14" s="184"/>
      <c r="G14" s="204"/>
      <c r="H14" s="184"/>
      <c r="I14" s="184"/>
      <c r="J14" s="184"/>
      <c r="K14" s="184"/>
      <c r="L14" s="242"/>
      <c r="M14" s="184"/>
      <c r="N14" s="184"/>
      <c r="O14" s="184"/>
      <c r="P14" s="184"/>
      <c r="Q14" s="184"/>
      <c r="R14" s="184"/>
      <c r="S14" s="184"/>
      <c r="T14" s="184"/>
      <c r="U14" s="184"/>
      <c r="V14" s="184"/>
      <c r="W14" s="184"/>
      <c r="X14" s="184"/>
      <c r="Y14" s="184"/>
      <c r="Z14" s="184"/>
      <c r="AA14" s="184"/>
      <c r="AB14" s="184"/>
      <c r="AC14" s="184"/>
      <c r="AD14" s="184"/>
      <c r="AE14" s="184"/>
      <c r="AF14" s="184"/>
      <c r="AG14" s="184"/>
      <c r="AH14" s="184"/>
      <c r="AI14" s="184"/>
      <c r="AJ14" s="184"/>
      <c r="AK14" s="184"/>
      <c r="AL14" s="184"/>
      <c r="AM14" s="184"/>
      <c r="AR14" s="205"/>
      <c r="AS14" s="205"/>
      <c r="AT14" s="205"/>
      <c r="AU14" s="205"/>
      <c r="AV14" s="205"/>
      <c r="AW14" s="205"/>
      <c r="AX14" s="205"/>
      <c r="AY14" s="205"/>
      <c r="AZ14" s="205"/>
      <c r="BA14" s="205"/>
      <c r="BB14" s="205"/>
      <c r="BC14" s="205"/>
      <c r="BD14" s="205"/>
      <c r="BE14" s="205"/>
      <c r="BF14" s="205"/>
      <c r="BG14" s="205"/>
      <c r="BH14" s="205"/>
      <c r="BI14" s="205"/>
    </row>
    <row r="22" spans="7:7" x14ac:dyDescent="0.2">
      <c r="G22" s="202" t="s">
        <v>1273</v>
      </c>
    </row>
  </sheetData>
  <pageMargins left="0.75" right="0.75" top="1" bottom="1" header="0.5" footer="0.5"/>
  <pageSetup paperSize="9" orientation="landscape" horizont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1">
    <tabColor rgb="FFFFC000"/>
  </sheetPr>
  <dimension ref="A1:Y54"/>
  <sheetViews>
    <sheetView zoomScale="80" zoomScaleNormal="80" workbookViewId="0">
      <selection activeCell="I49" sqref="I49"/>
    </sheetView>
  </sheetViews>
  <sheetFormatPr defaultColWidth="9.140625" defaultRowHeight="12.75" x14ac:dyDescent="0.2"/>
  <cols>
    <col min="1" max="1" width="25.5703125" style="12" bestFit="1" customWidth="1"/>
    <col min="2" max="2" width="30.85546875" style="12" bestFit="1" customWidth="1"/>
    <col min="3" max="3" width="43.140625" style="12" bestFit="1" customWidth="1"/>
    <col min="4" max="4" width="7" style="12" bestFit="1" customWidth="1"/>
    <col min="5" max="6" width="12.85546875" style="12" bestFit="1" customWidth="1"/>
    <col min="7" max="7" width="14.140625" style="12" bestFit="1" customWidth="1"/>
    <col min="8" max="8" width="12.85546875" style="12" bestFit="1" customWidth="1"/>
    <col min="9" max="9" width="6.42578125" style="12" bestFit="1" customWidth="1"/>
    <col min="10" max="10" width="11.7109375" style="12" bestFit="1" customWidth="1"/>
    <col min="11" max="12" width="10.5703125" style="12" bestFit="1" customWidth="1"/>
    <col min="13" max="13" width="6" style="12" bestFit="1" customWidth="1"/>
    <col min="14" max="14" width="10.140625" style="12" bestFit="1" customWidth="1"/>
    <col min="15" max="15" width="14.5703125" style="12" bestFit="1" customWidth="1"/>
    <col min="16" max="16" width="13" style="12" bestFit="1" customWidth="1"/>
    <col min="17" max="20" width="13" style="12" customWidth="1"/>
    <col min="21" max="21" width="9.140625" style="12"/>
    <col min="22" max="22" width="6.140625" style="12" bestFit="1" customWidth="1"/>
    <col min="23" max="23" width="7.85546875" style="12" bestFit="1" customWidth="1"/>
    <col min="24" max="24" width="6.140625" style="12" bestFit="1" customWidth="1"/>
    <col min="25" max="25" width="7.85546875" style="12" bestFit="1" customWidth="1"/>
    <col min="26" max="16384" width="9.140625" style="12"/>
  </cols>
  <sheetData>
    <row r="1" spans="1:25" x14ac:dyDescent="0.2">
      <c r="A1" s="1" t="s">
        <v>465</v>
      </c>
      <c r="B1" s="12" t="s">
        <v>12</v>
      </c>
    </row>
    <row r="4" spans="1:25" ht="17.25" customHeight="1" x14ac:dyDescent="0.2">
      <c r="F4" s="198" t="s">
        <v>424</v>
      </c>
    </row>
    <row r="5" spans="1:25" ht="15.75" customHeight="1" x14ac:dyDescent="0.2">
      <c r="A5" s="181" t="s">
        <v>14</v>
      </c>
      <c r="B5" s="181" t="s">
        <v>7</v>
      </c>
      <c r="C5" s="181" t="s">
        <v>466</v>
      </c>
      <c r="D5" s="181" t="s">
        <v>426</v>
      </c>
      <c r="E5" s="181" t="s">
        <v>467</v>
      </c>
      <c r="F5" s="181" t="s">
        <v>468</v>
      </c>
      <c r="G5" s="181" t="s">
        <v>469</v>
      </c>
      <c r="H5" s="181" t="s">
        <v>470</v>
      </c>
      <c r="I5" s="181" t="s">
        <v>472</v>
      </c>
      <c r="J5" s="181" t="s">
        <v>1274</v>
      </c>
      <c r="K5" s="181" t="s">
        <v>473</v>
      </c>
      <c r="L5" s="181" t="s">
        <v>473</v>
      </c>
      <c r="M5" s="181" t="s">
        <v>1223</v>
      </c>
      <c r="N5" s="181" t="s">
        <v>1275</v>
      </c>
      <c r="O5" s="181" t="s">
        <v>1222</v>
      </c>
      <c r="P5" s="181" t="s">
        <v>471</v>
      </c>
      <c r="Q5" s="247"/>
      <c r="R5" s="247"/>
      <c r="S5" s="247"/>
      <c r="T5" s="247"/>
      <c r="V5" s="181" t="s">
        <v>1250</v>
      </c>
      <c r="W5" s="181" t="s">
        <v>1251</v>
      </c>
      <c r="X5" s="181" t="s">
        <v>1250</v>
      </c>
      <c r="Y5" s="181" t="s">
        <v>1251</v>
      </c>
    </row>
    <row r="6" spans="1:25" x14ac:dyDescent="0.2">
      <c r="A6" s="194" t="s">
        <v>404</v>
      </c>
      <c r="B6" s="192"/>
      <c r="C6" s="192"/>
      <c r="D6" s="234"/>
      <c r="E6" s="192"/>
      <c r="F6" s="192"/>
      <c r="G6" s="192"/>
      <c r="H6" s="192"/>
      <c r="I6" s="192"/>
      <c r="J6" s="192"/>
      <c r="K6" s="192"/>
      <c r="L6" s="192"/>
      <c r="M6" s="192"/>
      <c r="N6" s="192"/>
      <c r="O6" s="192"/>
      <c r="P6" s="192"/>
      <c r="Q6" s="192"/>
      <c r="R6" s="192"/>
      <c r="S6" s="192"/>
      <c r="T6" s="192"/>
      <c r="V6" s="192"/>
      <c r="W6" s="192"/>
      <c r="X6" s="192"/>
      <c r="Y6" s="192"/>
    </row>
    <row r="7" spans="1:25" x14ac:dyDescent="0.2">
      <c r="A7" s="184" t="s">
        <v>22</v>
      </c>
      <c r="B7" s="184" t="s">
        <v>1276</v>
      </c>
      <c r="C7" s="184" t="s">
        <v>1277</v>
      </c>
      <c r="D7" s="223" t="s">
        <v>26</v>
      </c>
      <c r="E7" s="223" t="s">
        <v>51</v>
      </c>
      <c r="F7" s="223" t="s">
        <v>47</v>
      </c>
      <c r="G7" s="235">
        <v>2010</v>
      </c>
      <c r="H7" s="236"/>
      <c r="I7" s="236">
        <f>Y7/X7</f>
        <v>1</v>
      </c>
      <c r="J7" s="236">
        <v>48.8263911082703</v>
      </c>
      <c r="K7" s="236"/>
      <c r="L7" s="236"/>
      <c r="M7" s="236">
        <v>1</v>
      </c>
      <c r="N7" s="236">
        <v>1</v>
      </c>
      <c r="O7" s="236">
        <v>1</v>
      </c>
      <c r="P7" s="236"/>
      <c r="Q7" s="236"/>
      <c r="R7" s="236"/>
      <c r="S7" s="236"/>
      <c r="T7" s="236"/>
      <c r="V7" s="235"/>
      <c r="W7" s="235"/>
      <c r="X7" s="235">
        <v>1</v>
      </c>
      <c r="Y7" s="235">
        <v>1</v>
      </c>
    </row>
    <row r="8" spans="1:25" x14ac:dyDescent="0.2">
      <c r="D8" s="220"/>
      <c r="E8" s="220"/>
      <c r="F8" s="220"/>
      <c r="G8" s="240"/>
      <c r="H8" s="241"/>
      <c r="I8" s="241"/>
      <c r="J8" s="241"/>
      <c r="K8" s="241"/>
      <c r="L8" s="241"/>
      <c r="M8" s="241"/>
      <c r="N8" s="241"/>
      <c r="O8" s="241"/>
      <c r="P8" s="241"/>
      <c r="Q8" s="241"/>
      <c r="R8" s="241"/>
      <c r="S8" s="241"/>
      <c r="T8" s="241"/>
      <c r="V8" s="240"/>
      <c r="W8" s="240"/>
      <c r="X8" s="240"/>
      <c r="Y8" s="240"/>
    </row>
    <row r="9" spans="1:25" x14ac:dyDescent="0.2">
      <c r="D9" s="220"/>
      <c r="E9" s="220"/>
      <c r="F9" s="220"/>
      <c r="G9" s="240"/>
      <c r="H9" s="241"/>
      <c r="I9" s="241"/>
      <c r="J9" s="241"/>
      <c r="K9" s="241"/>
      <c r="L9" s="241"/>
      <c r="M9" s="241"/>
      <c r="N9" s="241"/>
      <c r="O9" s="241"/>
      <c r="P9" s="241"/>
      <c r="Q9" s="241"/>
      <c r="R9" s="241"/>
      <c r="S9" s="241"/>
      <c r="T9" s="241"/>
      <c r="V9" s="240"/>
      <c r="W9" s="240"/>
      <c r="X9" s="240"/>
      <c r="Y9" s="240"/>
    </row>
    <row r="10" spans="1:25" x14ac:dyDescent="0.2">
      <c r="D10" s="220"/>
      <c r="E10" s="220"/>
      <c r="F10" s="220"/>
      <c r="G10" s="240"/>
      <c r="H10" s="241"/>
      <c r="I10" s="241"/>
      <c r="J10" s="241"/>
      <c r="K10" s="241"/>
      <c r="L10" s="241"/>
      <c r="M10" s="241"/>
      <c r="N10" s="241"/>
      <c r="O10" s="241"/>
      <c r="P10" s="241"/>
      <c r="Q10" s="241"/>
      <c r="R10" s="241"/>
      <c r="S10" s="241"/>
      <c r="T10" s="241"/>
      <c r="V10" s="240"/>
      <c r="W10" s="240"/>
      <c r="X10" s="240"/>
      <c r="Y10" s="240"/>
    </row>
    <row r="11" spans="1:25" x14ac:dyDescent="0.2">
      <c r="D11" s="220"/>
      <c r="E11" s="220"/>
      <c r="F11" s="220"/>
      <c r="G11" s="240"/>
      <c r="H11" s="241"/>
      <c r="I11" s="241"/>
      <c r="J11" s="241"/>
      <c r="K11" s="241"/>
      <c r="L11" s="241"/>
      <c r="M11" s="241"/>
      <c r="N11" s="241"/>
      <c r="O11" s="241"/>
      <c r="P11" s="241"/>
      <c r="Q11" s="241"/>
      <c r="R11" s="241"/>
      <c r="S11" s="241"/>
      <c r="T11" s="241"/>
      <c r="V11" s="240"/>
      <c r="W11" s="240"/>
      <c r="X11" s="240"/>
      <c r="Y11" s="240"/>
    </row>
    <row r="12" spans="1:25" x14ac:dyDescent="0.2">
      <c r="D12" s="220"/>
      <c r="E12" s="220"/>
      <c r="F12" s="220"/>
      <c r="G12" s="240"/>
      <c r="H12" s="241"/>
      <c r="I12" s="241"/>
      <c r="J12" s="241"/>
      <c r="K12" s="241"/>
      <c r="L12" s="241"/>
      <c r="M12" s="241"/>
      <c r="N12" s="241"/>
      <c r="O12" s="241"/>
      <c r="P12" s="241"/>
      <c r="Q12" s="241"/>
      <c r="R12" s="241"/>
      <c r="S12" s="241"/>
      <c r="T12" s="241"/>
      <c r="V12" s="240"/>
      <c r="W12" s="240"/>
      <c r="X12" s="240"/>
      <c r="Y12" s="240"/>
    </row>
    <row r="13" spans="1:25" x14ac:dyDescent="0.2">
      <c r="D13" s="220"/>
      <c r="E13" s="220"/>
      <c r="F13" s="220"/>
      <c r="G13" s="240"/>
      <c r="H13" s="241"/>
      <c r="I13" s="241"/>
      <c r="J13" s="241"/>
      <c r="K13" s="241"/>
      <c r="L13" s="241"/>
      <c r="M13" s="241"/>
      <c r="N13" s="241"/>
      <c r="O13" s="241"/>
      <c r="P13" s="241"/>
      <c r="Q13" s="241"/>
      <c r="R13" s="241"/>
      <c r="S13" s="241"/>
      <c r="T13" s="241"/>
      <c r="V13" s="240"/>
      <c r="W13" s="240"/>
      <c r="X13" s="240"/>
      <c r="Y13" s="240"/>
    </row>
    <row r="14" spans="1:25" x14ac:dyDescent="0.2">
      <c r="D14" s="220"/>
      <c r="E14" s="220"/>
      <c r="F14" s="220"/>
      <c r="G14" s="240"/>
      <c r="H14" s="241"/>
      <c r="I14" s="241"/>
      <c r="J14" s="241"/>
      <c r="K14" s="241"/>
      <c r="L14" s="241"/>
      <c r="M14" s="241"/>
      <c r="N14" s="241"/>
      <c r="O14" s="241"/>
      <c r="P14" s="241"/>
      <c r="Q14" s="241"/>
      <c r="R14" s="241"/>
      <c r="S14" s="241"/>
      <c r="T14" s="241"/>
      <c r="V14" s="240"/>
      <c r="W14" s="240"/>
      <c r="X14" s="240"/>
      <c r="Y14" s="240"/>
    </row>
    <row r="15" spans="1:25" x14ac:dyDescent="0.2">
      <c r="A15" s="192" t="s">
        <v>1278</v>
      </c>
      <c r="B15" s="192"/>
      <c r="C15" s="192"/>
      <c r="D15" s="229"/>
      <c r="E15" s="229"/>
      <c r="F15" s="229"/>
      <c r="G15" s="192"/>
      <c r="H15" s="239"/>
      <c r="I15" s="239"/>
      <c r="J15" s="239"/>
      <c r="K15" s="239"/>
      <c r="L15" s="239"/>
      <c r="M15" s="239"/>
      <c r="N15" s="239"/>
      <c r="O15" s="239"/>
      <c r="P15" s="239"/>
      <c r="Q15" s="239"/>
      <c r="R15" s="239"/>
      <c r="S15" s="239"/>
      <c r="T15" s="239"/>
      <c r="V15" s="192"/>
      <c r="W15" s="192"/>
      <c r="X15" s="192"/>
      <c r="Y15" s="192"/>
    </row>
    <row r="16" spans="1:25" x14ac:dyDescent="0.2">
      <c r="A16" s="184" t="s">
        <v>22</v>
      </c>
      <c r="B16" s="184" t="s">
        <v>1279</v>
      </c>
      <c r="C16" s="184" t="s">
        <v>1280</v>
      </c>
      <c r="D16" s="223" t="s">
        <v>26</v>
      </c>
      <c r="E16" s="223" t="s">
        <v>47</v>
      </c>
      <c r="F16" s="223" t="s">
        <v>347</v>
      </c>
      <c r="G16" s="184">
        <v>2010</v>
      </c>
      <c r="H16" s="236"/>
      <c r="I16" s="236">
        <f>Y16/X16</f>
        <v>1</v>
      </c>
      <c r="J16" s="236"/>
      <c r="K16" s="236"/>
      <c r="L16" s="236"/>
      <c r="M16" s="236">
        <v>1</v>
      </c>
      <c r="N16" s="236">
        <v>1</v>
      </c>
      <c r="O16" s="236">
        <v>1</v>
      </c>
      <c r="P16" s="236">
        <v>0</v>
      </c>
      <c r="Q16" s="236"/>
      <c r="R16" s="236"/>
      <c r="S16" s="236"/>
      <c r="T16" s="236"/>
      <c r="V16" s="184"/>
      <c r="W16" s="184"/>
      <c r="X16" s="184">
        <v>1</v>
      </c>
      <c r="Y16" s="184">
        <v>1</v>
      </c>
    </row>
    <row r="17" spans="1:25" x14ac:dyDescent="0.2">
      <c r="A17" s="184" t="s">
        <v>22</v>
      </c>
      <c r="B17" s="184" t="s">
        <v>1281</v>
      </c>
      <c r="C17" s="184" t="s">
        <v>1282</v>
      </c>
      <c r="D17" s="223" t="s">
        <v>26</v>
      </c>
      <c r="E17" s="223" t="s">
        <v>52</v>
      </c>
      <c r="F17" s="223" t="s">
        <v>349</v>
      </c>
      <c r="G17" s="184">
        <v>2010</v>
      </c>
      <c r="H17" s="236"/>
      <c r="I17" s="236"/>
      <c r="J17" s="236"/>
      <c r="K17" s="236"/>
      <c r="L17" s="236"/>
      <c r="M17" s="236"/>
      <c r="N17" s="236">
        <v>1</v>
      </c>
      <c r="O17" s="236">
        <v>1</v>
      </c>
      <c r="P17" s="236">
        <v>0</v>
      </c>
      <c r="Q17" s="236"/>
      <c r="R17" s="236"/>
      <c r="S17" s="236"/>
      <c r="T17" s="236"/>
      <c r="V17" s="184">
        <v>1</v>
      </c>
      <c r="W17" s="184">
        <v>1</v>
      </c>
      <c r="X17" s="184"/>
      <c r="Y17" s="184"/>
    </row>
    <row r="18" spans="1:25" x14ac:dyDescent="0.2">
      <c r="A18" s="184" t="s">
        <v>58</v>
      </c>
      <c r="B18" s="184" t="s">
        <v>1283</v>
      </c>
      <c r="C18" s="184" t="s">
        <v>1284</v>
      </c>
      <c r="D18" s="223" t="s">
        <v>26</v>
      </c>
      <c r="E18" s="223" t="s">
        <v>1285</v>
      </c>
      <c r="F18" s="223" t="s">
        <v>351</v>
      </c>
      <c r="G18" s="184">
        <v>2010</v>
      </c>
      <c r="H18" s="236"/>
      <c r="I18" s="236"/>
      <c r="J18" s="236"/>
      <c r="K18" s="236"/>
      <c r="L18" s="236"/>
      <c r="M18" s="236"/>
      <c r="N18" s="236">
        <v>1</v>
      </c>
      <c r="O18" s="236">
        <v>1</v>
      </c>
      <c r="P18" s="236">
        <v>0</v>
      </c>
      <c r="Q18" s="236"/>
      <c r="R18" s="236"/>
      <c r="S18" s="236"/>
      <c r="T18" s="236"/>
      <c r="V18" s="184">
        <v>1</v>
      </c>
      <c r="W18" s="184">
        <v>1</v>
      </c>
      <c r="X18" s="184"/>
      <c r="Y18" s="184"/>
    </row>
    <row r="19" spans="1:25" x14ac:dyDescent="0.2">
      <c r="A19" s="184" t="s">
        <v>22</v>
      </c>
      <c r="B19" s="184" t="s">
        <v>1286</v>
      </c>
      <c r="C19" s="184" t="s">
        <v>1287</v>
      </c>
      <c r="D19" s="223" t="s">
        <v>26</v>
      </c>
      <c r="E19" s="223" t="s">
        <v>56</v>
      </c>
      <c r="F19" s="223" t="s">
        <v>353</v>
      </c>
      <c r="G19" s="184">
        <v>2010</v>
      </c>
      <c r="H19" s="236"/>
      <c r="I19" s="236"/>
      <c r="J19" s="236"/>
      <c r="K19" s="236"/>
      <c r="L19" s="236"/>
      <c r="M19" s="236"/>
      <c r="N19" s="236">
        <v>1</v>
      </c>
      <c r="O19" s="236">
        <v>1</v>
      </c>
      <c r="P19" s="236">
        <v>0</v>
      </c>
      <c r="Q19" s="236"/>
      <c r="R19" s="236"/>
      <c r="S19" s="236"/>
      <c r="T19" s="236"/>
      <c r="V19" s="184">
        <v>1</v>
      </c>
      <c r="W19" s="184">
        <v>1</v>
      </c>
      <c r="X19" s="184"/>
      <c r="Y19" s="184"/>
    </row>
    <row r="20" spans="1:25" x14ac:dyDescent="0.2">
      <c r="A20" s="184" t="s">
        <v>22</v>
      </c>
      <c r="B20" s="184" t="s">
        <v>1288</v>
      </c>
      <c r="C20" s="184" t="s">
        <v>1289</v>
      </c>
      <c r="D20" s="223" t="s">
        <v>26</v>
      </c>
      <c r="E20" s="223" t="s">
        <v>347</v>
      </c>
      <c r="F20" s="223" t="s">
        <v>1290</v>
      </c>
      <c r="G20" s="184">
        <v>2010</v>
      </c>
      <c r="H20" s="236"/>
      <c r="I20" s="236">
        <f>Y20/X20</f>
        <v>1</v>
      </c>
      <c r="J20" s="236"/>
      <c r="K20" s="236"/>
      <c r="L20" s="236"/>
      <c r="M20" s="236">
        <v>1</v>
      </c>
      <c r="N20" s="236">
        <v>1</v>
      </c>
      <c r="O20" s="236">
        <v>1</v>
      </c>
      <c r="P20" s="236">
        <v>0</v>
      </c>
      <c r="Q20" s="236"/>
      <c r="R20" s="236"/>
      <c r="S20" s="236"/>
      <c r="T20" s="236"/>
      <c r="V20" s="184"/>
      <c r="W20" s="184"/>
      <c r="X20" s="184">
        <v>1</v>
      </c>
      <c r="Y20" s="184">
        <v>1</v>
      </c>
    </row>
    <row r="21" spans="1:25" x14ac:dyDescent="0.2">
      <c r="A21" s="184" t="s">
        <v>22</v>
      </c>
      <c r="B21" s="184" t="s">
        <v>1291</v>
      </c>
      <c r="C21" s="184" t="s">
        <v>1292</v>
      </c>
      <c r="D21" s="223" t="s">
        <v>26</v>
      </c>
      <c r="E21" s="223" t="s">
        <v>349</v>
      </c>
      <c r="F21" s="184"/>
      <c r="G21" s="184">
        <v>2010</v>
      </c>
      <c r="H21" s="236"/>
      <c r="I21" s="236">
        <f>SUM(W24,W25,W26)/SUM(V21,V22,V23)</f>
        <v>1</v>
      </c>
      <c r="J21" s="236"/>
      <c r="K21" s="236">
        <f>V21/SUM(V21,V22,V23)</f>
        <v>0.33333333333333331</v>
      </c>
      <c r="L21" s="236"/>
      <c r="M21" s="236"/>
      <c r="N21" s="236">
        <v>1</v>
      </c>
      <c r="O21" s="236">
        <v>1</v>
      </c>
      <c r="P21" s="236">
        <v>0</v>
      </c>
      <c r="Q21" s="236"/>
      <c r="R21" s="236"/>
      <c r="S21" s="236"/>
      <c r="T21" s="236"/>
      <c r="V21" s="184">
        <v>1</v>
      </c>
      <c r="W21" s="184"/>
      <c r="X21" s="184"/>
      <c r="Y21" s="184"/>
    </row>
    <row r="22" spans="1:25" x14ac:dyDescent="0.2">
      <c r="A22" s="184"/>
      <c r="B22" s="184"/>
      <c r="C22" s="184"/>
      <c r="D22" s="223"/>
      <c r="E22" s="223" t="s">
        <v>353</v>
      </c>
      <c r="F22" s="184"/>
      <c r="G22" s="184"/>
      <c r="H22" s="236"/>
      <c r="I22" s="236"/>
      <c r="J22" s="236"/>
      <c r="K22" s="236">
        <f>V22/SUM(V21,V22,V23)</f>
        <v>0.33333333333333331</v>
      </c>
      <c r="L22" s="236"/>
      <c r="M22" s="236"/>
      <c r="N22" s="236"/>
      <c r="O22" s="236"/>
      <c r="P22" s="236"/>
      <c r="Q22" s="236"/>
      <c r="R22" s="236"/>
      <c r="S22" s="236"/>
      <c r="T22" s="236"/>
      <c r="V22" s="184">
        <v>1</v>
      </c>
      <c r="W22" s="184"/>
      <c r="X22" s="184"/>
      <c r="Y22" s="184"/>
    </row>
    <row r="23" spans="1:25" x14ac:dyDescent="0.2">
      <c r="A23" s="184" t="s">
        <v>27</v>
      </c>
      <c r="B23" s="184"/>
      <c r="C23" s="184"/>
      <c r="D23" s="223"/>
      <c r="E23" s="223" t="s">
        <v>351</v>
      </c>
      <c r="F23" s="223"/>
      <c r="G23" s="184"/>
      <c r="H23" s="236"/>
      <c r="I23" s="236"/>
      <c r="J23" s="236"/>
      <c r="K23" s="236">
        <f>V23/SUM(V21,V22,V23)</f>
        <v>0.33333333333333331</v>
      </c>
      <c r="L23" s="236"/>
      <c r="M23" s="236"/>
      <c r="N23" s="236"/>
      <c r="O23" s="236"/>
      <c r="P23" s="236"/>
      <c r="Q23" s="236"/>
      <c r="R23" s="236"/>
      <c r="S23" s="236"/>
      <c r="T23" s="236"/>
      <c r="V23" s="184">
        <v>1</v>
      </c>
      <c r="W23" s="184"/>
      <c r="X23" s="184"/>
      <c r="Y23" s="184"/>
    </row>
    <row r="24" spans="1:25" x14ac:dyDescent="0.2">
      <c r="A24" s="184"/>
      <c r="B24" s="184"/>
      <c r="C24" s="184"/>
      <c r="D24" s="223"/>
      <c r="E24" s="223"/>
      <c r="F24" s="223" t="s">
        <v>1293</v>
      </c>
      <c r="G24" s="184"/>
      <c r="H24" s="236"/>
      <c r="I24" s="236"/>
      <c r="J24" s="236"/>
      <c r="K24" s="236"/>
      <c r="L24" s="236">
        <f>W24/SUM(W24,W25,W26)</f>
        <v>0.33333333333333331</v>
      </c>
      <c r="M24" s="236"/>
      <c r="N24" s="236"/>
      <c r="O24" s="236"/>
      <c r="P24" s="236"/>
      <c r="Q24" s="236"/>
      <c r="R24" s="236"/>
      <c r="S24" s="236"/>
      <c r="T24" s="236"/>
      <c r="V24" s="184"/>
      <c r="W24" s="184">
        <v>1</v>
      </c>
      <c r="X24" s="184"/>
      <c r="Y24" s="184"/>
    </row>
    <row r="25" spans="1:25" x14ac:dyDescent="0.2">
      <c r="A25" s="184"/>
      <c r="B25" s="184"/>
      <c r="C25" s="184"/>
      <c r="D25" s="223"/>
      <c r="E25" s="223"/>
      <c r="F25" s="223" t="s">
        <v>1294</v>
      </c>
      <c r="G25" s="184"/>
      <c r="H25" s="236"/>
      <c r="I25" s="236"/>
      <c r="J25" s="236"/>
      <c r="K25" s="236"/>
      <c r="L25" s="236">
        <f>W25/SUM(W24,W25,W26)</f>
        <v>0.33333333333333331</v>
      </c>
      <c r="M25" s="236"/>
      <c r="N25" s="236"/>
      <c r="O25" s="236"/>
      <c r="P25" s="236"/>
      <c r="Q25" s="236"/>
      <c r="R25" s="236"/>
      <c r="S25" s="236"/>
      <c r="T25" s="236"/>
      <c r="V25" s="184"/>
      <c r="W25" s="184">
        <v>1</v>
      </c>
      <c r="X25" s="184"/>
      <c r="Y25" s="184"/>
    </row>
    <row r="26" spans="1:25" x14ac:dyDescent="0.2">
      <c r="A26" s="184" t="s">
        <v>27</v>
      </c>
      <c r="B26" s="184"/>
      <c r="C26" s="184"/>
      <c r="D26" s="223"/>
      <c r="E26" s="184"/>
      <c r="F26" s="223" t="s">
        <v>1295</v>
      </c>
      <c r="G26" s="184"/>
      <c r="H26" s="236"/>
      <c r="I26" s="236"/>
      <c r="J26" s="236"/>
      <c r="K26" s="236"/>
      <c r="L26" s="236">
        <f>W26/SUM(W24,W25,W26)</f>
        <v>0.33333333333333331</v>
      </c>
      <c r="M26" s="236"/>
      <c r="N26" s="236"/>
      <c r="O26" s="236"/>
      <c r="P26" s="236"/>
      <c r="Q26" s="236"/>
      <c r="R26" s="236"/>
      <c r="S26" s="236"/>
      <c r="T26" s="236"/>
      <c r="V26" s="184"/>
      <c r="W26" s="184">
        <v>1</v>
      </c>
      <c r="X26" s="184"/>
      <c r="Y26" s="184"/>
    </row>
    <row r="27" spans="1:25" x14ac:dyDescent="0.2">
      <c r="A27" s="184" t="s">
        <v>22</v>
      </c>
      <c r="B27" s="184" t="s">
        <v>1296</v>
      </c>
      <c r="C27" s="184" t="s">
        <v>1297</v>
      </c>
      <c r="D27" s="223" t="s">
        <v>26</v>
      </c>
      <c r="E27" s="223" t="s">
        <v>347</v>
      </c>
      <c r="F27" s="223" t="s">
        <v>1298</v>
      </c>
      <c r="G27" s="184">
        <v>2010</v>
      </c>
      <c r="H27" s="236"/>
      <c r="I27" s="236">
        <f>Y27/X27</f>
        <v>1</v>
      </c>
      <c r="J27" s="236"/>
      <c r="K27" s="236"/>
      <c r="L27" s="236"/>
      <c r="M27" s="236">
        <v>1</v>
      </c>
      <c r="N27" s="236">
        <v>1</v>
      </c>
      <c r="O27" s="236">
        <v>1</v>
      </c>
      <c r="P27" s="236">
        <v>0</v>
      </c>
      <c r="Q27" s="236"/>
      <c r="R27" s="236"/>
      <c r="S27" s="236"/>
      <c r="T27" s="236"/>
      <c r="V27" s="184"/>
      <c r="W27" s="184"/>
      <c r="X27" s="184">
        <v>1</v>
      </c>
      <c r="Y27" s="184">
        <v>1</v>
      </c>
    </row>
    <row r="28" spans="1:25" x14ac:dyDescent="0.2">
      <c r="A28" s="184" t="s">
        <v>22</v>
      </c>
      <c r="B28" s="184" t="s">
        <v>1299</v>
      </c>
      <c r="C28" s="184" t="s">
        <v>1300</v>
      </c>
      <c r="D28" s="223" t="s">
        <v>26</v>
      </c>
      <c r="E28" s="223" t="s">
        <v>349</v>
      </c>
      <c r="F28" s="184"/>
      <c r="G28" s="184">
        <v>2010</v>
      </c>
      <c r="H28" s="236"/>
      <c r="I28" s="236">
        <f>SUM(W31,W32,W33)/SUM(V28,V29,V30)</f>
        <v>1</v>
      </c>
      <c r="J28" s="236"/>
      <c r="K28" s="236">
        <f>V28/SUM(V28,V29,V30)</f>
        <v>0.33333333333333331</v>
      </c>
      <c r="L28" s="236"/>
      <c r="M28" s="236"/>
      <c r="N28" s="236">
        <v>1</v>
      </c>
      <c r="O28" s="236">
        <v>1</v>
      </c>
      <c r="P28" s="236">
        <v>0</v>
      </c>
      <c r="Q28" s="236"/>
      <c r="R28" s="236"/>
      <c r="S28" s="236"/>
      <c r="T28" s="236"/>
      <c r="V28" s="184">
        <v>1</v>
      </c>
      <c r="W28" s="184"/>
      <c r="X28" s="184"/>
      <c r="Y28" s="184"/>
    </row>
    <row r="29" spans="1:25" x14ac:dyDescent="0.2">
      <c r="A29" s="184"/>
      <c r="B29" s="184"/>
      <c r="C29" s="184"/>
      <c r="D29" s="223"/>
      <c r="E29" s="223" t="s">
        <v>353</v>
      </c>
      <c r="F29" s="184"/>
      <c r="G29" s="184"/>
      <c r="H29" s="236"/>
      <c r="I29" s="236"/>
      <c r="J29" s="236"/>
      <c r="K29" s="236">
        <f>V29/SUM(V28,V29,V30)</f>
        <v>0.33333333333333331</v>
      </c>
      <c r="L29" s="236"/>
      <c r="M29" s="236"/>
      <c r="N29" s="236"/>
      <c r="O29" s="236"/>
      <c r="P29" s="236"/>
      <c r="Q29" s="236"/>
      <c r="R29" s="236"/>
      <c r="S29" s="236"/>
      <c r="T29" s="236"/>
      <c r="V29" s="184">
        <v>1</v>
      </c>
      <c r="W29" s="184"/>
      <c r="X29" s="184"/>
      <c r="Y29" s="184"/>
    </row>
    <row r="30" spans="1:25" x14ac:dyDescent="0.2">
      <c r="A30" s="184" t="s">
        <v>27</v>
      </c>
      <c r="B30" s="184"/>
      <c r="C30" s="184"/>
      <c r="D30" s="223"/>
      <c r="E30" s="223" t="s">
        <v>351</v>
      </c>
      <c r="F30" s="223"/>
      <c r="G30" s="184"/>
      <c r="H30" s="236"/>
      <c r="I30" s="236"/>
      <c r="J30" s="236"/>
      <c r="K30" s="236">
        <f>V30/SUM(V28,V29,V30)</f>
        <v>0.33333333333333331</v>
      </c>
      <c r="L30" s="236"/>
      <c r="M30" s="236"/>
      <c r="N30" s="236"/>
      <c r="O30" s="236"/>
      <c r="P30" s="236"/>
      <c r="Q30" s="236"/>
      <c r="R30" s="236"/>
      <c r="S30" s="236"/>
      <c r="T30" s="236"/>
      <c r="V30" s="184">
        <v>1</v>
      </c>
      <c r="W30" s="184"/>
      <c r="X30" s="184"/>
      <c r="Y30" s="184"/>
    </row>
    <row r="31" spans="1:25" x14ac:dyDescent="0.2">
      <c r="A31" s="184"/>
      <c r="B31" s="184"/>
      <c r="C31" s="184"/>
      <c r="D31" s="223"/>
      <c r="E31" s="223"/>
      <c r="F31" s="223" t="s">
        <v>1301</v>
      </c>
      <c r="G31" s="184"/>
      <c r="H31" s="236"/>
      <c r="I31" s="236"/>
      <c r="J31" s="236"/>
      <c r="K31" s="236"/>
      <c r="L31" s="236">
        <f>W31/SUM(W31,W32,W33)</f>
        <v>0.33333333333333331</v>
      </c>
      <c r="M31" s="236"/>
      <c r="N31" s="236"/>
      <c r="O31" s="236"/>
      <c r="P31" s="236"/>
      <c r="Q31" s="236"/>
      <c r="R31" s="236"/>
      <c r="S31" s="236"/>
      <c r="T31" s="236"/>
      <c r="V31" s="184"/>
      <c r="W31" s="184">
        <v>1</v>
      </c>
      <c r="X31" s="184"/>
      <c r="Y31" s="184"/>
    </row>
    <row r="32" spans="1:25" x14ac:dyDescent="0.2">
      <c r="A32" s="184"/>
      <c r="B32" s="184"/>
      <c r="C32" s="184"/>
      <c r="D32" s="223"/>
      <c r="E32" s="223"/>
      <c r="F32" s="223" t="s">
        <v>1302</v>
      </c>
      <c r="G32" s="184"/>
      <c r="H32" s="236"/>
      <c r="I32" s="236"/>
      <c r="J32" s="236"/>
      <c r="K32" s="236"/>
      <c r="L32" s="236">
        <f>W32/SUM(W31,W32,W33)</f>
        <v>0.33333333333333331</v>
      </c>
      <c r="M32" s="236"/>
      <c r="N32" s="236"/>
      <c r="O32" s="236"/>
      <c r="P32" s="236"/>
      <c r="Q32" s="236"/>
      <c r="R32" s="236"/>
      <c r="S32" s="236"/>
      <c r="T32" s="236"/>
      <c r="V32" s="184"/>
      <c r="W32" s="184">
        <v>1</v>
      </c>
      <c r="X32" s="184"/>
      <c r="Y32" s="184"/>
    </row>
    <row r="33" spans="1:25" x14ac:dyDescent="0.2">
      <c r="A33" s="184" t="s">
        <v>27</v>
      </c>
      <c r="B33" s="184"/>
      <c r="C33" s="184"/>
      <c r="D33" s="223"/>
      <c r="E33" s="184"/>
      <c r="F33" s="223" t="s">
        <v>1303</v>
      </c>
      <c r="G33" s="184"/>
      <c r="H33" s="236"/>
      <c r="I33" s="236"/>
      <c r="J33" s="236"/>
      <c r="K33" s="236"/>
      <c r="L33" s="236">
        <f>W33/SUM(W31,W32,W33)</f>
        <v>0.33333333333333331</v>
      </c>
      <c r="M33" s="236"/>
      <c r="N33" s="236"/>
      <c r="O33" s="236"/>
      <c r="P33" s="236"/>
      <c r="Q33" s="236"/>
      <c r="R33" s="236"/>
      <c r="S33" s="236"/>
      <c r="T33" s="236"/>
      <c r="V33" s="184"/>
      <c r="W33" s="184">
        <v>1</v>
      </c>
      <c r="X33" s="184"/>
      <c r="Y33" s="184"/>
    </row>
    <row r="34" spans="1:25" x14ac:dyDescent="0.2">
      <c r="A34" s="184" t="s">
        <v>22</v>
      </c>
      <c r="B34" s="184" t="s">
        <v>1304</v>
      </c>
      <c r="C34" s="184" t="s">
        <v>1305</v>
      </c>
      <c r="D34" s="223" t="s">
        <v>26</v>
      </c>
      <c r="E34" s="223" t="s">
        <v>347</v>
      </c>
      <c r="F34" s="223" t="s">
        <v>1290</v>
      </c>
      <c r="G34" s="184">
        <v>2015</v>
      </c>
      <c r="H34" s="236"/>
      <c r="I34" s="236">
        <f>Y34/X34</f>
        <v>1</v>
      </c>
      <c r="J34" s="236"/>
      <c r="K34" s="236"/>
      <c r="L34" s="236"/>
      <c r="M34" s="236">
        <v>1</v>
      </c>
      <c r="N34" s="236">
        <v>1</v>
      </c>
      <c r="O34" s="236">
        <v>1</v>
      </c>
      <c r="P34" s="236">
        <v>0.25</v>
      </c>
      <c r="Q34" s="236"/>
      <c r="R34" s="236"/>
      <c r="S34" s="236"/>
      <c r="T34" s="236"/>
      <c r="V34" s="184"/>
      <c r="W34" s="184"/>
      <c r="X34" s="184">
        <v>1</v>
      </c>
      <c r="Y34" s="184">
        <v>1</v>
      </c>
    </row>
    <row r="35" spans="1:25" x14ac:dyDescent="0.2">
      <c r="A35" s="184" t="s">
        <v>22</v>
      </c>
      <c r="B35" s="184" t="s">
        <v>1306</v>
      </c>
      <c r="C35" s="184" t="s">
        <v>1307</v>
      </c>
      <c r="D35" s="223" t="s">
        <v>26</v>
      </c>
      <c r="E35" s="223" t="s">
        <v>349</v>
      </c>
      <c r="F35" s="184"/>
      <c r="G35" s="184">
        <v>2015</v>
      </c>
      <c r="H35" s="236"/>
      <c r="I35" s="236">
        <f>SUM(W38,W39,W40)/SUM(V35,V36,V37)</f>
        <v>1.1000000000000001</v>
      </c>
      <c r="J35" s="236"/>
      <c r="K35" s="236">
        <f>V35/SUM(V35,V36,V37)</f>
        <v>0.33333333333333331</v>
      </c>
      <c r="L35" s="236"/>
      <c r="M35" s="236"/>
      <c r="N35" s="236">
        <v>1</v>
      </c>
      <c r="O35" s="236">
        <v>1</v>
      </c>
      <c r="P35" s="236">
        <v>0.25</v>
      </c>
      <c r="Q35" s="236"/>
      <c r="R35" s="236"/>
      <c r="S35" s="236"/>
      <c r="T35" s="236"/>
      <c r="V35" s="184">
        <v>1</v>
      </c>
      <c r="W35" s="184"/>
      <c r="X35" s="184"/>
      <c r="Y35" s="184"/>
    </row>
    <row r="36" spans="1:25" x14ac:dyDescent="0.2">
      <c r="A36" s="184"/>
      <c r="B36" s="184"/>
      <c r="C36" s="184"/>
      <c r="D36" s="223"/>
      <c r="E36" s="223" t="s">
        <v>353</v>
      </c>
      <c r="F36" s="184"/>
      <c r="G36" s="184"/>
      <c r="H36" s="236"/>
      <c r="I36" s="236"/>
      <c r="J36" s="236"/>
      <c r="K36" s="236">
        <f>V36/SUM(V35,V36,V37)</f>
        <v>0.33333333333333331</v>
      </c>
      <c r="L36" s="236"/>
      <c r="M36" s="236"/>
      <c r="N36" s="236"/>
      <c r="O36" s="236"/>
      <c r="P36" s="236"/>
      <c r="Q36" s="236"/>
      <c r="R36" s="236"/>
      <c r="S36" s="236"/>
      <c r="T36" s="236"/>
      <c r="V36" s="184">
        <v>1</v>
      </c>
      <c r="W36" s="184"/>
      <c r="X36" s="184"/>
      <c r="Y36" s="184"/>
    </row>
    <row r="37" spans="1:25" x14ac:dyDescent="0.2">
      <c r="A37" s="184" t="s">
        <v>27</v>
      </c>
      <c r="B37" s="184"/>
      <c r="C37" s="184"/>
      <c r="D37" s="223"/>
      <c r="E37" s="223" t="s">
        <v>351</v>
      </c>
      <c r="F37" s="184"/>
      <c r="G37" s="184"/>
      <c r="H37" s="236"/>
      <c r="I37" s="236"/>
      <c r="J37" s="236"/>
      <c r="K37" s="236">
        <f>V37/SUM(V35,V36,V37)</f>
        <v>0.33333333333333331</v>
      </c>
      <c r="L37" s="236"/>
      <c r="M37" s="236"/>
      <c r="N37" s="236"/>
      <c r="O37" s="236"/>
      <c r="P37" s="236"/>
      <c r="Q37" s="236"/>
      <c r="R37" s="236"/>
      <c r="S37" s="236"/>
      <c r="T37" s="236"/>
      <c r="V37" s="184">
        <v>1</v>
      </c>
      <c r="W37" s="184"/>
      <c r="X37" s="184"/>
      <c r="Y37" s="184"/>
    </row>
    <row r="38" spans="1:25" x14ac:dyDescent="0.2">
      <c r="A38" s="184"/>
      <c r="B38" s="184"/>
      <c r="C38" s="184"/>
      <c r="D38" s="223"/>
      <c r="E38" s="223"/>
      <c r="F38" s="223" t="s">
        <v>1293</v>
      </c>
      <c r="G38" s="184"/>
      <c r="H38" s="236"/>
      <c r="I38" s="236"/>
      <c r="J38" s="236"/>
      <c r="K38" s="236"/>
      <c r="L38" s="236">
        <f>W38/SUM(W38,W39,W40)</f>
        <v>0.33333333333333331</v>
      </c>
      <c r="M38" s="236"/>
      <c r="N38" s="236"/>
      <c r="O38" s="236"/>
      <c r="P38" s="236"/>
      <c r="Q38" s="236"/>
      <c r="R38" s="236"/>
      <c r="S38" s="236"/>
      <c r="T38" s="236"/>
      <c r="V38" s="184"/>
      <c r="W38" s="184">
        <v>1.1000000000000001</v>
      </c>
      <c r="X38" s="184"/>
      <c r="Y38" s="184"/>
    </row>
    <row r="39" spans="1:25" x14ac:dyDescent="0.2">
      <c r="A39" s="184"/>
      <c r="B39" s="184"/>
      <c r="C39" s="184"/>
      <c r="D39" s="223"/>
      <c r="E39" s="223"/>
      <c r="F39" s="223" t="s">
        <v>1294</v>
      </c>
      <c r="G39" s="184"/>
      <c r="H39" s="236"/>
      <c r="I39" s="236"/>
      <c r="J39" s="236"/>
      <c r="K39" s="236"/>
      <c r="L39" s="236">
        <f>W39/SUM(W38,W39,W40)</f>
        <v>0.33333333333333331</v>
      </c>
      <c r="M39" s="236"/>
      <c r="N39" s="236"/>
      <c r="O39" s="236"/>
      <c r="P39" s="236"/>
      <c r="Q39" s="236"/>
      <c r="R39" s="236"/>
      <c r="S39" s="236"/>
      <c r="T39" s="236"/>
      <c r="V39" s="184"/>
      <c r="W39" s="184">
        <v>1.1000000000000001</v>
      </c>
      <c r="X39" s="184"/>
      <c r="Y39" s="184"/>
    </row>
    <row r="40" spans="1:25" x14ac:dyDescent="0.2">
      <c r="A40" s="184" t="s">
        <v>27</v>
      </c>
      <c r="B40" s="184"/>
      <c r="C40" s="184"/>
      <c r="D40" s="223"/>
      <c r="E40" s="223"/>
      <c r="F40" s="223" t="s">
        <v>1295</v>
      </c>
      <c r="G40" s="184"/>
      <c r="H40" s="236"/>
      <c r="I40" s="236"/>
      <c r="J40" s="236"/>
      <c r="K40" s="236"/>
      <c r="L40" s="236">
        <f>W40/SUM(W38,W39,W40)</f>
        <v>0.33333333333333331</v>
      </c>
      <c r="M40" s="236"/>
      <c r="N40" s="236"/>
      <c r="O40" s="236"/>
      <c r="P40" s="236"/>
      <c r="Q40" s="236"/>
      <c r="R40" s="236"/>
      <c r="S40" s="236"/>
      <c r="T40" s="236"/>
      <c r="V40" s="184"/>
      <c r="W40" s="184">
        <v>1.1000000000000001</v>
      </c>
      <c r="X40" s="184"/>
      <c r="Y40" s="184"/>
    </row>
    <row r="41" spans="1:25" x14ac:dyDescent="0.2">
      <c r="A41" s="184" t="s">
        <v>22</v>
      </c>
      <c r="B41" s="184" t="s">
        <v>1308</v>
      </c>
      <c r="C41" s="184" t="s">
        <v>1309</v>
      </c>
      <c r="D41" s="223" t="s">
        <v>26</v>
      </c>
      <c r="E41" s="223" t="s">
        <v>347</v>
      </c>
      <c r="F41" s="223" t="s">
        <v>1298</v>
      </c>
      <c r="G41" s="184">
        <v>2020</v>
      </c>
      <c r="H41" s="236"/>
      <c r="I41" s="236">
        <f>Y41/X41</f>
        <v>1</v>
      </c>
      <c r="J41" s="236"/>
      <c r="K41" s="236"/>
      <c r="L41" s="236"/>
      <c r="M41" s="236">
        <v>1</v>
      </c>
      <c r="N41" s="236">
        <v>1</v>
      </c>
      <c r="O41" s="236">
        <v>1</v>
      </c>
      <c r="P41" s="236">
        <v>0.5</v>
      </c>
      <c r="Q41" s="236"/>
      <c r="R41" s="236"/>
      <c r="S41" s="236"/>
      <c r="T41" s="236"/>
      <c r="V41" s="184"/>
      <c r="W41" s="184"/>
      <c r="X41" s="184">
        <v>1</v>
      </c>
      <c r="Y41" s="184">
        <v>1</v>
      </c>
    </row>
    <row r="42" spans="1:25" x14ac:dyDescent="0.2">
      <c r="A42" s="184" t="s">
        <v>22</v>
      </c>
      <c r="B42" s="184" t="s">
        <v>1310</v>
      </c>
      <c r="C42" s="184" t="s">
        <v>1311</v>
      </c>
      <c r="D42" s="223" t="s">
        <v>26</v>
      </c>
      <c r="E42" s="223" t="s">
        <v>349</v>
      </c>
      <c r="F42" s="184"/>
      <c r="G42" s="184">
        <v>2020</v>
      </c>
      <c r="H42" s="236"/>
      <c r="I42" s="236">
        <f>SUM(W45,W46,W47)/SUM(V42,V43,V44)</f>
        <v>1.25</v>
      </c>
      <c r="J42" s="236"/>
      <c r="K42" s="236">
        <f>V42/SUM(V42,V43,V44)</f>
        <v>0.33333333333333331</v>
      </c>
      <c r="L42" s="236"/>
      <c r="M42" s="236"/>
      <c r="N42" s="236">
        <v>1</v>
      </c>
      <c r="O42" s="236">
        <v>1</v>
      </c>
      <c r="P42" s="236">
        <v>0.5</v>
      </c>
      <c r="Q42" s="236"/>
      <c r="R42" s="236"/>
      <c r="S42" s="236"/>
      <c r="T42" s="236"/>
      <c r="V42" s="184">
        <v>1</v>
      </c>
      <c r="W42" s="184"/>
      <c r="X42" s="184"/>
      <c r="Y42" s="184"/>
    </row>
    <row r="43" spans="1:25" x14ac:dyDescent="0.2">
      <c r="A43" s="184"/>
      <c r="B43" s="184"/>
      <c r="C43" s="184"/>
      <c r="D43" s="223"/>
      <c r="E43" s="223" t="s">
        <v>353</v>
      </c>
      <c r="F43" s="184"/>
      <c r="G43" s="184"/>
      <c r="H43" s="236"/>
      <c r="I43" s="236"/>
      <c r="J43" s="236"/>
      <c r="K43" s="236">
        <f>V43/SUM(V42,V43,V44)</f>
        <v>0.33333333333333331</v>
      </c>
      <c r="L43" s="236"/>
      <c r="M43" s="236"/>
      <c r="N43" s="236"/>
      <c r="O43" s="236"/>
      <c r="P43" s="236"/>
      <c r="Q43" s="236"/>
      <c r="R43" s="236"/>
      <c r="S43" s="236"/>
      <c r="T43" s="236"/>
      <c r="V43" s="184">
        <v>1</v>
      </c>
      <c r="W43" s="184"/>
      <c r="X43" s="184"/>
      <c r="Y43" s="184"/>
    </row>
    <row r="44" spans="1:25" x14ac:dyDescent="0.2">
      <c r="A44" s="184" t="s">
        <v>27</v>
      </c>
      <c r="B44" s="184"/>
      <c r="C44" s="184"/>
      <c r="D44" s="223"/>
      <c r="E44" s="223" t="s">
        <v>351</v>
      </c>
      <c r="F44" s="184"/>
      <c r="G44" s="184"/>
      <c r="H44" s="236"/>
      <c r="I44" s="236"/>
      <c r="J44" s="236"/>
      <c r="K44" s="236">
        <f>V44/SUM(V42,V43,V44)</f>
        <v>0.33333333333333331</v>
      </c>
      <c r="L44" s="236"/>
      <c r="M44" s="236"/>
      <c r="N44" s="236"/>
      <c r="O44" s="236"/>
      <c r="P44" s="236"/>
      <c r="Q44" s="236"/>
      <c r="R44" s="236"/>
      <c r="S44" s="236"/>
      <c r="T44" s="236"/>
      <c r="V44" s="184">
        <v>1</v>
      </c>
      <c r="W44" s="184"/>
      <c r="X44" s="184"/>
      <c r="Y44" s="184"/>
    </row>
    <row r="45" spans="1:25" x14ac:dyDescent="0.2">
      <c r="A45" s="184"/>
      <c r="B45" s="184"/>
      <c r="C45" s="184"/>
      <c r="D45" s="223"/>
      <c r="E45" s="223"/>
      <c r="F45" s="223" t="s">
        <v>1301</v>
      </c>
      <c r="G45" s="184"/>
      <c r="H45" s="236"/>
      <c r="I45" s="236"/>
      <c r="J45" s="236"/>
      <c r="K45" s="236"/>
      <c r="L45" s="236">
        <f>W45/SUM(W45,W46,W47)</f>
        <v>0.33333333333333331</v>
      </c>
      <c r="M45" s="236"/>
      <c r="N45" s="236"/>
      <c r="O45" s="236"/>
      <c r="P45" s="236"/>
      <c r="Q45" s="236"/>
      <c r="R45" s="236"/>
      <c r="S45" s="236"/>
      <c r="T45" s="236"/>
      <c r="V45" s="184"/>
      <c r="W45" s="184">
        <v>1.25</v>
      </c>
      <c r="X45" s="184"/>
      <c r="Y45" s="184"/>
    </row>
    <row r="46" spans="1:25" x14ac:dyDescent="0.2">
      <c r="A46" s="184"/>
      <c r="B46" s="184"/>
      <c r="C46" s="184"/>
      <c r="D46" s="223"/>
      <c r="E46" s="223"/>
      <c r="F46" s="223" t="s">
        <v>1302</v>
      </c>
      <c r="G46" s="184"/>
      <c r="H46" s="236"/>
      <c r="I46" s="236"/>
      <c r="J46" s="236"/>
      <c r="K46" s="236"/>
      <c r="L46" s="236">
        <f>W46/SUM(W45,W46,W47)</f>
        <v>0.33333333333333331</v>
      </c>
      <c r="M46" s="236"/>
      <c r="N46" s="236"/>
      <c r="O46" s="236"/>
      <c r="P46" s="236"/>
      <c r="Q46" s="236"/>
      <c r="R46" s="236"/>
      <c r="S46" s="236"/>
      <c r="T46" s="236"/>
      <c r="V46" s="184"/>
      <c r="W46" s="184">
        <v>1.25</v>
      </c>
      <c r="X46" s="184"/>
      <c r="Y46" s="184"/>
    </row>
    <row r="47" spans="1:25" x14ac:dyDescent="0.2">
      <c r="A47" s="184" t="s">
        <v>27</v>
      </c>
      <c r="B47" s="184"/>
      <c r="C47" s="184"/>
      <c r="D47" s="223"/>
      <c r="E47" s="223"/>
      <c r="F47" s="223" t="s">
        <v>1303</v>
      </c>
      <c r="G47" s="184"/>
      <c r="H47" s="236"/>
      <c r="I47" s="236"/>
      <c r="J47" s="236"/>
      <c r="K47" s="236"/>
      <c r="L47" s="236">
        <f>W47/SUM(W45,W46,W47)</f>
        <v>0.33333333333333331</v>
      </c>
      <c r="M47" s="236"/>
      <c r="N47" s="236"/>
      <c r="O47" s="236"/>
      <c r="P47" s="236"/>
      <c r="Q47" s="236"/>
      <c r="R47" s="236"/>
      <c r="S47" s="236"/>
      <c r="T47" s="236"/>
      <c r="V47" s="184"/>
      <c r="W47" s="184">
        <v>1.25</v>
      </c>
      <c r="X47" s="184"/>
      <c r="Y47" s="184"/>
    </row>
    <row r="48" spans="1:25" x14ac:dyDescent="0.2">
      <c r="A48" s="184" t="s">
        <v>22</v>
      </c>
      <c r="B48" s="184" t="s">
        <v>1312</v>
      </c>
      <c r="C48" s="184" t="s">
        <v>1313</v>
      </c>
      <c r="D48" s="223" t="s">
        <v>26</v>
      </c>
      <c r="E48" s="223" t="s">
        <v>347</v>
      </c>
      <c r="F48" s="223" t="s">
        <v>1298</v>
      </c>
      <c r="G48" s="184">
        <v>2025</v>
      </c>
      <c r="H48" s="236"/>
      <c r="I48" s="236">
        <f>Y48/X48</f>
        <v>1</v>
      </c>
      <c r="J48" s="236"/>
      <c r="K48" s="236"/>
      <c r="L48" s="236"/>
      <c r="M48" s="236">
        <v>1</v>
      </c>
      <c r="N48" s="236">
        <v>1</v>
      </c>
      <c r="O48" s="236">
        <v>1</v>
      </c>
      <c r="P48" s="236">
        <v>1</v>
      </c>
      <c r="Q48" s="236"/>
      <c r="R48" s="236"/>
      <c r="S48" s="236"/>
      <c r="T48" s="236"/>
      <c r="V48" s="184"/>
      <c r="W48" s="184"/>
      <c r="X48" s="184">
        <v>1</v>
      </c>
      <c r="Y48" s="184">
        <v>1</v>
      </c>
    </row>
    <row r="49" spans="1:25" x14ac:dyDescent="0.2">
      <c r="A49" s="184" t="s">
        <v>22</v>
      </c>
      <c r="B49" s="184" t="s">
        <v>1314</v>
      </c>
      <c r="C49" s="184" t="s">
        <v>1315</v>
      </c>
      <c r="D49" s="223" t="s">
        <v>26</v>
      </c>
      <c r="E49" s="223" t="s">
        <v>349</v>
      </c>
      <c r="F49" s="184"/>
      <c r="G49" s="184">
        <v>2025</v>
      </c>
      <c r="H49" s="236"/>
      <c r="I49" s="236">
        <f>SUM(W52,W53,W54)/SUM(V49,V50,V51)</f>
        <v>1.5</v>
      </c>
      <c r="J49" s="236"/>
      <c r="K49" s="236">
        <f>V49/SUM(V49,V50,V51)</f>
        <v>0.33333333333333331</v>
      </c>
      <c r="L49" s="236"/>
      <c r="M49" s="236"/>
      <c r="N49" s="236">
        <v>1</v>
      </c>
      <c r="O49" s="236">
        <v>1</v>
      </c>
      <c r="P49" s="236">
        <v>1</v>
      </c>
      <c r="Q49" s="236"/>
      <c r="R49" s="236"/>
      <c r="S49" s="236"/>
      <c r="T49" s="236"/>
      <c r="V49" s="184">
        <v>1</v>
      </c>
      <c r="W49" s="184"/>
      <c r="X49" s="184"/>
      <c r="Y49" s="184"/>
    </row>
    <row r="50" spans="1:25" x14ac:dyDescent="0.2">
      <c r="A50" s="184"/>
      <c r="B50" s="184"/>
      <c r="C50" s="184"/>
      <c r="D50" s="223"/>
      <c r="E50" s="223" t="s">
        <v>353</v>
      </c>
      <c r="F50" s="184"/>
      <c r="G50" s="184"/>
      <c r="H50" s="236"/>
      <c r="I50" s="236"/>
      <c r="J50" s="236"/>
      <c r="K50" s="236">
        <f>V50/SUM(V49,V50,V51)</f>
        <v>0.33333333333333331</v>
      </c>
      <c r="L50" s="236"/>
      <c r="M50" s="236"/>
      <c r="N50" s="236"/>
      <c r="O50" s="236"/>
      <c r="P50" s="236"/>
      <c r="Q50" s="236"/>
      <c r="R50" s="236"/>
      <c r="S50" s="236"/>
      <c r="T50" s="236"/>
      <c r="V50" s="184">
        <v>1</v>
      </c>
      <c r="W50" s="184"/>
      <c r="X50" s="184"/>
      <c r="Y50" s="184"/>
    </row>
    <row r="51" spans="1:25" x14ac:dyDescent="0.2">
      <c r="A51" s="184" t="s">
        <v>27</v>
      </c>
      <c r="B51" s="184"/>
      <c r="C51" s="184"/>
      <c r="D51" s="223"/>
      <c r="E51" s="223" t="s">
        <v>351</v>
      </c>
      <c r="F51" s="184"/>
      <c r="G51" s="184"/>
      <c r="H51" s="236"/>
      <c r="I51" s="236"/>
      <c r="J51" s="236"/>
      <c r="K51" s="236">
        <f>V51/SUM(V49,V50,V51)</f>
        <v>0.33333333333333331</v>
      </c>
      <c r="L51" s="236"/>
      <c r="M51" s="236"/>
      <c r="N51" s="236"/>
      <c r="O51" s="236"/>
      <c r="P51" s="236"/>
      <c r="Q51" s="236"/>
      <c r="R51" s="236"/>
      <c r="S51" s="236"/>
      <c r="T51" s="236"/>
      <c r="V51" s="184">
        <v>1</v>
      </c>
      <c r="W51" s="184"/>
      <c r="X51" s="184"/>
      <c r="Y51" s="184"/>
    </row>
    <row r="52" spans="1:25" x14ac:dyDescent="0.2">
      <c r="A52" s="184"/>
      <c r="B52" s="184"/>
      <c r="C52" s="184"/>
      <c r="D52" s="223"/>
      <c r="E52" s="223"/>
      <c r="F52" s="223" t="s">
        <v>1301</v>
      </c>
      <c r="G52" s="184"/>
      <c r="H52" s="236"/>
      <c r="I52" s="236"/>
      <c r="J52" s="236"/>
      <c r="K52" s="236"/>
      <c r="L52" s="236">
        <f>W52/SUM(W52,W53,W54)</f>
        <v>0.33333333333333331</v>
      </c>
      <c r="M52" s="236"/>
      <c r="N52" s="236"/>
      <c r="O52" s="236"/>
      <c r="P52" s="236"/>
      <c r="Q52" s="236"/>
      <c r="R52" s="236"/>
      <c r="S52" s="236"/>
      <c r="T52" s="236"/>
      <c r="V52" s="184"/>
      <c r="W52" s="184">
        <v>1.5</v>
      </c>
      <c r="X52" s="184"/>
      <c r="Y52" s="184"/>
    </row>
    <row r="53" spans="1:25" x14ac:dyDescent="0.2">
      <c r="A53" s="184"/>
      <c r="B53" s="184"/>
      <c r="C53" s="184"/>
      <c r="D53" s="223"/>
      <c r="E53" s="223"/>
      <c r="F53" s="223" t="s">
        <v>1302</v>
      </c>
      <c r="G53" s="184"/>
      <c r="H53" s="236"/>
      <c r="I53" s="236"/>
      <c r="J53" s="236"/>
      <c r="K53" s="236"/>
      <c r="L53" s="236">
        <f>W53/SUM(W52,W53,W54)</f>
        <v>0.33333333333333331</v>
      </c>
      <c r="M53" s="236"/>
      <c r="N53" s="236"/>
      <c r="O53" s="236"/>
      <c r="P53" s="236"/>
      <c r="Q53" s="236"/>
      <c r="R53" s="236"/>
      <c r="S53" s="236"/>
      <c r="T53" s="236"/>
      <c r="V53" s="184"/>
      <c r="W53" s="184">
        <v>1.5</v>
      </c>
      <c r="X53" s="184"/>
      <c r="Y53" s="184"/>
    </row>
    <row r="54" spans="1:25" x14ac:dyDescent="0.2">
      <c r="A54" s="184" t="s">
        <v>27</v>
      </c>
      <c r="B54" s="184"/>
      <c r="C54" s="184"/>
      <c r="D54" s="223"/>
      <c r="E54" s="223"/>
      <c r="F54" s="223" t="s">
        <v>1303</v>
      </c>
      <c r="G54" s="184"/>
      <c r="H54" s="236"/>
      <c r="I54" s="236"/>
      <c r="J54" s="236"/>
      <c r="K54" s="236"/>
      <c r="L54" s="236">
        <f>W54/SUM(W52,W53,W54)</f>
        <v>0.33333333333333331</v>
      </c>
      <c r="M54" s="236"/>
      <c r="N54" s="236"/>
      <c r="O54" s="236"/>
      <c r="P54" s="236"/>
      <c r="Q54" s="236"/>
      <c r="R54" s="236"/>
      <c r="S54" s="236"/>
      <c r="T54" s="236"/>
      <c r="V54" s="184"/>
      <c r="W54" s="184">
        <v>1.5</v>
      </c>
      <c r="X54" s="184"/>
      <c r="Y54" s="184"/>
    </row>
  </sheetData>
  <phoneticPr fontId="0" type="noConversion"/>
  <pageMargins left="0.75" right="0.75" top="1" bottom="1" header="0.5" footer="0.5"/>
  <pageSetup paperSize="9" orientation="landscape" horizontalDpi="1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1">
    <tabColor rgb="FFFFC000"/>
  </sheetPr>
  <dimension ref="A1:GL12"/>
  <sheetViews>
    <sheetView zoomScale="80" zoomScaleNormal="80" workbookViewId="0">
      <pane xSplit="6" ySplit="5" topLeftCell="G6" activePane="bottomRight" state="frozen"/>
      <selection pane="topRight" activeCell="C33" sqref="C33"/>
      <selection pane="bottomLeft" activeCell="C33" sqref="C33"/>
      <selection pane="bottomRight" activeCell="H5" sqref="H5"/>
    </sheetView>
  </sheetViews>
  <sheetFormatPr defaultColWidth="9.140625" defaultRowHeight="12.75" x14ac:dyDescent="0.2"/>
  <cols>
    <col min="1" max="1" width="14.140625" bestFit="1" customWidth="1"/>
    <col min="2" max="2" width="30.85546875" bestFit="1" customWidth="1"/>
    <col min="3" max="3" width="19.85546875" bestFit="1" customWidth="1"/>
    <col min="4" max="4" width="7" bestFit="1" customWidth="1"/>
    <col min="5" max="5" width="9.5703125" bestFit="1" customWidth="1"/>
    <col min="6" max="6" width="11.85546875" bestFit="1" customWidth="1"/>
    <col min="7" max="7" width="14.140625" style="207" bestFit="1" customWidth="1"/>
    <col min="8" max="8" width="11.5703125" style="207" bestFit="1" customWidth="1"/>
    <col min="9" max="9" width="4.42578125" style="207" bestFit="1" customWidth="1"/>
    <col min="10" max="13" width="20.85546875" style="207" bestFit="1" customWidth="1"/>
    <col min="14" max="17" width="22.140625" style="207" bestFit="1" customWidth="1"/>
    <col min="18" max="19" width="21.140625" style="207" bestFit="1" customWidth="1"/>
    <col min="20" max="21" width="19.85546875" style="207" bestFit="1" customWidth="1"/>
    <col min="22" max="25" width="20.85546875" style="207" bestFit="1" customWidth="1"/>
    <col min="26" max="27" width="19.5703125" style="207" bestFit="1" customWidth="1"/>
    <col min="28" max="29" width="19.85546875" style="207" bestFit="1" customWidth="1"/>
    <col min="30" max="31" width="20.85546875" style="207" bestFit="1" customWidth="1"/>
    <col min="32" max="33" width="16.5703125" style="207" bestFit="1" customWidth="1"/>
    <col min="34" max="34" width="17.85546875" style="207" bestFit="1" customWidth="1"/>
    <col min="35" max="35" width="16.42578125" style="207" bestFit="1" customWidth="1"/>
    <col min="36" max="36" width="19.140625" style="207" bestFit="1" customWidth="1"/>
    <col min="37" max="194" width="9.140625" style="207"/>
  </cols>
  <sheetData>
    <row r="1" spans="1:36" x14ac:dyDescent="0.2">
      <c r="A1" s="1" t="s">
        <v>465</v>
      </c>
      <c r="B1" s="12" t="s">
        <v>12</v>
      </c>
    </row>
    <row r="4" spans="1:36" ht="17.25" customHeight="1" x14ac:dyDescent="0.2">
      <c r="F4" s="198" t="s">
        <v>424</v>
      </c>
    </row>
    <row r="5" spans="1:36" ht="15.75" customHeight="1" x14ac:dyDescent="0.2">
      <c r="A5" s="181" t="s">
        <v>14</v>
      </c>
      <c r="B5" s="181" t="s">
        <v>7</v>
      </c>
      <c r="C5" s="181" t="s">
        <v>466</v>
      </c>
      <c r="D5" s="181" t="s">
        <v>426</v>
      </c>
      <c r="E5" s="181" t="s">
        <v>467</v>
      </c>
      <c r="F5" s="181" t="s">
        <v>468</v>
      </c>
      <c r="G5" s="181" t="s">
        <v>469</v>
      </c>
      <c r="H5" s="181" t="s">
        <v>470</v>
      </c>
      <c r="I5" s="181" t="s">
        <v>472</v>
      </c>
      <c r="J5" s="181" t="s">
        <v>1316</v>
      </c>
      <c r="K5" s="181" t="s">
        <v>1317</v>
      </c>
      <c r="L5" s="181" t="s">
        <v>1318</v>
      </c>
      <c r="M5" s="181" t="s">
        <v>1319</v>
      </c>
      <c r="N5" s="181" t="s">
        <v>1320</v>
      </c>
      <c r="O5" s="181" t="s">
        <v>1321</v>
      </c>
      <c r="P5" s="181" t="s">
        <v>1322</v>
      </c>
      <c r="Q5" s="181" t="s">
        <v>1323</v>
      </c>
      <c r="R5" s="181" t="s">
        <v>1324</v>
      </c>
      <c r="S5" s="181" t="s">
        <v>1325</v>
      </c>
      <c r="T5" s="181" t="s">
        <v>1326</v>
      </c>
      <c r="U5" s="181" t="s">
        <v>1327</v>
      </c>
      <c r="V5" s="181" t="s">
        <v>1328</v>
      </c>
      <c r="W5" s="181" t="s">
        <v>1329</v>
      </c>
      <c r="X5" s="181" t="s">
        <v>1330</v>
      </c>
      <c r="Y5" s="181" t="s">
        <v>1331</v>
      </c>
      <c r="Z5" s="181" t="s">
        <v>1332</v>
      </c>
      <c r="AA5" s="181" t="s">
        <v>1333</v>
      </c>
      <c r="AB5" s="181" t="s">
        <v>1334</v>
      </c>
      <c r="AC5" s="181" t="s">
        <v>1335</v>
      </c>
      <c r="AD5" s="181" t="s">
        <v>1336</v>
      </c>
      <c r="AE5" s="181" t="s">
        <v>1337</v>
      </c>
      <c r="AF5" s="181" t="s">
        <v>1338</v>
      </c>
      <c r="AG5" s="181" t="s">
        <v>1339</v>
      </c>
      <c r="AH5" s="181" t="s">
        <v>1340</v>
      </c>
      <c r="AI5" s="181" t="s">
        <v>1341</v>
      </c>
      <c r="AJ5" s="181" t="s">
        <v>1342</v>
      </c>
    </row>
    <row r="6" spans="1:36" s="207" customFormat="1" x14ac:dyDescent="0.2">
      <c r="A6" s="215" t="s">
        <v>1343</v>
      </c>
      <c r="B6" s="215"/>
      <c r="C6" s="215"/>
      <c r="D6" s="216"/>
      <c r="E6" s="217"/>
      <c r="F6" s="217"/>
      <c r="G6" s="218"/>
      <c r="H6" s="218"/>
      <c r="I6" s="218"/>
      <c r="J6" s="219"/>
      <c r="K6" s="219"/>
      <c r="L6" s="219"/>
      <c r="M6" s="219"/>
      <c r="N6" s="219"/>
      <c r="O6" s="219"/>
      <c r="P6" s="219"/>
      <c r="Q6" s="219"/>
      <c r="R6" s="219"/>
      <c r="S6" s="219"/>
      <c r="T6" s="219"/>
      <c r="U6" s="219"/>
      <c r="V6" s="219"/>
      <c r="W6" s="219"/>
      <c r="X6" s="219"/>
      <c r="Y6" s="219"/>
      <c r="Z6" s="219"/>
      <c r="AA6" s="219"/>
      <c r="AB6" s="219"/>
      <c r="AC6" s="219"/>
      <c r="AD6" s="219"/>
      <c r="AE6" s="219"/>
      <c r="AF6" s="215"/>
      <c r="AG6" s="215"/>
      <c r="AH6" s="215"/>
      <c r="AI6" s="215"/>
      <c r="AJ6" s="215"/>
    </row>
    <row r="7" spans="1:36" s="207" customFormat="1" x14ac:dyDescent="0.2">
      <c r="A7" s="208" t="s">
        <v>27</v>
      </c>
      <c r="B7" s="208" t="s">
        <v>1344</v>
      </c>
      <c r="C7" s="208" t="s">
        <v>1345</v>
      </c>
      <c r="D7" s="209" t="s">
        <v>26</v>
      </c>
      <c r="E7" s="210" t="s">
        <v>129</v>
      </c>
      <c r="F7" s="210" t="s">
        <v>54</v>
      </c>
      <c r="G7" s="211">
        <v>2010</v>
      </c>
      <c r="H7" s="211">
        <v>55</v>
      </c>
      <c r="I7" s="211">
        <v>1</v>
      </c>
      <c r="J7" s="212">
        <f>EmisRes!D18</f>
        <v>0.10059958959999998</v>
      </c>
      <c r="K7" s="212">
        <f>J7</f>
        <v>0.10059958959999998</v>
      </c>
      <c r="L7" s="212"/>
      <c r="M7" s="212"/>
      <c r="N7" s="212"/>
      <c r="O7" s="212"/>
      <c r="P7" s="212"/>
      <c r="Q7" s="212"/>
      <c r="R7" s="212"/>
      <c r="S7" s="212"/>
      <c r="T7" s="212"/>
      <c r="U7" s="212"/>
      <c r="V7" s="212"/>
      <c r="W7" s="212"/>
      <c r="X7" s="212"/>
      <c r="Y7" s="212"/>
      <c r="Z7" s="212"/>
      <c r="AA7" s="212"/>
      <c r="AB7" s="212"/>
      <c r="AC7" s="212"/>
      <c r="AD7" s="212"/>
      <c r="AE7" s="212"/>
      <c r="AF7" s="208"/>
      <c r="AG7" s="208"/>
      <c r="AH7" s="208"/>
      <c r="AI7" s="208"/>
      <c r="AJ7" s="208"/>
    </row>
    <row r="8" spans="1:36" s="207" customFormat="1" x14ac:dyDescent="0.2">
      <c r="A8" s="208" t="s">
        <v>22</v>
      </c>
      <c r="B8" s="208" t="s">
        <v>1346</v>
      </c>
      <c r="C8" s="208" t="s">
        <v>1347</v>
      </c>
      <c r="D8" s="209" t="s">
        <v>26</v>
      </c>
      <c r="E8" s="210" t="s">
        <v>126</v>
      </c>
      <c r="F8" s="210" t="s">
        <v>52</v>
      </c>
      <c r="G8" s="211">
        <v>2010</v>
      </c>
      <c r="H8" s="211">
        <v>55</v>
      </c>
      <c r="I8" s="211">
        <v>1</v>
      </c>
      <c r="J8" s="213">
        <f>EmisRes!D9</f>
        <v>7.7177346399999999E-2</v>
      </c>
      <c r="K8" s="213">
        <f>J8</f>
        <v>7.7177346399999999E-2</v>
      </c>
      <c r="L8" s="213">
        <f>EmisRes!I28</f>
        <v>3.9275865139168441E-2</v>
      </c>
      <c r="M8" s="213">
        <f>L8</f>
        <v>3.9275865139168441E-2</v>
      </c>
      <c r="N8" s="213">
        <f>EmisRes!J28</f>
        <v>2.1727074332305945E-4</v>
      </c>
      <c r="O8" s="213">
        <f>N8</f>
        <v>2.1727074332305945E-4</v>
      </c>
      <c r="P8" s="213">
        <f>EmisRes!K28</f>
        <v>1.7966619159406839E-4</v>
      </c>
      <c r="Q8" s="213">
        <f>P8</f>
        <v>1.7966619159406839E-4</v>
      </c>
      <c r="R8" s="213">
        <f>EmisRes!L28</f>
        <v>2.2980559389938981E-3</v>
      </c>
      <c r="S8" s="213">
        <f>R8</f>
        <v>2.2980559389938981E-3</v>
      </c>
      <c r="T8" s="213">
        <f>EmisRes!M28</f>
        <v>1.6713134101773802E-2</v>
      </c>
      <c r="U8" s="213">
        <f>T8</f>
        <v>1.6713134101773802E-2</v>
      </c>
      <c r="V8" s="213">
        <f>EmisRes!N28</f>
        <v>4.7390856133350664E-3</v>
      </c>
      <c r="W8" s="213">
        <f>V8</f>
        <v>4.7390856133350664E-3</v>
      </c>
      <c r="X8" s="213">
        <f>EmisRes!O28</f>
        <v>9.4781712266701334E-5</v>
      </c>
      <c r="Y8" s="213">
        <f>X8</f>
        <v>9.4781712266701334E-5</v>
      </c>
      <c r="Z8" s="214">
        <f>P8*EmisRes!K177</f>
        <v>1.0779971495644103E-5</v>
      </c>
      <c r="AA8" s="213">
        <f>Z8</f>
        <v>1.0779971495644103E-5</v>
      </c>
      <c r="AB8" s="214">
        <f>R8*EmisRes!K101</f>
        <v>1.149027969496949E-3</v>
      </c>
      <c r="AC8" s="213">
        <f>AB8</f>
        <v>1.149027969496949E-3</v>
      </c>
      <c r="AD8" s="213">
        <f>EmisRes!H28</f>
        <v>2.5069701152660706E-4</v>
      </c>
      <c r="AE8" s="213">
        <f>AD8</f>
        <v>2.5069701152660706E-4</v>
      </c>
      <c r="AF8" s="208">
        <f>J8*1000</f>
        <v>77.177346400000005</v>
      </c>
      <c r="AG8" s="212">
        <f>L8</f>
        <v>3.9275865139168441E-2</v>
      </c>
      <c r="AH8" s="212">
        <f t="shared" ref="AH8:AH12" si="0">N8</f>
        <v>2.1727074332305945E-4</v>
      </c>
      <c r="AI8" s="212">
        <f>AD8</f>
        <v>2.5069701152660706E-4</v>
      </c>
      <c r="AJ8" s="212">
        <f>AG8</f>
        <v>3.9275865139168441E-2</v>
      </c>
    </row>
    <row r="9" spans="1:36" s="207" customFormat="1" x14ac:dyDescent="0.2">
      <c r="A9" s="208" t="s">
        <v>27</v>
      </c>
      <c r="B9" s="208" t="s">
        <v>1348</v>
      </c>
      <c r="C9" s="208" t="s">
        <v>1349</v>
      </c>
      <c r="D9" s="209" t="s">
        <v>26</v>
      </c>
      <c r="E9" s="210" t="s">
        <v>130</v>
      </c>
      <c r="F9" s="210" t="s">
        <v>63</v>
      </c>
      <c r="G9" s="211">
        <v>2010</v>
      </c>
      <c r="H9" s="211">
        <v>55</v>
      </c>
      <c r="I9" s="211">
        <v>1</v>
      </c>
      <c r="J9" s="213"/>
      <c r="K9" s="213"/>
      <c r="L9" s="213">
        <f>EmisRes!I27</f>
        <v>0.12680825708658253</v>
      </c>
      <c r="M9" s="213">
        <f>L9</f>
        <v>0.12680825708658253</v>
      </c>
      <c r="N9" s="213">
        <f>EmisRes!J27</f>
        <v>0.70373708963144821</v>
      </c>
      <c r="O9" s="213">
        <f>N9</f>
        <v>0.70373708963144821</v>
      </c>
      <c r="P9" s="213">
        <f>EmisRes!K27</f>
        <v>0.6052138970830454</v>
      </c>
      <c r="Q9" s="213">
        <f>P9</f>
        <v>0.6052138970830454</v>
      </c>
      <c r="R9" s="213">
        <f>EmisRes!L27</f>
        <v>1.1519337812962567</v>
      </c>
      <c r="S9" s="213">
        <f>R9</f>
        <v>1.1519337812962567</v>
      </c>
      <c r="T9" s="213">
        <f>EmisRes!M27</f>
        <v>5.1881544168748119</v>
      </c>
      <c r="U9" s="213">
        <f>T9</f>
        <v>5.1881544168748119</v>
      </c>
      <c r="V9" s="213">
        <f>EmisRes!N27</f>
        <v>0.18729739993150055</v>
      </c>
      <c r="W9" s="213">
        <f>V9</f>
        <v>0.18729739993150055</v>
      </c>
      <c r="X9" s="213">
        <f>EmisRes!O27</f>
        <v>3.9808319152014561E-3</v>
      </c>
      <c r="Y9" s="213">
        <f>X9</f>
        <v>3.9808319152014561E-3</v>
      </c>
      <c r="Z9" s="214">
        <f>P9*EmisRes!N243</f>
        <v>4.5693649229769928E-2</v>
      </c>
      <c r="AA9" s="213">
        <f>Z9</f>
        <v>4.5693649229769928E-2</v>
      </c>
      <c r="AB9" s="214">
        <f>R9*EmisRes!K65</f>
        <v>0.23038675625925134</v>
      </c>
      <c r="AC9" s="213">
        <f>AB9</f>
        <v>0.23038675625925134</v>
      </c>
      <c r="AD9" s="213">
        <f>EmisRes!H27</f>
        <v>1.0748065374927783E-2</v>
      </c>
      <c r="AE9" s="213">
        <f>AD9</f>
        <v>1.0748065374927783E-2</v>
      </c>
      <c r="AF9" s="208">
        <f>J9*1000</f>
        <v>0</v>
      </c>
      <c r="AG9" s="212">
        <f>L9</f>
        <v>0.12680825708658253</v>
      </c>
      <c r="AH9" s="212">
        <f t="shared" si="0"/>
        <v>0.70373708963144821</v>
      </c>
      <c r="AI9" s="212">
        <f>AD9</f>
        <v>1.0748065374927783E-2</v>
      </c>
      <c r="AJ9" s="212">
        <f t="shared" ref="AJ9:AJ12" si="1">AG9</f>
        <v>0.12680825708658253</v>
      </c>
    </row>
    <row r="10" spans="1:36" s="207" customFormat="1" x14ac:dyDescent="0.2">
      <c r="A10" s="208" t="s">
        <v>22</v>
      </c>
      <c r="B10" s="208" t="s">
        <v>1350</v>
      </c>
      <c r="C10" s="208" t="s">
        <v>1351</v>
      </c>
      <c r="D10" s="209" t="s">
        <v>26</v>
      </c>
      <c r="E10" s="210" t="s">
        <v>127</v>
      </c>
      <c r="F10" s="210" t="s">
        <v>56</v>
      </c>
      <c r="G10" s="211">
        <v>2010</v>
      </c>
      <c r="H10" s="211">
        <v>55</v>
      </c>
      <c r="I10" s="211">
        <v>1</v>
      </c>
      <c r="J10" s="213">
        <f>EmisRes!D9</f>
        <v>7.7177346399999999E-2</v>
      </c>
      <c r="K10" s="213">
        <f>J10</f>
        <v>7.7177346399999999E-2</v>
      </c>
      <c r="L10" s="213">
        <f>EmisRes!I29</f>
        <v>5.5800635763898224E-2</v>
      </c>
      <c r="M10" s="213">
        <f>L10</f>
        <v>5.5800635763898224E-2</v>
      </c>
      <c r="N10" s="213">
        <f>EmisRes!J29</f>
        <v>7.3780840621154318E-3</v>
      </c>
      <c r="O10" s="213">
        <f>N10</f>
        <v>7.3780840621154318E-3</v>
      </c>
      <c r="P10" s="213">
        <f>EmisRes!K29</f>
        <v>6.6030752320612894E-3</v>
      </c>
      <c r="Q10" s="213">
        <f>P10</f>
        <v>6.6030752320612894E-3</v>
      </c>
      <c r="R10" s="213">
        <f>EmisRes!L29</f>
        <v>2.1700247241515976E-3</v>
      </c>
      <c r="S10" s="213">
        <f>R10</f>
        <v>2.1700247241515976E-3</v>
      </c>
      <c r="T10" s="213">
        <f>EmisRes!M29</f>
        <v>1.5500176601082839E-2</v>
      </c>
      <c r="U10" s="213">
        <f>T10</f>
        <v>1.5500176601082839E-2</v>
      </c>
      <c r="V10" s="213">
        <f>EmisRes!N29</f>
        <v>5.5180628699854906E-3</v>
      </c>
      <c r="W10" s="213">
        <f>V10</f>
        <v>5.5180628699854906E-3</v>
      </c>
      <c r="X10" s="213">
        <f>EmisRes!O29</f>
        <v>5.6869027360020798E-4</v>
      </c>
      <c r="Y10" s="213">
        <f>X10</f>
        <v>5.6869027360020798E-4</v>
      </c>
      <c r="Z10" s="214">
        <f>P10*EmisRes!K133</f>
        <v>1.9809225696183867E-3</v>
      </c>
      <c r="AA10" s="213">
        <f>Z10</f>
        <v>1.9809225696183867E-3</v>
      </c>
      <c r="AB10" s="214">
        <f>R10*EmisRes!K57</f>
        <v>1.9530222517364379E-4</v>
      </c>
      <c r="AC10" s="213">
        <f>AB10</f>
        <v>1.9530222517364379E-4</v>
      </c>
      <c r="AD10" s="213">
        <f>EmisRes!H29</f>
        <v>0.13206150464122579</v>
      </c>
      <c r="AE10" s="213">
        <f>AD10</f>
        <v>0.13206150464122579</v>
      </c>
      <c r="AF10" s="208">
        <f>J10*1000</f>
        <v>77.177346400000005</v>
      </c>
      <c r="AG10" s="212">
        <f>L10</f>
        <v>5.5800635763898224E-2</v>
      </c>
      <c r="AH10" s="212">
        <f t="shared" si="0"/>
        <v>7.3780840621154318E-3</v>
      </c>
      <c r="AI10" s="212">
        <f>AD10</f>
        <v>0.13206150464122579</v>
      </c>
      <c r="AJ10" s="212">
        <f t="shared" si="1"/>
        <v>5.5800635763898224E-2</v>
      </c>
    </row>
    <row r="11" spans="1:36" s="207" customFormat="1" x14ac:dyDescent="0.2">
      <c r="A11" s="208" t="s">
        <v>27</v>
      </c>
      <c r="B11" s="208" t="s">
        <v>1352</v>
      </c>
      <c r="C11" s="208" t="s">
        <v>1353</v>
      </c>
      <c r="D11" s="209" t="s">
        <v>26</v>
      </c>
      <c r="E11" s="210" t="s">
        <v>132</v>
      </c>
      <c r="F11" s="210" t="s">
        <v>59</v>
      </c>
      <c r="G11" s="211">
        <v>2010</v>
      </c>
      <c r="H11" s="211">
        <v>55</v>
      </c>
      <c r="I11" s="211">
        <v>1</v>
      </c>
      <c r="J11" s="213">
        <f>EmisRes!D11</f>
        <v>7.6291099360000003E-2</v>
      </c>
      <c r="K11" s="213">
        <f>J11</f>
        <v>7.6291099360000003E-2</v>
      </c>
      <c r="L11" s="213">
        <f>EmisRes!I31</f>
        <v>5.7326049969084157E-2</v>
      </c>
      <c r="M11" s="213">
        <f>L11</f>
        <v>5.7326049969084157E-2</v>
      </c>
      <c r="N11" s="213">
        <f>EmisRes!J45</f>
        <v>7.2612996627506596E-3</v>
      </c>
      <c r="O11" s="213">
        <f>N11</f>
        <v>7.2612996627506596E-3</v>
      </c>
      <c r="P11" s="213">
        <f>EmisRes!K45</f>
        <v>6.5288001353679169E-3</v>
      </c>
      <c r="Q11" s="213">
        <f>P11</f>
        <v>6.5288001353679169E-3</v>
      </c>
      <c r="R11" s="213">
        <f>EmisRes!L45</f>
        <v>2.140172532179142E-3</v>
      </c>
      <c r="S11" s="213">
        <f>R11</f>
        <v>2.140172532179142E-3</v>
      </c>
      <c r="T11" s="213">
        <f>EmisRes!M45</f>
        <v>1.5923902769190042E-2</v>
      </c>
      <c r="U11" s="213">
        <f>T11</f>
        <v>1.5923902769190042E-2</v>
      </c>
      <c r="V11" s="213">
        <f>EmisRes!N45</f>
        <v>5.6689093858316554E-3</v>
      </c>
      <c r="W11" s="213">
        <f>V11</f>
        <v>5.6689093858316554E-3</v>
      </c>
      <c r="X11" s="213">
        <f>EmisRes!O45</f>
        <v>5.6869027360020798E-4</v>
      </c>
      <c r="Y11" s="213">
        <f>X11</f>
        <v>5.6869027360020798E-4</v>
      </c>
      <c r="Z11" s="214">
        <f>P11*EmisRes!K178</f>
        <v>5.223040108294334E-4</v>
      </c>
      <c r="AA11" s="213">
        <f>Z11</f>
        <v>5.223040108294334E-4</v>
      </c>
      <c r="AB11" s="214">
        <f>R11*EmisRes!K99</f>
        <v>2.1401725321791421E-4</v>
      </c>
      <c r="AC11" s="213">
        <f>AB11</f>
        <v>2.1401725321791421E-4</v>
      </c>
      <c r="AD11" s="213">
        <f>EmisRes!H45</f>
        <v>0.13567165159349917</v>
      </c>
      <c r="AE11" s="213">
        <f>AD11</f>
        <v>0.13567165159349917</v>
      </c>
      <c r="AF11" s="208">
        <f>J11*1000</f>
        <v>76.291099360000004</v>
      </c>
      <c r="AG11" s="212">
        <f>L11</f>
        <v>5.7326049969084157E-2</v>
      </c>
      <c r="AH11" s="212">
        <f t="shared" si="0"/>
        <v>7.2612996627506596E-3</v>
      </c>
      <c r="AI11" s="212">
        <f>AD11</f>
        <v>0.13567165159349917</v>
      </c>
      <c r="AJ11" s="212">
        <f t="shared" si="1"/>
        <v>5.7326049969084157E-2</v>
      </c>
    </row>
    <row r="12" spans="1:36" s="207" customFormat="1" x14ac:dyDescent="0.2">
      <c r="A12" s="208" t="s">
        <v>27</v>
      </c>
      <c r="B12" s="208" t="s">
        <v>1354</v>
      </c>
      <c r="C12" s="208" t="s">
        <v>1355</v>
      </c>
      <c r="D12" s="209" t="s">
        <v>26</v>
      </c>
      <c r="E12" s="210" t="s">
        <v>134</v>
      </c>
      <c r="F12" s="210" t="s">
        <v>61</v>
      </c>
      <c r="G12" s="211">
        <v>2010</v>
      </c>
      <c r="H12" s="211">
        <v>55</v>
      </c>
      <c r="I12" s="211">
        <v>1</v>
      </c>
      <c r="J12" s="213">
        <f>EmisRes!D12</f>
        <v>6.5708887680000008E-2</v>
      </c>
      <c r="K12" s="213">
        <f>J12</f>
        <v>6.5708887680000008E-2</v>
      </c>
      <c r="L12" s="213">
        <f>EmisRes!I30</f>
        <v>6.2863259097865581E-2</v>
      </c>
      <c r="M12" s="213">
        <f>L12</f>
        <v>6.2863259097865581E-2</v>
      </c>
      <c r="N12" s="213">
        <f>EmisRes!J44</f>
        <v>2.3456439961890146E-4</v>
      </c>
      <c r="O12" s="213">
        <f>N12</f>
        <v>2.3456439961890146E-4</v>
      </c>
      <c r="P12" s="213">
        <f>EmisRes!K44</f>
        <v>1.8765151969512116E-4</v>
      </c>
      <c r="Q12" s="213">
        <f>P12</f>
        <v>1.8765151969512116E-4</v>
      </c>
      <c r="R12" s="213">
        <f>EmisRes!L44</f>
        <v>2.439469756036575E-3</v>
      </c>
      <c r="S12" s="213">
        <f>R12</f>
        <v>2.439469756036575E-3</v>
      </c>
      <c r="T12" s="213">
        <f>EmisRes!M44</f>
        <v>1.782689437103651E-2</v>
      </c>
      <c r="U12" s="213">
        <f>T12</f>
        <v>1.782689437103651E-2</v>
      </c>
      <c r="V12" s="213">
        <f>EmisRes!N44</f>
        <v>1.0425988349337147E-2</v>
      </c>
      <c r="W12" s="213">
        <f>V12</f>
        <v>1.0425988349337147E-2</v>
      </c>
      <c r="X12" s="213">
        <f>EmisRes!O44</f>
        <v>5.6869027360020798E-4</v>
      </c>
      <c r="Y12" s="213">
        <f>X12</f>
        <v>5.6869027360020798E-4</v>
      </c>
      <c r="Z12" s="214">
        <f>P12*EmisRes!K176</f>
        <v>2.4394697560365753E-5</v>
      </c>
      <c r="AA12" s="213">
        <f>Z12</f>
        <v>2.4394697560365753E-5</v>
      </c>
      <c r="AB12" s="214">
        <f>R12*EmisRes!K100</f>
        <v>2.4394697560365752E-4</v>
      </c>
      <c r="AC12" s="213">
        <f>AB12</f>
        <v>2.4394697560365752E-4</v>
      </c>
      <c r="AD12" s="213">
        <f>EmisRes!H44</f>
        <v>2.8147727954268173E-4</v>
      </c>
      <c r="AE12" s="213">
        <f>AD12</f>
        <v>2.8147727954268173E-4</v>
      </c>
      <c r="AF12" s="208">
        <f>J12*1000</f>
        <v>65.708887680000004</v>
      </c>
      <c r="AG12" s="212">
        <f>L12</f>
        <v>6.2863259097865581E-2</v>
      </c>
      <c r="AH12" s="212">
        <f t="shared" si="0"/>
        <v>2.3456439961890146E-4</v>
      </c>
      <c r="AI12" s="212">
        <f>AD12</f>
        <v>2.8147727954268173E-4</v>
      </c>
      <c r="AJ12" s="212">
        <f t="shared" si="1"/>
        <v>6.2863259097865581E-2</v>
      </c>
    </row>
  </sheetData>
  <pageMargins left="0.75" right="0.75" top="1" bottom="1" header="0.5" footer="0.5"/>
  <pageSetup paperSize="9" orientation="landscape" horizontalDpi="1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E17A-00AC-45BF-BC53-D032837EEA05}">
  <sheetPr>
    <tabColor rgb="FFFFC000"/>
  </sheetPr>
  <dimension ref="A1:CC8"/>
  <sheetViews>
    <sheetView workbookViewId="0">
      <selection activeCell="Q7" sqref="Q7"/>
    </sheetView>
  </sheetViews>
  <sheetFormatPr defaultRowHeight="12.75" x14ac:dyDescent="0.2"/>
  <cols>
    <col min="1" max="1" width="16.42578125" bestFit="1" customWidth="1"/>
    <col min="2" max="2" width="14.85546875" bestFit="1" customWidth="1"/>
    <col min="3" max="3" width="33.5703125" bestFit="1" customWidth="1"/>
    <col min="4" max="4" width="8" bestFit="1" customWidth="1"/>
    <col min="5" max="5" width="11.42578125" bestFit="1" customWidth="1"/>
    <col min="6" max="6" width="10.7109375" bestFit="1" customWidth="1"/>
    <col min="7" max="7" width="13.42578125" bestFit="1" customWidth="1"/>
    <col min="8" max="8" width="12.28515625" bestFit="1" customWidth="1"/>
    <col min="9" max="9" width="13.5703125" bestFit="1" customWidth="1"/>
    <col min="10" max="10" width="14.5703125" bestFit="1" customWidth="1"/>
    <col min="11" max="11" width="5.7109375" bestFit="1" customWidth="1"/>
    <col min="12" max="12" width="10.140625" bestFit="1" customWidth="1"/>
    <col min="13" max="14" width="17.7109375" bestFit="1" customWidth="1"/>
    <col min="15" max="15" width="11.28515625" bestFit="1" customWidth="1"/>
    <col min="16" max="16" width="10.85546875" bestFit="1" customWidth="1"/>
    <col min="17" max="17" width="9.5703125" bestFit="1" customWidth="1"/>
    <col min="18" max="57" width="20.28515625" bestFit="1" customWidth="1"/>
    <col min="59" max="63" width="20" bestFit="1" customWidth="1"/>
    <col min="64" max="68" width="23.7109375" bestFit="1" customWidth="1"/>
    <col min="69" max="76" width="20.140625" bestFit="1" customWidth="1"/>
    <col min="78" max="79" width="15.42578125" bestFit="1" customWidth="1"/>
    <col min="80" max="80" width="6.5703125" bestFit="1" customWidth="1"/>
    <col min="81" max="81" width="7" bestFit="1" customWidth="1"/>
  </cols>
  <sheetData>
    <row r="1" spans="1:81" s="254" customFormat="1" x14ac:dyDescent="0.2">
      <c r="A1" s="253" t="s">
        <v>465</v>
      </c>
      <c r="B1" s="254" t="s">
        <v>22</v>
      </c>
      <c r="G1" s="255"/>
      <c r="H1" s="255"/>
      <c r="I1" s="256"/>
      <c r="J1" s="257"/>
      <c r="K1" s="257"/>
      <c r="Q1" s="258"/>
      <c r="R1" s="258" t="s">
        <v>450</v>
      </c>
      <c r="S1" s="258" t="s">
        <v>453</v>
      </c>
      <c r="T1" s="258" t="s">
        <v>384</v>
      </c>
      <c r="U1" s="258" t="s">
        <v>458</v>
      </c>
      <c r="V1" s="258" t="s">
        <v>461</v>
      </c>
      <c r="W1" s="258" t="s">
        <v>450</v>
      </c>
      <c r="X1" s="258" t="s">
        <v>453</v>
      </c>
      <c r="Y1" s="258" t="s">
        <v>384</v>
      </c>
      <c r="Z1" s="258" t="s">
        <v>458</v>
      </c>
      <c r="AA1" s="258" t="s">
        <v>461</v>
      </c>
      <c r="AB1" s="258" t="s">
        <v>450</v>
      </c>
      <c r="AC1" s="258" t="s">
        <v>453</v>
      </c>
      <c r="AD1" s="258" t="s">
        <v>384</v>
      </c>
      <c r="AE1" s="258" t="s">
        <v>458</v>
      </c>
      <c r="AF1" s="258" t="s">
        <v>461</v>
      </c>
      <c r="AG1" s="258" t="s">
        <v>450</v>
      </c>
      <c r="AH1" s="258" t="s">
        <v>453</v>
      </c>
      <c r="AI1" s="258" t="s">
        <v>384</v>
      </c>
      <c r="AJ1" s="258" t="s">
        <v>458</v>
      </c>
      <c r="AK1" s="258" t="s">
        <v>461</v>
      </c>
      <c r="AL1" s="258" t="s">
        <v>450</v>
      </c>
      <c r="AM1" s="258" t="s">
        <v>453</v>
      </c>
      <c r="AN1" s="258" t="s">
        <v>384</v>
      </c>
      <c r="AO1" s="258" t="s">
        <v>458</v>
      </c>
      <c r="AP1" s="258" t="s">
        <v>461</v>
      </c>
      <c r="AQ1" s="258" t="s">
        <v>450</v>
      </c>
      <c r="AR1" s="258" t="s">
        <v>453</v>
      </c>
      <c r="AS1" s="258" t="s">
        <v>384</v>
      </c>
      <c r="AT1" s="258" t="s">
        <v>458</v>
      </c>
      <c r="AU1" s="258" t="s">
        <v>461</v>
      </c>
      <c r="AV1" s="258" t="s">
        <v>450</v>
      </c>
      <c r="AW1" s="258" t="s">
        <v>453</v>
      </c>
      <c r="AX1" s="258" t="s">
        <v>384</v>
      </c>
      <c r="AY1" s="258" t="s">
        <v>458</v>
      </c>
      <c r="AZ1" s="258" t="s">
        <v>461</v>
      </c>
      <c r="BA1" s="258" t="s">
        <v>450</v>
      </c>
      <c r="BB1" s="258" t="s">
        <v>453</v>
      </c>
      <c r="BC1" s="258" t="s">
        <v>384</v>
      </c>
      <c r="BD1" s="258" t="s">
        <v>458</v>
      </c>
      <c r="BE1" s="258" t="s">
        <v>461</v>
      </c>
      <c r="BF1" s="258"/>
      <c r="BG1" s="255"/>
      <c r="BH1" s="255"/>
      <c r="BI1" s="255"/>
      <c r="BJ1" s="255"/>
      <c r="BK1" s="255"/>
      <c r="BL1" s="258" t="s">
        <v>450</v>
      </c>
      <c r="BM1" s="258" t="s">
        <v>453</v>
      </c>
      <c r="BN1" s="258" t="s">
        <v>384</v>
      </c>
      <c r="BO1" s="258" t="s">
        <v>458</v>
      </c>
      <c r="BP1" s="258" t="s">
        <v>461</v>
      </c>
      <c r="BQ1" s="258"/>
      <c r="BR1" s="258"/>
      <c r="BS1" s="258"/>
      <c r="BT1" s="258"/>
      <c r="BU1" s="258"/>
      <c r="BV1" s="258"/>
      <c r="BW1" s="258"/>
      <c r="BX1" s="258"/>
      <c r="BY1" s="258"/>
      <c r="BZ1" s="255"/>
      <c r="CA1" s="255"/>
      <c r="CB1" s="256"/>
      <c r="CC1" s="256"/>
    </row>
    <row r="2" spans="1:81" s="254" customFormat="1" x14ac:dyDescent="0.2">
      <c r="C2" s="259"/>
      <c r="G2" s="255"/>
      <c r="H2" s="255"/>
      <c r="I2" s="256"/>
      <c r="J2" s="257"/>
      <c r="K2" s="257"/>
      <c r="BG2" s="255"/>
      <c r="BH2" s="255"/>
      <c r="BI2" s="255"/>
      <c r="BJ2" s="255"/>
      <c r="BK2" s="255"/>
      <c r="BL2" s="255"/>
      <c r="BM2" s="255"/>
      <c r="BN2" s="255"/>
      <c r="BO2" s="255"/>
      <c r="BP2" s="255"/>
      <c r="BQ2" s="255"/>
      <c r="BR2" s="255"/>
      <c r="BS2" s="255"/>
      <c r="BT2" s="255"/>
      <c r="BU2" s="255"/>
      <c r="BV2" s="255"/>
      <c r="BW2" s="255"/>
      <c r="BX2" s="255"/>
      <c r="BZ2" s="255"/>
      <c r="CA2" s="255"/>
      <c r="CB2" s="256"/>
      <c r="CC2" s="256"/>
    </row>
    <row r="3" spans="1:81" s="254" customFormat="1" x14ac:dyDescent="0.2">
      <c r="C3" s="259"/>
      <c r="G3" s="255"/>
      <c r="H3" s="255"/>
      <c r="I3" s="256"/>
      <c r="J3" s="257"/>
      <c r="K3" s="257"/>
      <c r="BG3" s="255"/>
      <c r="BH3" s="255"/>
      <c r="BI3" s="255"/>
      <c r="BJ3" s="255"/>
      <c r="BK3" s="255"/>
      <c r="BL3" s="255"/>
      <c r="BM3" s="255"/>
      <c r="BN3" s="255"/>
      <c r="BO3" s="255"/>
      <c r="BP3" s="255"/>
      <c r="BQ3" s="255"/>
      <c r="BR3" s="255"/>
      <c r="BS3" s="255"/>
      <c r="BT3" s="255"/>
      <c r="BU3" s="255"/>
      <c r="BV3" s="255"/>
      <c r="BW3" s="255"/>
      <c r="BX3" s="255"/>
      <c r="BZ3" s="255"/>
      <c r="CA3" s="255"/>
      <c r="CB3" s="256"/>
      <c r="CC3" s="256"/>
    </row>
    <row r="4" spans="1:81" s="254" customFormat="1" x14ac:dyDescent="0.2">
      <c r="C4" s="259"/>
      <c r="F4" s="198" t="s">
        <v>424</v>
      </c>
      <c r="G4" s="255"/>
      <c r="H4" s="255"/>
      <c r="I4" s="256"/>
      <c r="J4" s="257"/>
      <c r="K4" s="257"/>
      <c r="BG4" s="255"/>
      <c r="BH4" s="255"/>
      <c r="BI4" s="255"/>
      <c r="BJ4" s="255"/>
      <c r="BK4" s="255"/>
      <c r="BL4" s="255"/>
      <c r="BM4" s="255"/>
      <c r="BN4" s="255"/>
      <c r="BO4" s="255"/>
      <c r="BP4" s="255"/>
      <c r="BQ4" s="255"/>
      <c r="BR4" s="255"/>
      <c r="BS4" s="255"/>
      <c r="BT4" s="255"/>
      <c r="BU4" s="255"/>
      <c r="BV4" s="255"/>
      <c r="BW4" s="255"/>
      <c r="BX4" s="255"/>
      <c r="BZ4" s="255"/>
      <c r="CA4" s="255"/>
      <c r="CB4" s="256"/>
      <c r="CC4" s="256"/>
    </row>
    <row r="5" spans="1:81" s="255" customFormat="1" x14ac:dyDescent="0.2">
      <c r="A5" s="181" t="s">
        <v>14</v>
      </c>
      <c r="B5" s="181" t="s">
        <v>7</v>
      </c>
      <c r="C5" s="181" t="s">
        <v>466</v>
      </c>
      <c r="D5" s="181" t="s">
        <v>426</v>
      </c>
      <c r="E5" s="181" t="s">
        <v>467</v>
      </c>
      <c r="F5" s="181" t="s">
        <v>468</v>
      </c>
      <c r="G5" s="181" t="s">
        <v>469</v>
      </c>
      <c r="H5" s="181" t="s">
        <v>470</v>
      </c>
      <c r="I5" s="181" t="s">
        <v>1222</v>
      </c>
      <c r="J5" s="260" t="s">
        <v>480</v>
      </c>
      <c r="K5" s="260" t="s">
        <v>472</v>
      </c>
      <c r="L5" s="181" t="s">
        <v>473</v>
      </c>
      <c r="M5" s="181" t="s">
        <v>1225</v>
      </c>
      <c r="N5" s="181" t="s">
        <v>1234</v>
      </c>
      <c r="O5" s="181" t="s">
        <v>479</v>
      </c>
      <c r="P5" s="181" t="s">
        <v>1274</v>
      </c>
      <c r="Q5" s="181" t="s">
        <v>1275</v>
      </c>
      <c r="R5" s="181" t="s">
        <v>481</v>
      </c>
      <c r="S5" s="181" t="s">
        <v>482</v>
      </c>
      <c r="T5" s="181" t="s">
        <v>483</v>
      </c>
      <c r="U5" s="181" t="s">
        <v>484</v>
      </c>
      <c r="V5" s="181" t="s">
        <v>485</v>
      </c>
      <c r="W5" s="181" t="s">
        <v>486</v>
      </c>
      <c r="X5" s="181" t="s">
        <v>487</v>
      </c>
      <c r="Y5" s="181" t="s">
        <v>488</v>
      </c>
      <c r="Z5" s="181" t="s">
        <v>489</v>
      </c>
      <c r="AA5" s="181" t="s">
        <v>490</v>
      </c>
      <c r="AB5" s="181" t="s">
        <v>491</v>
      </c>
      <c r="AC5" s="181" t="s">
        <v>492</v>
      </c>
      <c r="AD5" s="181" t="s">
        <v>493</v>
      </c>
      <c r="AE5" s="181" t="s">
        <v>494</v>
      </c>
      <c r="AF5" s="181" t="s">
        <v>495</v>
      </c>
      <c r="AG5" s="181" t="s">
        <v>1356</v>
      </c>
      <c r="AH5" s="181" t="s">
        <v>1357</v>
      </c>
      <c r="AI5" s="181" t="s">
        <v>1358</v>
      </c>
      <c r="AJ5" s="181" t="s">
        <v>1359</v>
      </c>
      <c r="AK5" s="181" t="s">
        <v>1360</v>
      </c>
      <c r="AL5" s="181" t="s">
        <v>1361</v>
      </c>
      <c r="AM5" s="181" t="s">
        <v>1362</v>
      </c>
      <c r="AN5" s="181" t="s">
        <v>1363</v>
      </c>
      <c r="AO5" s="181" t="s">
        <v>1364</v>
      </c>
      <c r="AP5" s="181" t="s">
        <v>1365</v>
      </c>
      <c r="AQ5" s="181" t="s">
        <v>1366</v>
      </c>
      <c r="AR5" s="181" t="s">
        <v>1367</v>
      </c>
      <c r="AS5" s="181" t="s">
        <v>1368</v>
      </c>
      <c r="AT5" s="181" t="s">
        <v>1369</v>
      </c>
      <c r="AU5" s="181" t="s">
        <v>1370</v>
      </c>
      <c r="AV5" s="181" t="s">
        <v>1371</v>
      </c>
      <c r="AW5" s="181" t="s">
        <v>1372</v>
      </c>
      <c r="AX5" s="181" t="s">
        <v>1373</v>
      </c>
      <c r="AY5" s="181" t="s">
        <v>1374</v>
      </c>
      <c r="AZ5" s="181" t="s">
        <v>1375</v>
      </c>
      <c r="BA5" s="181" t="s">
        <v>1376</v>
      </c>
      <c r="BB5" s="181" t="s">
        <v>1377</v>
      </c>
      <c r="BC5" s="181" t="s">
        <v>496</v>
      </c>
      <c r="BD5" s="181" t="s">
        <v>1378</v>
      </c>
      <c r="BE5" s="181" t="s">
        <v>1379</v>
      </c>
      <c r="BF5" s="258"/>
      <c r="BG5" s="181" t="s">
        <v>1380</v>
      </c>
      <c r="BH5" s="181" t="s">
        <v>1381</v>
      </c>
      <c r="BI5" s="181" t="s">
        <v>1382</v>
      </c>
      <c r="BJ5" s="181" t="s">
        <v>1383</v>
      </c>
      <c r="BK5" s="181" t="s">
        <v>1384</v>
      </c>
      <c r="BL5" s="181" t="s">
        <v>1385</v>
      </c>
      <c r="BM5" s="181" t="s">
        <v>1386</v>
      </c>
      <c r="BN5" s="181" t="s">
        <v>1387</v>
      </c>
      <c r="BO5" s="181" t="s">
        <v>1388</v>
      </c>
      <c r="BP5" s="181" t="s">
        <v>1389</v>
      </c>
      <c r="BQ5" s="181" t="s">
        <v>1390</v>
      </c>
      <c r="BR5" s="181" t="s">
        <v>1391</v>
      </c>
      <c r="BS5" s="181" t="s">
        <v>1392</v>
      </c>
      <c r="BT5" s="181" t="s">
        <v>1393</v>
      </c>
      <c r="BU5" s="181" t="s">
        <v>1394</v>
      </c>
      <c r="BV5" s="181" t="s">
        <v>1395</v>
      </c>
      <c r="BW5" s="181" t="s">
        <v>1396</v>
      </c>
      <c r="BX5" s="181" t="s">
        <v>1397</v>
      </c>
      <c r="BY5" s="258"/>
      <c r="BZ5" s="181" t="s">
        <v>1398</v>
      </c>
      <c r="CA5" s="181" t="s">
        <v>1399</v>
      </c>
      <c r="CB5" s="181" t="s">
        <v>1250</v>
      </c>
      <c r="CC5" s="181" t="s">
        <v>1251</v>
      </c>
    </row>
    <row r="6" spans="1:81" s="255" customFormat="1" x14ac:dyDescent="0.2">
      <c r="A6" s="261" t="s">
        <v>1400</v>
      </c>
      <c r="B6" s="262"/>
      <c r="C6" s="263"/>
      <c r="D6" s="262"/>
      <c r="E6" s="262"/>
      <c r="F6" s="262"/>
      <c r="G6" s="264"/>
      <c r="H6" s="264"/>
      <c r="I6" s="265"/>
      <c r="J6" s="266"/>
      <c r="K6" s="266"/>
      <c r="L6" s="262"/>
      <c r="M6" s="262"/>
      <c r="N6" s="264" t="str">
        <f>IF(M6="","",M6)</f>
        <v/>
      </c>
      <c r="O6" s="262"/>
      <c r="P6" s="262"/>
      <c r="Q6" s="262"/>
      <c r="R6" s="262"/>
      <c r="S6" s="262"/>
      <c r="T6" s="262"/>
      <c r="U6" s="262"/>
      <c r="V6" s="262"/>
      <c r="W6" s="262"/>
      <c r="X6" s="262"/>
      <c r="Y6" s="262"/>
      <c r="Z6" s="262"/>
      <c r="AA6" s="262"/>
      <c r="AB6" s="262"/>
      <c r="AC6" s="262"/>
      <c r="AD6" s="262"/>
      <c r="AE6" s="262"/>
      <c r="AF6" s="262"/>
      <c r="AG6" s="262"/>
      <c r="AH6" s="262"/>
      <c r="AI6" s="262"/>
      <c r="AJ6" s="262"/>
      <c r="AK6" s="262"/>
      <c r="AL6" s="262"/>
      <c r="AM6" s="262"/>
      <c r="AN6" s="262"/>
      <c r="AO6" s="262"/>
      <c r="AP6" s="262"/>
      <c r="AQ6" s="262"/>
      <c r="AR6" s="262"/>
      <c r="AS6" s="262"/>
      <c r="AT6" s="262"/>
      <c r="AU6" s="262"/>
      <c r="AV6" s="262"/>
      <c r="AW6" s="262"/>
      <c r="AX6" s="262"/>
      <c r="AY6" s="262"/>
      <c r="AZ6" s="262"/>
      <c r="BA6" s="267" t="str">
        <f>IF(AV6="","",AV6)</f>
        <v/>
      </c>
      <c r="BB6" s="267" t="str">
        <f t="shared" ref="BB6:BE8" si="0">IF(AW6="","",AW6)</f>
        <v/>
      </c>
      <c r="BC6" s="267" t="str">
        <f t="shared" si="0"/>
        <v/>
      </c>
      <c r="BD6" s="267" t="str">
        <f t="shared" si="0"/>
        <v/>
      </c>
      <c r="BE6" s="267" t="str">
        <f t="shared" si="0"/>
        <v/>
      </c>
      <c r="BG6" s="264"/>
      <c r="BH6" s="264"/>
      <c r="BI6" s="264" t="str">
        <f>IF(BH6="","",BH6)</f>
        <v/>
      </c>
      <c r="BJ6" s="264"/>
      <c r="BK6" s="264" t="str">
        <f>IF(BJ6="","",BJ6)</f>
        <v/>
      </c>
      <c r="BL6" s="264"/>
      <c r="BM6" s="264"/>
      <c r="BN6" s="264"/>
      <c r="BO6" s="264"/>
      <c r="BP6" s="264"/>
      <c r="BQ6" s="264"/>
      <c r="BR6" s="264"/>
      <c r="BS6" s="264"/>
      <c r="BT6" s="264"/>
      <c r="BU6" s="264"/>
      <c r="BV6" s="264"/>
      <c r="BW6" s="264"/>
      <c r="BX6" s="264"/>
      <c r="BZ6" s="264"/>
      <c r="CA6" s="264" t="str">
        <f>IF(BZ6="","",BZ6)</f>
        <v/>
      </c>
      <c r="CB6" s="265"/>
      <c r="CC6" s="265"/>
    </row>
    <row r="7" spans="1:81" s="255" customFormat="1" x14ac:dyDescent="0.2">
      <c r="A7" s="268" t="s">
        <v>384</v>
      </c>
      <c r="B7" s="269" t="s">
        <v>1401</v>
      </c>
      <c r="C7" s="269" t="s">
        <v>1402</v>
      </c>
      <c r="D7" s="269" t="s">
        <v>1403</v>
      </c>
      <c r="E7" s="269" t="str">
        <f>Commodities!D22</f>
        <v>RESDSLEA</v>
      </c>
      <c r="F7" s="269" t="str">
        <f>Commodities!D30</f>
        <v>RESSTDB</v>
      </c>
      <c r="G7" s="270">
        <v>2010</v>
      </c>
      <c r="H7" s="270">
        <v>25</v>
      </c>
      <c r="I7" s="271">
        <v>1</v>
      </c>
      <c r="J7" s="272">
        <v>0.18</v>
      </c>
      <c r="K7" s="272">
        <f>CC7/CB7</f>
        <v>0.77</v>
      </c>
      <c r="L7" s="272"/>
      <c r="M7" s="273">
        <v>1.7907914315057551</v>
      </c>
      <c r="N7" s="273">
        <v>1.7907914315057551</v>
      </c>
      <c r="O7" s="272">
        <v>1.6496724941341814E-2</v>
      </c>
      <c r="P7" s="274"/>
      <c r="Q7" s="272">
        <v>0.28000000000000003</v>
      </c>
      <c r="R7" s="275"/>
      <c r="S7" s="275"/>
      <c r="T7" s="275"/>
      <c r="U7" s="275"/>
      <c r="V7" s="275"/>
      <c r="W7" s="275"/>
      <c r="X7" s="275"/>
      <c r="Y7" s="275"/>
      <c r="Z7" s="275"/>
      <c r="AA7" s="275"/>
      <c r="AB7" s="275"/>
      <c r="AC7" s="275"/>
      <c r="AD7" s="275"/>
      <c r="AE7" s="275"/>
      <c r="AF7" s="275"/>
      <c r="AG7" s="275"/>
      <c r="AH7" s="275"/>
      <c r="AI7" s="275"/>
      <c r="AJ7" s="275"/>
      <c r="AK7" s="275"/>
      <c r="AL7" s="275"/>
      <c r="AM7" s="275"/>
      <c r="AN7" s="275"/>
      <c r="AO7" s="275"/>
      <c r="AP7" s="275"/>
      <c r="AQ7" s="275"/>
      <c r="AR7" s="275"/>
      <c r="AS7" s="275"/>
      <c r="AT7" s="275"/>
      <c r="AU7" s="275"/>
      <c r="AV7" s="275"/>
      <c r="AW7" s="275"/>
      <c r="AX7" s="275"/>
      <c r="AY7" s="275"/>
      <c r="AZ7" s="275"/>
      <c r="BA7" s="275" t="str">
        <f t="shared" ref="BA7:BA8" si="1">IF(AV7="","",AV7)</f>
        <v/>
      </c>
      <c r="BB7" s="275" t="str">
        <f t="shared" si="0"/>
        <v/>
      </c>
      <c r="BC7" s="275" t="str">
        <f t="shared" si="0"/>
        <v/>
      </c>
      <c r="BD7" s="275" t="str">
        <f t="shared" si="0"/>
        <v/>
      </c>
      <c r="BE7" s="275" t="str">
        <f t="shared" si="0"/>
        <v/>
      </c>
      <c r="BG7" s="273">
        <v>0</v>
      </c>
      <c r="BH7" s="273">
        <v>0</v>
      </c>
      <c r="BI7" s="273">
        <f t="shared" ref="BI7:BK8" si="2">IF(BH7="","",BH7)</f>
        <v>0</v>
      </c>
      <c r="BJ7" s="273">
        <v>0</v>
      </c>
      <c r="BK7" s="273">
        <f t="shared" si="2"/>
        <v>0</v>
      </c>
      <c r="BL7" s="275">
        <v>0</v>
      </c>
      <c r="BM7" s="275">
        <v>0</v>
      </c>
      <c r="BN7" s="275">
        <v>0</v>
      </c>
      <c r="BO7" s="275">
        <v>0</v>
      </c>
      <c r="BP7" s="275">
        <v>0</v>
      </c>
      <c r="BQ7" s="275">
        <v>0</v>
      </c>
      <c r="BR7" s="275">
        <v>0</v>
      </c>
      <c r="BS7" s="275">
        <v>0</v>
      </c>
      <c r="BT7" s="275">
        <v>0</v>
      </c>
      <c r="BU7" s="275">
        <v>0</v>
      </c>
      <c r="BV7" s="275">
        <v>0</v>
      </c>
      <c r="BW7" s="275">
        <v>0</v>
      </c>
      <c r="BX7" s="275">
        <v>0</v>
      </c>
      <c r="BZ7" s="276"/>
      <c r="CA7" s="270" t="str">
        <f t="shared" ref="CA7:CA8" si="3">IF(BZ7="","",BZ7)</f>
        <v/>
      </c>
      <c r="CB7" s="277">
        <v>1.2987012987012987</v>
      </c>
      <c r="CC7" s="278">
        <v>1</v>
      </c>
    </row>
    <row r="8" spans="1:81" s="255" customFormat="1" x14ac:dyDescent="0.2">
      <c r="A8" s="268" t="s">
        <v>384</v>
      </c>
      <c r="B8" s="269" t="s">
        <v>1404</v>
      </c>
      <c r="C8" s="269" t="s">
        <v>1405</v>
      </c>
      <c r="D8" s="269" t="s">
        <v>1403</v>
      </c>
      <c r="E8" s="269" t="str">
        <f>Commodities!D20</f>
        <v>RESNGAEA</v>
      </c>
      <c r="F8" s="269" t="str">
        <f>Commodities!D29</f>
        <v>RESSTNB</v>
      </c>
      <c r="G8" s="270">
        <v>2010</v>
      </c>
      <c r="H8" s="270">
        <v>25</v>
      </c>
      <c r="I8" s="271">
        <v>1</v>
      </c>
      <c r="J8" s="272">
        <v>0.18</v>
      </c>
      <c r="K8" s="272">
        <f>CC8/CB8</f>
        <v>0.73000000000000009</v>
      </c>
      <c r="L8" s="272"/>
      <c r="M8" s="272">
        <v>2.5215837627460433</v>
      </c>
      <c r="N8" s="272">
        <v>2.5215837627460433</v>
      </c>
      <c r="O8" s="272">
        <v>7.5777046294851144E-2</v>
      </c>
      <c r="P8" s="274"/>
      <c r="Q8" s="272">
        <v>0.28000000000000003</v>
      </c>
      <c r="R8" s="275"/>
      <c r="S8" s="275"/>
      <c r="T8" s="275"/>
      <c r="U8" s="275"/>
      <c r="V8" s="275"/>
      <c r="W8" s="275"/>
      <c r="X8" s="275"/>
      <c r="Y8" s="275"/>
      <c r="Z8" s="275"/>
      <c r="AA8" s="275"/>
      <c r="AB8" s="275"/>
      <c r="AC8" s="275"/>
      <c r="AD8" s="275"/>
      <c r="AE8" s="275"/>
      <c r="AF8" s="275"/>
      <c r="AG8" s="275"/>
      <c r="AH8" s="275"/>
      <c r="AI8" s="275"/>
      <c r="AJ8" s="275"/>
      <c r="AK8" s="275"/>
      <c r="AL8" s="275"/>
      <c r="AM8" s="275"/>
      <c r="AN8" s="275"/>
      <c r="AO8" s="275"/>
      <c r="AP8" s="275"/>
      <c r="AQ8" s="275"/>
      <c r="AR8" s="275"/>
      <c r="AS8" s="275"/>
      <c r="AT8" s="275"/>
      <c r="AU8" s="275"/>
      <c r="AV8" s="275"/>
      <c r="AW8" s="275"/>
      <c r="AX8" s="275"/>
      <c r="AY8" s="275"/>
      <c r="AZ8" s="275"/>
      <c r="BA8" s="275" t="str">
        <f t="shared" si="1"/>
        <v/>
      </c>
      <c r="BB8" s="275" t="str">
        <f t="shared" si="0"/>
        <v/>
      </c>
      <c r="BC8" s="275" t="str">
        <f t="shared" si="0"/>
        <v/>
      </c>
      <c r="BD8" s="275" t="str">
        <f t="shared" si="0"/>
        <v/>
      </c>
      <c r="BE8" s="275" t="str">
        <f t="shared" si="0"/>
        <v/>
      </c>
      <c r="BG8" s="273"/>
      <c r="BH8" s="273">
        <v>0</v>
      </c>
      <c r="BI8" s="273">
        <f t="shared" si="2"/>
        <v>0</v>
      </c>
      <c r="BJ8" s="273">
        <v>0</v>
      </c>
      <c r="BK8" s="273">
        <f t="shared" si="2"/>
        <v>0</v>
      </c>
      <c r="BL8" s="275">
        <v>0</v>
      </c>
      <c r="BM8" s="275">
        <v>0</v>
      </c>
      <c r="BN8" s="275">
        <v>0</v>
      </c>
      <c r="BO8" s="275">
        <v>0</v>
      </c>
      <c r="BP8" s="275">
        <v>0</v>
      </c>
      <c r="BQ8" s="275"/>
      <c r="BR8" s="275"/>
      <c r="BS8" s="275"/>
      <c r="BT8" s="275"/>
      <c r="BU8" s="275"/>
      <c r="BV8" s="275"/>
      <c r="BW8" s="275"/>
      <c r="BX8" s="275"/>
      <c r="BZ8" s="270"/>
      <c r="CA8" s="270" t="str">
        <f t="shared" si="3"/>
        <v/>
      </c>
      <c r="CB8" s="277">
        <v>1.3698630136986301</v>
      </c>
      <c r="CC8" s="278">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3">
    <tabColor rgb="FFFFC000"/>
  </sheetPr>
  <dimension ref="A1:H18"/>
  <sheetViews>
    <sheetView zoomScale="85" workbookViewId="0">
      <pane xSplit="6" ySplit="5" topLeftCell="G6" activePane="bottomRight" state="frozen"/>
      <selection pane="topRight" activeCell="C33" sqref="C33"/>
      <selection pane="bottomLeft" activeCell="C33" sqref="C33"/>
      <selection pane="bottomRight" activeCell="C11" sqref="C11"/>
    </sheetView>
  </sheetViews>
  <sheetFormatPr defaultColWidth="9.140625" defaultRowHeight="12.75" x14ac:dyDescent="0.2"/>
  <cols>
    <col min="1" max="1" width="41.85546875" bestFit="1" customWidth="1"/>
    <col min="2" max="2" width="29.85546875" bestFit="1" customWidth="1"/>
    <col min="3" max="3" width="35.85546875" bestFit="1" customWidth="1"/>
    <col min="4" max="4" width="8.140625" bestFit="1" customWidth="1"/>
    <col min="5" max="5" width="11.140625" bestFit="1" customWidth="1"/>
    <col min="6" max="6" width="12.140625" bestFit="1" customWidth="1"/>
    <col min="7" max="7" width="4.42578125" bestFit="1" customWidth="1"/>
    <col min="8" max="8" width="10.85546875" bestFit="1" customWidth="1"/>
    <col min="9" max="9" width="9.140625" customWidth="1"/>
    <col min="10" max="10" width="12.5703125" customWidth="1"/>
    <col min="11" max="11" width="12.42578125" customWidth="1"/>
  </cols>
  <sheetData>
    <row r="1" spans="1:8" x14ac:dyDescent="0.2">
      <c r="A1" s="1" t="s">
        <v>465</v>
      </c>
      <c r="B1" s="12" t="s">
        <v>12</v>
      </c>
    </row>
    <row r="4" spans="1:8" ht="17.25" customHeight="1" x14ac:dyDescent="0.2">
      <c r="E4" s="198" t="s">
        <v>424</v>
      </c>
    </row>
    <row r="5" spans="1:8" ht="15.75" customHeight="1" x14ac:dyDescent="0.2">
      <c r="A5" s="181" t="s">
        <v>14</v>
      </c>
      <c r="B5" s="181" t="s">
        <v>7</v>
      </c>
      <c r="C5" s="181" t="s">
        <v>466</v>
      </c>
      <c r="D5" s="181" t="s">
        <v>426</v>
      </c>
      <c r="E5" s="181" t="s">
        <v>467</v>
      </c>
      <c r="F5" s="181" t="s">
        <v>468</v>
      </c>
      <c r="G5" s="181" t="s">
        <v>472</v>
      </c>
      <c r="H5" s="181" t="s">
        <v>1274</v>
      </c>
    </row>
    <row r="6" spans="1:8" ht="15" x14ac:dyDescent="0.25">
      <c r="A6" s="228" t="s">
        <v>1406</v>
      </c>
      <c r="B6" s="197"/>
      <c r="C6" s="197"/>
      <c r="D6" s="197"/>
      <c r="E6" s="229"/>
      <c r="F6" s="229" t="s">
        <v>1407</v>
      </c>
      <c r="G6" s="197"/>
      <c r="H6" s="197"/>
    </row>
    <row r="7" spans="1:8" x14ac:dyDescent="0.2">
      <c r="A7" s="184" t="str">
        <f>Technologies!B84</f>
        <v>R2,R3,R4,R5,R6</v>
      </c>
      <c r="B7" s="184" t="str">
        <f>Technologies!D84</f>
        <v>ZZRLT</v>
      </c>
      <c r="C7" s="203" t="s">
        <v>412</v>
      </c>
      <c r="D7" s="223" t="s">
        <v>26</v>
      </c>
      <c r="E7" s="223" t="s">
        <v>142</v>
      </c>
      <c r="F7" s="223" t="s">
        <v>32</v>
      </c>
      <c r="G7" s="206">
        <v>1</v>
      </c>
      <c r="H7" s="224">
        <v>9999</v>
      </c>
    </row>
    <row r="8" spans="1:8" x14ac:dyDescent="0.2">
      <c r="A8" s="184" t="s">
        <v>58</v>
      </c>
      <c r="B8" s="203" t="s">
        <v>413</v>
      </c>
      <c r="C8" s="203" t="s">
        <v>414</v>
      </c>
      <c r="D8" s="223" t="s">
        <v>26</v>
      </c>
      <c r="E8" s="223" t="s">
        <v>142</v>
      </c>
      <c r="F8" s="223" t="s">
        <v>28</v>
      </c>
      <c r="G8" s="206">
        <v>1</v>
      </c>
      <c r="H8" s="224">
        <v>9999</v>
      </c>
    </row>
    <row r="9" spans="1:8" x14ac:dyDescent="0.2">
      <c r="A9" s="184" t="s">
        <v>58</v>
      </c>
      <c r="B9" s="203" t="s">
        <v>415</v>
      </c>
      <c r="C9" s="203" t="s">
        <v>416</v>
      </c>
      <c r="D9" s="223" t="s">
        <v>26</v>
      </c>
      <c r="E9" s="223" t="s">
        <v>142</v>
      </c>
      <c r="F9" s="223" t="s">
        <v>41</v>
      </c>
      <c r="G9" s="206">
        <v>1</v>
      </c>
      <c r="H9" s="224">
        <v>9999</v>
      </c>
    </row>
    <row r="10" spans="1:8" x14ac:dyDescent="0.2">
      <c r="A10" s="184" t="str">
        <f>Technologies!B87</f>
        <v>R2,R3,R4,R5,R6</v>
      </c>
      <c r="B10" s="184" t="str">
        <f>Technologies!D87</f>
        <v>ZZRSC</v>
      </c>
      <c r="C10" s="203" t="s">
        <v>418</v>
      </c>
      <c r="D10" s="223" t="s">
        <v>26</v>
      </c>
      <c r="E10" s="223" t="s">
        <v>142</v>
      </c>
      <c r="F10" s="223" t="s">
        <v>24</v>
      </c>
      <c r="G10" s="206">
        <v>1</v>
      </c>
      <c r="H10" s="224">
        <v>9999</v>
      </c>
    </row>
    <row r="11" spans="1:8" x14ac:dyDescent="0.2">
      <c r="A11" s="196" t="str">
        <f>Technologies!B88</f>
        <v>R2,R3,R4,R5,R6</v>
      </c>
      <c r="B11" s="196" t="str">
        <f>Technologies!D88</f>
        <v>ZZRSH</v>
      </c>
      <c r="C11" s="203" t="s">
        <v>420</v>
      </c>
      <c r="D11" s="223" t="s">
        <v>26</v>
      </c>
      <c r="E11" s="223" t="s">
        <v>142</v>
      </c>
      <c r="F11" s="223" t="s">
        <v>30</v>
      </c>
      <c r="G11" s="206">
        <v>1</v>
      </c>
      <c r="H11" s="224">
        <v>9999</v>
      </c>
    </row>
    <row r="12" spans="1:8" x14ac:dyDescent="0.2">
      <c r="A12" s="196" t="str">
        <f>Technologies!B89</f>
        <v>R2,R3,R4,R5,R6</v>
      </c>
      <c r="B12" s="196" t="str">
        <f>Technologies!D89</f>
        <v>ZZRWH</v>
      </c>
      <c r="C12" s="203" t="s">
        <v>422</v>
      </c>
      <c r="D12" s="223" t="s">
        <v>26</v>
      </c>
      <c r="E12" s="223" t="s">
        <v>142</v>
      </c>
      <c r="F12" s="223" t="s">
        <v>43</v>
      </c>
      <c r="G12" s="206">
        <v>1</v>
      </c>
      <c r="H12" s="224">
        <v>9999</v>
      </c>
    </row>
    <row r="13" spans="1:8" x14ac:dyDescent="0.2">
      <c r="A13" s="184" t="s">
        <v>27</v>
      </c>
      <c r="B13" s="196"/>
      <c r="C13" s="196"/>
      <c r="D13" s="223"/>
      <c r="E13" s="196"/>
      <c r="F13" s="196"/>
      <c r="G13" s="196"/>
      <c r="H13" s="196"/>
    </row>
    <row r="14" spans="1:8" x14ac:dyDescent="0.2">
      <c r="A14" s="230" t="s">
        <v>1408</v>
      </c>
      <c r="B14" s="231"/>
      <c r="C14" s="231"/>
      <c r="D14" s="229"/>
      <c r="E14" s="229"/>
      <c r="F14" s="229"/>
      <c r="G14" s="229"/>
      <c r="H14" s="232"/>
    </row>
    <row r="15" spans="1:8" x14ac:dyDescent="0.2">
      <c r="A15" s="227" t="s">
        <v>27</v>
      </c>
      <c r="B15" s="225"/>
      <c r="C15" s="225"/>
      <c r="D15" s="223"/>
      <c r="E15" s="223"/>
      <c r="F15" s="223"/>
      <c r="G15" s="223"/>
      <c r="H15" s="226"/>
    </row>
    <row r="16" spans="1:8" x14ac:dyDescent="0.2">
      <c r="A16" s="196" t="s">
        <v>22</v>
      </c>
      <c r="B16" s="225" t="s">
        <v>1409</v>
      </c>
      <c r="C16" s="225" t="s">
        <v>1410</v>
      </c>
      <c r="D16" s="223" t="s">
        <v>581</v>
      </c>
      <c r="E16" s="223" t="s">
        <v>191</v>
      </c>
      <c r="F16" s="223" t="s">
        <v>101</v>
      </c>
      <c r="G16" s="206">
        <v>1</v>
      </c>
      <c r="H16" s="224">
        <v>999999</v>
      </c>
    </row>
    <row r="17" spans="1:8" x14ac:dyDescent="0.2">
      <c r="A17" s="196" t="s">
        <v>22</v>
      </c>
      <c r="B17" s="225" t="s">
        <v>1411</v>
      </c>
      <c r="C17" s="225" t="s">
        <v>1412</v>
      </c>
      <c r="D17" s="223" t="s">
        <v>581</v>
      </c>
      <c r="E17" s="223" t="s">
        <v>191</v>
      </c>
      <c r="F17" s="223" t="s">
        <v>291</v>
      </c>
      <c r="G17" s="206">
        <v>1</v>
      </c>
      <c r="H17" s="224">
        <v>999999</v>
      </c>
    </row>
    <row r="18" spans="1:8" x14ac:dyDescent="0.2">
      <c r="A18" s="221" t="s">
        <v>27</v>
      </c>
      <c r="B18" s="222"/>
      <c r="C18" s="222"/>
      <c r="D18" s="220"/>
      <c r="E18" s="220"/>
      <c r="F18" s="220"/>
      <c r="G18" s="220"/>
      <c r="H18" s="220"/>
    </row>
  </sheetData>
  <phoneticPr fontId="0" type="noConversion"/>
  <pageMargins left="0.75" right="0.75" top="1" bottom="1" header="0.5" footer="0.5"/>
  <pageSetup paperSize="9" orientation="landscape" horizontalDpi="1200" r:id="rId1"/>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BX350"/>
  <sheetViews>
    <sheetView zoomScale="90" zoomScaleNormal="90" workbookViewId="0">
      <selection activeCell="D5" sqref="D5"/>
    </sheetView>
  </sheetViews>
  <sheetFormatPr defaultColWidth="11.5703125" defaultRowHeight="12.75" x14ac:dyDescent="0.2"/>
  <cols>
    <col min="1" max="1" width="6.5703125" style="318" customWidth="1"/>
    <col min="2" max="2" width="47.42578125" style="318" customWidth="1"/>
    <col min="3" max="14" width="9.7109375" style="318" customWidth="1"/>
    <col min="15" max="15" width="6.7109375" style="318" customWidth="1"/>
    <col min="16" max="16" width="33.140625" style="318" customWidth="1"/>
    <col min="17" max="17" width="12.140625" style="318" customWidth="1"/>
    <col min="18" max="18" width="13.7109375" style="318" bestFit="1" customWidth="1"/>
    <col min="19" max="19" width="11" style="318" bestFit="1" customWidth="1"/>
    <col min="20" max="20" width="13.140625" style="318" bestFit="1" customWidth="1"/>
    <col min="21" max="21" width="6.7109375" style="318" bestFit="1" customWidth="1"/>
    <col min="22" max="22" width="13.7109375" style="318" bestFit="1" customWidth="1"/>
    <col min="23" max="23" width="11" style="318" bestFit="1" customWidth="1"/>
    <col min="24" max="24" width="13.140625" style="318" bestFit="1" customWidth="1"/>
    <col min="25" max="25" width="6.7109375" style="318" bestFit="1" customWidth="1"/>
    <col min="26" max="26" width="24.5703125" style="318" bestFit="1" customWidth="1"/>
    <col min="27" max="27" width="20.5703125" style="318" bestFit="1" customWidth="1"/>
    <col min="28" max="28" width="31.5703125" style="318" customWidth="1"/>
    <col min="29" max="29" width="18.7109375" style="318" bestFit="1" customWidth="1"/>
    <col min="30" max="30" width="17.7109375" style="318" bestFit="1" customWidth="1"/>
    <col min="31" max="32" width="6.42578125" style="318" bestFit="1" customWidth="1"/>
    <col min="33" max="33" width="11.42578125" style="318" bestFit="1" customWidth="1"/>
    <col min="34" max="38" width="11.5703125" style="318"/>
    <col min="39" max="39" width="4.42578125" style="318" bestFit="1" customWidth="1"/>
    <col min="40" max="40" width="11.5703125" style="318"/>
    <col min="41" max="41" width="4.42578125" style="318" bestFit="1" customWidth="1"/>
    <col min="42" max="16384" width="11.5703125" style="318"/>
  </cols>
  <sheetData>
    <row r="1" spans="2:33" x14ac:dyDescent="0.2">
      <c r="C1" s="319"/>
      <c r="D1" s="319"/>
      <c r="E1" s="319"/>
      <c r="F1" s="319"/>
      <c r="G1" s="319"/>
      <c r="H1" s="319"/>
      <c r="I1" s="319"/>
      <c r="J1" s="319"/>
      <c r="K1" s="319"/>
      <c r="L1" s="319"/>
      <c r="M1" s="319"/>
      <c r="N1" s="319"/>
      <c r="O1" s="319"/>
      <c r="P1" s="320"/>
      <c r="Q1" s="316"/>
    </row>
    <row r="2" spans="2:33" s="316" customFormat="1" x14ac:dyDescent="0.2">
      <c r="B2" s="401" t="s">
        <v>1413</v>
      </c>
      <c r="C2" s="298"/>
      <c r="D2" s="298" t="s">
        <v>1414</v>
      </c>
      <c r="E2" s="298"/>
      <c r="F2" s="298"/>
      <c r="G2" s="298"/>
      <c r="H2" s="298"/>
      <c r="I2" s="298"/>
      <c r="J2" s="298"/>
      <c r="K2" s="298"/>
      <c r="L2" s="298"/>
      <c r="M2" s="298"/>
      <c r="N2" s="402"/>
      <c r="P2" s="454" t="s">
        <v>1415</v>
      </c>
      <c r="Q2" s="455"/>
      <c r="R2" s="455"/>
      <c r="S2" s="455"/>
      <c r="T2" s="455"/>
      <c r="U2" s="454"/>
      <c r="V2" s="454"/>
      <c r="W2" s="454"/>
      <c r="X2" s="454"/>
      <c r="Y2" s="454"/>
      <c r="Z2" s="454"/>
      <c r="AA2" s="512"/>
    </row>
    <row r="3" spans="2:33" s="316" customFormat="1" x14ac:dyDescent="0.2">
      <c r="B3" s="402" t="s">
        <v>1416</v>
      </c>
      <c r="C3" s="388"/>
      <c r="D3" s="288">
        <v>2005</v>
      </c>
      <c r="E3" s="288">
        <v>2010</v>
      </c>
      <c r="F3" s="288">
        <v>2015</v>
      </c>
      <c r="G3" s="288">
        <v>2020</v>
      </c>
      <c r="H3" s="288">
        <v>2025</v>
      </c>
      <c r="I3" s="288">
        <v>2030</v>
      </c>
      <c r="J3" s="288">
        <v>2035</v>
      </c>
      <c r="K3" s="288">
        <v>2040</v>
      </c>
      <c r="L3" s="288">
        <v>2045</v>
      </c>
      <c r="M3" s="288">
        <v>2050</v>
      </c>
      <c r="N3" s="288">
        <v>2055</v>
      </c>
      <c r="O3" s="29"/>
      <c r="P3" s="292"/>
      <c r="Q3" s="314">
        <v>2005</v>
      </c>
      <c r="R3" s="314">
        <v>2010</v>
      </c>
      <c r="S3" s="314">
        <v>2015</v>
      </c>
      <c r="T3" s="314">
        <v>2020</v>
      </c>
      <c r="U3" s="314">
        <v>2025</v>
      </c>
      <c r="V3" s="314">
        <v>2030</v>
      </c>
      <c r="W3" s="314">
        <v>2035</v>
      </c>
      <c r="X3" s="314">
        <v>2040</v>
      </c>
      <c r="Y3" s="314">
        <v>2045</v>
      </c>
      <c r="Z3" s="314">
        <v>2050</v>
      </c>
      <c r="AA3" s="314">
        <v>2055</v>
      </c>
    </row>
    <row r="4" spans="2:33" s="316" customFormat="1" x14ac:dyDescent="0.2">
      <c r="B4" s="321" t="s">
        <v>1417</v>
      </c>
      <c r="C4" s="321" t="s">
        <v>1418</v>
      </c>
      <c r="D4" s="399">
        <f>E4*D80/E80</f>
        <v>158.6917434047314</v>
      </c>
      <c r="E4" s="399">
        <f>Resid!T5</f>
        <v>151.08046072238966</v>
      </c>
      <c r="F4" s="399">
        <f>Resid!AI5</f>
        <v>150.59911919729291</v>
      </c>
      <c r="G4" s="399">
        <f>Resid!AX5</f>
        <v>138.59305583234328</v>
      </c>
      <c r="H4" s="399">
        <f>$E$4*H80/$E$80</f>
        <v>164.61660305711061</v>
      </c>
      <c r="I4" s="399">
        <f>$E$4*I80/$E$80</f>
        <v>159.27352385864981</v>
      </c>
      <c r="J4" s="399">
        <f t="shared" ref="J4:N4" si="0">$E$4*J80/$E$80</f>
        <v>152.17908391364551</v>
      </c>
      <c r="K4" s="399">
        <f t="shared" si="0"/>
        <v>146.51968498332855</v>
      </c>
      <c r="L4" s="399">
        <f t="shared" si="0"/>
        <v>142.19176132223993</v>
      </c>
      <c r="M4" s="399">
        <f t="shared" si="0"/>
        <v>138.1595933487682</v>
      </c>
      <c r="N4" s="399">
        <f t="shared" si="0"/>
        <v>134.24176658898639</v>
      </c>
      <c r="O4" s="356"/>
      <c r="P4" s="294" t="s">
        <v>1419</v>
      </c>
      <c r="Q4" s="294">
        <v>15.1</v>
      </c>
      <c r="R4" s="294">
        <v>15.3</v>
      </c>
      <c r="S4" s="294">
        <v>15.4</v>
      </c>
      <c r="T4" s="294">
        <v>16.04</v>
      </c>
      <c r="U4" s="294">
        <v>16.04</v>
      </c>
      <c r="V4" s="294">
        <v>16.04</v>
      </c>
      <c r="W4" s="294">
        <v>16.04</v>
      </c>
      <c r="X4" s="294">
        <v>16.04</v>
      </c>
      <c r="Y4" s="294">
        <v>16.04</v>
      </c>
      <c r="Z4" s="294">
        <v>16.04</v>
      </c>
      <c r="AA4" s="294">
        <v>16.04</v>
      </c>
      <c r="AB4" s="33"/>
    </row>
    <row r="5" spans="2:33" s="316" customFormat="1" x14ac:dyDescent="0.2">
      <c r="B5" s="321" t="s">
        <v>1420</v>
      </c>
      <c r="C5" s="321" t="s">
        <v>1421</v>
      </c>
      <c r="D5" s="399">
        <f>E5*1/((E82*E202)/(D82*D202))</f>
        <v>32.659724460922781</v>
      </c>
      <c r="E5" s="399">
        <f>Resid!T98</f>
        <v>39.76920952462465</v>
      </c>
      <c r="F5" s="399">
        <f>Resid!AI98</f>
        <v>40.88106566484521</v>
      </c>
      <c r="G5" s="399">
        <f>Resid!AX98</f>
        <v>38.686094344467975</v>
      </c>
      <c r="H5" s="399">
        <f>$E$5*1/((H82*H202)/($E$82*$E$202))</f>
        <v>42.359563602861463</v>
      </c>
      <c r="I5" s="399">
        <f t="shared" ref="I5:N5" si="1">$E$5*1/((I82*I202)/($E$82*$E$202))</f>
        <v>40.000021197652025</v>
      </c>
      <c r="J5" s="399">
        <f t="shared" si="1"/>
        <v>39.440385807159672</v>
      </c>
      <c r="K5" s="399">
        <f t="shared" si="1"/>
        <v>39.112145639088709</v>
      </c>
      <c r="L5" s="399">
        <f t="shared" si="1"/>
        <v>38.514152869456318</v>
      </c>
      <c r="M5" s="399">
        <f t="shared" si="1"/>
        <v>37.65929064279846</v>
      </c>
      <c r="N5" s="399">
        <f t="shared" si="1"/>
        <v>36.824971301191027</v>
      </c>
      <c r="O5" s="356"/>
      <c r="P5" s="294" t="s">
        <v>1422</v>
      </c>
      <c r="Q5" s="294">
        <v>2.4</v>
      </c>
      <c r="R5" s="294">
        <v>1.7</v>
      </c>
      <c r="S5" s="294">
        <v>1.8</v>
      </c>
      <c r="T5" s="294">
        <v>1.51</v>
      </c>
      <c r="U5" s="294">
        <v>1.51</v>
      </c>
      <c r="V5" s="294">
        <v>1.51</v>
      </c>
      <c r="W5" s="294">
        <v>1.51</v>
      </c>
      <c r="X5" s="294">
        <v>1.51</v>
      </c>
      <c r="Y5" s="294">
        <v>1.51</v>
      </c>
      <c r="Z5" s="294">
        <v>1.51</v>
      </c>
      <c r="AA5" s="294">
        <v>1.51</v>
      </c>
      <c r="AB5" s="18"/>
    </row>
    <row r="6" spans="2:33" s="316" customFormat="1" x14ac:dyDescent="0.2">
      <c r="B6" s="423" t="s">
        <v>1423</v>
      </c>
      <c r="C6" s="422" t="s">
        <v>1424</v>
      </c>
      <c r="D6" s="424">
        <v>3.85834812984992</v>
      </c>
      <c r="E6" s="424">
        <v>3.9036012220679113</v>
      </c>
      <c r="F6" s="424">
        <v>4.1229885551930536</v>
      </c>
      <c r="G6" s="424">
        <v>4.2954983882903184</v>
      </c>
      <c r="H6" s="424">
        <v>4.527907505019316</v>
      </c>
      <c r="I6" s="424">
        <v>4.7728670146681358</v>
      </c>
      <c r="J6" s="424">
        <v>5.0060662525513848</v>
      </c>
      <c r="K6" s="424">
        <v>5.2209979490232232</v>
      </c>
      <c r="L6" s="424">
        <v>5.5544442020850546</v>
      </c>
      <c r="M6" s="424">
        <v>5.8458401836198579</v>
      </c>
      <c r="N6" s="424">
        <v>6.1640162027242003</v>
      </c>
      <c r="O6" s="29"/>
      <c r="P6" s="294" t="s">
        <v>1425</v>
      </c>
      <c r="Q6" s="511">
        <v>0.158940397350993</v>
      </c>
      <c r="R6" s="511">
        <v>0.1111111111111111</v>
      </c>
      <c r="S6" s="511">
        <v>0.11688311688311688</v>
      </c>
      <c r="T6" s="511">
        <v>9.4139650872817962E-2</v>
      </c>
      <c r="U6" s="511">
        <v>9.4139650872817962E-2</v>
      </c>
      <c r="V6" s="511">
        <v>9.4139650872817962E-2</v>
      </c>
      <c r="W6" s="511">
        <v>9.4139650872817962E-2</v>
      </c>
      <c r="X6" s="511">
        <v>9.4139650872817962E-2</v>
      </c>
      <c r="Y6" s="511">
        <v>9.4139650872817962E-2</v>
      </c>
      <c r="Z6" s="511">
        <v>9.4139650872817962E-2</v>
      </c>
      <c r="AA6" s="511">
        <v>9.4139650872817962E-2</v>
      </c>
      <c r="AB6" s="18"/>
    </row>
    <row r="7" spans="2:33" s="316" customFormat="1" x14ac:dyDescent="0.2">
      <c r="B7" s="321" t="s">
        <v>1426</v>
      </c>
      <c r="C7" s="321" t="s">
        <v>1427</v>
      </c>
      <c r="D7" s="399">
        <f>E7</f>
        <v>9.4799044482925527</v>
      </c>
      <c r="E7" s="399">
        <f>Lighting!AA22</f>
        <v>9.4799044482925527</v>
      </c>
      <c r="F7" s="399">
        <f>Lighting!AB22</f>
        <v>9.1644629567853162</v>
      </c>
      <c r="G7" s="399">
        <f>Lighting!AC22</f>
        <v>8.5061055177913776</v>
      </c>
      <c r="H7" s="399">
        <f>$E$7*H45/$E$45</f>
        <v>2.9815829678916952</v>
      </c>
      <c r="I7" s="399">
        <f t="shared" ref="I7:N7" si="2">$E$7*I45/$E$45</f>
        <v>3.0480813278413095</v>
      </c>
      <c r="J7" s="399">
        <f t="shared" si="2"/>
        <v>3.0380811373177394</v>
      </c>
      <c r="K7" s="399">
        <f t="shared" si="2"/>
        <v>3.0189964713912159</v>
      </c>
      <c r="L7" s="399">
        <f t="shared" si="2"/>
        <v>2.9163346317575272</v>
      </c>
      <c r="M7" s="399">
        <f t="shared" si="2"/>
        <v>2.9369164192304571</v>
      </c>
      <c r="N7" s="399">
        <f t="shared" si="2"/>
        <v>2.9576434609451216</v>
      </c>
      <c r="O7" s="356"/>
      <c r="AB7" s="18"/>
    </row>
    <row r="8" spans="2:33" s="316" customFormat="1" x14ac:dyDescent="0.2">
      <c r="B8" s="321" t="s">
        <v>1428</v>
      </c>
      <c r="C8" s="321" t="s">
        <v>1429</v>
      </c>
      <c r="D8" s="399">
        <f>E8*D53/E53</f>
        <v>27.24009839553603</v>
      </c>
      <c r="E8" s="399">
        <f>'Fuel Share'!H45</f>
        <v>29.802785549323779</v>
      </c>
      <c r="F8" s="399">
        <f>'Fuel Share'!R45</f>
        <v>28.811105182076801</v>
      </c>
      <c r="G8" s="399">
        <f>'Fuel Share'!AB45</f>
        <v>26.741370652983278</v>
      </c>
      <c r="H8" s="399">
        <f>$E$8*H53/$E$53</f>
        <v>33.351033050380998</v>
      </c>
      <c r="I8" s="399">
        <f t="shared" ref="I8:N8" si="3">$E$8*I53/$E$53</f>
        <v>35.331651392613487</v>
      </c>
      <c r="J8" s="399">
        <f t="shared" si="3"/>
        <v>37.00795174689614</v>
      </c>
      <c r="K8" s="399">
        <f t="shared" si="3"/>
        <v>39.189410641955675</v>
      </c>
      <c r="L8" s="399">
        <f t="shared" si="3"/>
        <v>41.990449913796084</v>
      </c>
      <c r="M8" s="399">
        <f t="shared" si="3"/>
        <v>45.497442819631388</v>
      </c>
      <c r="N8" s="399">
        <f t="shared" si="3"/>
        <v>49.348224303867745</v>
      </c>
      <c r="O8" s="356"/>
      <c r="P8" s="15" t="s">
        <v>1430</v>
      </c>
      <c r="Q8" s="15"/>
      <c r="R8" s="15"/>
      <c r="S8" s="23"/>
      <c r="T8" s="23"/>
      <c r="U8" s="23"/>
      <c r="V8" s="23"/>
      <c r="W8" s="23"/>
      <c r="X8" s="23"/>
      <c r="Y8" s="23"/>
      <c r="Z8" s="23"/>
      <c r="AA8" s="23"/>
      <c r="AB8" s="18"/>
    </row>
    <row r="9" spans="2:33" s="316" customFormat="1" x14ac:dyDescent="0.2">
      <c r="B9" s="423" t="s">
        <v>1431</v>
      </c>
      <c r="C9" s="422" t="s">
        <v>1432</v>
      </c>
      <c r="D9" s="424">
        <f t="shared" ref="D9:N9" si="4">D172</f>
        <v>38.425449371337898</v>
      </c>
      <c r="E9" s="424">
        <f t="shared" si="4"/>
        <v>39.755409</v>
      </c>
      <c r="F9" s="424">
        <f t="shared" si="4"/>
        <v>38.494754999999998</v>
      </c>
      <c r="G9" s="424">
        <f>G172</f>
        <v>44.426056000000003</v>
      </c>
      <c r="H9" s="424">
        <f t="shared" si="4"/>
        <v>46.606502999999996</v>
      </c>
      <c r="I9" s="424">
        <f t="shared" si="4"/>
        <v>48.656849000000001</v>
      </c>
      <c r="J9" s="424">
        <f t="shared" si="4"/>
        <v>50.555218000000004</v>
      </c>
      <c r="K9" s="424">
        <f t="shared" si="4"/>
        <v>52.339035000000003</v>
      </c>
      <c r="L9" s="424">
        <f t="shared" si="4"/>
        <v>54.082709999999999</v>
      </c>
      <c r="M9" s="424">
        <f t="shared" si="4"/>
        <v>55.742942999999997</v>
      </c>
      <c r="N9" s="424">
        <f t="shared" si="4"/>
        <v>57.454141893060623</v>
      </c>
      <c r="P9" s="520" t="s">
        <v>1433</v>
      </c>
      <c r="Q9" s="15"/>
      <c r="R9" s="15"/>
      <c r="S9" s="510"/>
      <c r="T9" s="510"/>
      <c r="U9" s="510"/>
      <c r="V9" s="510"/>
      <c r="W9" s="510"/>
      <c r="X9" s="510"/>
      <c r="Y9" s="510"/>
      <c r="Z9" s="510"/>
      <c r="AA9" s="510"/>
    </row>
    <row r="10" spans="2:33" s="316" customFormat="1" ht="15.75" customHeight="1" x14ac:dyDescent="0.2">
      <c r="B10" s="321" t="s">
        <v>1434</v>
      </c>
      <c r="C10" s="321" t="s">
        <v>1435</v>
      </c>
      <c r="D10" s="399">
        <f>E10</f>
        <v>2.6917016751012612</v>
      </c>
      <c r="E10" s="399">
        <f>'Fuel Share'!J45</f>
        <v>2.6917016751012612</v>
      </c>
      <c r="F10" s="399">
        <f>'Fuel Share'!T45</f>
        <v>3.0434929544816609</v>
      </c>
      <c r="G10" s="399">
        <f>'Fuel Share'!AD45</f>
        <v>3.0766883559518208</v>
      </c>
      <c r="H10" s="399">
        <f>$E$10*H62/$E$62</f>
        <v>3.6816573294769119</v>
      </c>
      <c r="I10" s="399">
        <f t="shared" ref="I10:N10" si="5">$E$10*I62/$E$62</f>
        <v>3.784440417741592</v>
      </c>
      <c r="J10" s="399">
        <f t="shared" si="5"/>
        <v>3.8204346869384302</v>
      </c>
      <c r="K10" s="399">
        <f t="shared" si="5"/>
        <v>3.8739878568132347</v>
      </c>
      <c r="L10" s="399">
        <f t="shared" si="5"/>
        <v>3.9448438805810193</v>
      </c>
      <c r="M10" s="399">
        <f t="shared" si="5"/>
        <v>4.0044633896692989</v>
      </c>
      <c r="N10" s="399">
        <f t="shared" si="5"/>
        <v>4.068864099660729</v>
      </c>
      <c r="O10" s="356"/>
      <c r="P10" s="302" t="s">
        <v>1436</v>
      </c>
      <c r="Q10" s="302" t="s">
        <v>1437</v>
      </c>
      <c r="R10" s="302" t="s">
        <v>1438</v>
      </c>
    </row>
    <row r="11" spans="2:33" s="316" customFormat="1" x14ac:dyDescent="0.2">
      <c r="B11" s="756" t="s">
        <v>1439</v>
      </c>
      <c r="C11" s="756" t="s">
        <v>1440</v>
      </c>
      <c r="D11" s="756">
        <f>D73*quad_to_PJ</f>
        <v>42.202240000000003</v>
      </c>
      <c r="E11" s="756">
        <f t="shared" ref="E11:N11" si="6">E73*quad_to_PJ</f>
        <v>153.48005137600001</v>
      </c>
      <c r="F11" s="756">
        <f t="shared" si="6"/>
        <v>45.865394431999995</v>
      </c>
      <c r="G11" s="756">
        <f t="shared" si="6"/>
        <v>75.902838752000008</v>
      </c>
      <c r="H11" s="756">
        <f t="shared" si="6"/>
        <v>81.204495151999993</v>
      </c>
      <c r="I11" s="756">
        <f t="shared" si="6"/>
        <v>92.956763936000002</v>
      </c>
      <c r="J11" s="756">
        <f t="shared" si="6"/>
        <v>102.584149936</v>
      </c>
      <c r="K11" s="756">
        <f t="shared" si="6"/>
        <v>112.56181452800001</v>
      </c>
      <c r="L11" s="756">
        <f t="shared" si="6"/>
        <v>123.30333966400001</v>
      </c>
      <c r="M11" s="756">
        <f t="shared" si="6"/>
        <v>134.52913550400001</v>
      </c>
      <c r="N11" s="756">
        <f t="shared" si="6"/>
        <v>146.77695144973893</v>
      </c>
      <c r="O11" s="397"/>
      <c r="P11" s="306" t="s">
        <v>1441</v>
      </c>
      <c r="Q11" s="653">
        <v>17416000</v>
      </c>
      <c r="R11" s="652">
        <f>Q11/SUM($Q$11:$Q$13)</f>
        <v>0.42942561611578911</v>
      </c>
      <c r="S11" s="33"/>
      <c r="T11" s="33"/>
      <c r="U11" s="895"/>
      <c r="V11" s="33"/>
      <c r="W11" s="33"/>
      <c r="Y11" s="33"/>
      <c r="Z11" s="33"/>
      <c r="AA11" s="33"/>
    </row>
    <row r="12" spans="2:33" s="316" customFormat="1" x14ac:dyDescent="0.2">
      <c r="B12" s="321" t="s">
        <v>1442</v>
      </c>
      <c r="C12" s="321" t="s">
        <v>1443</v>
      </c>
      <c r="D12" s="399">
        <f>E12*D81/E81</f>
        <v>23.994889935650626</v>
      </c>
      <c r="E12" s="399">
        <f>Resid!T59</f>
        <v>26.73781317925657</v>
      </c>
      <c r="F12" s="399">
        <f>Resid!AI59</f>
        <v>25.758991976514512</v>
      </c>
      <c r="G12" s="399">
        <f>Resid!AX59</f>
        <v>23.852634942491591</v>
      </c>
      <c r="H12" s="399">
        <f>$E$12*H81/$E$81</f>
        <v>28.363073368213993</v>
      </c>
      <c r="I12" s="399">
        <f>$E$12*I81/$E$81</f>
        <v>31.100275270041429</v>
      </c>
      <c r="J12" s="399">
        <f t="shared" ref="J12:N12" si="7">$E$12*J81/$E$81</f>
        <v>33.521031566440669</v>
      </c>
      <c r="K12" s="399">
        <f t="shared" si="7"/>
        <v>36.714613937987387</v>
      </c>
      <c r="L12" s="399">
        <f t="shared" si="7"/>
        <v>40.249093998764309</v>
      </c>
      <c r="M12" s="399">
        <f t="shared" si="7"/>
        <v>44.559175460807225</v>
      </c>
      <c r="N12" s="399">
        <f t="shared" si="7"/>
        <v>49.330802770565768</v>
      </c>
      <c r="O12" s="357"/>
      <c r="P12" s="306" t="s">
        <v>1444</v>
      </c>
      <c r="Q12" s="653">
        <f>23107000</f>
        <v>23107000</v>
      </c>
      <c r="R12" s="652">
        <f>Q12/SUM($Q$11:$Q$13)</f>
        <v>0.56974837572275716</v>
      </c>
      <c r="S12" s="18"/>
      <c r="T12" s="18"/>
      <c r="U12" s="895"/>
      <c r="V12" s="18"/>
      <c r="Y12" s="884"/>
      <c r="Z12" s="884"/>
    </row>
    <row r="13" spans="2:33" s="316" customFormat="1" x14ac:dyDescent="0.2">
      <c r="B13" s="321" t="s">
        <v>1419</v>
      </c>
      <c r="C13" s="400"/>
      <c r="D13" s="399">
        <f>SUM(D4,D5,D7,D8,D10,D12)</f>
        <v>254.75806232023464</v>
      </c>
      <c r="E13" s="399">
        <f t="shared" ref="E13:N13" si="8">SUM(E4,E5,E7,E8,E10,E12)</f>
        <v>259.56187509898848</v>
      </c>
      <c r="F13" s="399">
        <f>SUM(F4,F5,F7,F8,F10,F12)</f>
        <v>258.2582379319964</v>
      </c>
      <c r="G13" s="399">
        <f t="shared" si="8"/>
        <v>239.45594964602932</v>
      </c>
      <c r="H13" s="399">
        <f t="shared" si="8"/>
        <v>275.35351337593568</v>
      </c>
      <c r="I13" s="399">
        <f t="shared" si="8"/>
        <v>272.53799346453962</v>
      </c>
      <c r="J13" s="399">
        <f t="shared" si="8"/>
        <v>269.00696885839812</v>
      </c>
      <c r="K13" s="399">
        <f t="shared" si="8"/>
        <v>268.42883953056474</v>
      </c>
      <c r="L13" s="399">
        <f t="shared" si="8"/>
        <v>269.8066366165952</v>
      </c>
      <c r="M13" s="399">
        <f t="shared" si="8"/>
        <v>272.81688208090503</v>
      </c>
      <c r="N13" s="399">
        <f t="shared" si="8"/>
        <v>276.77227252521675</v>
      </c>
      <c r="P13" s="306" t="s">
        <v>1445</v>
      </c>
      <c r="Q13" s="653">
        <f>33500</f>
        <v>33500</v>
      </c>
      <c r="R13" s="652">
        <f>Q13/SUM($Q$11:$Q$13)</f>
        <v>8.2600816145377432E-4</v>
      </c>
      <c r="S13" s="513"/>
      <c r="T13" s="513"/>
      <c r="U13" s="513"/>
      <c r="W13" s="664"/>
      <c r="X13" s="513"/>
      <c r="Y13" s="513"/>
      <c r="Z13" s="513"/>
    </row>
    <row r="14" spans="2:33" s="316" customFormat="1" x14ac:dyDescent="0.2">
      <c r="B14" s="318"/>
      <c r="C14" s="318"/>
      <c r="D14" s="318"/>
      <c r="E14" s="322"/>
      <c r="F14" s="318"/>
      <c r="G14" s="318"/>
      <c r="H14" s="318"/>
      <c r="I14" s="318"/>
      <c r="J14" s="318"/>
      <c r="K14" s="318"/>
      <c r="L14" s="318"/>
      <c r="M14" s="318"/>
      <c r="N14" s="318"/>
      <c r="O14" s="356"/>
      <c r="P14" s="18"/>
      <c r="Q14" s="663"/>
      <c r="R14" s="513"/>
      <c r="S14" s="513"/>
      <c r="T14" s="513"/>
      <c r="U14" s="513"/>
      <c r="W14" s="664"/>
      <c r="X14" s="513"/>
      <c r="Y14" s="513"/>
      <c r="Z14" s="513"/>
      <c r="AA14" s="513"/>
    </row>
    <row r="15" spans="2:33" s="324" customFormat="1" x14ac:dyDescent="0.2">
      <c r="B15" s="318"/>
      <c r="C15" s="318"/>
      <c r="D15" s="318"/>
      <c r="E15" s="322"/>
      <c r="F15" s="318"/>
      <c r="G15" s="318"/>
      <c r="H15" s="318"/>
      <c r="I15" s="318"/>
      <c r="J15" s="318"/>
      <c r="K15" s="318"/>
      <c r="L15" s="318"/>
      <c r="M15" s="318"/>
      <c r="N15" s="318"/>
      <c r="O15" s="318"/>
      <c r="P15" s="18"/>
      <c r="Q15" s="663"/>
      <c r="R15" s="513"/>
      <c r="S15" s="513"/>
      <c r="T15" s="513"/>
      <c r="U15" s="513"/>
      <c r="W15" s="664"/>
      <c r="X15" s="513"/>
      <c r="Y15" s="513"/>
      <c r="Z15" s="513"/>
      <c r="AA15" s="513"/>
    </row>
    <row r="16" spans="2:33" s="324" customFormat="1" x14ac:dyDescent="0.2">
      <c r="B16" s="362" t="s">
        <v>1446</v>
      </c>
      <c r="C16" s="362"/>
      <c r="D16" s="362"/>
      <c r="E16" s="362"/>
      <c r="F16" s="362"/>
      <c r="G16" s="362"/>
      <c r="H16" s="362"/>
      <c r="I16" s="362"/>
      <c r="J16" s="329"/>
      <c r="K16" s="329"/>
      <c r="L16" s="329"/>
      <c r="M16" s="329"/>
      <c r="N16" s="364"/>
      <c r="O16" s="318"/>
      <c r="P16" s="13"/>
      <c r="Q16" s="15"/>
      <c r="R16" s="18"/>
      <c r="S16" s="18"/>
      <c r="T16" s="18"/>
      <c r="U16" s="18"/>
      <c r="V16" s="13"/>
      <c r="W16" s="15"/>
      <c r="X16" s="15"/>
      <c r="Y16" s="15"/>
      <c r="Z16" s="13"/>
      <c r="AA16" s="19"/>
      <c r="AB16" s="19"/>
      <c r="AC16" s="13"/>
      <c r="AD16" s="15"/>
      <c r="AE16" s="15"/>
      <c r="AF16" s="15"/>
      <c r="AG16" s="15"/>
    </row>
    <row r="17" spans="2:76" s="324" customFormat="1" ht="15" x14ac:dyDescent="0.25">
      <c r="B17" s="362" t="s">
        <v>1447</v>
      </c>
      <c r="C17" s="362"/>
      <c r="D17" s="362"/>
      <c r="E17" s="362"/>
      <c r="F17" s="362"/>
      <c r="G17" s="362"/>
      <c r="H17" s="362"/>
      <c r="I17" s="362"/>
      <c r="J17" s="329"/>
      <c r="K17" s="329"/>
      <c r="L17" s="329"/>
      <c r="M17" s="329"/>
      <c r="N17" s="365"/>
      <c r="O17" s="318"/>
      <c r="P17" s="665"/>
      <c r="Q17" s="665"/>
      <c r="R17" s="665"/>
      <c r="S17" s="665"/>
      <c r="T17" s="665"/>
      <c r="U17" s="665"/>
      <c r="V17" s="665"/>
      <c r="W17" s="665"/>
      <c r="X17" s="665"/>
      <c r="Y17" s="665"/>
      <c r="Z17" s="665"/>
      <c r="AA17" s="665"/>
      <c r="AB17" s="665"/>
      <c r="AC17" s="852"/>
      <c r="AD17" s="852"/>
      <c r="AE17" s="852"/>
      <c r="AF17" s="852"/>
      <c r="AG17" s="852"/>
    </row>
    <row r="18" spans="2:76" s="324" customFormat="1" ht="15" x14ac:dyDescent="0.25">
      <c r="B18" s="329"/>
      <c r="C18" s="329" t="s">
        <v>1448</v>
      </c>
      <c r="D18" s="314" t="s">
        <v>1449</v>
      </c>
      <c r="E18" s="314" t="s">
        <v>633</v>
      </c>
      <c r="F18" s="314" t="s">
        <v>615</v>
      </c>
      <c r="G18" s="314" t="s">
        <v>620</v>
      </c>
      <c r="H18" s="314" t="s">
        <v>1450</v>
      </c>
      <c r="I18" s="314">
        <v>2030</v>
      </c>
      <c r="J18" s="314">
        <v>2035</v>
      </c>
      <c r="K18" s="314">
        <v>2040</v>
      </c>
      <c r="L18" s="314">
        <v>2045</v>
      </c>
      <c r="M18" s="314">
        <v>2050</v>
      </c>
      <c r="N18" s="288">
        <v>2055</v>
      </c>
      <c r="O18" s="318"/>
      <c r="P18" s="18"/>
      <c r="Q18" s="18"/>
      <c r="R18" s="853"/>
      <c r="S18" s="853"/>
      <c r="T18" s="853"/>
      <c r="U18" s="18"/>
      <c r="V18" s="539"/>
      <c r="W18" s="539"/>
      <c r="X18" s="539"/>
      <c r="Y18" s="539"/>
      <c r="Z18" s="853"/>
      <c r="AA18" s="540"/>
      <c r="AB18" s="540"/>
      <c r="AC18" s="854"/>
      <c r="AD18" s="855"/>
      <c r="AE18" s="856"/>
      <c r="AF18" s="857"/>
      <c r="AG18" s="545"/>
    </row>
    <row r="19" spans="2:76" s="324" customFormat="1" x14ac:dyDescent="0.2">
      <c r="B19" s="330" t="s">
        <v>1451</v>
      </c>
      <c r="C19" s="330"/>
      <c r="D19" s="330"/>
      <c r="E19" s="330"/>
      <c r="F19" s="330"/>
      <c r="G19" s="330"/>
      <c r="H19" s="330"/>
      <c r="I19" s="330"/>
      <c r="J19" s="330"/>
      <c r="K19" s="330"/>
      <c r="L19" s="330"/>
      <c r="M19" s="330"/>
      <c r="N19" s="366"/>
      <c r="O19" s="318"/>
      <c r="P19" s="884"/>
      <c r="Q19" s="884"/>
      <c r="R19" s="18"/>
      <c r="S19" s="18"/>
      <c r="T19" s="18"/>
      <c r="U19" s="18"/>
      <c r="V19" s="18"/>
      <c r="W19" s="18"/>
      <c r="X19" s="18"/>
      <c r="Y19" s="18"/>
      <c r="Z19" s="18"/>
      <c r="AA19" s="18"/>
    </row>
    <row r="20" spans="2:76" s="324" customFormat="1" x14ac:dyDescent="0.2">
      <c r="B20" s="330" t="s">
        <v>1452</v>
      </c>
      <c r="C20" s="330"/>
      <c r="D20" s="330"/>
      <c r="E20" s="330"/>
      <c r="F20" s="330"/>
      <c r="G20" s="330"/>
      <c r="H20" s="330"/>
      <c r="I20" s="330"/>
      <c r="J20" s="330"/>
      <c r="K20" s="330"/>
      <c r="L20" s="330"/>
      <c r="M20" s="330"/>
      <c r="N20" s="366"/>
      <c r="O20" s="318"/>
      <c r="P20" s="18"/>
      <c r="Q20" s="18"/>
      <c r="R20" s="18"/>
      <c r="S20" s="18"/>
      <c r="T20" s="18"/>
      <c r="U20" s="18"/>
      <c r="V20" s="18"/>
      <c r="W20" s="18"/>
      <c r="X20" s="18"/>
      <c r="Y20" s="18"/>
      <c r="Z20" s="18"/>
      <c r="AA20" s="18"/>
    </row>
    <row r="21" spans="2:76" s="324" customFormat="1" x14ac:dyDescent="0.2">
      <c r="B21" s="331" t="s">
        <v>1453</v>
      </c>
      <c r="C21" s="332" t="s">
        <v>1454</v>
      </c>
      <c r="D21" s="333">
        <v>79.6539306640625</v>
      </c>
      <c r="E21" s="334">
        <v>82.848206000000005</v>
      </c>
      <c r="F21" s="334">
        <v>80.548882000000006</v>
      </c>
      <c r="G21" s="334">
        <v>84.750443000000004</v>
      </c>
      <c r="H21" s="334">
        <v>89.519981000000001</v>
      </c>
      <c r="I21" s="334">
        <v>93.970618999999999</v>
      </c>
      <c r="J21" s="334">
        <v>98.154381000000001</v>
      </c>
      <c r="K21" s="333">
        <v>102.12499200000001</v>
      </c>
      <c r="L21" s="333">
        <v>106.016052</v>
      </c>
      <c r="M21" s="333">
        <v>109.74867999999999</v>
      </c>
      <c r="N21" s="367">
        <f>M21*M21/L21</f>
        <v>113.61272688915447</v>
      </c>
      <c r="O21" s="318"/>
      <c r="P21" s="14"/>
      <c r="Q21" s="23"/>
      <c r="R21" s="23"/>
      <c r="S21" s="23"/>
      <c r="T21" s="23"/>
      <c r="U21" s="23"/>
      <c r="V21" s="23"/>
      <c r="W21" s="23"/>
      <c r="X21" s="23"/>
      <c r="Y21" s="23"/>
      <c r="Z21" s="23"/>
      <c r="AA21" s="23"/>
    </row>
    <row r="22" spans="2:76" s="324" customFormat="1" x14ac:dyDescent="0.2">
      <c r="B22" s="331" t="s">
        <v>1455</v>
      </c>
      <c r="C22" s="332" t="s">
        <v>1454</v>
      </c>
      <c r="D22" s="333">
        <v>24.4934978485107</v>
      </c>
      <c r="E22" s="334">
        <v>25.778419</v>
      </c>
      <c r="F22" s="334">
        <v>28.870884</v>
      </c>
      <c r="G22" s="334">
        <v>31.968703999999999</v>
      </c>
      <c r="H22" s="334">
        <v>33.858150000000002</v>
      </c>
      <c r="I22" s="334">
        <v>35.465130000000002</v>
      </c>
      <c r="J22" s="334">
        <v>36.930110999999997</v>
      </c>
      <c r="K22" s="333">
        <v>38.36647</v>
      </c>
      <c r="L22" s="333">
        <v>39.776778999999998</v>
      </c>
      <c r="M22" s="333">
        <v>41.144089000000001</v>
      </c>
      <c r="N22" s="367">
        <f t="shared" ref="N22:N23" si="9">M22*M22/L22</f>
        <v>42.558399704509036</v>
      </c>
      <c r="P22" s="13"/>
      <c r="Q22" s="14"/>
      <c r="R22" s="23"/>
      <c r="S22" s="23"/>
      <c r="T22" s="23"/>
      <c r="U22" s="23"/>
      <c r="V22" s="23"/>
      <c r="W22" s="23"/>
      <c r="X22" s="23"/>
      <c r="Y22" s="23"/>
      <c r="Z22" s="23"/>
      <c r="AA22" s="23"/>
      <c r="AB22" s="327"/>
      <c r="AC22" s="327"/>
      <c r="AD22" s="327"/>
      <c r="AE22" s="327"/>
      <c r="AF22" s="327"/>
      <c r="AG22" s="327"/>
      <c r="AH22" s="327"/>
      <c r="AI22" s="327"/>
      <c r="AJ22" s="327"/>
      <c r="AK22" s="327"/>
      <c r="AL22" s="327"/>
      <c r="AM22" s="327"/>
      <c r="AN22" s="327"/>
      <c r="AO22" s="327"/>
      <c r="AP22" s="327"/>
      <c r="AQ22" s="327"/>
      <c r="AR22" s="327"/>
      <c r="AS22" s="327"/>
      <c r="AT22" s="327"/>
      <c r="AU22" s="327"/>
      <c r="AV22" s="327"/>
      <c r="AW22" s="327"/>
      <c r="AX22" s="327"/>
      <c r="AY22" s="327"/>
      <c r="AZ22" s="327"/>
      <c r="BA22" s="327"/>
      <c r="BB22" s="327"/>
      <c r="BC22" s="327"/>
      <c r="BD22" s="327"/>
      <c r="BE22" s="327"/>
      <c r="BF22" s="327"/>
      <c r="BG22" s="327"/>
      <c r="BH22" s="327"/>
      <c r="BI22" s="327"/>
      <c r="BJ22" s="327"/>
      <c r="BK22" s="327"/>
      <c r="BL22" s="327"/>
      <c r="BM22" s="317"/>
      <c r="BN22" s="317"/>
      <c r="BO22" s="317"/>
      <c r="BP22" s="317"/>
      <c r="BQ22" s="317"/>
      <c r="BR22" s="317"/>
      <c r="BS22" s="317"/>
      <c r="BT22" s="317"/>
      <c r="BU22" s="317"/>
      <c r="BV22" s="317"/>
      <c r="BW22" s="317"/>
      <c r="BX22" s="317"/>
    </row>
    <row r="23" spans="2:76" s="324" customFormat="1" x14ac:dyDescent="0.2">
      <c r="B23" s="331" t="s">
        <v>1456</v>
      </c>
      <c r="C23" s="332" t="s">
        <v>1454</v>
      </c>
      <c r="D23" s="333">
        <v>6.9431958198547399</v>
      </c>
      <c r="E23" s="334">
        <v>6.6007860000000003</v>
      </c>
      <c r="F23" s="334">
        <v>5.9651449999999997</v>
      </c>
      <c r="G23" s="334">
        <v>6.6634640000000003</v>
      </c>
      <c r="H23" s="334">
        <v>6.6602829999999997</v>
      </c>
      <c r="I23" s="334">
        <v>6.7178110000000002</v>
      </c>
      <c r="J23" s="334">
        <v>6.7449050000000002</v>
      </c>
      <c r="K23" s="333">
        <v>6.7508609999999996</v>
      </c>
      <c r="L23" s="333">
        <v>6.7638369999999997</v>
      </c>
      <c r="M23" s="333">
        <v>6.7672350000000003</v>
      </c>
      <c r="N23" s="367">
        <f t="shared" si="9"/>
        <v>6.7706347070789858</v>
      </c>
      <c r="O23" s="438"/>
      <c r="AB23" s="327"/>
      <c r="AC23" s="327"/>
      <c r="AD23" s="327"/>
      <c r="AE23" s="327"/>
      <c r="AF23" s="327"/>
      <c r="AG23" s="327"/>
      <c r="AH23" s="327"/>
      <c r="AI23" s="327"/>
      <c r="AJ23" s="327"/>
      <c r="AK23" s="327"/>
      <c r="AL23" s="327"/>
      <c r="AM23" s="327"/>
      <c r="AN23" s="327"/>
      <c r="AO23" s="327"/>
      <c r="AP23" s="327"/>
      <c r="AQ23" s="327"/>
      <c r="AR23" s="327"/>
      <c r="AS23" s="327"/>
      <c r="AT23" s="327"/>
      <c r="AU23" s="327"/>
      <c r="AV23" s="327"/>
      <c r="AW23" s="327"/>
      <c r="AX23" s="327"/>
      <c r="AY23" s="327"/>
      <c r="AZ23" s="327"/>
      <c r="BA23" s="327"/>
      <c r="BB23" s="327"/>
      <c r="BC23" s="327"/>
      <c r="BD23" s="327"/>
      <c r="BE23" s="327"/>
      <c r="BF23" s="327"/>
      <c r="BG23" s="327"/>
      <c r="BH23" s="327"/>
      <c r="BI23" s="327"/>
      <c r="BJ23" s="327"/>
      <c r="BK23" s="327"/>
      <c r="BL23" s="317"/>
      <c r="BM23" s="317"/>
      <c r="BN23" s="317"/>
      <c r="BO23" s="317"/>
      <c r="BP23" s="317"/>
      <c r="BQ23" s="317"/>
      <c r="BR23" s="317"/>
      <c r="BS23" s="317"/>
      <c r="BT23" s="317"/>
      <c r="BU23" s="317"/>
      <c r="BV23" s="317"/>
      <c r="BW23" s="317"/>
    </row>
    <row r="24" spans="2:76" s="324" customFormat="1" x14ac:dyDescent="0.2">
      <c r="B24" s="368" t="s">
        <v>1419</v>
      </c>
      <c r="C24" s="372" t="s">
        <v>1454</v>
      </c>
      <c r="D24" s="373">
        <f>SUM(D21:D23)</f>
        <v>111.09062433242794</v>
      </c>
      <c r="E24" s="373">
        <f t="shared" ref="E24:N24" si="10">SUM(E21:E23)</f>
        <v>115.227411</v>
      </c>
      <c r="F24" s="373">
        <f t="shared" si="10"/>
        <v>115.38491100000002</v>
      </c>
      <c r="G24" s="373">
        <f t="shared" si="10"/>
        <v>123.38261100000001</v>
      </c>
      <c r="H24" s="373">
        <f t="shared" si="10"/>
        <v>130.03841399999999</v>
      </c>
      <c r="I24" s="373">
        <f t="shared" si="10"/>
        <v>136.15356</v>
      </c>
      <c r="J24" s="373">
        <f t="shared" si="10"/>
        <v>141.829397</v>
      </c>
      <c r="K24" s="373">
        <f t="shared" si="10"/>
        <v>147.242323</v>
      </c>
      <c r="L24" s="373">
        <f t="shared" si="10"/>
        <v>152.556668</v>
      </c>
      <c r="M24" s="373">
        <f t="shared" si="10"/>
        <v>157.66000399999999</v>
      </c>
      <c r="N24" s="373">
        <f t="shared" si="10"/>
        <v>162.94176130074248</v>
      </c>
      <c r="O24" s="318"/>
      <c r="AB24" s="327"/>
      <c r="AC24" s="327"/>
      <c r="AD24" s="327"/>
      <c r="AE24" s="327"/>
      <c r="AF24" s="327"/>
      <c r="AG24" s="327"/>
      <c r="AH24" s="327"/>
      <c r="AI24" s="327"/>
    </row>
    <row r="25" spans="2:76" s="324" customFormat="1" x14ac:dyDescent="0.2">
      <c r="B25" s="332"/>
      <c r="C25" s="332"/>
      <c r="D25" s="335"/>
      <c r="E25" s="335"/>
      <c r="F25" s="335"/>
      <c r="G25" s="335"/>
      <c r="H25" s="335"/>
      <c r="I25" s="335"/>
      <c r="J25" s="335"/>
      <c r="K25" s="335"/>
      <c r="L25" s="335"/>
      <c r="M25" s="335"/>
      <c r="N25" s="367"/>
      <c r="O25" s="438"/>
      <c r="AB25" s="327"/>
      <c r="AC25" s="327"/>
      <c r="AD25" s="327"/>
      <c r="AE25" s="327"/>
      <c r="AF25" s="327"/>
      <c r="AG25" s="327"/>
      <c r="AH25" s="327"/>
      <c r="AI25" s="327"/>
    </row>
    <row r="26" spans="2:76" s="324" customFormat="1" ht="12.75" customHeight="1" x14ac:dyDescent="0.2">
      <c r="B26" s="332" t="s">
        <v>1457</v>
      </c>
      <c r="C26" s="332" t="s">
        <v>1458</v>
      </c>
      <c r="D26" s="335">
        <v>1801.65991210938</v>
      </c>
      <c r="E26" s="336">
        <v>1652.606567</v>
      </c>
      <c r="F26" s="336">
        <v>1695.087769</v>
      </c>
      <c r="G26" s="336">
        <v>1789.3104249999999</v>
      </c>
      <c r="H26" s="336">
        <v>1813.318481</v>
      </c>
      <c r="I26" s="336">
        <v>1836.3393550000001</v>
      </c>
      <c r="J26" s="336">
        <v>1858.411255</v>
      </c>
      <c r="K26" s="335">
        <v>1878.957764</v>
      </c>
      <c r="L26" s="335">
        <v>1898.1798100000001</v>
      </c>
      <c r="M26" s="335">
        <v>1916.330322</v>
      </c>
      <c r="N26" s="367">
        <f>M26*M26/L26</f>
        <v>1934.6543903112231</v>
      </c>
      <c r="O26" s="438"/>
      <c r="AB26" s="327"/>
      <c r="AC26" s="327"/>
      <c r="AD26" s="327"/>
      <c r="AE26" s="327"/>
      <c r="AF26" s="327"/>
      <c r="AG26" s="327"/>
      <c r="AH26" s="327"/>
      <c r="AI26" s="327"/>
    </row>
    <row r="27" spans="2:76" s="324" customFormat="1" ht="12.75" customHeight="1" x14ac:dyDescent="0.2">
      <c r="B27" s="332"/>
      <c r="C27" s="332"/>
      <c r="D27" s="333"/>
      <c r="E27" s="333"/>
      <c r="F27" s="333"/>
      <c r="G27" s="333"/>
      <c r="H27" s="333"/>
      <c r="I27" s="333"/>
      <c r="J27" s="333"/>
      <c r="K27" s="333"/>
      <c r="L27" s="333"/>
      <c r="M27" s="333"/>
      <c r="N27" s="367"/>
      <c r="O27" s="363"/>
      <c r="AB27" s="327"/>
      <c r="AE27" s="14"/>
      <c r="AF27" s="14"/>
      <c r="AG27" s="14"/>
      <c r="AH27" s="14"/>
      <c r="AI27" s="14"/>
      <c r="AJ27" s="14"/>
      <c r="AK27" s="14"/>
      <c r="AL27" s="14"/>
      <c r="AM27" s="14"/>
      <c r="AN27" s="14"/>
    </row>
    <row r="28" spans="2:76" s="324" customFormat="1" x14ac:dyDescent="0.2">
      <c r="B28" s="332" t="s">
        <v>1459</v>
      </c>
      <c r="C28" s="332"/>
      <c r="D28" s="333"/>
      <c r="E28" s="333"/>
      <c r="F28" s="333"/>
      <c r="G28" s="333"/>
      <c r="H28" s="333"/>
      <c r="I28" s="333"/>
      <c r="J28" s="333"/>
      <c r="K28" s="333"/>
      <c r="L28" s="333"/>
      <c r="M28" s="333"/>
      <c r="N28" s="367"/>
      <c r="O28" s="363"/>
      <c r="AB28" s="327"/>
      <c r="AF28" s="14"/>
      <c r="AG28" s="14"/>
      <c r="AH28" s="14"/>
      <c r="AI28" s="14"/>
      <c r="AJ28" s="14"/>
      <c r="AK28" s="14"/>
      <c r="AL28" s="14"/>
      <c r="AM28" s="14"/>
      <c r="AN28" s="14"/>
      <c r="AO28" s="323"/>
    </row>
    <row r="29" spans="2:76" s="324" customFormat="1" x14ac:dyDescent="0.2">
      <c r="B29" s="332" t="s">
        <v>1460</v>
      </c>
      <c r="C29" s="332"/>
      <c r="D29" s="333"/>
      <c r="E29" s="333"/>
      <c r="F29" s="333"/>
      <c r="G29" s="333"/>
      <c r="H29" s="333"/>
      <c r="I29" s="333"/>
      <c r="J29" s="333"/>
      <c r="K29" s="333"/>
      <c r="L29" s="333"/>
      <c r="M29" s="333"/>
      <c r="N29" s="367"/>
      <c r="O29" s="363"/>
      <c r="AB29" s="327"/>
      <c r="AF29" s="14"/>
      <c r="AG29" s="14"/>
      <c r="AH29" s="14"/>
      <c r="AI29" s="14"/>
      <c r="AJ29" s="14"/>
      <c r="AK29" s="14"/>
      <c r="AL29" s="14"/>
      <c r="AM29" s="14"/>
      <c r="AN29" s="14"/>
      <c r="AO29" s="323"/>
    </row>
    <row r="30" spans="2:76" s="324" customFormat="1" x14ac:dyDescent="0.2">
      <c r="B30" s="332" t="s">
        <v>1461</v>
      </c>
      <c r="C30" s="332" t="s">
        <v>1462</v>
      </c>
      <c r="D30" s="333"/>
      <c r="E30" s="334">
        <v>99.153182999999999</v>
      </c>
      <c r="F30" s="334">
        <v>95.092170999999993</v>
      </c>
      <c r="G30" s="334">
        <v>92.738022000000001</v>
      </c>
      <c r="H30" s="334">
        <v>89.052955999999995</v>
      </c>
      <c r="I30" s="334">
        <v>86.372932000000006</v>
      </c>
      <c r="J30" s="334">
        <v>83.229088000000004</v>
      </c>
      <c r="K30" s="333">
        <v>81.360573000000002</v>
      </c>
      <c r="L30" s="333">
        <v>80.389549000000002</v>
      </c>
      <c r="M30" s="333">
        <v>80.285049000000001</v>
      </c>
      <c r="N30" s="367">
        <f t="shared" ref="N30:N90" si="11">M30*M30/L30</f>
        <v>80.180684841662696</v>
      </c>
      <c r="O30" s="363"/>
      <c r="P30" s="15"/>
      <c r="Q30" s="15"/>
      <c r="R30" s="609"/>
      <c r="AB30" s="327"/>
      <c r="AF30" s="14"/>
      <c r="AG30" s="14"/>
      <c r="AH30" s="14"/>
      <c r="AI30" s="14"/>
      <c r="AJ30" s="14"/>
      <c r="AK30" s="14"/>
      <c r="AL30" s="14"/>
      <c r="AM30" s="14"/>
      <c r="AN30" s="14"/>
    </row>
    <row r="31" spans="2:76" s="324" customFormat="1" x14ac:dyDescent="0.2">
      <c r="B31" s="332" t="s">
        <v>1463</v>
      </c>
      <c r="C31" s="332" t="s">
        <v>1462</v>
      </c>
      <c r="D31" s="333"/>
      <c r="E31" s="334"/>
      <c r="F31" s="334"/>
      <c r="G31" s="334">
        <v>92.104782</v>
      </c>
      <c r="H31" s="334">
        <v>87.901168999999996</v>
      </c>
      <c r="I31" s="334">
        <v>84.758437999999998</v>
      </c>
      <c r="J31" s="334">
        <v>81.117576999999997</v>
      </c>
      <c r="K31" s="333">
        <v>78.743117999999996</v>
      </c>
      <c r="L31" s="333">
        <v>77.127983</v>
      </c>
      <c r="M31" s="333">
        <v>76.260413999999997</v>
      </c>
      <c r="N31" s="367">
        <f t="shared" si="11"/>
        <v>75.402603792340784</v>
      </c>
      <c r="O31" s="363"/>
      <c r="P31" s="15"/>
      <c r="Q31" s="15"/>
      <c r="R31" s="609"/>
      <c r="AB31" s="327"/>
      <c r="AF31" s="14"/>
      <c r="AG31" s="14"/>
      <c r="AH31" s="14"/>
      <c r="AI31" s="14"/>
      <c r="AJ31" s="14"/>
      <c r="AK31" s="14"/>
      <c r="AL31" s="14"/>
      <c r="AM31" s="14"/>
      <c r="AN31" s="14"/>
    </row>
    <row r="32" spans="2:76" s="324" customFormat="1" x14ac:dyDescent="0.2">
      <c r="B32" s="332" t="s">
        <v>1464</v>
      </c>
      <c r="C32" s="332"/>
      <c r="D32" s="333"/>
      <c r="E32" s="333"/>
      <c r="F32" s="333"/>
      <c r="G32" s="333"/>
      <c r="H32" s="333"/>
      <c r="I32" s="333"/>
      <c r="J32" s="333"/>
      <c r="K32" s="333"/>
      <c r="L32" s="333"/>
      <c r="M32" s="333"/>
      <c r="N32" s="367"/>
      <c r="O32" s="363"/>
      <c r="P32" s="15"/>
      <c r="Q32" s="15"/>
      <c r="R32" s="609"/>
      <c r="AB32" s="327"/>
      <c r="AF32" s="14"/>
      <c r="AG32" s="14"/>
      <c r="AH32" s="14"/>
      <c r="AI32" s="14"/>
      <c r="AJ32" s="14"/>
      <c r="AK32" s="14"/>
      <c r="AL32" s="14"/>
      <c r="AM32" s="14"/>
      <c r="AN32" s="14"/>
    </row>
    <row r="33" spans="2:40" s="324" customFormat="1" x14ac:dyDescent="0.2">
      <c r="B33" s="332" t="s">
        <v>1461</v>
      </c>
      <c r="C33" s="332" t="s">
        <v>1465</v>
      </c>
      <c r="D33" s="333"/>
      <c r="E33" s="334">
        <v>59.998058</v>
      </c>
      <c r="F33" s="334">
        <v>56.098671000000003</v>
      </c>
      <c r="G33" s="334">
        <v>51.828918000000002</v>
      </c>
      <c r="H33" s="334">
        <v>49.110489000000001</v>
      </c>
      <c r="I33" s="334">
        <v>47.035389000000002</v>
      </c>
      <c r="J33" s="334">
        <v>44.785075999999997</v>
      </c>
      <c r="K33" s="333">
        <v>43.300902999999998</v>
      </c>
      <c r="L33" s="333">
        <v>42.350861000000002</v>
      </c>
      <c r="M33" s="333">
        <v>41.895203000000002</v>
      </c>
      <c r="N33" s="367">
        <f t="shared" si="11"/>
        <v>41.44444747914828</v>
      </c>
      <c r="O33" s="318"/>
      <c r="P33" s="14"/>
      <c r="Q33" s="14"/>
      <c r="Y33" s="26"/>
      <c r="AB33" s="327"/>
      <c r="AE33" s="14"/>
      <c r="AF33" s="14"/>
      <c r="AG33" s="14"/>
      <c r="AH33" s="14"/>
      <c r="AI33" s="14"/>
      <c r="AJ33" s="14"/>
      <c r="AK33" s="14"/>
      <c r="AL33" s="14"/>
      <c r="AM33" s="14"/>
      <c r="AN33" s="14"/>
    </row>
    <row r="34" spans="2:40" s="324" customFormat="1" x14ac:dyDescent="0.2">
      <c r="B34" s="332" t="s">
        <v>1463</v>
      </c>
      <c r="C34" s="332" t="s">
        <v>1465</v>
      </c>
      <c r="D34" s="333"/>
      <c r="E34" s="334"/>
      <c r="F34" s="334"/>
      <c r="G34" s="334">
        <v>51.475014000000002</v>
      </c>
      <c r="H34" s="334">
        <v>48.475307000000001</v>
      </c>
      <c r="I34" s="334">
        <v>46.156193000000002</v>
      </c>
      <c r="J34" s="334">
        <v>43.648884000000002</v>
      </c>
      <c r="K34" s="333">
        <v>41.907867000000003</v>
      </c>
      <c r="L34" s="333">
        <v>40.632603000000003</v>
      </c>
      <c r="M34" s="333">
        <v>39.795025000000003</v>
      </c>
      <c r="N34" s="367">
        <f t="shared" si="11"/>
        <v>38.974712369537961</v>
      </c>
      <c r="O34" s="438"/>
      <c r="P34" s="14"/>
      <c r="Q34" s="14"/>
      <c r="Y34" s="14"/>
      <c r="AB34" s="327"/>
      <c r="AE34" s="14"/>
      <c r="AF34" s="14"/>
      <c r="AG34" s="14"/>
      <c r="AH34" s="14"/>
      <c r="AI34" s="14"/>
      <c r="AJ34" s="14"/>
      <c r="AK34" s="14"/>
      <c r="AL34" s="14"/>
      <c r="AM34" s="14"/>
      <c r="AN34" s="14"/>
    </row>
    <row r="35" spans="2:40" s="324" customFormat="1" x14ac:dyDescent="0.2">
      <c r="B35" s="332"/>
      <c r="C35" s="332"/>
      <c r="D35" s="333"/>
      <c r="E35" s="333"/>
      <c r="F35" s="333"/>
      <c r="G35" s="333"/>
      <c r="H35" s="333"/>
      <c r="I35" s="333"/>
      <c r="J35" s="333"/>
      <c r="K35" s="333"/>
      <c r="L35" s="333"/>
      <c r="M35" s="333"/>
      <c r="N35" s="367"/>
      <c r="O35" s="438"/>
      <c r="P35" s="14"/>
      <c r="Q35" s="14"/>
      <c r="Y35" s="14"/>
      <c r="AB35" s="327"/>
      <c r="AE35" s="14"/>
      <c r="AF35" s="14"/>
      <c r="AG35" s="14"/>
      <c r="AH35" s="14"/>
      <c r="AI35" s="14"/>
      <c r="AJ35" s="14"/>
      <c r="AK35" s="14"/>
      <c r="AL35" s="14"/>
      <c r="AM35" s="14"/>
      <c r="AN35" s="14"/>
    </row>
    <row r="36" spans="2:40" s="324" customFormat="1" x14ac:dyDescent="0.2">
      <c r="B36" s="338" t="s">
        <v>1466</v>
      </c>
      <c r="C36" s="332"/>
      <c r="D36" s="333"/>
      <c r="E36" s="333"/>
      <c r="F36" s="333"/>
      <c r="G36" s="333"/>
      <c r="H36" s="333"/>
      <c r="I36" s="333"/>
      <c r="J36" s="333"/>
      <c r="K36" s="333"/>
      <c r="L36" s="333"/>
      <c r="M36" s="333"/>
      <c r="N36" s="367"/>
      <c r="O36" s="318"/>
      <c r="P36" s="14"/>
      <c r="Q36" s="14"/>
      <c r="Y36" s="14"/>
      <c r="AB36" s="327"/>
      <c r="AE36" s="14"/>
      <c r="AF36" s="14"/>
      <c r="AG36" s="14"/>
      <c r="AH36" s="14"/>
      <c r="AI36" s="14"/>
      <c r="AJ36" s="14"/>
      <c r="AK36" s="14"/>
      <c r="AL36" s="14"/>
      <c r="AM36" s="14"/>
      <c r="AN36" s="14"/>
    </row>
    <row r="37" spans="2:40" s="324" customFormat="1" x14ac:dyDescent="0.2">
      <c r="B37" s="338" t="s">
        <v>138</v>
      </c>
      <c r="C37" s="332"/>
      <c r="D37" s="333"/>
      <c r="E37" s="333"/>
      <c r="F37" s="333"/>
      <c r="G37" s="333"/>
      <c r="H37" s="333"/>
      <c r="I37" s="333"/>
      <c r="J37" s="333"/>
      <c r="K37" s="333"/>
      <c r="L37" s="333"/>
      <c r="M37" s="333"/>
      <c r="N37" s="367"/>
      <c r="O37" s="318"/>
      <c r="P37" s="14"/>
      <c r="Q37" s="14"/>
      <c r="Y37" s="14"/>
      <c r="AB37" s="327"/>
      <c r="AE37" s="14"/>
      <c r="AF37" s="14"/>
      <c r="AG37" s="14"/>
      <c r="AH37" s="14"/>
      <c r="AI37" s="14"/>
      <c r="AJ37" s="14"/>
      <c r="AK37" s="14"/>
      <c r="AL37" s="14"/>
      <c r="AM37" s="14"/>
      <c r="AN37" s="14"/>
    </row>
    <row r="38" spans="2:40" s="324" customFormat="1" x14ac:dyDescent="0.2">
      <c r="B38" s="331" t="s">
        <v>1467</v>
      </c>
      <c r="C38" s="332"/>
      <c r="D38" s="333">
        <v>0.31044062972068798</v>
      </c>
      <c r="E38" s="334">
        <v>0.29683199999999998</v>
      </c>
      <c r="F38" s="334">
        <v>0.33109499999999997</v>
      </c>
      <c r="G38" s="334">
        <v>0.64897499999999997</v>
      </c>
      <c r="H38" s="334">
        <v>0.65694900000000001</v>
      </c>
      <c r="I38" s="334">
        <v>0.63785099999999995</v>
      </c>
      <c r="J38" s="334">
        <v>0.59983799999999998</v>
      </c>
      <c r="K38" s="334">
        <v>0.56561099999999997</v>
      </c>
      <c r="L38" s="333">
        <v>0.53667600000000004</v>
      </c>
      <c r="M38" s="333">
        <v>0.51238399999999995</v>
      </c>
      <c r="N38" s="367">
        <f t="shared" si="11"/>
        <v>0.48919154845008889</v>
      </c>
      <c r="O38" s="438"/>
      <c r="P38" s="14"/>
      <c r="Q38" s="14"/>
      <c r="R38" s="609"/>
      <c r="AB38" s="327"/>
      <c r="AE38" s="14"/>
      <c r="AF38" s="14"/>
      <c r="AG38" s="14"/>
      <c r="AH38" s="14"/>
      <c r="AI38" s="14"/>
      <c r="AJ38" s="14"/>
      <c r="AK38" s="14"/>
      <c r="AL38" s="14"/>
      <c r="AM38" s="14"/>
      <c r="AN38" s="14"/>
    </row>
    <row r="39" spans="2:40" s="324" customFormat="1" x14ac:dyDescent="0.2">
      <c r="B39" s="331" t="s">
        <v>1468</v>
      </c>
      <c r="C39" s="332"/>
      <c r="D39" s="333">
        <v>0.821350157260895</v>
      </c>
      <c r="E39" s="334">
        <v>0.91523900000000002</v>
      </c>
      <c r="F39" s="334">
        <v>0.79424099999999997</v>
      </c>
      <c r="G39" s="334">
        <v>0.80539300000000003</v>
      </c>
      <c r="H39" s="334">
        <v>0.91105000000000003</v>
      </c>
      <c r="I39" s="334">
        <v>1.0044709999999999</v>
      </c>
      <c r="J39" s="334">
        <v>1.088333</v>
      </c>
      <c r="K39" s="334">
        <v>1.1969080000000001</v>
      </c>
      <c r="L39" s="333">
        <v>1.3168</v>
      </c>
      <c r="M39" s="333">
        <v>1.4631479999999999</v>
      </c>
      <c r="N39" s="367">
        <f t="shared" si="11"/>
        <v>1.6257609886877278</v>
      </c>
      <c r="O39" s="318"/>
      <c r="P39" s="14"/>
      <c r="Q39" s="14"/>
      <c r="R39" s="609"/>
      <c r="AB39" s="327"/>
      <c r="AE39" s="14"/>
      <c r="AF39" s="14"/>
      <c r="AG39" s="14"/>
      <c r="AH39" s="14"/>
      <c r="AI39" s="14"/>
      <c r="AJ39" s="14"/>
      <c r="AK39" s="14"/>
      <c r="AL39" s="14"/>
      <c r="AM39" s="14"/>
      <c r="AN39" s="14"/>
    </row>
    <row r="40" spans="2:40" s="324" customFormat="1" x14ac:dyDescent="0.2">
      <c r="B40" s="331" t="s">
        <v>1469</v>
      </c>
      <c r="C40" s="332"/>
      <c r="D40" s="333">
        <v>0.382184237241745</v>
      </c>
      <c r="E40" s="334">
        <v>0.44614100000000001</v>
      </c>
      <c r="F40" s="334">
        <v>0.450959</v>
      </c>
      <c r="G40" s="334">
        <v>0.60754900000000001</v>
      </c>
      <c r="H40" s="334">
        <v>0.59958199999999995</v>
      </c>
      <c r="I40" s="334">
        <v>0.59322299999999994</v>
      </c>
      <c r="J40" s="334">
        <v>0.58855199999999996</v>
      </c>
      <c r="K40" s="334">
        <v>0.60179499999999997</v>
      </c>
      <c r="L40" s="333">
        <v>0.61683500000000002</v>
      </c>
      <c r="M40" s="333">
        <v>0.63607999999999998</v>
      </c>
      <c r="N40" s="367">
        <f t="shared" si="11"/>
        <v>0.65592543613770282</v>
      </c>
      <c r="O40" s="318"/>
      <c r="P40" s="14"/>
      <c r="Q40" s="14"/>
      <c r="R40" s="609"/>
      <c r="AB40" s="327"/>
      <c r="AE40" s="14"/>
      <c r="AF40" s="14"/>
      <c r="AG40" s="14"/>
      <c r="AH40" s="14"/>
      <c r="AI40" s="14"/>
      <c r="AJ40" s="14"/>
      <c r="AK40" s="14"/>
      <c r="AL40" s="14"/>
      <c r="AM40" s="14"/>
      <c r="AN40" s="14"/>
    </row>
    <row r="41" spans="2:40" s="324" customFormat="1" x14ac:dyDescent="0.2">
      <c r="B41" s="331" t="s">
        <v>1470</v>
      </c>
      <c r="C41" s="332"/>
      <c r="D41" s="333">
        <v>0.39436101913452098</v>
      </c>
      <c r="E41" s="334">
        <v>0.376004</v>
      </c>
      <c r="F41" s="334">
        <v>0.35520099999999999</v>
      </c>
      <c r="G41" s="334">
        <v>0.29757099999999997</v>
      </c>
      <c r="H41" s="334">
        <v>0.29163</v>
      </c>
      <c r="I41" s="334">
        <v>0.289659</v>
      </c>
      <c r="J41" s="334">
        <v>0.29434300000000002</v>
      </c>
      <c r="K41" s="334">
        <v>0.30684800000000001</v>
      </c>
      <c r="L41" s="333">
        <v>0.32450699999999999</v>
      </c>
      <c r="M41" s="333">
        <v>0.340702</v>
      </c>
      <c r="N41" s="367">
        <f t="shared" si="11"/>
        <v>0.35770523533852894</v>
      </c>
      <c r="O41" s="318"/>
      <c r="P41" s="14"/>
      <c r="Q41" s="14"/>
      <c r="R41" s="609"/>
      <c r="AB41" s="327"/>
      <c r="AC41" s="327"/>
      <c r="AD41" s="327"/>
      <c r="AE41" s="327"/>
    </row>
    <row r="42" spans="2:40" s="324" customFormat="1" x14ac:dyDescent="0.2">
      <c r="B42" s="331" t="s">
        <v>1471</v>
      </c>
      <c r="C42" s="332"/>
      <c r="D42" s="333">
        <v>0.102017246186733</v>
      </c>
      <c r="E42" s="334">
        <v>0.10760699999999999</v>
      </c>
      <c r="F42" s="334">
        <v>0.10791199999999999</v>
      </c>
      <c r="G42" s="334">
        <v>5.5007E-2</v>
      </c>
      <c r="H42" s="334">
        <v>5.6875000000000002E-2</v>
      </c>
      <c r="I42" s="334">
        <v>5.8390999999999998E-2</v>
      </c>
      <c r="J42" s="334">
        <v>5.9403999999999998E-2</v>
      </c>
      <c r="K42" s="334">
        <v>6.0894999999999998E-2</v>
      </c>
      <c r="L42" s="333">
        <v>6.2203000000000001E-2</v>
      </c>
      <c r="M42" s="333">
        <v>6.3319E-2</v>
      </c>
      <c r="N42" s="367">
        <f t="shared" si="11"/>
        <v>6.4455022442647461E-2</v>
      </c>
      <c r="O42" s="438"/>
      <c r="P42" s="14"/>
      <c r="Q42" s="14"/>
      <c r="R42" s="609"/>
      <c r="AB42" s="327"/>
      <c r="AC42" s="327"/>
      <c r="AD42" s="327"/>
      <c r="AE42" s="327"/>
      <c r="AF42" s="327"/>
      <c r="AG42" s="327"/>
      <c r="AH42" s="327"/>
      <c r="AI42" s="327"/>
      <c r="AJ42" s="327"/>
      <c r="AK42" s="327"/>
    </row>
    <row r="43" spans="2:40" s="324" customFormat="1" x14ac:dyDescent="0.2">
      <c r="B43" s="331" t="s">
        <v>1472</v>
      </c>
      <c r="C43" s="332"/>
      <c r="D43" s="333">
        <v>0.25261107087135298</v>
      </c>
      <c r="E43" s="334">
        <v>0.19579099999999999</v>
      </c>
      <c r="F43" s="334">
        <v>0.20463500000000001</v>
      </c>
      <c r="G43" s="334">
        <v>0.216421</v>
      </c>
      <c r="H43" s="334">
        <v>0.23729500000000001</v>
      </c>
      <c r="I43" s="334">
        <v>0.25967099999999999</v>
      </c>
      <c r="J43" s="334">
        <v>0.275723</v>
      </c>
      <c r="K43" s="334">
        <v>0.29220600000000002</v>
      </c>
      <c r="L43" s="333">
        <v>0.30910900000000002</v>
      </c>
      <c r="M43" s="333">
        <v>0.32827800000000001</v>
      </c>
      <c r="N43" s="367">
        <f t="shared" si="11"/>
        <v>0.34863574106221429</v>
      </c>
      <c r="O43" s="438"/>
      <c r="P43" s="14"/>
      <c r="Q43" s="14"/>
      <c r="R43" s="609"/>
      <c r="AB43" s="327"/>
      <c r="AC43" s="327"/>
      <c r="AD43" s="327"/>
      <c r="AE43" s="327"/>
      <c r="AF43" s="327"/>
      <c r="AG43" s="327"/>
      <c r="AH43" s="327"/>
      <c r="AI43" s="327"/>
      <c r="AJ43" s="327"/>
      <c r="AK43" s="327"/>
    </row>
    <row r="44" spans="2:40" s="324" customFormat="1" x14ac:dyDescent="0.2">
      <c r="B44" s="331" t="s">
        <v>1473</v>
      </c>
      <c r="C44" s="332"/>
      <c r="D44" s="333">
        <v>8.3529256284236894E-2</v>
      </c>
      <c r="E44" s="334">
        <v>8.2216999999999998E-2</v>
      </c>
      <c r="F44" s="334">
        <v>7.5429999999999997E-2</v>
      </c>
      <c r="G44" s="334">
        <v>6.9181000000000006E-2</v>
      </c>
      <c r="H44" s="334">
        <v>6.8515999999999994E-2</v>
      </c>
      <c r="I44" s="334">
        <v>6.7614999999999995E-2</v>
      </c>
      <c r="J44" s="334">
        <v>6.7169000000000006E-2</v>
      </c>
      <c r="K44" s="334">
        <v>6.7431000000000005E-2</v>
      </c>
      <c r="L44" s="333">
        <v>6.8666000000000005E-2</v>
      </c>
      <c r="M44" s="333">
        <v>7.0729E-2</v>
      </c>
      <c r="N44" s="367">
        <f t="shared" si="11"/>
        <v>7.2853980732822649E-2</v>
      </c>
      <c r="P44" s="14"/>
      <c r="Q44" s="14"/>
      <c r="R44" s="609"/>
      <c r="AB44" s="327"/>
      <c r="AC44" s="327"/>
      <c r="AD44" s="327"/>
      <c r="AE44" s="327"/>
      <c r="AF44" s="327"/>
      <c r="AG44" s="327"/>
      <c r="AH44" s="327"/>
      <c r="AI44" s="327"/>
      <c r="AJ44" s="327"/>
      <c r="AK44" s="327"/>
    </row>
    <row r="45" spans="2:40" s="324" customFormat="1" x14ac:dyDescent="0.2">
      <c r="B45" s="331" t="s">
        <v>1474</v>
      </c>
      <c r="C45" s="332"/>
      <c r="D45" s="333">
        <v>0.72674226760864302</v>
      </c>
      <c r="E45" s="334">
        <v>0.65220500000000003</v>
      </c>
      <c r="F45" s="334">
        <v>0.44812299999999999</v>
      </c>
      <c r="G45" s="334">
        <v>0.21124699999999999</v>
      </c>
      <c r="H45" s="334">
        <v>0.20512900000000001</v>
      </c>
      <c r="I45" s="334">
        <v>0.209704</v>
      </c>
      <c r="J45" s="334">
        <v>0.20901600000000001</v>
      </c>
      <c r="K45" s="334">
        <v>0.207703</v>
      </c>
      <c r="L45" s="333">
        <v>0.20064000000000001</v>
      </c>
      <c r="M45" s="333">
        <v>0.20205600000000001</v>
      </c>
      <c r="N45" s="367">
        <f t="shared" si="11"/>
        <v>0.20348199330143543</v>
      </c>
      <c r="P45" s="14"/>
      <c r="Q45" s="14"/>
      <c r="R45" s="609"/>
      <c r="AB45" s="327"/>
      <c r="AC45" s="327"/>
      <c r="AD45" s="327"/>
      <c r="AE45" s="327"/>
      <c r="AF45" s="327"/>
      <c r="AG45" s="327"/>
      <c r="AH45" s="327"/>
      <c r="AI45" s="327"/>
      <c r="AJ45" s="327"/>
      <c r="AK45" s="327"/>
    </row>
    <row r="46" spans="2:40" s="324" customFormat="1" x14ac:dyDescent="0.2">
      <c r="B46" s="331" t="s">
        <v>1475</v>
      </c>
      <c r="C46" s="332"/>
      <c r="D46" s="333">
        <v>3.4679807722568498E-2</v>
      </c>
      <c r="E46" s="334">
        <v>3.2793000000000003E-2</v>
      </c>
      <c r="F46" s="334">
        <v>2.6497E-2</v>
      </c>
      <c r="G46" s="334">
        <v>3.6778999999999999E-2</v>
      </c>
      <c r="H46" s="334">
        <v>3.8485999999999999E-2</v>
      </c>
      <c r="I46" s="334">
        <v>4.0245999999999997E-2</v>
      </c>
      <c r="J46" s="334">
        <v>4.2098999999999998E-2</v>
      </c>
      <c r="K46" s="334">
        <v>4.3898E-2</v>
      </c>
      <c r="L46" s="333">
        <v>4.5619E-2</v>
      </c>
      <c r="M46" s="333">
        <v>4.7258000000000001E-2</v>
      </c>
      <c r="N46" s="367">
        <f t="shared" si="11"/>
        <v>4.8955886012407114E-2</v>
      </c>
      <c r="P46" s="14"/>
      <c r="Q46" s="14"/>
      <c r="AB46" s="327"/>
      <c r="AC46" s="327"/>
      <c r="AD46" s="327"/>
      <c r="AE46" s="327"/>
      <c r="AF46" s="327"/>
      <c r="AG46" s="327"/>
      <c r="AH46" s="327"/>
      <c r="AI46" s="327"/>
      <c r="AJ46" s="327"/>
      <c r="AK46" s="327"/>
    </row>
    <row r="47" spans="2:40" s="324" customFormat="1" x14ac:dyDescent="0.2">
      <c r="B47" s="331" t="s">
        <v>1476</v>
      </c>
      <c r="C47" s="332"/>
      <c r="D47" s="333">
        <v>9.5851413905620603E-2</v>
      </c>
      <c r="E47" s="334">
        <v>0.103049</v>
      </c>
      <c r="F47" s="334">
        <v>9.4423999999999994E-2</v>
      </c>
      <c r="G47" s="334">
        <v>2.6616999999999998E-2</v>
      </c>
      <c r="H47" s="334">
        <v>2.8944999999999999E-2</v>
      </c>
      <c r="I47" s="334">
        <v>3.1241999999999999E-2</v>
      </c>
      <c r="J47" s="334">
        <v>3.4373000000000001E-2</v>
      </c>
      <c r="K47" s="334">
        <v>3.7698000000000002E-2</v>
      </c>
      <c r="L47" s="333">
        <v>4.0961999999999998E-2</v>
      </c>
      <c r="M47" s="333">
        <v>4.4143000000000002E-2</v>
      </c>
      <c r="N47" s="367">
        <f t="shared" si="11"/>
        <v>4.7571028001562432E-2</v>
      </c>
      <c r="AB47" s="327"/>
      <c r="AC47" s="327"/>
      <c r="AD47" s="327"/>
      <c r="AE47" s="327"/>
      <c r="AF47" s="327"/>
      <c r="AG47" s="327"/>
      <c r="AH47" s="327"/>
      <c r="AI47" s="327"/>
      <c r="AJ47" s="327"/>
      <c r="AK47" s="327"/>
    </row>
    <row r="48" spans="2:40" s="324" customFormat="1" x14ac:dyDescent="0.2">
      <c r="B48" s="331" t="s">
        <v>1477</v>
      </c>
      <c r="C48" s="332"/>
      <c r="D48" s="333">
        <v>0.29940426349639898</v>
      </c>
      <c r="E48" s="334">
        <v>0.31756000000000001</v>
      </c>
      <c r="F48" s="334">
        <v>0.28821200000000002</v>
      </c>
      <c r="G48" s="334">
        <v>0.20913300000000001</v>
      </c>
      <c r="H48" s="334">
        <v>0.17569199999999999</v>
      </c>
      <c r="I48" s="334">
        <v>0.16098699999999999</v>
      </c>
      <c r="J48" s="334">
        <v>0.14658499999999999</v>
      </c>
      <c r="K48" s="334">
        <v>0.13791</v>
      </c>
      <c r="L48" s="333">
        <v>0.13555200000000001</v>
      </c>
      <c r="M48" s="333">
        <v>0.13852700000000001</v>
      </c>
      <c r="N48" s="367">
        <f t="shared" si="11"/>
        <v>0.14156729320851039</v>
      </c>
      <c r="P48" s="14"/>
      <c r="Q48" s="14"/>
      <c r="R48" s="14"/>
      <c r="S48" s="14"/>
      <c r="T48" s="14"/>
      <c r="U48" s="14"/>
      <c r="V48" s="14"/>
      <c r="W48" s="14"/>
      <c r="X48" s="14"/>
      <c r="Y48" s="14"/>
      <c r="Z48" s="14"/>
      <c r="AA48" s="14"/>
      <c r="AB48" s="327"/>
      <c r="AC48" s="327"/>
      <c r="AD48" s="327"/>
      <c r="AE48" s="327"/>
      <c r="AF48" s="327"/>
      <c r="AG48" s="327"/>
      <c r="AH48" s="327"/>
      <c r="AI48" s="327"/>
      <c r="AJ48" s="327"/>
      <c r="AK48" s="327"/>
    </row>
    <row r="49" spans="2:37" s="324" customFormat="1" x14ac:dyDescent="0.2">
      <c r="B49" s="331" t="s">
        <v>1478</v>
      </c>
      <c r="C49" s="332"/>
      <c r="D49" s="333">
        <v>6.5222315490245805E-2</v>
      </c>
      <c r="E49" s="334">
        <v>0.15856200000000001</v>
      </c>
      <c r="F49" s="334">
        <v>0.11111699999999999</v>
      </c>
      <c r="G49" s="334">
        <v>8.6664000000000005E-2</v>
      </c>
      <c r="H49" s="334">
        <v>0.11536299999999999</v>
      </c>
      <c r="I49" s="334">
        <v>0.103168</v>
      </c>
      <c r="J49" s="334">
        <v>8.7647000000000003E-2</v>
      </c>
      <c r="K49" s="334">
        <v>7.4726000000000001E-2</v>
      </c>
      <c r="L49" s="333">
        <v>6.6753000000000007E-2</v>
      </c>
      <c r="M49" s="333">
        <v>6.5106999999999998E-2</v>
      </c>
      <c r="N49" s="367">
        <f t="shared" si="11"/>
        <v>6.3501587179602415E-2</v>
      </c>
      <c r="P49" s="14"/>
      <c r="Q49" s="14"/>
      <c r="R49" s="14"/>
      <c r="S49" s="14"/>
      <c r="T49" s="14"/>
      <c r="U49" s="14"/>
      <c r="V49" s="14"/>
      <c r="W49" s="14"/>
      <c r="X49" s="14"/>
      <c r="Y49" s="14"/>
      <c r="Z49" s="14"/>
      <c r="AA49" s="14"/>
      <c r="AB49" s="327"/>
      <c r="AC49" s="327"/>
      <c r="AD49" s="327"/>
      <c r="AE49" s="327"/>
      <c r="AF49" s="327"/>
      <c r="AG49" s="327"/>
      <c r="AH49" s="327"/>
      <c r="AI49" s="327"/>
      <c r="AJ49" s="327"/>
      <c r="AK49" s="327"/>
    </row>
    <row r="50" spans="2:37" s="324" customFormat="1" x14ac:dyDescent="0.2">
      <c r="B50" s="331" t="s">
        <v>1479</v>
      </c>
      <c r="C50" s="332"/>
      <c r="D50" s="333">
        <v>5.9013724327087402E-2</v>
      </c>
      <c r="E50" s="334">
        <v>0.134385</v>
      </c>
      <c r="F50" s="334">
        <v>0.114797</v>
      </c>
      <c r="G50" s="334">
        <v>7.8188999999999995E-2</v>
      </c>
      <c r="H50" s="334">
        <v>8.0093999999999999E-2</v>
      </c>
      <c r="I50" s="334">
        <v>8.2561999999999997E-2</v>
      </c>
      <c r="J50" s="334">
        <v>7.9390000000000002E-2</v>
      </c>
      <c r="K50" s="334">
        <v>7.3050000000000004E-2</v>
      </c>
      <c r="L50" s="333">
        <v>6.7822999999999994E-2</v>
      </c>
      <c r="M50" s="333">
        <v>6.4996999999999999E-2</v>
      </c>
      <c r="N50" s="367">
        <f t="shared" si="11"/>
        <v>6.228875173613671E-2</v>
      </c>
      <c r="P50" s="608"/>
      <c r="Q50" s="608"/>
      <c r="R50" s="608"/>
      <c r="S50" s="608"/>
      <c r="T50" s="608"/>
      <c r="U50" s="608"/>
      <c r="V50" s="608"/>
      <c r="W50" s="608"/>
      <c r="X50" s="608"/>
      <c r="Y50" s="608"/>
      <c r="Z50" s="608"/>
      <c r="AA50" s="608"/>
      <c r="AB50" s="327"/>
      <c r="AC50" s="327"/>
      <c r="AD50" s="327"/>
      <c r="AE50" s="327"/>
      <c r="AF50" s="327"/>
      <c r="AG50" s="327"/>
      <c r="AH50" s="327"/>
      <c r="AI50" s="327"/>
      <c r="AJ50" s="327"/>
      <c r="AK50" s="327"/>
    </row>
    <row r="51" spans="2:37" s="324" customFormat="1" x14ac:dyDescent="0.2">
      <c r="B51" s="331" t="s">
        <v>1480</v>
      </c>
      <c r="C51" s="332"/>
      <c r="D51" s="333">
        <v>1.01017153263092</v>
      </c>
      <c r="E51" s="334">
        <v>1.114385</v>
      </c>
      <c r="F51" s="334">
        <v>1.373761</v>
      </c>
      <c r="G51" s="334">
        <v>1.7822180000000001</v>
      </c>
      <c r="H51" s="334">
        <v>1.8416680000000001</v>
      </c>
      <c r="I51" s="334">
        <v>2.015298</v>
      </c>
      <c r="J51" s="334">
        <v>2.1696040000000001</v>
      </c>
      <c r="K51" s="334">
        <v>2.3536220000000001</v>
      </c>
      <c r="L51" s="333">
        <v>2.5735540000000001</v>
      </c>
      <c r="M51" s="333">
        <v>2.8402690000000002</v>
      </c>
      <c r="N51" s="367">
        <f t="shared" si="11"/>
        <v>3.1346254993526466</v>
      </c>
      <c r="P51" s="14"/>
      <c r="Q51" s="14"/>
      <c r="R51" s="14"/>
      <c r="S51" s="14"/>
      <c r="T51" s="14"/>
      <c r="U51" s="14"/>
      <c r="V51" s="14"/>
      <c r="W51" s="14"/>
      <c r="X51" s="14"/>
      <c r="Y51" s="14"/>
      <c r="Z51" s="14"/>
      <c r="AA51" s="14"/>
      <c r="AB51" s="327"/>
      <c r="AC51" s="327"/>
      <c r="AD51" s="327"/>
      <c r="AE51" s="327"/>
      <c r="AF51" s="327"/>
      <c r="AG51" s="327"/>
      <c r="AH51" s="327"/>
      <c r="AI51" s="327"/>
      <c r="AJ51" s="327"/>
      <c r="AK51" s="327"/>
    </row>
    <row r="52" spans="2:37" s="324" customFormat="1" x14ac:dyDescent="0.2">
      <c r="B52" s="374" t="s">
        <v>1481</v>
      </c>
      <c r="C52" s="372"/>
      <c r="D52" s="373">
        <f>SUM(D38:D51)</f>
        <v>4.6375789418816566</v>
      </c>
      <c r="E52" s="373">
        <f t="shared" ref="E52:N52" si="12">SUM(E38:E51)</f>
        <v>4.9327699999999988</v>
      </c>
      <c r="F52" s="373">
        <f t="shared" si="12"/>
        <v>4.7764039999999994</v>
      </c>
      <c r="G52" s="373">
        <f t="shared" si="12"/>
        <v>5.1309440000000004</v>
      </c>
      <c r="H52" s="373">
        <f t="shared" si="12"/>
        <v>5.3072739999999996</v>
      </c>
      <c r="I52" s="373">
        <f t="shared" si="12"/>
        <v>5.5540879999999992</v>
      </c>
      <c r="J52" s="373">
        <f t="shared" si="12"/>
        <v>5.742076</v>
      </c>
      <c r="K52" s="373">
        <f t="shared" si="12"/>
        <v>6.0203009999999999</v>
      </c>
      <c r="L52" s="373">
        <f t="shared" si="12"/>
        <v>6.3656989999999993</v>
      </c>
      <c r="M52" s="373">
        <f t="shared" si="12"/>
        <v>6.8169969999999998</v>
      </c>
      <c r="N52" s="373">
        <f t="shared" si="12"/>
        <v>7.316519991644034</v>
      </c>
      <c r="P52" s="14"/>
      <c r="Q52" s="14"/>
      <c r="R52" s="14"/>
      <c r="S52" s="14"/>
      <c r="T52" s="14"/>
      <c r="U52" s="14"/>
      <c r="V52" s="14"/>
      <c r="W52" s="14"/>
      <c r="X52" s="14"/>
      <c r="Y52" s="14"/>
      <c r="Z52" s="14"/>
      <c r="AA52" s="14"/>
      <c r="AB52" s="327"/>
      <c r="AC52" s="327"/>
      <c r="AD52" s="327"/>
      <c r="AE52" s="327"/>
      <c r="AF52" s="327"/>
      <c r="AG52" s="327"/>
      <c r="AH52" s="327"/>
      <c r="AI52" s="327"/>
      <c r="AJ52" s="327"/>
      <c r="AK52" s="327"/>
    </row>
    <row r="53" spans="2:37" s="324" customFormat="1" x14ac:dyDescent="0.2">
      <c r="B53" s="368" t="s">
        <v>1482</v>
      </c>
      <c r="C53" s="372"/>
      <c r="D53" s="398">
        <f>SUM(D41:D44,D46:D51)</f>
        <v>2.3968616500496851</v>
      </c>
      <c r="E53" s="398">
        <f t="shared" ref="E53:N53" si="13">SUM(E41:E44,E46:E51)</f>
        <v>2.6223530000000004</v>
      </c>
      <c r="F53" s="398">
        <f t="shared" si="13"/>
        <v>2.751986</v>
      </c>
      <c r="G53" s="398">
        <f t="shared" si="13"/>
        <v>2.85778</v>
      </c>
      <c r="H53" s="398">
        <f t="shared" si="13"/>
        <v>2.934564</v>
      </c>
      <c r="I53" s="398">
        <f t="shared" si="13"/>
        <v>3.1088389999999997</v>
      </c>
      <c r="J53" s="398">
        <f t="shared" si="13"/>
        <v>3.2563370000000003</v>
      </c>
      <c r="K53" s="398">
        <f t="shared" si="13"/>
        <v>3.4482840000000001</v>
      </c>
      <c r="L53" s="398">
        <f t="shared" si="13"/>
        <v>3.6947479999999997</v>
      </c>
      <c r="M53" s="398">
        <f t="shared" si="13"/>
        <v>4.0033290000000008</v>
      </c>
      <c r="N53" s="398">
        <f t="shared" si="13"/>
        <v>4.3421600250670789</v>
      </c>
      <c r="P53" s="14"/>
      <c r="Q53" s="14"/>
      <c r="R53" s="14"/>
      <c r="S53" s="14"/>
      <c r="T53" s="14"/>
      <c r="U53" s="14"/>
      <c r="V53" s="14"/>
      <c r="W53" s="14"/>
      <c r="X53" s="14"/>
      <c r="Y53" s="14"/>
      <c r="Z53" s="14"/>
      <c r="AA53" s="14"/>
      <c r="AC53" s="327"/>
      <c r="AD53" s="327"/>
      <c r="AE53" s="327"/>
      <c r="AF53" s="327"/>
      <c r="AG53" s="327"/>
      <c r="AH53" s="327"/>
      <c r="AI53" s="327"/>
      <c r="AJ53" s="327"/>
      <c r="AK53" s="327"/>
    </row>
    <row r="54" spans="2:37" s="324" customFormat="1" x14ac:dyDescent="0.2">
      <c r="B54" s="338" t="s">
        <v>1483</v>
      </c>
      <c r="C54" s="332"/>
      <c r="D54" s="333"/>
      <c r="E54" s="333"/>
      <c r="F54" s="333"/>
      <c r="G54" s="333"/>
      <c r="H54" s="333"/>
      <c r="I54" s="333"/>
      <c r="J54" s="333"/>
      <c r="K54" s="333"/>
      <c r="L54" s="333"/>
      <c r="M54" s="333"/>
      <c r="N54" s="367"/>
      <c r="P54" s="14"/>
      <c r="Q54" s="14"/>
      <c r="R54" s="14"/>
      <c r="S54" s="14"/>
      <c r="T54" s="14"/>
      <c r="U54" s="14"/>
      <c r="V54" s="14"/>
      <c r="W54" s="14"/>
      <c r="X54" s="14"/>
      <c r="Y54" s="14"/>
      <c r="Z54" s="14"/>
      <c r="AA54" s="14"/>
      <c r="AC54" s="327"/>
      <c r="AD54" s="327"/>
      <c r="AE54" s="327"/>
      <c r="AF54" s="327"/>
      <c r="AG54" s="327"/>
      <c r="AH54" s="327"/>
      <c r="AI54" s="327"/>
      <c r="AJ54" s="327"/>
      <c r="AK54" s="327"/>
    </row>
    <row r="55" spans="2:37" s="324" customFormat="1" x14ac:dyDescent="0.2">
      <c r="B55" s="331" t="s">
        <v>1467</v>
      </c>
      <c r="C55" s="339"/>
      <c r="D55" s="340">
        <v>3.33</v>
      </c>
      <c r="E55" s="334">
        <v>3.3233679999999999</v>
      </c>
      <c r="F55" s="334">
        <v>3.018605</v>
      </c>
      <c r="G55" s="334">
        <v>3.527199</v>
      </c>
      <c r="H55" s="334">
        <v>3.5347719999999998</v>
      </c>
      <c r="I55" s="334">
        <v>3.4878969999999998</v>
      </c>
      <c r="J55" s="334">
        <v>3.379413</v>
      </c>
      <c r="K55" s="334">
        <v>3.3015089999999998</v>
      </c>
      <c r="L55" s="333">
        <v>3.2478159999999998</v>
      </c>
      <c r="M55" s="333">
        <v>3.191122</v>
      </c>
      <c r="N55" s="367">
        <f t="shared" si="11"/>
        <v>3.1354176526268729</v>
      </c>
      <c r="P55" s="14"/>
      <c r="Q55" s="14"/>
      <c r="R55" s="14"/>
      <c r="S55" s="14"/>
      <c r="T55" s="14"/>
      <c r="U55" s="14"/>
      <c r="V55" s="14"/>
      <c r="W55" s="14"/>
      <c r="X55" s="14"/>
      <c r="Y55" s="14"/>
      <c r="Z55" s="14"/>
      <c r="AA55" s="14"/>
      <c r="AC55" s="327"/>
      <c r="AD55" s="327"/>
      <c r="AE55" s="327"/>
      <c r="AF55" s="327"/>
      <c r="AG55" s="327"/>
      <c r="AH55" s="327"/>
      <c r="AI55" s="327"/>
      <c r="AJ55" s="327"/>
      <c r="AK55" s="327"/>
    </row>
    <row r="56" spans="2:37" s="324" customFormat="1" x14ac:dyDescent="0.2">
      <c r="B56" s="331" t="s">
        <v>1468</v>
      </c>
      <c r="C56" s="339"/>
      <c r="D56" s="333">
        <v>1.1000000021965699E-8</v>
      </c>
      <c r="E56" s="334">
        <v>1.9999999999999999E-6</v>
      </c>
      <c r="F56" s="334">
        <v>2.3168999999999999E-2</v>
      </c>
      <c r="G56" s="334">
        <v>5.8618000000000003E-2</v>
      </c>
      <c r="H56" s="334">
        <v>5.9824000000000002E-2</v>
      </c>
      <c r="I56" s="334">
        <v>6.0099E-2</v>
      </c>
      <c r="J56" s="334">
        <v>5.9098999999999999E-2</v>
      </c>
      <c r="K56" s="334">
        <v>5.9840999999999998E-2</v>
      </c>
      <c r="L56" s="333">
        <v>6.0935999999999997E-2</v>
      </c>
      <c r="M56" s="333">
        <v>6.2121999999999997E-2</v>
      </c>
      <c r="N56" s="367">
        <f t="shared" si="11"/>
        <v>6.3331083169226726E-2</v>
      </c>
      <c r="P56" s="14"/>
      <c r="Q56" s="14"/>
      <c r="R56" s="14"/>
      <c r="S56" s="14"/>
      <c r="T56" s="14"/>
      <c r="U56" s="14"/>
      <c r="V56" s="14"/>
      <c r="W56" s="14"/>
      <c r="X56" s="14"/>
      <c r="Y56" s="14"/>
      <c r="Z56" s="14"/>
      <c r="AA56" s="14"/>
      <c r="AC56" s="327"/>
      <c r="AD56" s="327"/>
      <c r="AE56" s="327"/>
      <c r="AF56" s="327"/>
      <c r="AG56" s="327"/>
      <c r="AH56" s="327"/>
      <c r="AI56" s="327"/>
      <c r="AJ56" s="327"/>
      <c r="AK56" s="327"/>
    </row>
    <row r="57" spans="2:37" s="324" customFormat="1" x14ac:dyDescent="0.2">
      <c r="B57" s="331" t="s">
        <v>1469</v>
      </c>
      <c r="C57" s="339"/>
      <c r="D57" s="333">
        <v>1.0887750387191799</v>
      </c>
      <c r="E57" s="334">
        <v>1.2958240000000001</v>
      </c>
      <c r="F57" s="334">
        <v>1.207743</v>
      </c>
      <c r="G57" s="334">
        <v>1.0072779999999999</v>
      </c>
      <c r="H57" s="334">
        <v>1.0055149999999999</v>
      </c>
      <c r="I57" s="334">
        <v>1.078192</v>
      </c>
      <c r="J57" s="334">
        <v>1.121259</v>
      </c>
      <c r="K57" s="334">
        <v>1.158029</v>
      </c>
      <c r="L57" s="333">
        <v>1.1945509999999999</v>
      </c>
      <c r="M57" s="333">
        <v>1.2289669999999999</v>
      </c>
      <c r="N57" s="367">
        <f t="shared" si="11"/>
        <v>1.2643745533585422</v>
      </c>
      <c r="P57" s="14"/>
      <c r="Q57" s="14"/>
      <c r="R57" s="14"/>
      <c r="S57" s="14"/>
      <c r="T57" s="14"/>
      <c r="U57" s="14"/>
      <c r="V57" s="14"/>
      <c r="W57" s="14"/>
      <c r="X57" s="14"/>
      <c r="Y57" s="14"/>
      <c r="Z57" s="14"/>
      <c r="AA57" s="14"/>
      <c r="AC57" s="327"/>
      <c r="AD57" s="327"/>
      <c r="AE57" s="327"/>
      <c r="AF57" s="327"/>
      <c r="AG57" s="327"/>
      <c r="AH57" s="327"/>
      <c r="AI57" s="327"/>
      <c r="AJ57" s="327"/>
      <c r="AK57" s="327"/>
    </row>
    <row r="58" spans="2:37" s="324" customFormat="1" x14ac:dyDescent="0.2">
      <c r="B58" s="331" t="s">
        <v>1471</v>
      </c>
      <c r="C58" s="339"/>
      <c r="D58" s="333">
        <v>0.216470271348953</v>
      </c>
      <c r="E58" s="334">
        <v>0.217054</v>
      </c>
      <c r="F58" s="334">
        <v>0.20844099999999999</v>
      </c>
      <c r="G58" s="334">
        <v>0.10345600000000001</v>
      </c>
      <c r="H58" s="334">
        <v>0.104173</v>
      </c>
      <c r="I58" s="334">
        <v>0.10567799999999999</v>
      </c>
      <c r="J58" s="334">
        <v>0.109004</v>
      </c>
      <c r="K58" s="334">
        <v>0.113552</v>
      </c>
      <c r="L58" s="333">
        <v>0.11873599999999999</v>
      </c>
      <c r="M58" s="333">
        <v>0.12409000000000001</v>
      </c>
      <c r="N58" s="367">
        <f t="shared" si="11"/>
        <v>0.12968542059695459</v>
      </c>
      <c r="O58" s="438"/>
      <c r="P58" s="14"/>
      <c r="Q58" s="14"/>
      <c r="R58" s="14"/>
      <c r="S58" s="14"/>
      <c r="T58" s="14"/>
      <c r="U58" s="14"/>
      <c r="V58" s="14"/>
      <c r="W58" s="14"/>
      <c r="X58" s="14"/>
      <c r="Y58" s="14"/>
      <c r="Z58" s="14"/>
      <c r="AA58" s="14"/>
      <c r="AC58" s="327"/>
      <c r="AD58" s="327"/>
      <c r="AE58" s="327"/>
      <c r="AF58" s="327"/>
      <c r="AG58" s="327"/>
      <c r="AH58" s="327"/>
      <c r="AI58" s="327"/>
      <c r="AJ58" s="327"/>
      <c r="AK58" s="327"/>
    </row>
    <row r="59" spans="2:37" s="324" customFormat="1" x14ac:dyDescent="0.2">
      <c r="B59" s="331" t="s">
        <v>1472</v>
      </c>
      <c r="C59" s="339"/>
      <c r="D59" s="333">
        <v>7.1999199688434601E-2</v>
      </c>
      <c r="E59" s="334">
        <v>5.6272000000000003E-2</v>
      </c>
      <c r="F59" s="334">
        <v>5.1087E-2</v>
      </c>
      <c r="G59" s="334">
        <v>3.9426999999999997E-2</v>
      </c>
      <c r="H59" s="334">
        <v>4.1871999999999999E-2</v>
      </c>
      <c r="I59" s="334">
        <v>4.6698000000000003E-2</v>
      </c>
      <c r="J59" s="334">
        <v>5.008E-2</v>
      </c>
      <c r="K59" s="334">
        <v>5.3475000000000002E-2</v>
      </c>
      <c r="L59" s="333">
        <v>5.7282E-2</v>
      </c>
      <c r="M59" s="333">
        <v>6.0749999999999998E-2</v>
      </c>
      <c r="N59" s="367">
        <f t="shared" si="11"/>
        <v>6.4427961663349742E-2</v>
      </c>
      <c r="O59" s="318"/>
      <c r="P59" s="14"/>
      <c r="Q59" s="14"/>
      <c r="R59" s="14"/>
      <c r="S59" s="14"/>
      <c r="T59" s="14"/>
      <c r="U59" s="14"/>
      <c r="V59" s="14"/>
      <c r="W59" s="14"/>
      <c r="X59" s="14"/>
      <c r="Y59" s="14"/>
      <c r="Z59" s="14"/>
      <c r="AA59" s="14"/>
      <c r="AC59" s="327"/>
      <c r="AD59" s="327"/>
      <c r="AE59" s="327"/>
    </row>
    <row r="60" spans="2:37" s="324" customFormat="1" x14ac:dyDescent="0.2">
      <c r="B60" s="331" t="s">
        <v>1480</v>
      </c>
      <c r="C60" s="339"/>
      <c r="D60" s="340">
        <v>0.26</v>
      </c>
      <c r="E60" s="334">
        <v>0</v>
      </c>
      <c r="F60" s="334">
        <v>0.24812699999999999</v>
      </c>
      <c r="G60" s="334">
        <v>0.233372</v>
      </c>
      <c r="H60" s="334">
        <v>0.22780500000000001</v>
      </c>
      <c r="I60" s="334">
        <v>0.23191100000000001</v>
      </c>
      <c r="J60" s="334">
        <v>0.22885800000000001</v>
      </c>
      <c r="K60" s="334">
        <v>0.226353</v>
      </c>
      <c r="L60" s="333">
        <v>0.22455700000000001</v>
      </c>
      <c r="M60" s="333">
        <v>0.22178899999999999</v>
      </c>
      <c r="N60" s="367">
        <f t="shared" si="11"/>
        <v>0.21905511972906655</v>
      </c>
      <c r="O60" s="438"/>
      <c r="P60" s="14"/>
      <c r="Q60" s="14"/>
      <c r="R60" s="14"/>
      <c r="S60" s="14"/>
      <c r="T60" s="14"/>
      <c r="U60" s="14"/>
      <c r="V60" s="14"/>
      <c r="W60" s="14"/>
      <c r="X60" s="14"/>
      <c r="Y60" s="14"/>
      <c r="Z60" s="14"/>
      <c r="AA60" s="14"/>
      <c r="AC60" s="327"/>
      <c r="AD60" s="327"/>
      <c r="AE60" s="327"/>
      <c r="AF60" s="327"/>
      <c r="AG60" s="327"/>
      <c r="AH60" s="327"/>
      <c r="AI60" s="327"/>
      <c r="AJ60" s="327"/>
      <c r="AK60" s="327"/>
    </row>
    <row r="61" spans="2:37" s="324" customFormat="1" x14ac:dyDescent="0.2">
      <c r="B61" s="374" t="s">
        <v>1484</v>
      </c>
      <c r="C61" s="375"/>
      <c r="D61" s="373">
        <f>SUM(D55:D60)</f>
        <v>4.9672445207565676</v>
      </c>
      <c r="E61" s="373">
        <f t="shared" ref="E61:N61" si="14">SUM(E55:E60)</f>
        <v>4.8925200000000002</v>
      </c>
      <c r="F61" s="373">
        <f t="shared" si="14"/>
        <v>4.7571719999999997</v>
      </c>
      <c r="G61" s="373">
        <f t="shared" si="14"/>
        <v>4.9693500000000004</v>
      </c>
      <c r="H61" s="373">
        <f t="shared" si="14"/>
        <v>4.9739610000000001</v>
      </c>
      <c r="I61" s="373">
        <f t="shared" si="14"/>
        <v>5.0104750000000005</v>
      </c>
      <c r="J61" s="373">
        <f t="shared" si="14"/>
        <v>4.9477129999999994</v>
      </c>
      <c r="K61" s="373">
        <f t="shared" si="14"/>
        <v>4.9127589999999994</v>
      </c>
      <c r="L61" s="373">
        <f t="shared" si="14"/>
        <v>4.9038779999999997</v>
      </c>
      <c r="M61" s="373">
        <f t="shared" si="14"/>
        <v>4.8888399999999992</v>
      </c>
      <c r="N61" s="373">
        <f t="shared" si="14"/>
        <v>4.8762917911440136</v>
      </c>
      <c r="O61" s="318"/>
      <c r="P61" s="14"/>
      <c r="Q61" s="14"/>
      <c r="R61" s="14"/>
      <c r="S61" s="14"/>
      <c r="T61" s="14"/>
      <c r="U61" s="14"/>
      <c r="V61" s="14"/>
      <c r="W61" s="14"/>
      <c r="X61" s="14"/>
      <c r="Y61" s="14"/>
      <c r="Z61" s="14"/>
      <c r="AA61" s="14"/>
      <c r="AC61" s="327"/>
      <c r="AD61" s="327"/>
      <c r="AE61" s="327"/>
      <c r="AF61" s="327"/>
      <c r="AG61" s="327"/>
      <c r="AH61" s="327"/>
      <c r="AI61" s="327"/>
      <c r="AJ61" s="327"/>
      <c r="AK61" s="327"/>
    </row>
    <row r="62" spans="2:37" s="324" customFormat="1" x14ac:dyDescent="0.2">
      <c r="B62" s="368" t="s">
        <v>1485</v>
      </c>
      <c r="C62" s="372"/>
      <c r="D62" s="398">
        <f>SUM(D58:D60)</f>
        <v>0.54846947103738763</v>
      </c>
      <c r="E62" s="398">
        <f>SUM(E58:E60)</f>
        <v>0.27332600000000001</v>
      </c>
      <c r="F62" s="398">
        <f>SUM(F58:F60)</f>
        <v>0.50765499999999997</v>
      </c>
      <c r="G62" s="398">
        <f>SUM(G58:G60)</f>
        <v>0.37625500000000001</v>
      </c>
      <c r="H62" s="398">
        <f>SUM(H58:H60)</f>
        <v>0.37385000000000002</v>
      </c>
      <c r="I62" s="398">
        <f t="shared" ref="I62:L62" si="15">SUM(I58:I60)</f>
        <v>0.38428700000000005</v>
      </c>
      <c r="J62" s="398">
        <f t="shared" si="15"/>
        <v>0.38794200000000001</v>
      </c>
      <c r="K62" s="398">
        <f t="shared" si="15"/>
        <v>0.39338000000000001</v>
      </c>
      <c r="L62" s="398">
        <f t="shared" si="15"/>
        <v>0.40057500000000001</v>
      </c>
      <c r="M62" s="398">
        <f>SUM(M58:M60)</f>
        <v>0.40662900000000002</v>
      </c>
      <c r="N62" s="398">
        <f>SUM(N58:N60)</f>
        <v>0.41316850198937088</v>
      </c>
      <c r="P62" s="14"/>
      <c r="Q62" s="14"/>
      <c r="R62" s="14"/>
      <c r="S62" s="14"/>
      <c r="T62" s="14"/>
      <c r="U62" s="14"/>
      <c r="V62" s="14"/>
      <c r="W62" s="14"/>
      <c r="X62" s="14"/>
      <c r="Y62" s="14"/>
      <c r="Z62" s="14"/>
      <c r="AA62" s="14"/>
      <c r="AC62" s="327"/>
      <c r="AD62" s="327"/>
      <c r="AE62" s="327"/>
      <c r="AF62" s="327"/>
      <c r="AG62" s="327"/>
      <c r="AH62" s="327"/>
      <c r="AI62" s="327"/>
      <c r="AJ62" s="327"/>
      <c r="AK62" s="327"/>
    </row>
    <row r="63" spans="2:37" s="324" customFormat="1" x14ac:dyDescent="0.2">
      <c r="B63" s="338" t="s">
        <v>1486</v>
      </c>
      <c r="C63" s="339"/>
      <c r="D63" s="333"/>
      <c r="E63" s="333"/>
      <c r="F63" s="333"/>
      <c r="G63" s="333"/>
      <c r="H63" s="333"/>
      <c r="I63" s="333"/>
      <c r="J63" s="333"/>
      <c r="K63" s="333"/>
      <c r="L63" s="333"/>
      <c r="M63" s="333"/>
      <c r="N63" s="367"/>
      <c r="P63" s="14"/>
      <c r="Q63" s="14"/>
      <c r="R63" s="14"/>
      <c r="S63" s="14"/>
      <c r="T63" s="14"/>
      <c r="U63" s="14"/>
      <c r="V63" s="14"/>
      <c r="W63" s="14"/>
      <c r="X63" s="14"/>
      <c r="Y63" s="14"/>
      <c r="Z63" s="14"/>
      <c r="AA63" s="14"/>
      <c r="AC63" s="327"/>
      <c r="AD63" s="327"/>
      <c r="AE63" s="327"/>
      <c r="AF63" s="327"/>
      <c r="AG63" s="327"/>
      <c r="AH63" s="327"/>
      <c r="AI63" s="327"/>
      <c r="AJ63" s="327"/>
      <c r="AK63" s="327"/>
    </row>
    <row r="64" spans="2:37" s="324" customFormat="1" x14ac:dyDescent="0.2">
      <c r="B64" s="331" t="s">
        <v>1467</v>
      </c>
      <c r="C64" s="339"/>
      <c r="D64" s="340">
        <v>0.65</v>
      </c>
      <c r="E64" s="334">
        <v>0.485259</v>
      </c>
      <c r="F64" s="334">
        <v>0.46308199999999999</v>
      </c>
      <c r="G64" s="334">
        <v>0.37266500000000002</v>
      </c>
      <c r="H64" s="334">
        <v>0.323264</v>
      </c>
      <c r="I64" s="334">
        <v>0.29493999999999998</v>
      </c>
      <c r="J64" s="334">
        <v>0.26784599999999997</v>
      </c>
      <c r="K64" s="334">
        <v>0.24471499999999999</v>
      </c>
      <c r="L64" s="333">
        <v>0.223829</v>
      </c>
      <c r="M64" s="333">
        <v>0.203485</v>
      </c>
      <c r="N64" s="367">
        <f t="shared" si="11"/>
        <v>0.1849900827193974</v>
      </c>
      <c r="P64" s="14"/>
      <c r="Q64" s="14"/>
      <c r="R64" s="14"/>
      <c r="S64" s="14"/>
      <c r="T64" s="14"/>
      <c r="U64" s="14"/>
      <c r="V64" s="14"/>
      <c r="W64" s="14"/>
      <c r="X64" s="14"/>
      <c r="Y64" s="14"/>
      <c r="Z64" s="14"/>
      <c r="AA64" s="14"/>
      <c r="AC64" s="327"/>
      <c r="AD64" s="327"/>
      <c r="AE64" s="327"/>
      <c r="AF64" s="327"/>
      <c r="AG64" s="327"/>
      <c r="AH64" s="327"/>
      <c r="AI64" s="327"/>
      <c r="AJ64" s="327"/>
      <c r="AK64" s="327"/>
    </row>
    <row r="65" spans="2:37" s="324" customFormat="1" x14ac:dyDescent="0.2">
      <c r="B65" s="331" t="s">
        <v>1469</v>
      </c>
      <c r="C65" s="339"/>
      <c r="D65" s="333">
        <v>0.10857270658016201</v>
      </c>
      <c r="E65" s="334">
        <v>9.7390000000000004E-2</v>
      </c>
      <c r="F65" s="334">
        <v>4.4641E-2</v>
      </c>
      <c r="G65" s="334">
        <v>4.8758000000000003E-2</v>
      </c>
      <c r="H65" s="334">
        <v>3.7465999999999999E-2</v>
      </c>
      <c r="I65" s="334">
        <v>3.3803E-2</v>
      </c>
      <c r="J65" s="334">
        <v>3.1182000000000001E-2</v>
      </c>
      <c r="K65" s="334">
        <v>2.8531000000000001E-2</v>
      </c>
      <c r="L65" s="333">
        <v>2.6321000000000001E-2</v>
      </c>
      <c r="M65" s="333">
        <v>2.4542000000000001E-2</v>
      </c>
      <c r="N65" s="367">
        <f t="shared" si="11"/>
        <v>2.2883240150450214E-2</v>
      </c>
      <c r="P65" s="14"/>
      <c r="Q65" s="14"/>
      <c r="R65" s="14"/>
      <c r="S65" s="14"/>
      <c r="T65" s="14"/>
      <c r="U65" s="14"/>
      <c r="V65" s="14"/>
      <c r="W65" s="14"/>
      <c r="X65" s="14"/>
      <c r="Y65" s="14"/>
      <c r="Z65" s="14"/>
      <c r="AA65" s="14"/>
      <c r="AC65" s="327"/>
      <c r="AD65" s="327"/>
      <c r="AE65" s="327"/>
      <c r="AF65" s="327"/>
      <c r="AG65" s="327"/>
      <c r="AH65" s="327"/>
      <c r="AI65" s="327"/>
      <c r="AJ65" s="327"/>
      <c r="AK65" s="327"/>
    </row>
    <row r="66" spans="2:37" s="324" customFormat="1" x14ac:dyDescent="0.2">
      <c r="B66" s="331" t="s">
        <v>1480</v>
      </c>
      <c r="C66" s="339"/>
      <c r="D66" s="333"/>
      <c r="E66" s="334"/>
      <c r="F66" s="334">
        <v>7.0499999999999998E-3</v>
      </c>
      <c r="G66" s="334">
        <v>7.8510000000000003E-3</v>
      </c>
      <c r="H66" s="334">
        <v>7.3689999999999997E-3</v>
      </c>
      <c r="I66" s="334">
        <v>7.3699999999999998E-3</v>
      </c>
      <c r="J66" s="334">
        <v>7.2750000000000002E-3</v>
      </c>
      <c r="K66" s="334">
        <v>7.1890000000000001E-3</v>
      </c>
      <c r="L66" s="333">
        <v>7.1110000000000001E-3</v>
      </c>
      <c r="M66" s="333">
        <v>7.0330000000000002E-3</v>
      </c>
      <c r="N66" s="367">
        <f t="shared" si="11"/>
        <v>6.9558555758683733E-3</v>
      </c>
      <c r="P66" s="14"/>
      <c r="Q66" s="14"/>
      <c r="R66" s="14"/>
      <c r="S66" s="14"/>
      <c r="T66" s="14"/>
      <c r="U66" s="14"/>
      <c r="V66" s="14"/>
      <c r="W66" s="14"/>
      <c r="X66" s="14"/>
      <c r="Y66" s="14"/>
      <c r="Z66" s="14"/>
      <c r="AA66" s="14"/>
      <c r="AC66" s="327"/>
      <c r="AD66" s="327"/>
      <c r="AE66" s="327"/>
      <c r="AF66" s="327"/>
      <c r="AG66" s="327"/>
      <c r="AH66" s="327"/>
      <c r="AI66" s="327"/>
      <c r="AJ66" s="327"/>
      <c r="AK66" s="327"/>
    </row>
    <row r="67" spans="2:37" s="324" customFormat="1" x14ac:dyDescent="0.2">
      <c r="B67" s="374" t="s">
        <v>1484</v>
      </c>
      <c r="C67" s="375"/>
      <c r="D67" s="373">
        <f>SUM(D64:D66)</f>
        <v>0.75857270658016207</v>
      </c>
      <c r="E67" s="373">
        <f t="shared" ref="E67:N67" si="16">SUM(E64:E66)</f>
        <v>0.58264899999999997</v>
      </c>
      <c r="F67" s="373">
        <f t="shared" si="16"/>
        <v>0.51477300000000004</v>
      </c>
      <c r="G67" s="373">
        <f t="shared" si="16"/>
        <v>0.42927400000000004</v>
      </c>
      <c r="H67" s="373">
        <f t="shared" si="16"/>
        <v>0.36809900000000001</v>
      </c>
      <c r="I67" s="373">
        <f t="shared" si="16"/>
        <v>0.336113</v>
      </c>
      <c r="J67" s="373">
        <f t="shared" si="16"/>
        <v>0.30630299999999994</v>
      </c>
      <c r="K67" s="373">
        <f t="shared" si="16"/>
        <v>0.28043499999999999</v>
      </c>
      <c r="L67" s="373">
        <f t="shared" si="16"/>
        <v>0.25726099999999996</v>
      </c>
      <c r="M67" s="373">
        <f t="shared" si="16"/>
        <v>0.23506000000000002</v>
      </c>
      <c r="N67" s="373">
        <f t="shared" si="16"/>
        <v>0.21482917844571597</v>
      </c>
      <c r="P67" s="14"/>
      <c r="Q67" s="14"/>
      <c r="R67" s="14"/>
      <c r="S67" s="14"/>
      <c r="T67" s="14"/>
      <c r="U67" s="14"/>
      <c r="V67" s="14"/>
      <c r="W67" s="14"/>
      <c r="X67" s="14"/>
      <c r="Y67" s="14"/>
      <c r="Z67" s="14"/>
      <c r="AA67" s="14"/>
      <c r="AC67" s="327"/>
      <c r="AD67" s="327"/>
      <c r="AE67" s="327"/>
      <c r="AF67" s="327"/>
      <c r="AG67" s="327"/>
      <c r="AH67" s="327"/>
      <c r="AI67" s="327"/>
      <c r="AJ67" s="327"/>
      <c r="AK67" s="327"/>
    </row>
    <row r="68" spans="2:37" s="324" customFormat="1" x14ac:dyDescent="0.2">
      <c r="B68" s="332"/>
      <c r="C68" s="339"/>
      <c r="D68" s="333"/>
      <c r="E68" s="341"/>
      <c r="F68" s="336"/>
      <c r="G68" s="336"/>
      <c r="H68" s="336"/>
      <c r="I68" s="336"/>
      <c r="J68" s="336"/>
      <c r="K68" s="336"/>
      <c r="L68" s="333"/>
      <c r="M68" s="333"/>
      <c r="N68" s="367"/>
      <c r="P68" s="14"/>
      <c r="Q68" s="14"/>
      <c r="R68" s="14"/>
      <c r="S68" s="14"/>
      <c r="T68" s="14"/>
      <c r="U68" s="14"/>
      <c r="V68" s="14"/>
      <c r="W68" s="14"/>
      <c r="X68" s="14"/>
      <c r="Y68" s="14"/>
      <c r="Z68" s="14"/>
      <c r="AA68" s="14"/>
      <c r="AC68" s="327"/>
      <c r="AD68" s="327"/>
      <c r="AE68" s="327"/>
    </row>
    <row r="69" spans="2:37" s="324" customFormat="1" x14ac:dyDescent="0.2">
      <c r="B69" s="338" t="s">
        <v>1487</v>
      </c>
      <c r="C69" s="332"/>
      <c r="D69" s="333"/>
      <c r="E69" s="333"/>
      <c r="F69" s="333"/>
      <c r="G69" s="333"/>
      <c r="H69" s="333"/>
      <c r="I69" s="333"/>
      <c r="J69" s="333"/>
      <c r="K69" s="333"/>
      <c r="L69" s="333"/>
      <c r="M69" s="333"/>
      <c r="N69" s="367"/>
      <c r="P69" s="14"/>
      <c r="Q69" s="14"/>
      <c r="R69" s="14"/>
      <c r="S69" s="14"/>
      <c r="T69" s="14"/>
      <c r="U69" s="14"/>
      <c r="V69" s="14"/>
      <c r="W69" s="14"/>
      <c r="X69" s="14"/>
      <c r="Y69" s="14"/>
      <c r="Z69" s="14"/>
      <c r="AA69" s="14"/>
      <c r="AC69" s="327"/>
      <c r="AD69" s="327"/>
      <c r="AE69" s="327"/>
      <c r="AF69" s="327"/>
      <c r="AG69" s="327"/>
      <c r="AH69" s="327"/>
      <c r="AI69" s="327"/>
      <c r="AJ69" s="327"/>
      <c r="AK69" s="327"/>
    </row>
    <row r="70" spans="2:37" s="324" customFormat="1" x14ac:dyDescent="0.2">
      <c r="B70" s="331" t="s">
        <v>1467</v>
      </c>
      <c r="C70" s="339"/>
      <c r="D70" s="340">
        <v>0.37</v>
      </c>
      <c r="E70" s="334">
        <v>0.28190900000000002</v>
      </c>
      <c r="F70" s="334">
        <v>0.34140100000000001</v>
      </c>
      <c r="G70" s="334">
        <v>0.30082599999999998</v>
      </c>
      <c r="H70" s="334">
        <v>0.29450799999999999</v>
      </c>
      <c r="I70" s="334">
        <v>0.28064499999999998</v>
      </c>
      <c r="J70" s="334">
        <v>0.26435500000000001</v>
      </c>
      <c r="K70" s="334">
        <v>0.25170300000000001</v>
      </c>
      <c r="L70" s="333">
        <v>0.241594</v>
      </c>
      <c r="M70" s="333">
        <v>0.23263400000000001</v>
      </c>
      <c r="N70" s="367">
        <f t="shared" si="11"/>
        <v>0.22400629964320307</v>
      </c>
      <c r="P70" s="14"/>
      <c r="Q70" s="14"/>
      <c r="R70" s="14"/>
      <c r="S70" s="14"/>
      <c r="T70" s="14"/>
      <c r="U70" s="14"/>
      <c r="V70" s="14"/>
      <c r="W70" s="14"/>
      <c r="X70" s="14"/>
      <c r="Y70" s="14"/>
      <c r="Z70" s="14"/>
      <c r="AA70" s="14"/>
      <c r="AC70" s="327"/>
      <c r="AD70" s="327"/>
      <c r="AE70" s="327"/>
      <c r="AF70" s="327"/>
      <c r="AG70" s="327"/>
      <c r="AH70" s="327"/>
      <c r="AI70" s="327"/>
      <c r="AJ70" s="327"/>
      <c r="AK70" s="327"/>
    </row>
    <row r="71" spans="2:37" s="324" customFormat="1" x14ac:dyDescent="0.2">
      <c r="B71" s="331" t="s">
        <v>1469</v>
      </c>
      <c r="C71" s="339"/>
      <c r="D71" s="333">
        <v>5.7690113782882697E-2</v>
      </c>
      <c r="E71" s="334">
        <v>7.2250999999999996E-2</v>
      </c>
      <c r="F71" s="334">
        <v>6.0068999999999997E-2</v>
      </c>
      <c r="G71" s="334">
        <v>6.5345E-2</v>
      </c>
      <c r="H71" s="334">
        <v>5.3261999999999997E-2</v>
      </c>
      <c r="I71" s="334">
        <v>4.9292999999999997E-2</v>
      </c>
      <c r="J71" s="334">
        <v>4.4928000000000003E-2</v>
      </c>
      <c r="K71" s="334">
        <v>4.0703999999999997E-2</v>
      </c>
      <c r="L71" s="333">
        <v>3.7622999999999997E-2</v>
      </c>
      <c r="M71" s="333">
        <v>3.5496E-2</v>
      </c>
      <c r="N71" s="367">
        <f t="shared" si="11"/>
        <v>3.3489249023203889E-2</v>
      </c>
      <c r="P71" s="14"/>
      <c r="Q71" s="14"/>
      <c r="R71" s="14"/>
      <c r="S71" s="14"/>
      <c r="T71" s="14"/>
      <c r="U71" s="14"/>
      <c r="V71" s="14"/>
      <c r="W71" s="14"/>
      <c r="X71" s="14"/>
      <c r="Y71" s="14"/>
      <c r="Z71" s="14"/>
      <c r="AA71" s="14"/>
      <c r="AC71" s="327"/>
      <c r="AD71" s="327"/>
      <c r="AE71" s="327"/>
      <c r="AF71" s="327"/>
      <c r="AG71" s="327"/>
      <c r="AH71" s="327"/>
      <c r="AI71" s="327"/>
      <c r="AJ71" s="327"/>
      <c r="AK71" s="327"/>
    </row>
    <row r="72" spans="2:37" s="324" customFormat="1" x14ac:dyDescent="0.2">
      <c r="B72" s="331" t="s">
        <v>1471</v>
      </c>
      <c r="C72" s="339"/>
      <c r="D72" s="333">
        <v>3.14760431647301E-2</v>
      </c>
      <c r="E72" s="334">
        <v>3.0519000000000001E-2</v>
      </c>
      <c r="F72" s="334">
        <v>2.8219999999999999E-2</v>
      </c>
      <c r="G72" s="334">
        <v>1.7066999999999999E-2</v>
      </c>
      <c r="H72" s="334">
        <v>1.6368000000000001E-2</v>
      </c>
      <c r="I72" s="334">
        <v>1.5245E-2</v>
      </c>
      <c r="J72" s="334">
        <v>1.421E-2</v>
      </c>
      <c r="K72" s="334">
        <v>1.389E-2</v>
      </c>
      <c r="L72" s="333">
        <v>1.3502E-2</v>
      </c>
      <c r="M72" s="333">
        <v>1.3174999999999999E-2</v>
      </c>
      <c r="N72" s="367">
        <f t="shared" si="11"/>
        <v>1.2855919493408382E-2</v>
      </c>
      <c r="P72" s="14"/>
      <c r="Q72" s="14"/>
      <c r="R72" s="14"/>
      <c r="S72" s="14"/>
      <c r="T72" s="14"/>
      <c r="U72" s="14"/>
      <c r="V72" s="14"/>
      <c r="W72" s="14"/>
      <c r="X72" s="14"/>
      <c r="Y72" s="14"/>
      <c r="Z72" s="14"/>
      <c r="AA72" s="14"/>
      <c r="AB72" s="17"/>
      <c r="AC72" s="327"/>
      <c r="AD72" s="327"/>
      <c r="AE72" s="327"/>
      <c r="AF72" s="327"/>
      <c r="AG72" s="327"/>
      <c r="AH72" s="327"/>
      <c r="AI72" s="327"/>
      <c r="AJ72" s="327"/>
      <c r="AK72" s="327"/>
    </row>
    <row r="73" spans="2:37" s="324" customFormat="1" x14ac:dyDescent="0.2">
      <c r="B73" s="331" t="s">
        <v>1480</v>
      </c>
      <c r="C73" s="339"/>
      <c r="D73" s="340">
        <v>0.04</v>
      </c>
      <c r="E73" s="334">
        <v>0.14547099999999999</v>
      </c>
      <c r="F73" s="334">
        <v>4.3471999999999997E-2</v>
      </c>
      <c r="G73" s="334">
        <v>7.1942000000000006E-2</v>
      </c>
      <c r="H73" s="334">
        <v>7.6966999999999994E-2</v>
      </c>
      <c r="I73" s="334">
        <v>8.8106000000000004E-2</v>
      </c>
      <c r="J73" s="334">
        <v>9.7230999999999998E-2</v>
      </c>
      <c r="K73" s="334">
        <v>0.10668800000000001</v>
      </c>
      <c r="L73" s="333">
        <v>0.116869</v>
      </c>
      <c r="M73" s="333">
        <v>0.12750900000000001</v>
      </c>
      <c r="N73" s="367">
        <f t="shared" si="11"/>
        <v>0.13911768801820845</v>
      </c>
      <c r="P73" s="14"/>
      <c r="Q73" s="14"/>
      <c r="R73" s="14"/>
      <c r="S73" s="14"/>
      <c r="T73" s="14"/>
      <c r="U73" s="14"/>
      <c r="V73" s="14"/>
      <c r="W73" s="14"/>
      <c r="X73" s="14"/>
      <c r="Y73" s="14"/>
      <c r="Z73" s="14"/>
      <c r="AA73" s="14"/>
      <c r="AC73" s="327"/>
      <c r="AD73" s="327"/>
      <c r="AE73" s="327"/>
      <c r="AF73" s="327"/>
      <c r="AG73" s="327"/>
      <c r="AH73" s="327"/>
      <c r="AI73" s="327"/>
      <c r="AJ73" s="327"/>
      <c r="AK73" s="327"/>
    </row>
    <row r="74" spans="2:37" s="324" customFormat="1" x14ac:dyDescent="0.2">
      <c r="B74" s="374" t="s">
        <v>1484</v>
      </c>
      <c r="C74" s="375"/>
      <c r="D74" s="373">
        <f>SUM(D70:D73)</f>
        <v>0.49916615694761274</v>
      </c>
      <c r="E74" s="373">
        <f t="shared" ref="E74:N74" si="17">SUM(E70:E73)</f>
        <v>0.53015000000000001</v>
      </c>
      <c r="F74" s="373">
        <f t="shared" si="17"/>
        <v>0.47316200000000003</v>
      </c>
      <c r="G74" s="373">
        <f t="shared" si="17"/>
        <v>0.45517999999999997</v>
      </c>
      <c r="H74" s="373">
        <f t="shared" si="17"/>
        <v>0.44110499999999997</v>
      </c>
      <c r="I74" s="373">
        <f t="shared" si="17"/>
        <v>0.43328899999999998</v>
      </c>
      <c r="J74" s="373">
        <f t="shared" si="17"/>
        <v>0.42072400000000004</v>
      </c>
      <c r="K74" s="373">
        <f t="shared" si="17"/>
        <v>0.41298500000000005</v>
      </c>
      <c r="L74" s="373">
        <f t="shared" si="17"/>
        <v>0.40958800000000001</v>
      </c>
      <c r="M74" s="373">
        <f t="shared" si="17"/>
        <v>0.40881400000000001</v>
      </c>
      <c r="N74" s="373">
        <f t="shared" si="17"/>
        <v>0.40946915617802376</v>
      </c>
      <c r="P74" s="14"/>
      <c r="Q74" s="14"/>
      <c r="R74" s="14"/>
      <c r="S74" s="14"/>
      <c r="T74" s="14"/>
      <c r="U74" s="14"/>
      <c r="V74" s="14"/>
      <c r="W74" s="14"/>
      <c r="X74" s="14"/>
      <c r="Y74" s="14"/>
      <c r="Z74" s="14"/>
      <c r="AA74" s="14"/>
      <c r="AB74" s="327"/>
      <c r="AC74" s="327"/>
      <c r="AD74" s="327"/>
      <c r="AE74" s="327"/>
    </row>
    <row r="75" spans="2:37" s="324" customFormat="1" x14ac:dyDescent="0.2">
      <c r="B75" s="339"/>
      <c r="C75" s="339"/>
      <c r="D75" s="333"/>
      <c r="E75" s="333"/>
      <c r="F75" s="333"/>
      <c r="G75" s="333"/>
      <c r="H75" s="333"/>
      <c r="I75" s="333"/>
      <c r="J75" s="333"/>
      <c r="K75" s="333"/>
      <c r="L75" s="333"/>
      <c r="M75" s="333"/>
      <c r="N75" s="367"/>
      <c r="P75" s="14"/>
      <c r="Q75" s="14"/>
      <c r="R75" s="14"/>
      <c r="S75" s="14"/>
      <c r="T75" s="14"/>
      <c r="U75" s="14"/>
      <c r="V75" s="14"/>
      <c r="W75" s="14"/>
      <c r="X75" s="14"/>
      <c r="Y75" s="14"/>
      <c r="Z75" s="14"/>
      <c r="AA75" s="14"/>
      <c r="AB75" s="327"/>
      <c r="AC75" s="327"/>
      <c r="AD75" s="327"/>
      <c r="AE75" s="327"/>
      <c r="AF75" s="327"/>
      <c r="AG75" s="327"/>
      <c r="AH75" s="327"/>
      <c r="AI75" s="327"/>
      <c r="AJ75" s="327"/>
      <c r="AK75" s="327"/>
    </row>
    <row r="76" spans="2:37" s="324" customFormat="1" x14ac:dyDescent="0.2">
      <c r="B76" s="338" t="s">
        <v>1488</v>
      </c>
      <c r="C76" s="339"/>
      <c r="D76" s="333">
        <v>0.44818162918090798</v>
      </c>
      <c r="E76" s="333">
        <v>0.43944</v>
      </c>
      <c r="F76" s="333">
        <v>0.44093199999999999</v>
      </c>
      <c r="G76" s="333">
        <v>0.45751199999999997</v>
      </c>
      <c r="H76" s="333">
        <v>0.48986400000000002</v>
      </c>
      <c r="I76" s="333">
        <v>0.42601699999999998</v>
      </c>
      <c r="J76" s="333">
        <v>0.38751400000000003</v>
      </c>
      <c r="K76" s="333">
        <v>0.35324100000000003</v>
      </c>
      <c r="L76" s="333">
        <v>0.327538</v>
      </c>
      <c r="M76" s="333">
        <v>0.30802400000000002</v>
      </c>
      <c r="N76" s="367">
        <f t="shared" si="11"/>
        <v>0.2896726015790535</v>
      </c>
      <c r="P76" s="14"/>
      <c r="Q76" s="14"/>
      <c r="R76" s="14"/>
      <c r="S76" s="14"/>
      <c r="T76" s="14"/>
      <c r="U76" s="14"/>
      <c r="V76" s="14"/>
      <c r="W76" s="14"/>
      <c r="X76" s="14"/>
      <c r="Y76" s="14"/>
      <c r="Z76" s="14"/>
      <c r="AA76" s="14"/>
      <c r="AB76" s="327"/>
      <c r="AC76" s="327"/>
      <c r="AD76" s="327"/>
      <c r="AE76" s="327"/>
      <c r="AF76" s="327"/>
      <c r="AG76" s="327"/>
      <c r="AH76" s="327"/>
      <c r="AI76" s="327"/>
      <c r="AJ76" s="327"/>
      <c r="AK76" s="327"/>
    </row>
    <row r="77" spans="2:37" s="324" customFormat="1" x14ac:dyDescent="0.2">
      <c r="B77" s="338" t="s">
        <v>1489</v>
      </c>
      <c r="C77" s="339"/>
      <c r="D77" s="333">
        <v>0.10066375136375399</v>
      </c>
      <c r="E77" s="334">
        <v>1.8530000000000001E-2</v>
      </c>
      <c r="F77" s="334">
        <v>8.5590000000000006E-3</v>
      </c>
      <c r="G77" s="334">
        <v>0</v>
      </c>
      <c r="H77" s="334">
        <v>0</v>
      </c>
      <c r="I77" s="334">
        <v>0</v>
      </c>
      <c r="J77" s="334">
        <v>0</v>
      </c>
      <c r="K77" s="334">
        <v>0</v>
      </c>
      <c r="L77" s="333">
        <v>0</v>
      </c>
      <c r="M77" s="333">
        <v>0</v>
      </c>
      <c r="N77" s="367"/>
      <c r="P77" s="14"/>
      <c r="Q77" s="14"/>
      <c r="R77" s="14"/>
      <c r="S77" s="14"/>
      <c r="T77" s="14"/>
      <c r="U77" s="14"/>
      <c r="V77" s="14"/>
      <c r="W77" s="14"/>
      <c r="X77" s="14"/>
      <c r="Y77" s="14"/>
      <c r="Z77" s="14"/>
      <c r="AA77" s="14"/>
      <c r="AB77" s="327"/>
      <c r="AC77" s="327"/>
      <c r="AD77" s="327"/>
      <c r="AE77" s="327"/>
      <c r="AF77" s="327"/>
      <c r="AG77" s="327"/>
      <c r="AH77" s="327"/>
      <c r="AI77" s="327"/>
      <c r="AJ77" s="327"/>
      <c r="AK77" s="327"/>
    </row>
    <row r="78" spans="2:37" s="324" customFormat="1" x14ac:dyDescent="0.2">
      <c r="B78" s="332"/>
      <c r="C78" s="332"/>
      <c r="D78" s="333"/>
      <c r="E78" s="333"/>
      <c r="F78" s="333"/>
      <c r="G78" s="333"/>
      <c r="H78" s="333"/>
      <c r="I78" s="333"/>
      <c r="J78" s="333"/>
      <c r="K78" s="333"/>
      <c r="L78" s="333"/>
      <c r="M78" s="333"/>
      <c r="N78" s="367"/>
      <c r="P78" s="14"/>
      <c r="Q78" s="14"/>
      <c r="R78" s="14"/>
      <c r="S78" s="14"/>
      <c r="T78" s="14"/>
      <c r="U78" s="14"/>
      <c r="V78" s="14"/>
      <c r="W78" s="14"/>
      <c r="X78" s="14"/>
      <c r="Y78" s="14"/>
      <c r="Z78" s="14"/>
      <c r="AA78" s="14"/>
      <c r="AB78" s="327"/>
      <c r="AC78" s="327"/>
      <c r="AD78" s="327"/>
      <c r="AE78" s="327"/>
      <c r="AF78" s="327"/>
      <c r="AG78" s="327"/>
      <c r="AH78" s="327"/>
      <c r="AI78" s="327"/>
      <c r="AJ78" s="327"/>
      <c r="AK78" s="327"/>
    </row>
    <row r="79" spans="2:37" s="324" customFormat="1" x14ac:dyDescent="0.2">
      <c r="B79" s="338" t="s">
        <v>1490</v>
      </c>
      <c r="C79" s="332"/>
      <c r="D79" s="333"/>
      <c r="E79" s="333"/>
      <c r="F79" s="333"/>
      <c r="G79" s="333"/>
      <c r="H79" s="333"/>
      <c r="I79" s="333"/>
      <c r="J79" s="333"/>
      <c r="K79" s="333"/>
      <c r="L79" s="333"/>
      <c r="M79" s="333"/>
      <c r="N79" s="367"/>
      <c r="P79" s="14"/>
      <c r="Q79" s="14"/>
      <c r="R79" s="14"/>
      <c r="S79" s="14"/>
      <c r="T79" s="14"/>
      <c r="U79" s="14"/>
      <c r="V79" s="14"/>
      <c r="W79" s="14"/>
      <c r="X79" s="14"/>
      <c r="Y79" s="14"/>
      <c r="Z79" s="14"/>
      <c r="AA79" s="14"/>
      <c r="AB79" s="327"/>
      <c r="AC79" s="327"/>
      <c r="AD79" s="327"/>
      <c r="AE79" s="327"/>
      <c r="AF79" s="327"/>
      <c r="AG79" s="327"/>
      <c r="AH79" s="327"/>
      <c r="AI79" s="327"/>
      <c r="AJ79" s="327"/>
      <c r="AK79" s="327"/>
    </row>
    <row r="80" spans="2:37" s="324" customFormat="1" x14ac:dyDescent="0.2">
      <c r="B80" s="342" t="s">
        <v>1467</v>
      </c>
      <c r="C80" s="332"/>
      <c r="D80" s="340">
        <f>D38+D55+D64+D70+D76</f>
        <v>5.1086222589015966</v>
      </c>
      <c r="E80" s="334">
        <v>4.8635989999999998</v>
      </c>
      <c r="F80" s="334">
        <v>4.6048739999999997</v>
      </c>
      <c r="G80" s="334">
        <v>5.3071780000000004</v>
      </c>
      <c r="H80" s="334">
        <v>5.2993560000000004</v>
      </c>
      <c r="I80" s="334">
        <v>5.127351</v>
      </c>
      <c r="J80" s="334">
        <v>4.8989659999999997</v>
      </c>
      <c r="K80" s="334">
        <v>4.7167779999999997</v>
      </c>
      <c r="L80" s="333">
        <v>4.5774530000000002</v>
      </c>
      <c r="M80" s="333">
        <v>4.4476490000000002</v>
      </c>
      <c r="N80" s="367">
        <f t="shared" si="11"/>
        <v>4.3215258850721137</v>
      </c>
      <c r="P80" s="14"/>
      <c r="Q80" s="14"/>
      <c r="R80" s="14"/>
      <c r="S80" s="14"/>
      <c r="T80" s="14"/>
      <c r="U80" s="14"/>
      <c r="V80" s="14"/>
      <c r="W80" s="14"/>
      <c r="X80" s="14"/>
      <c r="Y80" s="14"/>
      <c r="Z80" s="14"/>
      <c r="AA80" s="14"/>
      <c r="AB80" s="327"/>
      <c r="AC80" s="327"/>
      <c r="AD80" s="327"/>
      <c r="AE80" s="327"/>
      <c r="AF80" s="327"/>
      <c r="AG80" s="327"/>
      <c r="AH80" s="327"/>
      <c r="AI80" s="327"/>
      <c r="AJ80" s="327"/>
      <c r="AK80" s="327"/>
    </row>
    <row r="81" spans="2:37" s="324" customFormat="1" x14ac:dyDescent="0.2">
      <c r="B81" s="342" t="s">
        <v>1468</v>
      </c>
      <c r="C81" s="332"/>
      <c r="D81" s="333">
        <v>0.821350157260895</v>
      </c>
      <c r="E81" s="334">
        <v>0.91524099999999997</v>
      </c>
      <c r="F81" s="334">
        <v>0.81740999999999997</v>
      </c>
      <c r="G81" s="334">
        <v>0.86400999999999994</v>
      </c>
      <c r="H81" s="334">
        <v>0.97087400000000001</v>
      </c>
      <c r="I81" s="334">
        <v>1.0645690000000001</v>
      </c>
      <c r="J81" s="334">
        <v>1.147432</v>
      </c>
      <c r="K81" s="334">
        <v>1.2567489999999999</v>
      </c>
      <c r="L81" s="333">
        <v>1.3777349999999999</v>
      </c>
      <c r="M81" s="333">
        <v>1.5252699999999999</v>
      </c>
      <c r="N81" s="367">
        <f t="shared" si="11"/>
        <v>1.6886038119812588</v>
      </c>
      <c r="P81" s="14"/>
      <c r="Q81" s="14"/>
      <c r="R81" s="14"/>
      <c r="S81" s="14"/>
      <c r="T81" s="14"/>
      <c r="U81" s="14"/>
      <c r="V81" s="14"/>
      <c r="W81" s="14"/>
      <c r="X81" s="14"/>
      <c r="Y81" s="14"/>
      <c r="Z81" s="14"/>
      <c r="AA81" s="14"/>
      <c r="AB81" s="327"/>
      <c r="AC81" s="327"/>
      <c r="AD81" s="327"/>
      <c r="AE81" s="327"/>
    </row>
    <row r="82" spans="2:37" s="324" customFormat="1" x14ac:dyDescent="0.2">
      <c r="B82" s="342" t="s">
        <v>1469</v>
      </c>
      <c r="C82" s="332"/>
      <c r="D82" s="333">
        <v>1.6372220516204801</v>
      </c>
      <c r="E82" s="334">
        <v>1.9116070000000001</v>
      </c>
      <c r="F82" s="334">
        <v>1.763412</v>
      </c>
      <c r="G82" s="334">
        <v>1.7289300000000001</v>
      </c>
      <c r="H82" s="334">
        <v>1.6958260000000001</v>
      </c>
      <c r="I82" s="334">
        <v>1.75451</v>
      </c>
      <c r="J82" s="334">
        <v>1.7859210000000001</v>
      </c>
      <c r="K82" s="334">
        <v>1.8290569999999999</v>
      </c>
      <c r="L82" s="333">
        <v>1.8753299999999999</v>
      </c>
      <c r="M82" s="333">
        <v>1.9250860000000001</v>
      </c>
      <c r="N82" s="367">
        <f t="shared" si="11"/>
        <v>1.9761621194115171</v>
      </c>
      <c r="P82" s="14"/>
      <c r="Q82" s="14"/>
      <c r="R82" s="14"/>
      <c r="S82" s="14"/>
      <c r="T82" s="14"/>
      <c r="U82" s="14"/>
      <c r="V82" s="14"/>
      <c r="W82" s="14"/>
      <c r="X82" s="14"/>
      <c r="Y82" s="14"/>
      <c r="Z82" s="14"/>
      <c r="AA82" s="14"/>
      <c r="AB82" s="327"/>
      <c r="AC82" s="327"/>
      <c r="AD82" s="327"/>
      <c r="AE82" s="327"/>
      <c r="AF82" s="327"/>
      <c r="AG82" s="327"/>
      <c r="AH82" s="327"/>
      <c r="AI82" s="327"/>
      <c r="AJ82" s="327"/>
      <c r="AK82" s="327"/>
    </row>
    <row r="83" spans="2:37" s="324" customFormat="1" x14ac:dyDescent="0.2">
      <c r="B83" s="342" t="s">
        <v>1470</v>
      </c>
      <c r="C83" s="332"/>
      <c r="D83" s="333">
        <v>0.39436101913452098</v>
      </c>
      <c r="E83" s="334">
        <v>0.376004</v>
      </c>
      <c r="F83" s="334">
        <v>0.35520099999999999</v>
      </c>
      <c r="G83" s="334">
        <v>0.29757099999999997</v>
      </c>
      <c r="H83" s="334">
        <v>0.29163</v>
      </c>
      <c r="I83" s="334">
        <v>0.289659</v>
      </c>
      <c r="J83" s="334">
        <v>0.29434300000000002</v>
      </c>
      <c r="K83" s="334">
        <v>0.30684800000000001</v>
      </c>
      <c r="L83" s="333">
        <v>0.32450699999999999</v>
      </c>
      <c r="M83" s="333">
        <v>0.340702</v>
      </c>
      <c r="N83" s="367">
        <f t="shared" si="11"/>
        <v>0.35770523533852894</v>
      </c>
      <c r="P83" s="14"/>
      <c r="Q83" s="14"/>
      <c r="R83" s="14"/>
      <c r="S83" s="14"/>
      <c r="T83" s="14"/>
      <c r="U83" s="14"/>
      <c r="V83" s="14"/>
      <c r="W83" s="14"/>
      <c r="X83" s="14"/>
      <c r="Y83" s="14"/>
      <c r="Z83" s="14"/>
      <c r="AA83" s="14"/>
      <c r="AB83" s="327"/>
      <c r="AC83" s="327"/>
      <c r="AD83" s="327"/>
      <c r="AE83" s="327"/>
    </row>
    <row r="84" spans="2:37" s="324" customFormat="1" x14ac:dyDescent="0.2">
      <c r="B84" s="342" t="s">
        <v>1471</v>
      </c>
      <c r="C84" s="332"/>
      <c r="D84" s="333">
        <v>0.34996357560157798</v>
      </c>
      <c r="E84" s="334">
        <v>0.35518</v>
      </c>
      <c r="F84" s="334">
        <v>0.34457199999999999</v>
      </c>
      <c r="G84" s="334">
        <v>0.17552999999999999</v>
      </c>
      <c r="H84" s="334">
        <v>0.17741699999999999</v>
      </c>
      <c r="I84" s="334">
        <v>0.179315</v>
      </c>
      <c r="J84" s="334">
        <v>0.182619</v>
      </c>
      <c r="K84" s="334">
        <v>0.188336</v>
      </c>
      <c r="L84" s="333">
        <v>0.194441</v>
      </c>
      <c r="M84" s="333">
        <v>0.20058400000000001</v>
      </c>
      <c r="N84" s="367">
        <f t="shared" si="11"/>
        <v>0.20692107660421416</v>
      </c>
      <c r="P84" s="14"/>
      <c r="Q84" s="14"/>
      <c r="R84" s="14"/>
      <c r="S84" s="14"/>
      <c r="T84" s="14"/>
      <c r="U84" s="14"/>
      <c r="V84" s="14"/>
      <c r="W84" s="14"/>
      <c r="X84" s="14"/>
      <c r="Y84" s="14"/>
      <c r="Z84" s="14"/>
      <c r="AA84" s="14"/>
      <c r="AB84" s="327"/>
      <c r="AC84" s="327"/>
      <c r="AD84" s="327"/>
      <c r="AE84" s="327"/>
    </row>
    <row r="85" spans="2:37" s="324" customFormat="1" x14ac:dyDescent="0.2">
      <c r="B85" s="342" t="s">
        <v>1472</v>
      </c>
      <c r="C85" s="332"/>
      <c r="D85" s="333">
        <v>0.32461026310920699</v>
      </c>
      <c r="E85" s="334">
        <v>0.25206299999999998</v>
      </c>
      <c r="F85" s="334">
        <v>0.255722</v>
      </c>
      <c r="G85" s="334">
        <v>0.25584699999999999</v>
      </c>
      <c r="H85" s="334">
        <v>0.27916600000000003</v>
      </c>
      <c r="I85" s="334">
        <v>0.306369</v>
      </c>
      <c r="J85" s="334">
        <v>0.32580300000000001</v>
      </c>
      <c r="K85" s="334">
        <v>0.34568100000000002</v>
      </c>
      <c r="L85" s="333">
        <v>0.36639100000000002</v>
      </c>
      <c r="M85" s="333">
        <v>0.38902799999999998</v>
      </c>
      <c r="N85" s="367">
        <f t="shared" si="11"/>
        <v>0.4130635981342336</v>
      </c>
      <c r="P85" s="14"/>
      <c r="Q85" s="14"/>
      <c r="R85" s="14"/>
      <c r="S85" s="14"/>
      <c r="T85" s="14"/>
      <c r="U85" s="14"/>
      <c r="V85" s="14"/>
      <c r="W85" s="14"/>
      <c r="X85" s="14"/>
      <c r="Y85" s="14"/>
      <c r="Z85" s="14"/>
      <c r="AA85" s="14"/>
      <c r="AB85" s="327"/>
      <c r="AC85" s="327"/>
      <c r="AD85" s="327"/>
      <c r="AE85" s="327"/>
      <c r="AF85" s="327"/>
      <c r="AG85" s="327"/>
      <c r="AH85" s="327"/>
      <c r="AI85" s="327"/>
      <c r="AJ85" s="327"/>
      <c r="AK85" s="327"/>
    </row>
    <row r="86" spans="2:37" s="324" customFormat="1" x14ac:dyDescent="0.2">
      <c r="B86" s="342" t="s">
        <v>1473</v>
      </c>
      <c r="C86" s="332"/>
      <c r="D86" s="333">
        <v>8.3529256284236894E-2</v>
      </c>
      <c r="E86" s="334">
        <v>8.2216999999999998E-2</v>
      </c>
      <c r="F86" s="334">
        <v>7.5429999999999997E-2</v>
      </c>
      <c r="G86" s="334">
        <v>6.9181000000000006E-2</v>
      </c>
      <c r="H86" s="334">
        <v>6.8515999999999994E-2</v>
      </c>
      <c r="I86" s="334">
        <v>6.7614999999999995E-2</v>
      </c>
      <c r="J86" s="334">
        <v>6.7169000000000006E-2</v>
      </c>
      <c r="K86" s="334">
        <v>6.7431000000000005E-2</v>
      </c>
      <c r="L86" s="333">
        <v>6.8666000000000005E-2</v>
      </c>
      <c r="M86" s="333">
        <v>7.0729E-2</v>
      </c>
      <c r="N86" s="367">
        <f t="shared" si="11"/>
        <v>7.2853980732822649E-2</v>
      </c>
      <c r="P86" s="14"/>
      <c r="Q86" s="14"/>
      <c r="R86" s="14"/>
      <c r="S86" s="14"/>
      <c r="T86" s="14"/>
      <c r="U86" s="14"/>
      <c r="V86" s="14"/>
      <c r="W86" s="14"/>
      <c r="X86" s="14"/>
      <c r="Y86" s="14"/>
      <c r="Z86" s="14"/>
      <c r="AA86" s="14"/>
      <c r="AB86" s="327"/>
      <c r="AC86" s="327"/>
      <c r="AD86" s="327"/>
      <c r="AE86" s="327"/>
      <c r="AF86" s="327"/>
      <c r="AG86" s="327"/>
      <c r="AH86" s="327"/>
      <c r="AI86" s="327"/>
      <c r="AJ86" s="327"/>
      <c r="AK86" s="327"/>
    </row>
    <row r="87" spans="2:37" s="324" customFormat="1" x14ac:dyDescent="0.2">
      <c r="B87" s="342" t="s">
        <v>1474</v>
      </c>
      <c r="C87" s="332"/>
      <c r="D87" s="333">
        <v>0.72674226760864302</v>
      </c>
      <c r="E87" s="334">
        <v>0.65220500000000003</v>
      </c>
      <c r="F87" s="334">
        <v>0.44812299999999999</v>
      </c>
      <c r="G87" s="334">
        <v>0.21124699999999999</v>
      </c>
      <c r="H87" s="334">
        <v>0.20512900000000001</v>
      </c>
      <c r="I87" s="334">
        <v>0.209704</v>
      </c>
      <c r="J87" s="334">
        <v>0.20901600000000001</v>
      </c>
      <c r="K87" s="334">
        <v>0.207703</v>
      </c>
      <c r="L87" s="333">
        <v>0.20064000000000001</v>
      </c>
      <c r="M87" s="333">
        <v>0.20205600000000001</v>
      </c>
      <c r="N87" s="367">
        <f t="shared" si="11"/>
        <v>0.20348199330143543</v>
      </c>
      <c r="P87" s="14"/>
      <c r="Q87" s="14"/>
      <c r="R87" s="14"/>
      <c r="S87" s="14"/>
      <c r="T87" s="14"/>
      <c r="U87" s="14"/>
      <c r="V87" s="14"/>
      <c r="W87" s="14"/>
      <c r="X87" s="14"/>
      <c r="Y87" s="14"/>
      <c r="Z87" s="14"/>
      <c r="AA87" s="14"/>
      <c r="AB87" s="327"/>
      <c r="AC87" s="327"/>
      <c r="AD87" s="327"/>
      <c r="AE87" s="327"/>
      <c r="AF87" s="327"/>
      <c r="AG87" s="327"/>
      <c r="AH87" s="327"/>
      <c r="AI87" s="327"/>
      <c r="AJ87" s="327"/>
      <c r="AK87" s="327"/>
    </row>
    <row r="88" spans="2:37" s="324" customFormat="1" x14ac:dyDescent="0.2">
      <c r="B88" s="342" t="s">
        <v>1491</v>
      </c>
      <c r="C88" s="332"/>
      <c r="D88" s="333">
        <v>3.4679807722568498E-2</v>
      </c>
      <c r="E88" s="334">
        <v>3.2793000000000003E-2</v>
      </c>
      <c r="F88" s="334">
        <v>2.6497E-2</v>
      </c>
      <c r="G88" s="334">
        <v>3.6778999999999999E-2</v>
      </c>
      <c r="H88" s="334">
        <v>3.8485999999999999E-2</v>
      </c>
      <c r="I88" s="334">
        <v>4.0245999999999997E-2</v>
      </c>
      <c r="J88" s="334">
        <v>4.2098999999999998E-2</v>
      </c>
      <c r="K88" s="334">
        <v>4.3898E-2</v>
      </c>
      <c r="L88" s="333">
        <v>4.5619E-2</v>
      </c>
      <c r="M88" s="333">
        <v>4.7258000000000001E-2</v>
      </c>
      <c r="N88" s="367">
        <f t="shared" si="11"/>
        <v>4.8955886012407114E-2</v>
      </c>
      <c r="P88" s="14"/>
      <c r="Q88" s="14"/>
      <c r="R88" s="14"/>
      <c r="S88" s="14"/>
      <c r="T88" s="14"/>
      <c r="U88" s="14"/>
      <c r="V88" s="14"/>
      <c r="W88" s="14"/>
      <c r="X88" s="14"/>
      <c r="Y88" s="14"/>
      <c r="Z88" s="14"/>
      <c r="AA88" s="14"/>
      <c r="AB88" s="327"/>
      <c r="AC88" s="327"/>
      <c r="AD88" s="327"/>
      <c r="AE88" s="327"/>
      <c r="AF88" s="327"/>
      <c r="AG88" s="327"/>
      <c r="AH88" s="327"/>
      <c r="AI88" s="327"/>
      <c r="AJ88" s="327"/>
      <c r="AK88" s="327"/>
    </row>
    <row r="89" spans="2:37" s="324" customFormat="1" x14ac:dyDescent="0.2">
      <c r="B89" s="342" t="s">
        <v>1492</v>
      </c>
      <c r="C89" s="332"/>
      <c r="D89" s="333">
        <v>9.5851413905620603E-2</v>
      </c>
      <c r="E89" s="334">
        <v>0.103049</v>
      </c>
      <c r="F89" s="334">
        <v>9.4423999999999994E-2</v>
      </c>
      <c r="G89" s="334">
        <v>2.6616999999999998E-2</v>
      </c>
      <c r="H89" s="334">
        <v>2.8944999999999999E-2</v>
      </c>
      <c r="I89" s="334">
        <v>3.1241999999999999E-2</v>
      </c>
      <c r="J89" s="334">
        <v>3.4373000000000001E-2</v>
      </c>
      <c r="K89" s="334">
        <v>3.7698000000000002E-2</v>
      </c>
      <c r="L89" s="333">
        <v>4.0961999999999998E-2</v>
      </c>
      <c r="M89" s="333">
        <v>4.4143000000000002E-2</v>
      </c>
      <c r="N89" s="367">
        <f t="shared" si="11"/>
        <v>4.7571028001562432E-2</v>
      </c>
      <c r="P89" s="14"/>
      <c r="Q89" s="14"/>
      <c r="R89" s="14"/>
      <c r="S89" s="14"/>
      <c r="T89" s="14"/>
      <c r="U89" s="14"/>
      <c r="V89" s="14"/>
      <c r="W89" s="14"/>
      <c r="X89" s="14"/>
      <c r="Y89" s="14"/>
      <c r="Z89" s="14"/>
      <c r="AA89" s="14"/>
      <c r="AB89" s="327"/>
      <c r="AC89" s="327"/>
      <c r="AD89" s="327"/>
      <c r="AE89" s="327"/>
      <c r="AF89" s="327"/>
      <c r="AG89" s="327"/>
      <c r="AH89" s="327"/>
      <c r="AI89" s="327"/>
      <c r="AJ89" s="327"/>
      <c r="AK89" s="327"/>
    </row>
    <row r="90" spans="2:37" s="324" customFormat="1" x14ac:dyDescent="0.2">
      <c r="B90" s="342" t="s">
        <v>1477</v>
      </c>
      <c r="C90" s="332"/>
      <c r="D90" s="333">
        <v>0.29940426349639898</v>
      </c>
      <c r="E90" s="334">
        <v>0.31756000000000001</v>
      </c>
      <c r="F90" s="334">
        <v>0.28821200000000002</v>
      </c>
      <c r="G90" s="334">
        <v>0.20913300000000001</v>
      </c>
      <c r="H90" s="334">
        <v>0.17569199999999999</v>
      </c>
      <c r="I90" s="334">
        <v>0.16098699999999999</v>
      </c>
      <c r="J90" s="334">
        <v>0.14658499999999999</v>
      </c>
      <c r="K90" s="334">
        <v>0.13791</v>
      </c>
      <c r="L90" s="333">
        <v>0.13555200000000001</v>
      </c>
      <c r="M90" s="333">
        <v>0.13852700000000001</v>
      </c>
      <c r="N90" s="367">
        <f t="shared" si="11"/>
        <v>0.14156729320851039</v>
      </c>
      <c r="P90" s="14"/>
      <c r="Q90" s="14"/>
      <c r="R90" s="14"/>
      <c r="S90" s="14"/>
      <c r="T90" s="14"/>
      <c r="U90" s="14"/>
      <c r="V90" s="14"/>
      <c r="W90" s="14"/>
      <c r="X90" s="14"/>
      <c r="Y90" s="14"/>
      <c r="Z90" s="14"/>
      <c r="AA90" s="14"/>
      <c r="AB90" s="327"/>
      <c r="AC90" s="327"/>
      <c r="AD90" s="327"/>
      <c r="AE90" s="327"/>
      <c r="AF90" s="327"/>
      <c r="AG90" s="327"/>
      <c r="AH90" s="327"/>
      <c r="AI90" s="327"/>
      <c r="AJ90" s="327"/>
      <c r="AK90" s="327"/>
    </row>
    <row r="91" spans="2:37" s="324" customFormat="1" x14ac:dyDescent="0.2">
      <c r="B91" s="342" t="s">
        <v>1478</v>
      </c>
      <c r="C91" s="332"/>
      <c r="D91" s="333">
        <v>6.5222315490245805E-2</v>
      </c>
      <c r="E91" s="334">
        <v>0.15856200000000001</v>
      </c>
      <c r="F91" s="334">
        <v>0.11111699999999999</v>
      </c>
      <c r="G91" s="334">
        <v>8.6664000000000005E-2</v>
      </c>
      <c r="H91" s="334">
        <v>0.11536299999999999</v>
      </c>
      <c r="I91" s="334">
        <v>0.103168</v>
      </c>
      <c r="J91" s="334">
        <v>8.7647000000000003E-2</v>
      </c>
      <c r="K91" s="334">
        <v>7.4726000000000001E-2</v>
      </c>
      <c r="L91" s="333">
        <v>6.6753000000000007E-2</v>
      </c>
      <c r="M91" s="333">
        <v>6.5106999999999998E-2</v>
      </c>
      <c r="N91" s="367">
        <f t="shared" ref="N91:N123" si="18">M91*M91/L91</f>
        <v>6.3501587179602415E-2</v>
      </c>
      <c r="P91" s="14"/>
      <c r="Q91" s="14"/>
      <c r="R91" s="14"/>
      <c r="S91" s="14"/>
      <c r="T91" s="14"/>
      <c r="U91" s="14"/>
      <c r="V91" s="14"/>
      <c r="W91" s="14"/>
      <c r="X91" s="14"/>
      <c r="Y91" s="14"/>
      <c r="Z91" s="14"/>
      <c r="AA91" s="14"/>
      <c r="AB91" s="327"/>
      <c r="AC91" s="327"/>
      <c r="AD91" s="327"/>
      <c r="AE91" s="327"/>
      <c r="AF91" s="327"/>
      <c r="AG91" s="327"/>
      <c r="AH91" s="327"/>
      <c r="AI91" s="327"/>
      <c r="AJ91" s="327"/>
      <c r="AK91" s="327"/>
    </row>
    <row r="92" spans="2:37" s="324" customFormat="1" x14ac:dyDescent="0.2">
      <c r="B92" s="342" t="s">
        <v>1479</v>
      </c>
      <c r="C92" s="332"/>
      <c r="D92" s="333">
        <v>5.9013724327087402E-2</v>
      </c>
      <c r="E92" s="334">
        <v>0.134385</v>
      </c>
      <c r="F92" s="334">
        <v>0.114797</v>
      </c>
      <c r="G92" s="334">
        <v>7.8188999999999995E-2</v>
      </c>
      <c r="H92" s="334">
        <v>8.0093999999999999E-2</v>
      </c>
      <c r="I92" s="334">
        <v>8.2561999999999997E-2</v>
      </c>
      <c r="J92" s="334">
        <v>7.9390000000000002E-2</v>
      </c>
      <c r="K92" s="334">
        <v>7.3050000000000004E-2</v>
      </c>
      <c r="L92" s="333">
        <v>6.7822999999999994E-2</v>
      </c>
      <c r="M92" s="333">
        <v>6.4996999999999999E-2</v>
      </c>
      <c r="N92" s="367">
        <f t="shared" si="18"/>
        <v>6.228875173613671E-2</v>
      </c>
      <c r="P92" s="14"/>
      <c r="Q92" s="14"/>
      <c r="R92" s="14"/>
      <c r="S92" s="14"/>
      <c r="T92" s="14"/>
      <c r="U92" s="14"/>
      <c r="V92" s="14"/>
      <c r="W92" s="14"/>
      <c r="X92" s="14"/>
      <c r="Y92" s="14"/>
      <c r="Z92" s="14"/>
      <c r="AA92" s="14"/>
      <c r="AB92" s="327"/>
      <c r="AC92" s="327"/>
      <c r="AD92" s="327"/>
      <c r="AE92" s="327"/>
      <c r="AF92" s="327"/>
      <c r="AG92" s="327"/>
      <c r="AH92" s="327"/>
      <c r="AI92" s="327"/>
      <c r="AJ92" s="327"/>
      <c r="AK92" s="327"/>
    </row>
    <row r="93" spans="2:37" s="324" customFormat="1" x14ac:dyDescent="0.2">
      <c r="B93" s="342" t="s">
        <v>1480</v>
      </c>
      <c r="C93" s="332"/>
      <c r="D93" s="333">
        <v>1.1602649688720701</v>
      </c>
      <c r="E93" s="334">
        <v>1.2598560000000001</v>
      </c>
      <c r="F93" s="334">
        <v>1.6724110000000001</v>
      </c>
      <c r="G93" s="334">
        <v>2.095383</v>
      </c>
      <c r="H93" s="334">
        <v>2.15381</v>
      </c>
      <c r="I93" s="334">
        <v>2.3426849999999999</v>
      </c>
      <c r="J93" s="334">
        <v>2.5029680000000001</v>
      </c>
      <c r="K93" s="334">
        <v>2.693851</v>
      </c>
      <c r="L93" s="333">
        <v>2.9220899999999999</v>
      </c>
      <c r="M93" s="333">
        <v>3.196599</v>
      </c>
      <c r="N93" s="367">
        <f t="shared" si="18"/>
        <v>3.4968961143568471</v>
      </c>
      <c r="P93" s="14"/>
      <c r="Q93" s="14"/>
      <c r="R93" s="14"/>
      <c r="S93" s="14"/>
      <c r="T93" s="14"/>
      <c r="U93" s="14"/>
      <c r="V93" s="14"/>
      <c r="W93" s="14"/>
      <c r="X93" s="14"/>
      <c r="Y93" s="14"/>
      <c r="Z93" s="14"/>
      <c r="AA93" s="14"/>
      <c r="AB93" s="327"/>
      <c r="AC93" s="327"/>
      <c r="AD93" s="327"/>
      <c r="AE93" s="327"/>
      <c r="AF93" s="327"/>
      <c r="AG93" s="327"/>
      <c r="AH93" s="327"/>
      <c r="AI93" s="327"/>
      <c r="AJ93" s="327"/>
      <c r="AK93" s="327"/>
    </row>
    <row r="94" spans="2:37" s="324" customFormat="1" x14ac:dyDescent="0.2">
      <c r="B94" s="342" t="s">
        <v>1461</v>
      </c>
      <c r="C94" s="332"/>
      <c r="D94" s="333"/>
      <c r="E94" s="334"/>
      <c r="F94" s="334"/>
      <c r="G94" s="334">
        <v>11.442256</v>
      </c>
      <c r="H94" s="334">
        <v>11.580304999999999</v>
      </c>
      <c r="I94" s="334">
        <v>11.759981</v>
      </c>
      <c r="J94" s="334">
        <v>11.804330999999999</v>
      </c>
      <c r="K94" s="334">
        <v>11.979717000000001</v>
      </c>
      <c r="L94" s="333">
        <v>12.263961999999999</v>
      </c>
      <c r="M94" s="333">
        <v>12.657738</v>
      </c>
      <c r="N94" s="367">
        <f t="shared" si="18"/>
        <v>13.06415751097761</v>
      </c>
      <c r="P94" s="14"/>
      <c r="Q94" s="14"/>
      <c r="R94" s="14"/>
      <c r="S94" s="14"/>
      <c r="T94" s="14"/>
      <c r="U94" s="14"/>
      <c r="V94" s="14"/>
      <c r="W94" s="14"/>
      <c r="X94" s="14"/>
      <c r="Y94" s="14"/>
      <c r="Z94" s="14"/>
      <c r="AA94" s="14"/>
      <c r="AB94" s="327"/>
      <c r="AC94" s="327"/>
      <c r="AD94" s="327"/>
      <c r="AE94" s="327"/>
      <c r="AF94" s="327"/>
      <c r="AG94" s="327"/>
      <c r="AH94" s="327"/>
      <c r="AI94" s="327"/>
      <c r="AJ94" s="327"/>
      <c r="AK94" s="327"/>
    </row>
    <row r="95" spans="2:37" s="324" customFormat="1" x14ac:dyDescent="0.2">
      <c r="B95" s="342" t="s">
        <v>1493</v>
      </c>
      <c r="C95" s="332"/>
      <c r="D95" s="333"/>
      <c r="E95" s="334"/>
      <c r="F95" s="334"/>
      <c r="G95" s="334">
        <v>7.8131000000000006E-2</v>
      </c>
      <c r="H95" s="334">
        <v>0.14977699999999999</v>
      </c>
      <c r="I95" s="334">
        <v>0.21981999999999999</v>
      </c>
      <c r="J95" s="334">
        <v>0.29947400000000002</v>
      </c>
      <c r="K95" s="334">
        <v>0.38540000000000002</v>
      </c>
      <c r="L95" s="333">
        <v>0.49757400000000002</v>
      </c>
      <c r="M95" s="333">
        <v>0.63452399999999998</v>
      </c>
      <c r="N95" s="367">
        <f t="shared" si="18"/>
        <v>0.80916749383207309</v>
      </c>
      <c r="P95" s="14"/>
      <c r="Q95" s="14"/>
      <c r="R95" s="14"/>
      <c r="S95" s="14"/>
      <c r="T95" s="14"/>
      <c r="U95" s="14"/>
      <c r="V95" s="14"/>
      <c r="W95" s="14"/>
      <c r="X95" s="14"/>
      <c r="Y95" s="14"/>
      <c r="Z95" s="14"/>
      <c r="AA95" s="14"/>
      <c r="AC95" s="327"/>
      <c r="AD95" s="327"/>
      <c r="AE95" s="327"/>
      <c r="AF95" s="327"/>
      <c r="AG95" s="327"/>
      <c r="AH95" s="327"/>
      <c r="AI95" s="327"/>
      <c r="AJ95" s="327"/>
      <c r="AK95" s="327"/>
    </row>
    <row r="96" spans="2:37" s="324" customFormat="1" x14ac:dyDescent="0.2">
      <c r="B96" s="374" t="s">
        <v>1484</v>
      </c>
      <c r="C96" s="372"/>
      <c r="D96" s="373">
        <f>SUM(D80:D93,D95)</f>
        <v>11.160837343335148</v>
      </c>
      <c r="E96" s="373">
        <f t="shared" ref="E96:N96" si="19">SUM(E80:E93,E95)</f>
        <v>11.414321000000001</v>
      </c>
      <c r="F96" s="373">
        <f t="shared" si="19"/>
        <v>10.972202000000001</v>
      </c>
      <c r="G96" s="373">
        <f t="shared" si="19"/>
        <v>11.520390000000001</v>
      </c>
      <c r="H96" s="373">
        <f t="shared" si="19"/>
        <v>11.730081000000004</v>
      </c>
      <c r="I96" s="373">
        <f t="shared" si="19"/>
        <v>11.979802000000001</v>
      </c>
      <c r="J96" s="373">
        <f t="shared" si="19"/>
        <v>12.103805000000001</v>
      </c>
      <c r="K96" s="373">
        <f t="shared" si="19"/>
        <v>12.365116000000002</v>
      </c>
      <c r="L96" s="373">
        <f t="shared" si="19"/>
        <v>12.761536000000003</v>
      </c>
      <c r="M96" s="373">
        <f t="shared" si="19"/>
        <v>13.292259</v>
      </c>
      <c r="N96" s="373">
        <f t="shared" si="19"/>
        <v>13.910265854903265</v>
      </c>
      <c r="P96" s="14"/>
      <c r="Q96" s="14"/>
      <c r="R96" s="14"/>
      <c r="S96" s="14"/>
      <c r="T96" s="14"/>
      <c r="U96" s="14"/>
      <c r="V96" s="14"/>
      <c r="W96" s="14"/>
      <c r="X96" s="14"/>
      <c r="Y96" s="14"/>
      <c r="Z96" s="14"/>
      <c r="AA96" s="14"/>
      <c r="AC96" s="327"/>
      <c r="AD96" s="327"/>
      <c r="AE96" s="327"/>
      <c r="AF96" s="327"/>
      <c r="AG96" s="327"/>
      <c r="AH96" s="327"/>
      <c r="AI96" s="327"/>
      <c r="AJ96" s="327"/>
      <c r="AK96" s="327"/>
    </row>
    <row r="97" spans="2:37" s="324" customFormat="1" x14ac:dyDescent="0.2">
      <c r="B97" s="331"/>
      <c r="C97" s="332"/>
      <c r="D97" s="333"/>
      <c r="E97" s="333"/>
      <c r="F97" s="333"/>
      <c r="G97" s="333"/>
      <c r="H97" s="333"/>
      <c r="I97" s="333"/>
      <c r="J97" s="333"/>
      <c r="K97" s="333"/>
      <c r="L97" s="333"/>
      <c r="M97" s="333"/>
      <c r="N97" s="367"/>
      <c r="P97" s="14"/>
      <c r="Q97" s="14"/>
      <c r="R97" s="14"/>
      <c r="S97" s="14"/>
      <c r="T97" s="14"/>
      <c r="U97" s="14"/>
      <c r="V97" s="14"/>
      <c r="W97" s="14"/>
      <c r="X97" s="14"/>
      <c r="Y97" s="14"/>
      <c r="Z97" s="14"/>
      <c r="AA97" s="14"/>
      <c r="AB97" s="327"/>
      <c r="AC97" s="327"/>
      <c r="AD97" s="327"/>
      <c r="AE97" s="327"/>
      <c r="AF97" s="327"/>
      <c r="AG97" s="327"/>
      <c r="AH97" s="327"/>
      <c r="AI97" s="327"/>
      <c r="AJ97" s="327"/>
      <c r="AK97" s="327"/>
    </row>
    <row r="98" spans="2:37" s="324" customFormat="1" x14ac:dyDescent="0.2">
      <c r="B98" s="337" t="s">
        <v>1494</v>
      </c>
      <c r="C98" s="332"/>
      <c r="D98" s="335">
        <v>10.1245260238647</v>
      </c>
      <c r="E98" s="336">
        <v>10.347564999999999</v>
      </c>
      <c r="F98" s="336">
        <v>9.5697910000000004</v>
      </c>
      <c r="G98" s="336">
        <v>9.4179560000000002</v>
      </c>
      <c r="H98" s="336">
        <v>9.2775800000000004</v>
      </c>
      <c r="I98" s="336">
        <v>9.1329999999999991</v>
      </c>
      <c r="J98" s="336">
        <v>9.3774160000000002</v>
      </c>
      <c r="K98" s="336">
        <v>9.5147720000000007</v>
      </c>
      <c r="L98" s="335">
        <v>9.9067640000000008</v>
      </c>
      <c r="M98" s="335">
        <v>10.336385</v>
      </c>
      <c r="N98" s="367">
        <f t="shared" si="18"/>
        <v>10.784637129563698</v>
      </c>
      <c r="P98" s="14"/>
      <c r="Q98" s="14"/>
      <c r="R98" s="14"/>
      <c r="S98" s="14"/>
      <c r="T98" s="14"/>
      <c r="U98" s="14"/>
      <c r="V98" s="14"/>
      <c r="W98" s="14"/>
      <c r="X98" s="14"/>
      <c r="Y98" s="14"/>
      <c r="Z98" s="14"/>
      <c r="AA98" s="14"/>
      <c r="AB98" s="327"/>
      <c r="AC98" s="327"/>
      <c r="AD98" s="327"/>
      <c r="AE98" s="327"/>
      <c r="AF98" s="327"/>
      <c r="AG98" s="327"/>
      <c r="AH98" s="327"/>
      <c r="AI98" s="327"/>
      <c r="AJ98" s="327"/>
      <c r="AK98" s="327"/>
    </row>
    <row r="99" spans="2:37" s="324" customFormat="1" x14ac:dyDescent="0.2">
      <c r="B99" s="332"/>
      <c r="C99" s="332"/>
      <c r="D99" s="333"/>
      <c r="E99" s="333"/>
      <c r="F99" s="333"/>
      <c r="G99" s="333"/>
      <c r="H99" s="333"/>
      <c r="I99" s="333"/>
      <c r="J99" s="333"/>
      <c r="K99" s="333"/>
      <c r="L99" s="333"/>
      <c r="M99" s="333"/>
      <c r="N99" s="367"/>
      <c r="P99" s="14"/>
      <c r="Q99" s="14"/>
      <c r="R99" s="14"/>
      <c r="S99" s="14"/>
      <c r="T99" s="14"/>
      <c r="U99" s="14"/>
      <c r="V99" s="14"/>
      <c r="W99" s="14"/>
      <c r="X99" s="14"/>
      <c r="Y99" s="14"/>
      <c r="Z99" s="14"/>
      <c r="AA99" s="14"/>
      <c r="AB99" s="327"/>
      <c r="AC99" s="327"/>
      <c r="AD99" s="327"/>
      <c r="AE99" s="327"/>
      <c r="AF99" s="327"/>
      <c r="AG99" s="327"/>
      <c r="AH99" s="327"/>
      <c r="AI99" s="327"/>
      <c r="AJ99" s="327"/>
      <c r="AK99" s="327"/>
    </row>
    <row r="100" spans="2:37" s="324" customFormat="1" x14ac:dyDescent="0.2">
      <c r="B100" s="338" t="s">
        <v>1495</v>
      </c>
      <c r="C100" s="332"/>
      <c r="D100" s="333"/>
      <c r="E100" s="333"/>
      <c r="F100" s="333"/>
      <c r="G100" s="333"/>
      <c r="H100" s="333"/>
      <c r="I100" s="333"/>
      <c r="J100" s="333"/>
      <c r="K100" s="333"/>
      <c r="L100" s="333"/>
      <c r="M100" s="333"/>
      <c r="N100" s="367"/>
      <c r="P100" s="14"/>
      <c r="Q100" s="14"/>
      <c r="R100" s="14"/>
      <c r="S100" s="14"/>
      <c r="T100" s="14"/>
      <c r="U100" s="14"/>
      <c r="V100" s="14"/>
      <c r="W100" s="14"/>
      <c r="X100" s="14"/>
      <c r="Y100" s="14"/>
      <c r="Z100" s="14"/>
      <c r="AA100" s="14"/>
      <c r="AB100" s="327"/>
      <c r="AC100" s="327"/>
      <c r="AD100" s="327"/>
      <c r="AE100" s="327"/>
      <c r="AF100" s="327"/>
      <c r="AG100" s="327"/>
      <c r="AH100" s="327"/>
      <c r="AI100" s="327"/>
      <c r="AJ100" s="327"/>
      <c r="AK100" s="327"/>
    </row>
    <row r="101" spans="2:37" s="324" customFormat="1" x14ac:dyDescent="0.2">
      <c r="B101" s="331" t="s">
        <v>1467</v>
      </c>
      <c r="C101" s="332"/>
      <c r="D101" s="333">
        <v>6.1418976783752397</v>
      </c>
      <c r="E101" s="334">
        <v>5.4862690000000001</v>
      </c>
      <c r="F101" s="334">
        <v>5.2682409999999997</v>
      </c>
      <c r="G101" s="334">
        <v>6.5168239999999997</v>
      </c>
      <c r="H101" s="334">
        <v>6.4811459999999999</v>
      </c>
      <c r="I101" s="334">
        <v>6.2194839999999996</v>
      </c>
      <c r="J101" s="334">
        <v>5.9325229999999998</v>
      </c>
      <c r="K101" s="334">
        <v>5.6719030000000004</v>
      </c>
      <c r="L101" s="333">
        <v>5.4835640000000003</v>
      </c>
      <c r="M101" s="333">
        <v>5.3043849999999999</v>
      </c>
      <c r="N101" s="367">
        <f t="shared" si="18"/>
        <v>5.1310607897026452</v>
      </c>
      <c r="P101" s="14"/>
      <c r="Q101" s="14"/>
      <c r="R101" s="14"/>
      <c r="S101" s="14"/>
      <c r="T101" s="14"/>
      <c r="U101" s="14"/>
      <c r="V101" s="14"/>
      <c r="W101" s="14"/>
      <c r="X101" s="14"/>
      <c r="Y101" s="14"/>
      <c r="Z101" s="14"/>
      <c r="AA101" s="14"/>
      <c r="AB101" s="327"/>
      <c r="AC101" s="327"/>
      <c r="AD101" s="327"/>
      <c r="AE101" s="327"/>
      <c r="AF101" s="327"/>
      <c r="AG101" s="327"/>
      <c r="AH101" s="327"/>
      <c r="AI101" s="327"/>
      <c r="AJ101" s="327"/>
      <c r="AK101" s="327"/>
    </row>
    <row r="102" spans="2:37" s="324" customFormat="1" x14ac:dyDescent="0.2">
      <c r="B102" s="331" t="s">
        <v>1468</v>
      </c>
      <c r="C102" s="332"/>
      <c r="D102" s="333">
        <v>2.61447978019714</v>
      </c>
      <c r="E102" s="334">
        <v>2.8351549999999999</v>
      </c>
      <c r="F102" s="334">
        <v>2.4087149999999999</v>
      </c>
      <c r="G102" s="334">
        <v>2.365208</v>
      </c>
      <c r="H102" s="334">
        <v>2.6097670000000002</v>
      </c>
      <c r="I102" s="334">
        <v>2.7844319999999998</v>
      </c>
      <c r="J102" s="334">
        <v>3.0226950000000001</v>
      </c>
      <c r="K102" s="334">
        <v>3.2779180000000001</v>
      </c>
      <c r="L102" s="333">
        <v>3.6009890000000002</v>
      </c>
      <c r="M102" s="333">
        <v>3.9717359999999999</v>
      </c>
      <c r="N102" s="367">
        <f t="shared" si="18"/>
        <v>4.3806539963593334</v>
      </c>
      <c r="P102" s="14"/>
      <c r="Q102" s="14"/>
      <c r="R102" s="14"/>
      <c r="S102" s="14"/>
      <c r="T102" s="14"/>
      <c r="U102" s="14"/>
      <c r="V102" s="14"/>
      <c r="W102" s="14"/>
      <c r="X102" s="14"/>
      <c r="Y102" s="14"/>
      <c r="Z102" s="14"/>
      <c r="AA102" s="14"/>
      <c r="AB102" s="327"/>
      <c r="AC102" s="327"/>
      <c r="AD102" s="327"/>
      <c r="AE102" s="327"/>
      <c r="AF102" s="327"/>
      <c r="AG102" s="327"/>
      <c r="AH102" s="327"/>
      <c r="AI102" s="327"/>
      <c r="AJ102" s="327"/>
      <c r="AK102" s="327"/>
    </row>
    <row r="103" spans="2:37" s="324" customFormat="1" x14ac:dyDescent="0.2">
      <c r="B103" s="331" t="s">
        <v>1469</v>
      </c>
      <c r="C103" s="332"/>
      <c r="D103" s="333">
        <v>2.4715871810913099</v>
      </c>
      <c r="E103" s="334">
        <v>2.8474840000000001</v>
      </c>
      <c r="F103" s="334">
        <v>2.6669330000000002</v>
      </c>
      <c r="G103" s="334">
        <v>2.8613599999999999</v>
      </c>
      <c r="H103" s="334">
        <v>2.7744179999999998</v>
      </c>
      <c r="I103" s="334">
        <v>2.7702309999999999</v>
      </c>
      <c r="J103" s="334">
        <v>2.8000310000000002</v>
      </c>
      <c r="K103" s="334">
        <v>2.8452839999999999</v>
      </c>
      <c r="L103" s="333">
        <v>2.9167800000000002</v>
      </c>
      <c r="M103" s="333">
        <v>2.988648</v>
      </c>
      <c r="N103" s="367">
        <f t="shared" si="18"/>
        <v>3.0622867915660419</v>
      </c>
      <c r="P103" s="14"/>
      <c r="Q103" s="14"/>
      <c r="R103" s="14"/>
      <c r="S103" s="14"/>
      <c r="T103" s="14"/>
      <c r="U103" s="14"/>
      <c r="V103" s="14"/>
      <c r="W103" s="14"/>
      <c r="X103" s="14"/>
      <c r="Y103" s="14"/>
      <c r="Z103" s="14"/>
      <c r="AA103" s="14"/>
      <c r="AB103" s="327"/>
      <c r="AC103" s="327"/>
      <c r="AD103" s="327"/>
      <c r="AE103" s="327"/>
    </row>
    <row r="104" spans="2:37" s="324" customFormat="1" x14ac:dyDescent="0.2">
      <c r="B104" s="331" t="s">
        <v>1470</v>
      </c>
      <c r="C104" s="332"/>
      <c r="D104" s="333">
        <v>1.25530982017517</v>
      </c>
      <c r="E104" s="334">
        <v>1.1647540000000001</v>
      </c>
      <c r="F104" s="334">
        <v>1.0668660000000001</v>
      </c>
      <c r="G104" s="334">
        <v>0.85222200000000004</v>
      </c>
      <c r="H104" s="334">
        <v>0.81624399999999997</v>
      </c>
      <c r="I104" s="334">
        <v>0.78561499999999995</v>
      </c>
      <c r="J104" s="334">
        <v>0.80151399999999995</v>
      </c>
      <c r="K104" s="334">
        <v>0.82500899999999999</v>
      </c>
      <c r="L104" s="333">
        <v>0.87239699999999998</v>
      </c>
      <c r="M104" s="333">
        <v>0.91037599999999996</v>
      </c>
      <c r="N104" s="367">
        <f t="shared" si="18"/>
        <v>0.95000838078993843</v>
      </c>
      <c r="P104" s="14"/>
      <c r="Q104" s="14"/>
      <c r="R104" s="14"/>
      <c r="S104" s="14"/>
      <c r="T104" s="14"/>
      <c r="U104" s="14"/>
      <c r="V104" s="14"/>
      <c r="W104" s="14"/>
      <c r="X104" s="14"/>
      <c r="Y104" s="14"/>
      <c r="Z104" s="14"/>
      <c r="AA104" s="14"/>
      <c r="AB104" s="327"/>
      <c r="AC104" s="327"/>
      <c r="AD104" s="327"/>
      <c r="AE104" s="327"/>
      <c r="AF104" s="327"/>
      <c r="AG104" s="327"/>
      <c r="AH104" s="327"/>
      <c r="AI104" s="327"/>
      <c r="AJ104" s="327"/>
      <c r="AK104" s="327"/>
    </row>
    <row r="105" spans="2:37" s="324" customFormat="1" x14ac:dyDescent="0.2">
      <c r="B105" s="331" t="s">
        <v>1471</v>
      </c>
      <c r="C105" s="332"/>
      <c r="D105" s="333">
        <v>0.57268238067626998</v>
      </c>
      <c r="E105" s="334">
        <v>0.58090900000000001</v>
      </c>
      <c r="F105" s="334">
        <v>0.56077900000000003</v>
      </c>
      <c r="G105" s="334">
        <v>0.278059</v>
      </c>
      <c r="H105" s="334">
        <v>0.27972900000000001</v>
      </c>
      <c r="I105" s="334">
        <v>0.27929199999999998</v>
      </c>
      <c r="J105" s="334">
        <v>0.28497600000000001</v>
      </c>
      <c r="K105" s="334">
        <v>0.29116700000000001</v>
      </c>
      <c r="L105" s="333">
        <v>0.29946400000000001</v>
      </c>
      <c r="M105" s="333">
        <v>0.30645699999999998</v>
      </c>
      <c r="N105" s="367">
        <f t="shared" si="18"/>
        <v>0.31361329859014764</v>
      </c>
      <c r="P105" s="14"/>
      <c r="Q105" s="14"/>
      <c r="R105" s="14"/>
      <c r="S105" s="14"/>
      <c r="T105" s="14"/>
      <c r="U105" s="14"/>
      <c r="V105" s="14"/>
      <c r="W105" s="14"/>
      <c r="X105" s="14"/>
      <c r="Y105" s="14"/>
      <c r="Z105" s="14"/>
      <c r="AA105" s="14"/>
      <c r="AB105" s="327"/>
      <c r="AC105" s="327"/>
      <c r="AD105" s="327"/>
      <c r="AE105" s="327"/>
    </row>
    <row r="106" spans="2:37" s="324" customFormat="1" x14ac:dyDescent="0.2">
      <c r="B106" s="331" t="s">
        <v>1472</v>
      </c>
      <c r="C106" s="332"/>
      <c r="D106" s="333">
        <v>0.87609779834747303</v>
      </c>
      <c r="E106" s="334">
        <v>0.66277699999999995</v>
      </c>
      <c r="F106" s="334">
        <v>0.66571899999999995</v>
      </c>
      <c r="G106" s="334">
        <v>0.65924099999999997</v>
      </c>
      <c r="H106" s="334">
        <v>0.70603700000000003</v>
      </c>
      <c r="I106" s="334">
        <v>0.75097999999999998</v>
      </c>
      <c r="J106" s="334">
        <v>0.80088999999999999</v>
      </c>
      <c r="K106" s="334">
        <v>0.839117</v>
      </c>
      <c r="L106" s="333">
        <v>0.88828300000000004</v>
      </c>
      <c r="M106" s="333">
        <v>0.93792699999999996</v>
      </c>
      <c r="N106" s="367">
        <f t="shared" si="18"/>
        <v>0.99034548373547604</v>
      </c>
      <c r="P106" s="14"/>
      <c r="Q106" s="14"/>
      <c r="R106" s="14"/>
      <c r="S106" s="14"/>
      <c r="T106" s="14"/>
      <c r="U106" s="14"/>
      <c r="V106" s="14"/>
      <c r="W106" s="14"/>
      <c r="X106" s="14"/>
      <c r="Y106" s="14"/>
      <c r="Z106" s="14"/>
      <c r="AA106" s="14"/>
      <c r="AB106" s="327"/>
      <c r="AC106" s="327"/>
      <c r="AD106" s="327"/>
      <c r="AE106" s="327"/>
      <c r="AF106" s="327"/>
      <c r="AG106" s="327"/>
      <c r="AH106" s="327"/>
      <c r="AI106" s="327"/>
      <c r="AJ106" s="327"/>
      <c r="AK106" s="327"/>
    </row>
    <row r="107" spans="2:37" s="324" customFormat="1" x14ac:dyDescent="0.2">
      <c r="B107" s="331" t="s">
        <v>1473</v>
      </c>
      <c r="C107" s="332"/>
      <c r="D107" s="333">
        <v>0.26588606834411599</v>
      </c>
      <c r="E107" s="334">
        <v>0.25468400000000002</v>
      </c>
      <c r="F107" s="334">
        <v>0.22655900000000001</v>
      </c>
      <c r="G107" s="334">
        <v>0.198131</v>
      </c>
      <c r="H107" s="334">
        <v>0.191769</v>
      </c>
      <c r="I107" s="334">
        <v>0.18338699999999999</v>
      </c>
      <c r="J107" s="334">
        <v>0.18290400000000001</v>
      </c>
      <c r="K107" s="334">
        <v>0.18129899999999999</v>
      </c>
      <c r="L107" s="333">
        <v>0.18459900000000001</v>
      </c>
      <c r="M107" s="333">
        <v>0.18899299999999999</v>
      </c>
      <c r="N107" s="367">
        <f t="shared" si="18"/>
        <v>0.19349159014404194</v>
      </c>
      <c r="P107" s="14"/>
      <c r="Q107" s="14"/>
      <c r="R107" s="14"/>
      <c r="S107" s="14"/>
      <c r="T107" s="14"/>
      <c r="U107" s="14"/>
      <c r="V107" s="14"/>
      <c r="W107" s="14"/>
      <c r="X107" s="14"/>
      <c r="Y107" s="14"/>
      <c r="Z107" s="14"/>
      <c r="AA107" s="14"/>
      <c r="AB107" s="327"/>
      <c r="AC107" s="327"/>
      <c r="AD107" s="327"/>
      <c r="AE107" s="327"/>
      <c r="AF107" s="327"/>
      <c r="AG107" s="327"/>
      <c r="AH107" s="327"/>
      <c r="AI107" s="327"/>
      <c r="AJ107" s="327"/>
      <c r="AK107" s="327"/>
    </row>
    <row r="108" spans="2:37" s="324" customFormat="1" x14ac:dyDescent="0.2">
      <c r="B108" s="331" t="s">
        <v>1474</v>
      </c>
      <c r="C108" s="332"/>
      <c r="D108" s="333">
        <v>2.3133287429809601</v>
      </c>
      <c r="E108" s="334">
        <v>2.0203479999999998</v>
      </c>
      <c r="F108" s="334">
        <v>1.3459620000000001</v>
      </c>
      <c r="G108" s="334">
        <v>0.60499700000000001</v>
      </c>
      <c r="H108" s="334">
        <v>0.57413700000000001</v>
      </c>
      <c r="I108" s="334">
        <v>0.56876000000000004</v>
      </c>
      <c r="J108" s="334">
        <v>0.56916199999999995</v>
      </c>
      <c r="K108" s="334">
        <v>0.55844300000000002</v>
      </c>
      <c r="L108" s="333">
        <v>0.53939599999999999</v>
      </c>
      <c r="M108" s="333">
        <v>0.539906</v>
      </c>
      <c r="N108" s="367">
        <f t="shared" si="18"/>
        <v>0.54041648220602301</v>
      </c>
      <c r="P108" s="14"/>
      <c r="Q108" s="14"/>
      <c r="R108" s="14"/>
      <c r="S108" s="14"/>
      <c r="T108" s="14"/>
      <c r="U108" s="14"/>
      <c r="V108" s="14"/>
      <c r="W108" s="14"/>
      <c r="X108" s="14"/>
      <c r="Y108" s="14"/>
      <c r="Z108" s="14"/>
      <c r="AA108" s="14"/>
      <c r="AB108" s="327"/>
      <c r="AC108" s="327"/>
      <c r="AD108" s="327"/>
      <c r="AE108" s="327"/>
      <c r="AF108" s="327"/>
      <c r="AG108" s="327"/>
      <c r="AH108" s="327"/>
      <c r="AI108" s="327"/>
      <c r="AJ108" s="327"/>
      <c r="AK108" s="327"/>
    </row>
    <row r="109" spans="2:37" s="324" customFormat="1" x14ac:dyDescent="0.2">
      <c r="B109" s="331" t="s">
        <v>1491</v>
      </c>
      <c r="C109" s="332"/>
      <c r="D109" s="333">
        <v>0.110390990972519</v>
      </c>
      <c r="E109" s="334">
        <v>0.10158399999999999</v>
      </c>
      <c r="F109" s="334">
        <v>7.9586000000000004E-2</v>
      </c>
      <c r="G109" s="334">
        <v>0.105334</v>
      </c>
      <c r="H109" s="334">
        <v>0.107719</v>
      </c>
      <c r="I109" s="334">
        <v>0.109156</v>
      </c>
      <c r="J109" s="334">
        <v>0.114638</v>
      </c>
      <c r="K109" s="334">
        <v>0.11802600000000001</v>
      </c>
      <c r="L109" s="333">
        <v>0.12264</v>
      </c>
      <c r="M109" s="333">
        <v>0.126277</v>
      </c>
      <c r="N109" s="367">
        <f t="shared" si="18"/>
        <v>0.13002185852087411</v>
      </c>
      <c r="P109" s="14"/>
      <c r="Q109" s="14"/>
      <c r="R109" s="14"/>
      <c r="S109" s="14"/>
      <c r="T109" s="14"/>
      <c r="U109" s="14"/>
      <c r="V109" s="14"/>
      <c r="W109" s="14"/>
      <c r="X109" s="14"/>
      <c r="Y109" s="14"/>
      <c r="Z109" s="14"/>
      <c r="AA109" s="14"/>
      <c r="AB109" s="327"/>
      <c r="AC109" s="327"/>
      <c r="AD109" s="327"/>
      <c r="AE109" s="327"/>
      <c r="AF109" s="327"/>
      <c r="AG109" s="327"/>
      <c r="AH109" s="327"/>
      <c r="AI109" s="327"/>
      <c r="AJ109" s="327"/>
      <c r="AK109" s="327"/>
    </row>
    <row r="110" spans="2:37" s="324" customFormat="1" x14ac:dyDescent="0.2">
      <c r="B110" s="331" t="s">
        <v>1492</v>
      </c>
      <c r="C110" s="332"/>
      <c r="D110" s="333">
        <v>0.305109322071075</v>
      </c>
      <c r="E110" s="334">
        <v>0.319218</v>
      </c>
      <c r="F110" s="334">
        <v>0.283609</v>
      </c>
      <c r="G110" s="334">
        <v>7.6228000000000004E-2</v>
      </c>
      <c r="H110" s="334">
        <v>8.1015000000000004E-2</v>
      </c>
      <c r="I110" s="334">
        <v>8.4734000000000004E-2</v>
      </c>
      <c r="J110" s="334">
        <v>9.3600000000000003E-2</v>
      </c>
      <c r="K110" s="334">
        <v>0.101357</v>
      </c>
      <c r="L110" s="333">
        <v>0.110121</v>
      </c>
      <c r="M110" s="333">
        <v>0.117952</v>
      </c>
      <c r="N110" s="367">
        <f t="shared" si="18"/>
        <v>0.12633988343730987</v>
      </c>
      <c r="P110" s="14"/>
      <c r="Q110" s="14"/>
      <c r="R110" s="14"/>
      <c r="S110" s="14"/>
      <c r="T110" s="14"/>
      <c r="U110" s="14"/>
      <c r="V110" s="14"/>
      <c r="W110" s="14"/>
      <c r="X110" s="14"/>
      <c r="Y110" s="14"/>
      <c r="Z110" s="14"/>
      <c r="AA110" s="14"/>
      <c r="AB110" s="327"/>
      <c r="AC110" s="327"/>
      <c r="AD110" s="327"/>
      <c r="AE110" s="327"/>
      <c r="AF110" s="327"/>
      <c r="AG110" s="327"/>
      <c r="AH110" s="327"/>
      <c r="AI110" s="327"/>
      <c r="AJ110" s="327"/>
      <c r="AK110" s="327"/>
    </row>
    <row r="111" spans="2:37" s="324" customFormat="1" x14ac:dyDescent="0.2">
      <c r="B111" s="331" t="s">
        <v>1477</v>
      </c>
      <c r="C111" s="332"/>
      <c r="D111" s="333">
        <v>0.95304834842681896</v>
      </c>
      <c r="E111" s="334">
        <v>0.983711</v>
      </c>
      <c r="F111" s="334">
        <v>0.86565999999999999</v>
      </c>
      <c r="G111" s="334">
        <v>0.59894199999999997</v>
      </c>
      <c r="H111" s="334">
        <v>0.49174499999999999</v>
      </c>
      <c r="I111" s="334">
        <v>0.43663000000000002</v>
      </c>
      <c r="J111" s="334">
        <v>0.39916000000000001</v>
      </c>
      <c r="K111" s="334">
        <v>0.37079299999999998</v>
      </c>
      <c r="L111" s="333">
        <v>0.36441600000000002</v>
      </c>
      <c r="M111" s="333">
        <v>0.37015199999999998</v>
      </c>
      <c r="N111" s="367">
        <f t="shared" si="18"/>
        <v>0.37597828609062162</v>
      </c>
      <c r="P111" s="14"/>
      <c r="Q111" s="14"/>
      <c r="R111" s="14"/>
      <c r="S111" s="14"/>
      <c r="T111" s="14"/>
      <c r="U111" s="14"/>
      <c r="V111" s="14"/>
      <c r="W111" s="14"/>
      <c r="X111" s="14"/>
      <c r="Y111" s="14"/>
      <c r="Z111" s="14"/>
      <c r="AA111" s="14"/>
      <c r="AB111" s="327"/>
      <c r="AC111" s="327"/>
      <c r="AD111" s="327"/>
      <c r="AE111" s="327"/>
      <c r="AF111" s="327"/>
      <c r="AG111" s="327"/>
      <c r="AH111" s="327"/>
      <c r="AI111" s="327"/>
      <c r="AJ111" s="327"/>
      <c r="AK111" s="327"/>
    </row>
    <row r="112" spans="2:37" s="324" customFormat="1" x14ac:dyDescent="0.2">
      <c r="B112" s="331" t="s">
        <v>1478</v>
      </c>
      <c r="C112" s="332"/>
      <c r="D112" s="333">
        <v>0.20761233568191501</v>
      </c>
      <c r="E112" s="334">
        <v>0.49118000000000001</v>
      </c>
      <c r="F112" s="334">
        <v>0.33374599999999999</v>
      </c>
      <c r="G112" s="334">
        <v>0.2482</v>
      </c>
      <c r="H112" s="334">
        <v>0.32289099999999998</v>
      </c>
      <c r="I112" s="334">
        <v>0.27981200000000001</v>
      </c>
      <c r="J112" s="334">
        <v>0.23866799999999999</v>
      </c>
      <c r="K112" s="334">
        <v>0.20091200000000001</v>
      </c>
      <c r="L112" s="333">
        <v>0.17945700000000001</v>
      </c>
      <c r="M112" s="333">
        <v>0.17397000000000001</v>
      </c>
      <c r="N112" s="367">
        <f t="shared" si="18"/>
        <v>0.16865076815058763</v>
      </c>
      <c r="P112" s="14"/>
      <c r="Q112" s="14"/>
      <c r="R112" s="14"/>
      <c r="S112" s="14"/>
      <c r="T112" s="14"/>
      <c r="U112" s="14"/>
      <c r="V112" s="14"/>
      <c r="W112" s="14"/>
      <c r="X112" s="14"/>
      <c r="Y112" s="14"/>
      <c r="Z112" s="14"/>
      <c r="AA112" s="14"/>
      <c r="AB112" s="327"/>
      <c r="AC112" s="327"/>
      <c r="AD112" s="327"/>
      <c r="AE112" s="327"/>
      <c r="AF112" s="327"/>
      <c r="AG112" s="327"/>
      <c r="AH112" s="327"/>
      <c r="AI112" s="327"/>
      <c r="AJ112" s="327"/>
      <c r="AK112" s="327"/>
    </row>
    <row r="113" spans="2:37" s="324" customFormat="1" x14ac:dyDescent="0.2">
      <c r="B113" s="331" t="s">
        <v>1479</v>
      </c>
      <c r="C113" s="332"/>
      <c r="D113" s="333">
        <v>0.187849476933479</v>
      </c>
      <c r="E113" s="334">
        <v>0.41628700000000002</v>
      </c>
      <c r="F113" s="334">
        <v>0.34479799999999999</v>
      </c>
      <c r="G113" s="334">
        <v>0.22392699999999999</v>
      </c>
      <c r="H113" s="334">
        <v>0.22417599999999999</v>
      </c>
      <c r="I113" s="334">
        <v>0.22392599999999999</v>
      </c>
      <c r="J113" s="334">
        <v>0.21618299999999999</v>
      </c>
      <c r="K113" s="334">
        <v>0.196406</v>
      </c>
      <c r="L113" s="333">
        <v>0.182334</v>
      </c>
      <c r="M113" s="333">
        <v>0.173677</v>
      </c>
      <c r="N113" s="367">
        <f t="shared" si="18"/>
        <v>0.1654310239944278</v>
      </c>
      <c r="P113" s="14"/>
      <c r="Q113" s="14"/>
      <c r="R113" s="14"/>
      <c r="S113" s="14"/>
      <c r="T113" s="14"/>
      <c r="U113" s="14"/>
      <c r="V113" s="14"/>
      <c r="W113" s="14"/>
      <c r="X113" s="14"/>
      <c r="Y113" s="14"/>
      <c r="Z113" s="14"/>
      <c r="AA113" s="14"/>
      <c r="AB113" s="327"/>
      <c r="AC113" s="327"/>
      <c r="AD113" s="327"/>
      <c r="AE113" s="327"/>
      <c r="AF113" s="327"/>
      <c r="AG113" s="327"/>
      <c r="AH113" s="327"/>
      <c r="AI113" s="327"/>
      <c r="AJ113" s="327"/>
      <c r="AK113" s="327"/>
    </row>
    <row r="114" spans="2:37" s="324" customFormat="1" x14ac:dyDescent="0.2">
      <c r="B114" s="331" t="s">
        <v>1480</v>
      </c>
      <c r="C114" s="332"/>
      <c r="D114" s="333">
        <v>3.3656198978424099</v>
      </c>
      <c r="E114" s="334">
        <v>3.5975239999999999</v>
      </c>
      <c r="F114" s="334">
        <v>4.4248180000000001</v>
      </c>
      <c r="G114" s="334">
        <v>5.4173179999999999</v>
      </c>
      <c r="H114" s="334">
        <v>5.4667950000000003</v>
      </c>
      <c r="I114" s="334">
        <v>5.7932949999999996</v>
      </c>
      <c r="J114" s="334">
        <v>6.2413259999999999</v>
      </c>
      <c r="K114" s="334">
        <v>6.6683149999999998</v>
      </c>
      <c r="L114" s="333">
        <v>7.2672169999999996</v>
      </c>
      <c r="M114" s="333">
        <v>7.9456879999999996</v>
      </c>
      <c r="N114" s="367">
        <f t="shared" si="18"/>
        <v>8.6875013906071601</v>
      </c>
      <c r="P114" s="14"/>
      <c r="Q114" s="14"/>
      <c r="R114" s="14"/>
      <c r="S114" s="14"/>
      <c r="T114" s="14"/>
      <c r="U114" s="14"/>
      <c r="V114" s="14"/>
      <c r="W114" s="14"/>
      <c r="X114" s="14"/>
      <c r="Y114" s="14"/>
      <c r="Z114" s="14"/>
      <c r="AA114" s="14"/>
      <c r="AB114" s="327"/>
      <c r="AC114" s="327"/>
      <c r="AD114" s="327"/>
      <c r="AE114" s="327"/>
      <c r="AF114" s="327"/>
      <c r="AG114" s="327"/>
      <c r="AH114" s="327"/>
      <c r="AI114" s="327"/>
      <c r="AJ114" s="327"/>
      <c r="AK114" s="327"/>
    </row>
    <row r="115" spans="2:37" s="324" customFormat="1" x14ac:dyDescent="0.2">
      <c r="B115" s="368" t="s">
        <v>1496</v>
      </c>
      <c r="C115" s="372"/>
      <c r="D115" s="373">
        <f>SUM(D101:D114)</f>
        <v>21.640899822115898</v>
      </c>
      <c r="E115" s="373">
        <f t="shared" ref="E115:N115" si="20">SUM(E101:E114)</f>
        <v>21.761884000000002</v>
      </c>
      <c r="F115" s="373">
        <f t="shared" si="20"/>
        <v>20.541991000000003</v>
      </c>
      <c r="G115" s="373">
        <f t="shared" si="20"/>
        <v>21.005990999999998</v>
      </c>
      <c r="H115" s="373">
        <f t="shared" si="20"/>
        <v>21.127588000000003</v>
      </c>
      <c r="I115" s="373">
        <f t="shared" si="20"/>
        <v>21.269733999999996</v>
      </c>
      <c r="J115" s="373">
        <f t="shared" si="20"/>
        <v>21.698270000000001</v>
      </c>
      <c r="K115" s="373">
        <f t="shared" si="20"/>
        <v>22.145949000000002</v>
      </c>
      <c r="L115" s="373">
        <f t="shared" si="20"/>
        <v>23.011656999999996</v>
      </c>
      <c r="M115" s="373">
        <f t="shared" si="20"/>
        <v>24.056144</v>
      </c>
      <c r="N115" s="373">
        <f t="shared" si="20"/>
        <v>25.215800023894634</v>
      </c>
      <c r="P115" s="14"/>
      <c r="Q115" s="14"/>
      <c r="R115" s="14"/>
      <c r="S115" s="14"/>
      <c r="T115" s="14"/>
      <c r="U115" s="14"/>
      <c r="V115" s="14"/>
      <c r="W115" s="14"/>
      <c r="X115" s="14"/>
      <c r="Y115" s="14"/>
      <c r="Z115" s="14"/>
      <c r="AA115" s="14"/>
      <c r="AB115" s="327"/>
      <c r="AC115" s="327"/>
      <c r="AD115" s="327"/>
      <c r="AE115" s="327"/>
      <c r="AF115" s="327"/>
      <c r="AG115" s="327"/>
      <c r="AH115" s="327"/>
      <c r="AI115" s="327"/>
      <c r="AJ115" s="327"/>
      <c r="AK115" s="327"/>
    </row>
    <row r="116" spans="2:37" s="324" customFormat="1" x14ac:dyDescent="0.2">
      <c r="B116" s="331" t="s">
        <v>1497</v>
      </c>
      <c r="C116" s="332"/>
      <c r="D116" s="333"/>
      <c r="E116" s="343"/>
      <c r="F116" s="343"/>
      <c r="G116" s="343">
        <v>7.8131000000000006E-2</v>
      </c>
      <c r="H116" s="343">
        <v>0.14977699999999999</v>
      </c>
      <c r="I116" s="343">
        <v>0.21981999999999999</v>
      </c>
      <c r="J116" s="343">
        <v>0.29947400000000002</v>
      </c>
      <c r="K116" s="343">
        <v>0.38540000000000002</v>
      </c>
      <c r="L116" s="333">
        <v>0.49757400000000002</v>
      </c>
      <c r="M116" s="333">
        <v>0.63452399999999998</v>
      </c>
      <c r="N116" s="367">
        <f t="shared" si="18"/>
        <v>0.80916749383207309</v>
      </c>
      <c r="P116" s="14"/>
      <c r="Q116" s="14"/>
      <c r="R116" s="14"/>
      <c r="S116" s="14"/>
      <c r="T116" s="14"/>
      <c r="U116" s="14"/>
      <c r="V116" s="14"/>
      <c r="W116" s="14"/>
      <c r="X116" s="14"/>
      <c r="Y116" s="14"/>
      <c r="Z116" s="14"/>
      <c r="AA116" s="14"/>
      <c r="AB116" s="327"/>
      <c r="AC116" s="327"/>
      <c r="AD116" s="327"/>
      <c r="AE116" s="327"/>
      <c r="AF116" s="327"/>
      <c r="AG116" s="327"/>
      <c r="AH116" s="327"/>
      <c r="AI116" s="327"/>
      <c r="AJ116" s="327"/>
      <c r="AK116" s="327"/>
    </row>
    <row r="117" spans="2:37" s="324" customFormat="1" x14ac:dyDescent="0.2">
      <c r="B117" s="368" t="s">
        <v>1498</v>
      </c>
      <c r="C117" s="372"/>
      <c r="D117" s="373">
        <f>SUM(D115:D116)</f>
        <v>21.640899822115898</v>
      </c>
      <c r="E117" s="373">
        <f t="shared" ref="E117:N117" si="21">SUM(E115:E116)</f>
        <v>21.761884000000002</v>
      </c>
      <c r="F117" s="373">
        <f t="shared" si="21"/>
        <v>20.541991000000003</v>
      </c>
      <c r="G117" s="373">
        <f t="shared" si="21"/>
        <v>21.084121999999997</v>
      </c>
      <c r="H117" s="373">
        <f t="shared" si="21"/>
        <v>21.277365000000003</v>
      </c>
      <c r="I117" s="373">
        <f t="shared" si="21"/>
        <v>21.489553999999995</v>
      </c>
      <c r="J117" s="373">
        <f t="shared" si="21"/>
        <v>21.997744000000001</v>
      </c>
      <c r="K117" s="373">
        <f t="shared" si="21"/>
        <v>22.531349000000002</v>
      </c>
      <c r="L117" s="373">
        <f t="shared" si="21"/>
        <v>23.509230999999996</v>
      </c>
      <c r="M117" s="373">
        <f t="shared" si="21"/>
        <v>24.690667999999999</v>
      </c>
      <c r="N117" s="373">
        <f t="shared" si="21"/>
        <v>26.024967517726708</v>
      </c>
      <c r="P117" s="14"/>
      <c r="Q117" s="14"/>
      <c r="R117" s="14"/>
      <c r="S117" s="14"/>
      <c r="T117" s="14"/>
      <c r="U117" s="14"/>
      <c r="V117" s="14"/>
      <c r="W117" s="14"/>
      <c r="X117" s="14"/>
      <c r="Y117" s="14"/>
      <c r="Z117" s="14"/>
      <c r="AA117" s="14"/>
      <c r="AB117" s="327"/>
      <c r="AC117" s="327"/>
      <c r="AD117" s="327"/>
      <c r="AE117" s="327"/>
      <c r="AF117" s="327"/>
      <c r="AG117" s="327"/>
      <c r="AH117" s="327"/>
      <c r="AI117" s="327"/>
      <c r="AJ117" s="327"/>
      <c r="AK117" s="327"/>
    </row>
    <row r="118" spans="2:37" s="324" customFormat="1" x14ac:dyDescent="0.2">
      <c r="B118" s="332"/>
      <c r="C118" s="332"/>
      <c r="D118" s="333"/>
      <c r="E118" s="333"/>
      <c r="F118" s="333"/>
      <c r="G118" s="333"/>
      <c r="H118" s="333"/>
      <c r="I118" s="333"/>
      <c r="J118" s="333"/>
      <c r="K118" s="333"/>
      <c r="L118" s="333"/>
      <c r="M118" s="333"/>
      <c r="N118" s="367"/>
      <c r="P118" s="14"/>
      <c r="Q118" s="14"/>
      <c r="R118" s="14"/>
      <c r="S118" s="14"/>
      <c r="T118" s="14"/>
      <c r="U118" s="14"/>
      <c r="V118" s="14"/>
      <c r="W118" s="14"/>
      <c r="X118" s="14"/>
      <c r="Y118" s="14"/>
      <c r="Z118" s="14"/>
      <c r="AA118" s="14"/>
      <c r="AB118" s="327"/>
      <c r="AC118" s="327"/>
      <c r="AD118" s="327"/>
      <c r="AE118" s="327"/>
      <c r="AF118" s="327"/>
      <c r="AG118" s="327"/>
      <c r="AH118" s="327"/>
      <c r="AI118" s="327"/>
      <c r="AJ118" s="327"/>
      <c r="AK118" s="327"/>
    </row>
    <row r="119" spans="2:37" s="324" customFormat="1" x14ac:dyDescent="0.2">
      <c r="B119" s="338" t="s">
        <v>1499</v>
      </c>
      <c r="C119" s="332"/>
      <c r="D119" s="333"/>
      <c r="E119" s="333"/>
      <c r="F119" s="333"/>
      <c r="G119" s="333"/>
      <c r="H119" s="333"/>
      <c r="I119" s="333"/>
      <c r="J119" s="333"/>
      <c r="K119" s="333"/>
      <c r="L119" s="333"/>
      <c r="M119" s="333"/>
      <c r="N119" s="367"/>
      <c r="P119" s="14"/>
      <c r="Q119" s="14"/>
      <c r="R119" s="14"/>
      <c r="S119" s="14"/>
      <c r="T119" s="14"/>
      <c r="U119" s="14"/>
      <c r="V119" s="14"/>
      <c r="W119" s="14"/>
      <c r="X119" s="14"/>
      <c r="Y119" s="14"/>
      <c r="Z119" s="14"/>
      <c r="AA119" s="14"/>
      <c r="AB119" s="327"/>
      <c r="AC119" s="327"/>
      <c r="AD119" s="327"/>
      <c r="AE119" s="327"/>
      <c r="AF119" s="327"/>
      <c r="AG119" s="327"/>
      <c r="AH119" s="327"/>
      <c r="AI119" s="327"/>
      <c r="AJ119" s="327"/>
      <c r="AK119" s="327"/>
    </row>
    <row r="120" spans="2:37" s="324" customFormat="1" x14ac:dyDescent="0.2">
      <c r="B120" s="331" t="s">
        <v>1500</v>
      </c>
      <c r="C120" s="332"/>
      <c r="D120" s="333">
        <v>3.2191900536418E-3</v>
      </c>
      <c r="E120" s="334">
        <v>6.4450000000000002E-3</v>
      </c>
      <c r="F120" s="334">
        <v>1.0699999999999999E-2</v>
      </c>
      <c r="G120" s="334">
        <v>1.3027E-2</v>
      </c>
      <c r="H120" s="334">
        <v>1.9101E-2</v>
      </c>
      <c r="I120" s="334">
        <v>2.6698E-2</v>
      </c>
      <c r="J120" s="334">
        <v>3.2747999999999999E-2</v>
      </c>
      <c r="K120" s="334">
        <v>3.4597999999999997E-2</v>
      </c>
      <c r="L120" s="333">
        <v>3.7157999999999997E-2</v>
      </c>
      <c r="M120" s="333">
        <v>4.0578000000000003E-2</v>
      </c>
      <c r="N120" s="367">
        <f t="shared" si="18"/>
        <v>4.4312774745680614E-2</v>
      </c>
      <c r="P120" s="14"/>
      <c r="Q120" s="14"/>
      <c r="R120" s="14"/>
      <c r="S120" s="14"/>
      <c r="T120" s="14"/>
      <c r="U120" s="14"/>
      <c r="V120" s="14"/>
      <c r="W120" s="14"/>
      <c r="X120" s="14"/>
      <c r="Y120" s="14"/>
      <c r="Z120" s="14"/>
      <c r="AA120" s="14"/>
      <c r="AB120" s="327"/>
      <c r="AC120" s="327"/>
      <c r="AD120" s="327"/>
      <c r="AE120" s="327"/>
      <c r="AF120" s="327"/>
      <c r="AG120" s="327"/>
      <c r="AH120" s="327"/>
      <c r="AI120" s="327"/>
      <c r="AJ120" s="327"/>
      <c r="AK120" s="327"/>
    </row>
    <row r="121" spans="2:37" s="324" customFormat="1" x14ac:dyDescent="0.2">
      <c r="B121" s="331" t="s">
        <v>1501</v>
      </c>
      <c r="C121" s="332"/>
      <c r="D121" s="333">
        <v>9.8772877827286703E-3</v>
      </c>
      <c r="E121" s="334">
        <v>1.0442E-2</v>
      </c>
      <c r="F121" s="334">
        <v>9.2339999999999992E-3</v>
      </c>
      <c r="G121" s="334">
        <v>4.1875999999999997E-2</v>
      </c>
      <c r="H121" s="334">
        <v>8.2332000000000002E-2</v>
      </c>
      <c r="I121" s="334">
        <v>0.11708300000000001</v>
      </c>
      <c r="J121" s="334">
        <v>0.13961699999999999</v>
      </c>
      <c r="K121" s="334">
        <v>0.139127</v>
      </c>
      <c r="L121" s="333">
        <v>0.14035800000000001</v>
      </c>
      <c r="M121" s="333">
        <v>0.140678</v>
      </c>
      <c r="N121" s="367">
        <f t="shared" si="18"/>
        <v>0.14099872956297466</v>
      </c>
      <c r="P121" s="14"/>
      <c r="Q121" s="14"/>
      <c r="R121" s="14"/>
      <c r="S121" s="14"/>
      <c r="T121" s="14"/>
      <c r="U121" s="14"/>
      <c r="V121" s="14"/>
      <c r="W121" s="14"/>
      <c r="X121" s="14"/>
      <c r="Y121" s="14"/>
      <c r="Z121" s="14"/>
      <c r="AA121" s="14"/>
      <c r="AB121" s="327"/>
      <c r="AC121" s="327"/>
      <c r="AD121" s="327"/>
      <c r="AE121" s="327"/>
      <c r="AF121" s="327"/>
      <c r="AG121" s="327"/>
      <c r="AH121" s="327"/>
      <c r="AI121" s="327"/>
      <c r="AJ121" s="327"/>
      <c r="AK121" s="327"/>
    </row>
    <row r="122" spans="2:37" s="324" customFormat="1" x14ac:dyDescent="0.2">
      <c r="B122" s="331" t="s">
        <v>1502</v>
      </c>
      <c r="C122" s="332"/>
      <c r="D122" s="333">
        <v>1.0117285273736299E-4</v>
      </c>
      <c r="E122" s="334">
        <v>1.1379999999999999E-2</v>
      </c>
      <c r="F122" s="334">
        <v>7.6436000000000004E-2</v>
      </c>
      <c r="G122" s="334">
        <v>0.224748</v>
      </c>
      <c r="H122" s="334">
        <v>0.43442599999999998</v>
      </c>
      <c r="I122" s="334">
        <v>0.63500900000000005</v>
      </c>
      <c r="J122" s="334">
        <v>0.88302199999999997</v>
      </c>
      <c r="K122" s="334">
        <v>1.132468</v>
      </c>
      <c r="L122" s="333">
        <v>1.4835309999999999</v>
      </c>
      <c r="M122" s="333">
        <v>1.890247</v>
      </c>
      <c r="N122" s="367">
        <f t="shared" si="18"/>
        <v>2.4084658298404285</v>
      </c>
      <c r="P122" s="14"/>
      <c r="Q122" s="14"/>
      <c r="R122" s="14"/>
      <c r="S122" s="14"/>
      <c r="T122" s="14"/>
      <c r="U122" s="14"/>
      <c r="V122" s="14"/>
      <c r="W122" s="14"/>
      <c r="X122" s="14"/>
      <c r="Y122" s="14"/>
      <c r="Z122" s="14"/>
      <c r="AA122" s="14"/>
      <c r="AB122" s="327"/>
      <c r="AC122" s="327"/>
      <c r="AD122" s="327"/>
      <c r="AE122" s="327"/>
      <c r="AF122" s="327"/>
      <c r="AG122" s="327"/>
      <c r="AH122" s="327"/>
      <c r="AI122" s="327"/>
      <c r="AJ122" s="327"/>
      <c r="AK122" s="327"/>
    </row>
    <row r="123" spans="2:37" s="324" customFormat="1" x14ac:dyDescent="0.2">
      <c r="B123" s="331" t="s">
        <v>1503</v>
      </c>
      <c r="C123" s="332"/>
      <c r="D123" s="333"/>
      <c r="E123" s="334">
        <v>1.054E-3</v>
      </c>
      <c r="F123" s="334">
        <v>1.9677E-2</v>
      </c>
      <c r="G123" s="334">
        <v>1.7200000000000001E-4</v>
      </c>
      <c r="H123" s="334">
        <v>7.0500000000000001E-4</v>
      </c>
      <c r="I123" s="334">
        <v>9.6000000000000002E-4</v>
      </c>
      <c r="J123" s="334">
        <v>1.127E-3</v>
      </c>
      <c r="K123" s="334">
        <v>1.1349999999999999E-3</v>
      </c>
      <c r="L123" s="333">
        <v>1.17E-3</v>
      </c>
      <c r="M123" s="333">
        <v>1.1919999999999999E-3</v>
      </c>
      <c r="N123" s="367">
        <f t="shared" si="18"/>
        <v>1.214413675213675E-3</v>
      </c>
      <c r="P123" s="14"/>
      <c r="Q123" s="14"/>
      <c r="R123" s="14"/>
      <c r="S123" s="14"/>
      <c r="T123" s="14"/>
      <c r="U123" s="14"/>
      <c r="V123" s="14"/>
      <c r="W123" s="14"/>
      <c r="X123" s="14"/>
      <c r="Y123" s="14"/>
      <c r="Z123" s="14"/>
      <c r="AA123" s="14"/>
      <c r="AB123" s="327"/>
      <c r="AC123" s="327"/>
      <c r="AD123" s="327"/>
      <c r="AE123" s="327"/>
      <c r="AF123" s="327"/>
      <c r="AG123" s="327"/>
      <c r="AH123" s="327"/>
      <c r="AI123" s="327"/>
      <c r="AJ123" s="327"/>
      <c r="AK123" s="327"/>
    </row>
    <row r="124" spans="2:37" s="324" customFormat="1" x14ac:dyDescent="0.2">
      <c r="B124" s="368" t="s">
        <v>1419</v>
      </c>
      <c r="C124" s="372"/>
      <c r="D124" s="373">
        <f>SUM(D120:D123)</f>
        <v>1.3197650689107833E-2</v>
      </c>
      <c r="E124" s="373">
        <f t="shared" ref="E124:N124" si="22">SUM(E120:E123)</f>
        <v>2.9321E-2</v>
      </c>
      <c r="F124" s="373">
        <f t="shared" si="22"/>
        <v>0.11604700000000001</v>
      </c>
      <c r="G124" s="373">
        <f t="shared" si="22"/>
        <v>0.27982299999999999</v>
      </c>
      <c r="H124" s="373">
        <f t="shared" si="22"/>
        <v>0.53656399999999993</v>
      </c>
      <c r="I124" s="373">
        <f t="shared" si="22"/>
        <v>0.77975000000000005</v>
      </c>
      <c r="J124" s="373">
        <f t="shared" si="22"/>
        <v>1.0565140000000002</v>
      </c>
      <c r="K124" s="373">
        <f t="shared" si="22"/>
        <v>1.307328</v>
      </c>
      <c r="L124" s="373">
        <f t="shared" si="22"/>
        <v>1.6622169999999998</v>
      </c>
      <c r="M124" s="373">
        <f t="shared" si="22"/>
        <v>2.072695</v>
      </c>
      <c r="N124" s="373">
        <f t="shared" si="22"/>
        <v>2.5949917478242974</v>
      </c>
      <c r="P124" s="14"/>
      <c r="Q124" s="14"/>
      <c r="R124" s="14"/>
      <c r="S124" s="14"/>
      <c r="T124" s="14"/>
      <c r="U124" s="14"/>
      <c r="V124" s="14"/>
      <c r="W124" s="14"/>
      <c r="X124" s="14"/>
      <c r="Y124" s="14"/>
      <c r="Z124" s="14"/>
      <c r="AA124" s="14"/>
      <c r="AB124" s="327"/>
      <c r="AC124" s="327"/>
      <c r="AD124" s="327"/>
      <c r="AE124" s="327"/>
    </row>
    <row r="125" spans="2:37" s="324" customFormat="1" x14ac:dyDescent="0.2">
      <c r="B125" s="332"/>
      <c r="C125" s="332"/>
      <c r="D125" s="333"/>
      <c r="E125" s="333"/>
      <c r="F125" s="333"/>
      <c r="G125" s="333"/>
      <c r="H125" s="333"/>
      <c r="I125" s="333"/>
      <c r="J125" s="333"/>
      <c r="K125" s="333"/>
      <c r="L125" s="333"/>
      <c r="M125" s="333"/>
      <c r="N125" s="367"/>
      <c r="P125" s="14"/>
      <c r="Q125" s="14"/>
      <c r="R125" s="14"/>
      <c r="S125" s="14"/>
      <c r="T125" s="14"/>
      <c r="U125" s="14"/>
      <c r="V125" s="14"/>
      <c r="W125" s="14"/>
      <c r="X125" s="14"/>
      <c r="Y125" s="14"/>
      <c r="Z125" s="14"/>
      <c r="AA125" s="14"/>
      <c r="AB125" s="327"/>
      <c r="AC125" s="327"/>
      <c r="AD125" s="327"/>
      <c r="AE125" s="327"/>
      <c r="AF125" s="327"/>
      <c r="AG125" s="327"/>
      <c r="AH125" s="327"/>
      <c r="AI125" s="327"/>
      <c r="AJ125" s="327"/>
      <c r="AK125" s="327"/>
    </row>
    <row r="126" spans="2:37" s="324" customFormat="1" x14ac:dyDescent="0.2">
      <c r="M126" s="438"/>
      <c r="N126" s="438"/>
      <c r="P126" s="14"/>
      <c r="Q126" s="14"/>
      <c r="R126" s="14"/>
      <c r="S126" s="14"/>
      <c r="T126" s="14"/>
      <c r="U126" s="14"/>
      <c r="V126" s="14"/>
      <c r="W126" s="14"/>
      <c r="X126" s="14"/>
      <c r="Y126" s="14"/>
      <c r="Z126" s="14"/>
      <c r="AA126" s="14"/>
      <c r="AB126" s="327"/>
      <c r="AC126" s="327"/>
      <c r="AD126" s="327"/>
      <c r="AE126" s="327"/>
      <c r="AF126" s="327"/>
      <c r="AG126" s="327"/>
      <c r="AH126" s="327"/>
      <c r="AI126" s="327"/>
      <c r="AJ126" s="327"/>
      <c r="AK126" s="327"/>
    </row>
    <row r="127" spans="2:37" s="324" customFormat="1" x14ac:dyDescent="0.2">
      <c r="M127" s="318"/>
      <c r="N127" s="318"/>
      <c r="P127" s="14"/>
      <c r="Q127" s="14"/>
      <c r="R127" s="14"/>
      <c r="S127" s="14"/>
      <c r="T127" s="14"/>
      <c r="U127" s="14"/>
      <c r="V127" s="14"/>
      <c r="W127" s="14"/>
      <c r="X127" s="14"/>
      <c r="Y127" s="14"/>
      <c r="Z127" s="14"/>
      <c r="AA127" s="14"/>
      <c r="AB127" s="327"/>
      <c r="AC127" s="327"/>
      <c r="AD127" s="327"/>
      <c r="AE127" s="327"/>
      <c r="AF127" s="327"/>
      <c r="AG127" s="327"/>
      <c r="AH127" s="327"/>
      <c r="AI127" s="327"/>
      <c r="AJ127" s="327"/>
      <c r="AK127" s="327"/>
    </row>
    <row r="128" spans="2:37" s="324" customFormat="1" x14ac:dyDescent="0.2">
      <c r="B128" s="362" t="s">
        <v>1504</v>
      </c>
      <c r="C128" s="362"/>
      <c r="D128" s="362"/>
      <c r="E128" s="362"/>
      <c r="F128" s="362"/>
      <c r="G128" s="362"/>
      <c r="H128" s="362"/>
      <c r="I128" s="344"/>
      <c r="J128" s="328"/>
      <c r="K128" s="329"/>
      <c r="L128" s="328"/>
      <c r="M128" s="328"/>
      <c r="N128" s="388"/>
      <c r="P128" s="14"/>
      <c r="Q128" s="14"/>
      <c r="R128" s="14"/>
      <c r="S128" s="14"/>
      <c r="T128" s="14"/>
      <c r="U128" s="14"/>
      <c r="V128" s="14"/>
      <c r="W128" s="14"/>
      <c r="X128" s="14"/>
      <c r="Y128" s="14"/>
      <c r="Z128" s="14"/>
      <c r="AA128" s="14"/>
      <c r="AB128" s="327"/>
      <c r="AC128" s="327"/>
      <c r="AD128" s="327"/>
      <c r="AE128" s="327"/>
      <c r="AF128" s="327"/>
      <c r="AG128" s="327"/>
      <c r="AH128" s="327"/>
      <c r="AI128" s="327"/>
      <c r="AJ128" s="327"/>
      <c r="AK128" s="327"/>
    </row>
    <row r="129" spans="2:37" s="324" customFormat="1" x14ac:dyDescent="0.2">
      <c r="B129" s="345"/>
      <c r="C129" s="345"/>
      <c r="D129" s="359">
        <v>2005</v>
      </c>
      <c r="E129" s="359">
        <v>2010</v>
      </c>
      <c r="F129" s="359">
        <v>2015</v>
      </c>
      <c r="G129" s="359">
        <v>2020</v>
      </c>
      <c r="H129" s="359">
        <v>2025</v>
      </c>
      <c r="I129" s="359">
        <v>2030</v>
      </c>
      <c r="J129" s="360">
        <v>2035</v>
      </c>
      <c r="K129" s="361">
        <v>2040</v>
      </c>
      <c r="L129" s="360">
        <v>2045</v>
      </c>
      <c r="M129" s="359">
        <v>2050</v>
      </c>
      <c r="N129" s="389">
        <v>2055</v>
      </c>
      <c r="P129" s="14"/>
      <c r="Q129" s="14"/>
      <c r="R129" s="14"/>
      <c r="S129" s="14"/>
      <c r="T129" s="14"/>
      <c r="U129" s="14"/>
      <c r="V129" s="14"/>
      <c r="W129" s="14"/>
      <c r="X129" s="14"/>
      <c r="Y129" s="14"/>
      <c r="Z129" s="14"/>
      <c r="AA129" s="14"/>
      <c r="AB129" s="327"/>
      <c r="AC129" s="327"/>
      <c r="AD129" s="327"/>
      <c r="AE129" s="327"/>
      <c r="AF129" s="327"/>
      <c r="AG129" s="327"/>
      <c r="AH129" s="327"/>
      <c r="AI129" s="327"/>
      <c r="AJ129" s="327"/>
      <c r="AK129" s="327"/>
    </row>
    <row r="130" spans="2:37" s="324" customFormat="1" x14ac:dyDescent="0.2">
      <c r="B130" s="338" t="s">
        <v>1505</v>
      </c>
      <c r="C130" s="346"/>
      <c r="D130" s="332"/>
      <c r="E130" s="332"/>
      <c r="F130" s="332"/>
      <c r="G130" s="332"/>
      <c r="H130" s="332"/>
      <c r="I130" s="346"/>
      <c r="J130" s="346"/>
      <c r="K130" s="346"/>
      <c r="L130" s="346"/>
      <c r="M130" s="346"/>
      <c r="N130" s="369"/>
      <c r="O130" s="438"/>
      <c r="P130" s="14"/>
      <c r="Q130" s="14"/>
      <c r="R130" s="14"/>
      <c r="S130" s="14"/>
      <c r="T130" s="14"/>
      <c r="U130" s="14"/>
      <c r="V130" s="14"/>
      <c r="W130" s="14"/>
      <c r="X130" s="14"/>
      <c r="Y130" s="14"/>
      <c r="Z130" s="14"/>
      <c r="AA130" s="14"/>
      <c r="AB130" s="327"/>
      <c r="AC130" s="327"/>
      <c r="AD130" s="327"/>
      <c r="AE130" s="327"/>
      <c r="AF130" s="327"/>
      <c r="AG130" s="327"/>
      <c r="AH130" s="327"/>
      <c r="AI130" s="327"/>
      <c r="AJ130" s="327"/>
      <c r="AK130" s="327"/>
    </row>
    <row r="131" spans="2:37" s="324" customFormat="1" x14ac:dyDescent="0.2">
      <c r="B131" s="338" t="s">
        <v>1506</v>
      </c>
      <c r="C131" s="346"/>
      <c r="D131" s="332"/>
      <c r="E131" s="332"/>
      <c r="F131" s="332"/>
      <c r="G131" s="332"/>
      <c r="H131" s="332"/>
      <c r="I131" s="346"/>
      <c r="J131" s="346"/>
      <c r="K131" s="346"/>
      <c r="L131" s="346"/>
      <c r="M131" s="347"/>
      <c r="N131" s="387"/>
      <c r="O131" s="318"/>
      <c r="P131" s="14"/>
      <c r="Q131" s="14"/>
      <c r="R131" s="14"/>
      <c r="S131" s="14"/>
      <c r="T131" s="14"/>
      <c r="U131" s="14"/>
      <c r="V131" s="14"/>
      <c r="W131" s="14"/>
      <c r="X131" s="14"/>
      <c r="Y131" s="14"/>
      <c r="Z131" s="14"/>
      <c r="AA131" s="14"/>
      <c r="AB131" s="327"/>
    </row>
    <row r="132" spans="2:37" s="324" customFormat="1" x14ac:dyDescent="0.2">
      <c r="B132" s="331" t="s">
        <v>1507</v>
      </c>
      <c r="C132" s="346"/>
      <c r="D132" s="348">
        <v>9.0129785537719709</v>
      </c>
      <c r="E132" s="349">
        <v>10.794453000000001</v>
      </c>
      <c r="F132" s="349">
        <v>10.602664000000001</v>
      </c>
      <c r="G132" s="349">
        <v>12.588226000000001</v>
      </c>
      <c r="H132" s="349">
        <v>14.081016999999999</v>
      </c>
      <c r="I132" s="349">
        <v>15.364176</v>
      </c>
      <c r="J132" s="349">
        <v>16.560500999999999</v>
      </c>
      <c r="K132" s="349">
        <v>17.718792000000001</v>
      </c>
      <c r="L132" s="350">
        <v>18.859971999999999</v>
      </c>
      <c r="M132" s="350">
        <v>19.985924000000001</v>
      </c>
      <c r="N132" s="367">
        <f>M132*M132/L132</f>
        <v>21.179096031201748</v>
      </c>
      <c r="O132" s="438"/>
      <c r="P132" s="14"/>
      <c r="Q132" s="14"/>
      <c r="R132" s="14"/>
      <c r="S132" s="14"/>
      <c r="T132" s="14"/>
      <c r="U132" s="14"/>
      <c r="V132" s="14"/>
      <c r="W132" s="14"/>
      <c r="X132" s="14"/>
      <c r="Y132" s="14"/>
      <c r="Z132" s="14"/>
      <c r="AA132" s="14"/>
      <c r="AB132" s="327"/>
    </row>
    <row r="133" spans="2:37" s="324" customFormat="1" x14ac:dyDescent="0.2">
      <c r="B133" s="331" t="s">
        <v>1508</v>
      </c>
      <c r="C133" s="346"/>
      <c r="D133" s="348">
        <v>24.643083572387699</v>
      </c>
      <c r="E133" s="349">
        <v>23.662371</v>
      </c>
      <c r="F133" s="349">
        <v>29.116599999999998</v>
      </c>
      <c r="G133" s="349">
        <v>30.217634</v>
      </c>
      <c r="H133" s="349">
        <v>31.545936999999999</v>
      </c>
      <c r="I133" s="349">
        <v>32.472884999999998</v>
      </c>
      <c r="J133" s="349">
        <v>33.339801999999999</v>
      </c>
      <c r="K133" s="349">
        <v>34.183968</v>
      </c>
      <c r="L133" s="350">
        <v>35.026974000000003</v>
      </c>
      <c r="M133" s="350">
        <v>35.849113000000003</v>
      </c>
      <c r="N133" s="367">
        <f t="shared" ref="N133:N192" si="23">M133*M133/L133</f>
        <v>36.690548914866845</v>
      </c>
      <c r="O133" s="318"/>
      <c r="P133" s="14"/>
      <c r="Q133" s="14"/>
      <c r="R133" s="14"/>
      <c r="S133" s="14"/>
      <c r="T133" s="14"/>
      <c r="U133" s="14"/>
      <c r="V133" s="14"/>
      <c r="W133" s="14"/>
      <c r="X133" s="14"/>
      <c r="Y133" s="14"/>
      <c r="Z133" s="14"/>
      <c r="AA133" s="14"/>
      <c r="AB133" s="327"/>
    </row>
    <row r="134" spans="2:37" x14ac:dyDescent="0.2">
      <c r="B134" s="331" t="s">
        <v>1509</v>
      </c>
      <c r="C134" s="346"/>
      <c r="D134" s="348">
        <v>0</v>
      </c>
      <c r="E134" s="349">
        <v>9.3999999999999994E-5</v>
      </c>
      <c r="F134" s="349">
        <v>0.40089900000000001</v>
      </c>
      <c r="G134" s="349">
        <v>1.3117239999999999</v>
      </c>
      <c r="H134" s="349">
        <v>1.3153570000000001</v>
      </c>
      <c r="I134" s="349">
        <v>1.3057799999999999</v>
      </c>
      <c r="J134" s="349">
        <v>1.296387</v>
      </c>
      <c r="K134" s="349">
        <v>1.2871710000000001</v>
      </c>
      <c r="L134" s="350">
        <v>1.2781199999999999</v>
      </c>
      <c r="M134" s="350">
        <v>1.2692270000000001</v>
      </c>
      <c r="N134" s="367">
        <f t="shared" si="23"/>
        <v>1.2603958763879763</v>
      </c>
      <c r="P134" s="14"/>
      <c r="Q134" s="14"/>
      <c r="R134" s="14"/>
      <c r="S134" s="14"/>
      <c r="T134" s="14"/>
      <c r="U134" s="14"/>
      <c r="V134" s="14"/>
      <c r="W134" s="14"/>
      <c r="X134" s="14"/>
      <c r="Y134" s="14"/>
      <c r="Z134" s="14"/>
      <c r="AA134" s="14"/>
      <c r="AB134" s="327"/>
      <c r="AC134" s="327"/>
      <c r="AD134" s="327"/>
    </row>
    <row r="135" spans="2:37" x14ac:dyDescent="0.2">
      <c r="B135" s="331" t="s">
        <v>1510</v>
      </c>
      <c r="C135" s="346"/>
      <c r="D135" s="348">
        <v>58.612491607666001</v>
      </c>
      <c r="E135" s="349">
        <v>60.716819999999998</v>
      </c>
      <c r="F135" s="349">
        <v>57.536338999999998</v>
      </c>
      <c r="G135" s="349">
        <v>60.555103000000003</v>
      </c>
      <c r="H135" s="349">
        <v>64.503296000000006</v>
      </c>
      <c r="I135" s="349">
        <v>68.541175999999993</v>
      </c>
      <c r="J135" s="349">
        <v>72.239448999999993</v>
      </c>
      <c r="K135" s="349">
        <v>75.724936999999997</v>
      </c>
      <c r="L135" s="350">
        <v>79.146407999999994</v>
      </c>
      <c r="M135" s="350">
        <v>82.431442000000004</v>
      </c>
      <c r="N135" s="367">
        <f t="shared" si="23"/>
        <v>85.852823923473125</v>
      </c>
      <c r="O135" s="438"/>
      <c r="P135" s="14"/>
      <c r="Q135" s="14"/>
      <c r="R135" s="14"/>
      <c r="S135" s="14"/>
      <c r="T135" s="14"/>
      <c r="U135" s="14"/>
      <c r="V135" s="14"/>
      <c r="W135" s="14"/>
      <c r="X135" s="14"/>
      <c r="Y135" s="14"/>
      <c r="Z135" s="14"/>
      <c r="AA135" s="14"/>
      <c r="AB135" s="327"/>
      <c r="AC135" s="327"/>
      <c r="AD135" s="327"/>
      <c r="AE135" s="327"/>
      <c r="AF135" s="327"/>
      <c r="AG135" s="327"/>
      <c r="AH135" s="327"/>
      <c r="AI135" s="327"/>
      <c r="AJ135" s="327"/>
      <c r="AK135" s="327"/>
    </row>
    <row r="136" spans="2:37" x14ac:dyDescent="0.2">
      <c r="B136" s="331" t="s">
        <v>1486</v>
      </c>
      <c r="C136" s="346"/>
      <c r="D136" s="348">
        <v>7.76714992523193</v>
      </c>
      <c r="E136" s="349">
        <v>7.3631719999999996</v>
      </c>
      <c r="F136" s="349">
        <v>6.5268139999999999</v>
      </c>
      <c r="G136" s="349">
        <v>5.548133</v>
      </c>
      <c r="H136" s="349">
        <v>5.3095049999999997</v>
      </c>
      <c r="I136" s="349">
        <v>5.0911799999999996</v>
      </c>
      <c r="J136" s="349">
        <v>4.9163410000000001</v>
      </c>
      <c r="K136" s="349">
        <v>4.7674130000000003</v>
      </c>
      <c r="L136" s="350">
        <v>4.614363</v>
      </c>
      <c r="M136" s="350">
        <v>4.4347300000000001</v>
      </c>
      <c r="N136" s="367">
        <f t="shared" si="23"/>
        <v>4.262089951072336</v>
      </c>
      <c r="P136" s="14"/>
      <c r="Q136" s="14"/>
      <c r="R136" s="14"/>
      <c r="S136" s="14"/>
      <c r="T136" s="14"/>
      <c r="U136" s="14"/>
      <c r="V136" s="14"/>
      <c r="W136" s="14"/>
      <c r="X136" s="14"/>
      <c r="Y136" s="14"/>
      <c r="Z136" s="14"/>
      <c r="AA136" s="14"/>
      <c r="AB136" s="327"/>
      <c r="AC136" s="327"/>
      <c r="AD136" s="327"/>
      <c r="AE136" s="327"/>
      <c r="AF136" s="327"/>
      <c r="AG136" s="327"/>
      <c r="AH136" s="327"/>
      <c r="AI136" s="327"/>
      <c r="AJ136" s="327"/>
      <c r="AK136" s="327"/>
    </row>
    <row r="137" spans="2:37" x14ac:dyDescent="0.2">
      <c r="B137" s="331" t="s">
        <v>1487</v>
      </c>
      <c r="C137" s="346"/>
      <c r="D137" s="348">
        <v>6.0340309143066397</v>
      </c>
      <c r="E137" s="349">
        <v>6.324808</v>
      </c>
      <c r="F137" s="349">
        <v>5.4681540000000002</v>
      </c>
      <c r="G137" s="349">
        <v>5.1948600000000003</v>
      </c>
      <c r="H137" s="349">
        <v>5.2618099999999997</v>
      </c>
      <c r="I137" s="349">
        <v>5.2354919999999998</v>
      </c>
      <c r="J137" s="349">
        <v>5.2259960000000003</v>
      </c>
      <c r="K137" s="349">
        <v>5.2102320000000004</v>
      </c>
      <c r="L137" s="350">
        <v>5.1845889999999999</v>
      </c>
      <c r="M137" s="350">
        <v>5.1537879999999996</v>
      </c>
      <c r="N137" s="367">
        <f t="shared" si="23"/>
        <v>5.1231699849195369</v>
      </c>
      <c r="O137" s="438"/>
      <c r="P137" s="14"/>
      <c r="Q137" s="14"/>
      <c r="R137" s="14"/>
      <c r="S137" s="14"/>
      <c r="T137" s="14"/>
      <c r="U137" s="14"/>
      <c r="V137" s="14"/>
      <c r="W137" s="14"/>
      <c r="X137" s="14"/>
      <c r="Y137" s="14"/>
      <c r="Z137" s="14"/>
      <c r="AA137" s="14"/>
      <c r="AB137" s="327"/>
      <c r="AC137" s="327"/>
      <c r="AD137" s="327"/>
      <c r="AE137" s="327"/>
      <c r="AF137" s="327"/>
      <c r="AG137" s="327"/>
      <c r="AH137" s="327"/>
      <c r="AI137" s="327"/>
      <c r="AJ137" s="327"/>
      <c r="AK137" s="327"/>
    </row>
    <row r="138" spans="2:37" x14ac:dyDescent="0.2">
      <c r="B138" s="331" t="s">
        <v>1511</v>
      </c>
      <c r="C138" s="346"/>
      <c r="D138" s="348">
        <v>0.68602198362350497</v>
      </c>
      <c r="E138" s="349">
        <v>0.65601100000000001</v>
      </c>
      <c r="F138" s="349">
        <v>0.46273300000000001</v>
      </c>
      <c r="G138" s="349">
        <v>2.8969999999999998E-3</v>
      </c>
      <c r="H138" s="349">
        <v>1.2782999999999999E-2</v>
      </c>
      <c r="I138" s="349">
        <v>2.6530999999999999E-2</v>
      </c>
      <c r="J138" s="349">
        <v>3.7892000000000002E-2</v>
      </c>
      <c r="K138" s="349">
        <v>4.7425000000000002E-2</v>
      </c>
      <c r="L138" s="350">
        <v>5.5631E-2</v>
      </c>
      <c r="M138" s="350">
        <v>6.2150999999999998E-2</v>
      </c>
      <c r="N138" s="367">
        <f t="shared" si="23"/>
        <v>6.9435149484999362E-2</v>
      </c>
      <c r="P138" s="14"/>
      <c r="Q138" s="14"/>
      <c r="R138" s="14"/>
      <c r="S138" s="14"/>
      <c r="T138" s="14"/>
      <c r="U138" s="14"/>
      <c r="V138" s="14"/>
      <c r="W138" s="14"/>
      <c r="X138" s="14"/>
      <c r="Y138" s="14"/>
      <c r="Z138" s="14"/>
      <c r="AA138" s="14"/>
      <c r="AB138" s="327"/>
      <c r="AC138" s="327"/>
      <c r="AD138" s="327"/>
      <c r="AE138" s="327"/>
      <c r="AF138" s="327"/>
      <c r="AG138" s="327"/>
      <c r="AH138" s="327"/>
      <c r="AI138" s="327"/>
      <c r="AJ138" s="327"/>
      <c r="AK138" s="327"/>
    </row>
    <row r="139" spans="2:37" x14ac:dyDescent="0.2">
      <c r="B139" s="331" t="s">
        <v>1512</v>
      </c>
      <c r="C139" s="346"/>
      <c r="D139" s="348">
        <v>2.8879349231720002</v>
      </c>
      <c r="E139" s="349">
        <v>2.7913100000000002</v>
      </c>
      <c r="F139" s="349">
        <v>2.753746</v>
      </c>
      <c r="G139" s="349">
        <v>3.3449070000000001</v>
      </c>
      <c r="H139" s="349">
        <v>3.2113849999999999</v>
      </c>
      <c r="I139" s="349">
        <v>3.0947770000000001</v>
      </c>
      <c r="J139" s="349">
        <v>2.9721950000000001</v>
      </c>
      <c r="K139" s="349">
        <v>2.848303</v>
      </c>
      <c r="L139" s="350">
        <v>2.7473010000000002</v>
      </c>
      <c r="M139" s="350">
        <v>2.662318</v>
      </c>
      <c r="N139" s="367">
        <f t="shared" si="23"/>
        <v>2.5799638019729181</v>
      </c>
      <c r="P139" s="14"/>
      <c r="Q139" s="14"/>
      <c r="R139" s="14"/>
      <c r="S139" s="14"/>
      <c r="T139" s="14"/>
      <c r="U139" s="14"/>
      <c r="V139" s="14"/>
      <c r="W139" s="14"/>
      <c r="X139" s="14"/>
      <c r="Y139" s="14"/>
      <c r="Z139" s="14"/>
      <c r="AA139" s="14"/>
      <c r="AB139" s="327"/>
      <c r="AC139" s="327"/>
      <c r="AD139" s="327"/>
      <c r="AE139" s="327"/>
      <c r="AF139" s="327"/>
      <c r="AG139" s="327"/>
      <c r="AH139" s="327"/>
      <c r="AI139" s="327"/>
      <c r="AJ139" s="327"/>
      <c r="AK139" s="327"/>
    </row>
    <row r="140" spans="2:37" x14ac:dyDescent="0.2">
      <c r="B140" s="331" t="s">
        <v>1500</v>
      </c>
      <c r="C140" s="346"/>
      <c r="D140" s="348">
        <v>0.15187999606132499</v>
      </c>
      <c r="E140" s="349">
        <v>0.451158</v>
      </c>
      <c r="F140" s="349">
        <v>0.882162</v>
      </c>
      <c r="G140" s="349">
        <v>0.65997899999999998</v>
      </c>
      <c r="H140" s="349">
        <v>0.90150600000000003</v>
      </c>
      <c r="I140" s="349">
        <v>1.189252</v>
      </c>
      <c r="J140" s="349">
        <v>1.469565</v>
      </c>
      <c r="K140" s="349">
        <v>1.741698</v>
      </c>
      <c r="L140" s="350">
        <v>1.9875970000000001</v>
      </c>
      <c r="M140" s="350">
        <v>2.2103090000000001</v>
      </c>
      <c r="N140" s="367">
        <f t="shared" si="23"/>
        <v>2.4579760763781593</v>
      </c>
      <c r="P140" s="14"/>
      <c r="Q140" s="14"/>
      <c r="R140" s="14"/>
      <c r="S140" s="14"/>
      <c r="T140" s="14"/>
      <c r="U140" s="14"/>
      <c r="V140" s="14"/>
      <c r="W140" s="14"/>
      <c r="X140" s="14"/>
      <c r="Y140" s="14"/>
      <c r="Z140" s="14"/>
      <c r="AA140" s="14"/>
      <c r="AB140" s="327"/>
      <c r="AC140" s="327"/>
      <c r="AD140" s="327"/>
      <c r="AE140" s="327"/>
      <c r="AF140" s="327"/>
      <c r="AG140" s="327"/>
      <c r="AH140" s="327"/>
      <c r="AI140" s="327"/>
      <c r="AJ140" s="327"/>
      <c r="AK140" s="327"/>
    </row>
    <row r="141" spans="2:37" x14ac:dyDescent="0.2">
      <c r="B141" s="368" t="s">
        <v>1419</v>
      </c>
      <c r="C141" s="369"/>
      <c r="D141" s="370">
        <f>SUM(D132:D140)</f>
        <v>109.79557147622107</v>
      </c>
      <c r="E141" s="370">
        <f t="shared" ref="E141:N141" si="24">SUM(E132:E140)</f>
        <v>112.76019700000001</v>
      </c>
      <c r="F141" s="370">
        <f t="shared" si="24"/>
        <v>113.75011099999999</v>
      </c>
      <c r="G141" s="370">
        <f t="shared" si="24"/>
        <v>119.42346300000003</v>
      </c>
      <c r="H141" s="370">
        <f t="shared" si="24"/>
        <v>126.14259599999998</v>
      </c>
      <c r="I141" s="370">
        <f t="shared" si="24"/>
        <v>132.32124899999999</v>
      </c>
      <c r="J141" s="370">
        <f t="shared" si="24"/>
        <v>138.05812799999998</v>
      </c>
      <c r="K141" s="370">
        <f t="shared" si="24"/>
        <v>143.52993900000001</v>
      </c>
      <c r="L141" s="370">
        <f t="shared" si="24"/>
        <v>148.90095499999998</v>
      </c>
      <c r="M141" s="370">
        <f t="shared" si="24"/>
        <v>154.05900199999999</v>
      </c>
      <c r="N141" s="370">
        <f t="shared" si="24"/>
        <v>159.47549970975768</v>
      </c>
      <c r="P141" s="14"/>
      <c r="Q141" s="14"/>
      <c r="R141" s="14"/>
      <c r="S141" s="14"/>
      <c r="T141" s="14"/>
      <c r="U141" s="14"/>
      <c r="V141" s="14"/>
      <c r="W141" s="14"/>
      <c r="X141" s="14"/>
      <c r="Y141" s="14"/>
      <c r="Z141" s="14"/>
      <c r="AA141" s="14"/>
      <c r="AB141" s="327"/>
      <c r="AC141" s="327"/>
      <c r="AD141" s="327"/>
      <c r="AE141" s="327"/>
      <c r="AF141" s="327"/>
      <c r="AG141" s="327"/>
      <c r="AH141" s="327"/>
      <c r="AI141" s="327"/>
      <c r="AJ141" s="327"/>
      <c r="AK141" s="327"/>
    </row>
    <row r="142" spans="2:37" x14ac:dyDescent="0.2">
      <c r="B142" s="385" t="s">
        <v>1513</v>
      </c>
      <c r="C142" s="369"/>
      <c r="D142" s="386">
        <v>1</v>
      </c>
      <c r="E142" s="386">
        <f>E141/D141</f>
        <v>1.0270013214915594</v>
      </c>
      <c r="F142" s="386">
        <f t="shared" ref="F142:N142" si="25">F141/E141</f>
        <v>1.0087789310974686</v>
      </c>
      <c r="G142" s="386">
        <f t="shared" si="25"/>
        <v>1.0498755733082321</v>
      </c>
      <c r="H142" s="386">
        <f t="shared" si="25"/>
        <v>1.0562630896074414</v>
      </c>
      <c r="I142" s="386">
        <f t="shared" si="25"/>
        <v>1.0489814955132206</v>
      </c>
      <c r="J142" s="386">
        <f t="shared" si="25"/>
        <v>1.0433556896065876</v>
      </c>
      <c r="K142" s="386">
        <f t="shared" si="25"/>
        <v>1.0396341097715016</v>
      </c>
      <c r="L142" s="386">
        <f t="shared" si="25"/>
        <v>1.0374208756543815</v>
      </c>
      <c r="M142" s="386">
        <f t="shared" si="25"/>
        <v>1.0346407919277618</v>
      </c>
      <c r="N142" s="386">
        <f t="shared" si="25"/>
        <v>1.0351585927433029</v>
      </c>
      <c r="P142" s="14"/>
      <c r="Q142" s="14"/>
      <c r="R142" s="14"/>
      <c r="S142" s="14"/>
      <c r="T142" s="14"/>
      <c r="U142" s="14"/>
      <c r="V142" s="14"/>
      <c r="W142" s="14"/>
      <c r="X142" s="14"/>
      <c r="Y142" s="14"/>
      <c r="Z142" s="14"/>
      <c r="AA142" s="14"/>
      <c r="AB142" s="327"/>
      <c r="AC142" s="327"/>
      <c r="AD142" s="327"/>
      <c r="AE142" s="327"/>
      <c r="AF142" s="327"/>
      <c r="AG142" s="327"/>
      <c r="AH142" s="327"/>
      <c r="AI142" s="327"/>
      <c r="AJ142" s="327"/>
      <c r="AK142" s="327"/>
    </row>
    <row r="143" spans="2:37" x14ac:dyDescent="0.2">
      <c r="B143" s="338" t="s">
        <v>1514</v>
      </c>
      <c r="C143" s="346"/>
      <c r="D143" s="351"/>
      <c r="E143" s="351"/>
      <c r="F143" s="351"/>
      <c r="G143" s="351"/>
      <c r="H143" s="351"/>
      <c r="I143" s="351"/>
      <c r="J143" s="351"/>
      <c r="K143" s="351"/>
      <c r="L143" s="350"/>
      <c r="M143" s="350"/>
      <c r="N143" s="367"/>
      <c r="P143" s="14"/>
      <c r="Q143" s="14"/>
      <c r="R143" s="14"/>
      <c r="S143" s="14"/>
      <c r="T143" s="14"/>
      <c r="U143" s="14"/>
      <c r="V143" s="14"/>
      <c r="W143" s="14"/>
      <c r="X143" s="14"/>
      <c r="Y143" s="14"/>
      <c r="Z143" s="14"/>
      <c r="AA143" s="14"/>
      <c r="AB143" s="324"/>
      <c r="AC143" s="327"/>
      <c r="AD143" s="327"/>
      <c r="AE143" s="327"/>
      <c r="AF143" s="327"/>
      <c r="AG143" s="327"/>
      <c r="AH143" s="327"/>
      <c r="AI143" s="327"/>
      <c r="AJ143" s="327"/>
      <c r="AK143" s="327"/>
    </row>
    <row r="144" spans="2:37" x14ac:dyDescent="0.2">
      <c r="B144" s="331" t="s">
        <v>1507</v>
      </c>
      <c r="C144" s="346"/>
      <c r="D144" s="348">
        <v>9.0129785537719709</v>
      </c>
      <c r="E144" s="349">
        <v>10.794458000000001</v>
      </c>
      <c r="F144" s="349">
        <v>10.602669000000001</v>
      </c>
      <c r="G144" s="349">
        <v>12.588221000000001</v>
      </c>
      <c r="H144" s="349">
        <v>14.081021</v>
      </c>
      <c r="I144" s="349">
        <v>15.364179</v>
      </c>
      <c r="J144" s="349">
        <v>16.560503000000001</v>
      </c>
      <c r="K144" s="349">
        <v>17.718796000000001</v>
      </c>
      <c r="L144" s="350">
        <v>18.859974000000001</v>
      </c>
      <c r="M144" s="350">
        <v>19.985924000000001</v>
      </c>
      <c r="N144" s="367">
        <f t="shared" si="23"/>
        <v>21.179093785271178</v>
      </c>
      <c r="P144" s="14"/>
      <c r="Q144" s="14"/>
      <c r="R144" s="14"/>
      <c r="S144" s="14"/>
      <c r="T144" s="14"/>
      <c r="U144" s="14"/>
      <c r="V144" s="14"/>
      <c r="W144" s="14"/>
      <c r="X144" s="14"/>
      <c r="Y144" s="14"/>
      <c r="Z144" s="14"/>
      <c r="AA144" s="14"/>
      <c r="AB144" s="324"/>
      <c r="AC144" s="327"/>
      <c r="AD144" s="327"/>
      <c r="AE144" s="327"/>
      <c r="AF144" s="327"/>
      <c r="AG144" s="327"/>
      <c r="AH144" s="327"/>
      <c r="AI144" s="327"/>
      <c r="AJ144" s="327"/>
      <c r="AK144" s="327"/>
    </row>
    <row r="145" spans="2:37" x14ac:dyDescent="0.2">
      <c r="B145" s="331" t="s">
        <v>1509</v>
      </c>
      <c r="C145" s="346"/>
      <c r="D145" s="348">
        <v>9.9999999747524292E-7</v>
      </c>
      <c r="E145" s="349">
        <v>9.3999999999999994E-5</v>
      </c>
      <c r="F145" s="349">
        <v>0.40089900000000001</v>
      </c>
      <c r="G145" s="349">
        <v>1.3117239999999999</v>
      </c>
      <c r="H145" s="349">
        <v>1.3153570000000001</v>
      </c>
      <c r="I145" s="349">
        <v>1.305779</v>
      </c>
      <c r="J145" s="349">
        <v>1.296387</v>
      </c>
      <c r="K145" s="349">
        <v>1.2871710000000001</v>
      </c>
      <c r="L145" s="350">
        <v>1.2781199999999999</v>
      </c>
      <c r="M145" s="350">
        <v>1.2692270000000001</v>
      </c>
      <c r="N145" s="367">
        <f t="shared" si="23"/>
        <v>1.2603958763879763</v>
      </c>
      <c r="P145" s="14"/>
      <c r="Q145" s="14"/>
      <c r="R145" s="14"/>
      <c r="S145" s="14"/>
      <c r="T145" s="14"/>
      <c r="U145" s="14"/>
      <c r="V145" s="14"/>
      <c r="W145" s="14"/>
      <c r="X145" s="14"/>
      <c r="Y145" s="14"/>
      <c r="Z145" s="14"/>
      <c r="AA145" s="14"/>
      <c r="AB145" s="324"/>
      <c r="AC145" s="327"/>
      <c r="AD145" s="327"/>
      <c r="AE145" s="327"/>
      <c r="AF145" s="327"/>
      <c r="AG145" s="327"/>
      <c r="AH145" s="327"/>
      <c r="AI145" s="327"/>
      <c r="AJ145" s="327"/>
      <c r="AK145" s="327"/>
    </row>
    <row r="146" spans="2:37" x14ac:dyDescent="0.2">
      <c r="B146" s="331" t="s">
        <v>1500</v>
      </c>
      <c r="C146" s="346"/>
      <c r="D146" s="348">
        <v>0.15187999606132499</v>
      </c>
      <c r="E146" s="349">
        <v>0.451158</v>
      </c>
      <c r="F146" s="349">
        <v>0.882162</v>
      </c>
      <c r="G146" s="349">
        <v>0.65997899999999998</v>
      </c>
      <c r="H146" s="349">
        <v>0.90150600000000003</v>
      </c>
      <c r="I146" s="349">
        <v>1.189252</v>
      </c>
      <c r="J146" s="349">
        <v>1.4695659999999999</v>
      </c>
      <c r="K146" s="349">
        <v>1.7416970000000001</v>
      </c>
      <c r="L146" s="350">
        <v>1.9875959999999999</v>
      </c>
      <c r="M146" s="350">
        <v>2.2103090000000001</v>
      </c>
      <c r="N146" s="367">
        <f t="shared" si="23"/>
        <v>2.4579773130359492</v>
      </c>
      <c r="P146" s="14"/>
      <c r="Q146" s="14"/>
      <c r="R146" s="14"/>
      <c r="S146" s="14"/>
      <c r="T146" s="14"/>
      <c r="U146" s="14"/>
      <c r="V146" s="14"/>
      <c r="W146" s="14"/>
      <c r="X146" s="14"/>
      <c r="Y146" s="14"/>
      <c r="Z146" s="14"/>
      <c r="AA146" s="14"/>
      <c r="AB146" s="324"/>
      <c r="AC146" s="327"/>
      <c r="AD146" s="327"/>
      <c r="AE146" s="327"/>
      <c r="AF146" s="327"/>
      <c r="AG146" s="327"/>
      <c r="AH146" s="327"/>
      <c r="AI146" s="327"/>
      <c r="AJ146" s="327"/>
      <c r="AK146" s="327"/>
    </row>
    <row r="147" spans="2:37" x14ac:dyDescent="0.2">
      <c r="B147" s="331" t="s">
        <v>1515</v>
      </c>
      <c r="C147" s="346"/>
      <c r="D147" s="348">
        <v>56.698097229003899</v>
      </c>
      <c r="E147" s="349">
        <v>62.480395999999999</v>
      </c>
      <c r="F147" s="349">
        <v>63.748565999999997</v>
      </c>
      <c r="G147" s="349">
        <v>62.428100999999998</v>
      </c>
      <c r="H147" s="349">
        <v>70.710128999999995</v>
      </c>
      <c r="I147" s="349">
        <v>78.657111999999998</v>
      </c>
      <c r="J147" s="349">
        <v>86.282950999999997</v>
      </c>
      <c r="K147" s="349">
        <v>93.693588000000005</v>
      </c>
      <c r="L147" s="350">
        <v>100.997017</v>
      </c>
      <c r="M147" s="350">
        <v>108.122772</v>
      </c>
      <c r="N147" s="367">
        <f t="shared" si="23"/>
        <v>115.7512783270023</v>
      </c>
      <c r="P147" s="14"/>
      <c r="Q147" s="14"/>
      <c r="R147" s="14"/>
      <c r="S147" s="14"/>
      <c r="T147" s="14"/>
      <c r="U147" s="14"/>
      <c r="V147" s="14"/>
      <c r="W147" s="14"/>
      <c r="X147" s="14"/>
      <c r="Y147" s="14"/>
      <c r="Z147" s="14"/>
      <c r="AA147" s="14"/>
      <c r="AB147" s="324"/>
      <c r="AC147" s="327"/>
      <c r="AD147" s="327"/>
      <c r="AE147" s="327"/>
      <c r="AF147" s="327"/>
      <c r="AG147" s="327"/>
      <c r="AH147" s="327"/>
      <c r="AI147" s="327"/>
      <c r="AJ147" s="327"/>
      <c r="AK147" s="327"/>
    </row>
    <row r="148" spans="2:37" x14ac:dyDescent="0.2">
      <c r="B148" s="331" t="s">
        <v>1516</v>
      </c>
      <c r="C148" s="346"/>
      <c r="D148" s="348">
        <v>51.317440032958999</v>
      </c>
      <c r="E148" s="349">
        <v>50.952517999999998</v>
      </c>
      <c r="F148" s="349">
        <v>48.021293999999997</v>
      </c>
      <c r="G148" s="349">
        <v>57.979027000000002</v>
      </c>
      <c r="H148" s="349">
        <v>58.130096000000002</v>
      </c>
      <c r="I148" s="349">
        <v>58.235847</v>
      </c>
      <c r="J148" s="349">
        <v>58.304741</v>
      </c>
      <c r="K148" s="349">
        <v>58.355373</v>
      </c>
      <c r="L148" s="350">
        <v>58.411189999999998</v>
      </c>
      <c r="M148" s="350">
        <v>58.455089999999998</v>
      </c>
      <c r="N148" s="367">
        <f t="shared" si="23"/>
        <v>58.499022993849287</v>
      </c>
      <c r="O148" s="358"/>
      <c r="P148" s="14"/>
      <c r="Q148" s="14"/>
      <c r="R148" s="14"/>
      <c r="S148" s="14"/>
      <c r="T148" s="14"/>
      <c r="U148" s="14"/>
      <c r="V148" s="14"/>
      <c r="W148" s="14"/>
      <c r="X148" s="14"/>
      <c r="Y148" s="14"/>
      <c r="Z148" s="14"/>
      <c r="AA148" s="14"/>
      <c r="AE148" s="327"/>
    </row>
    <row r="149" spans="2:37" x14ac:dyDescent="0.2">
      <c r="B149" s="368" t="s">
        <v>1419</v>
      </c>
      <c r="C149" s="369"/>
      <c r="D149" s="371">
        <f>SUM(D144:D148)</f>
        <v>117.18039681179619</v>
      </c>
      <c r="E149" s="371">
        <f t="shared" ref="E149:N149" si="26">SUM(E144:E148)</f>
        <v>124.678624</v>
      </c>
      <c r="F149" s="371">
        <f t="shared" si="26"/>
        <v>123.65558999999999</v>
      </c>
      <c r="G149" s="371">
        <f t="shared" si="26"/>
        <v>134.967052</v>
      </c>
      <c r="H149" s="371">
        <f t="shared" si="26"/>
        <v>145.13810899999999</v>
      </c>
      <c r="I149" s="371">
        <f t="shared" si="26"/>
        <v>154.75216900000001</v>
      </c>
      <c r="J149" s="371">
        <f t="shared" si="26"/>
        <v>163.91414800000001</v>
      </c>
      <c r="K149" s="371">
        <f t="shared" si="26"/>
        <v>172.79662500000001</v>
      </c>
      <c r="L149" s="371">
        <f t="shared" si="26"/>
        <v>181.533897</v>
      </c>
      <c r="M149" s="371">
        <f t="shared" si="26"/>
        <v>190.04332199999999</v>
      </c>
      <c r="N149" s="371">
        <f t="shared" si="26"/>
        <v>199.14776829554668</v>
      </c>
      <c r="P149" s="324"/>
      <c r="Q149" s="324"/>
      <c r="R149" s="324"/>
      <c r="S149" s="324"/>
      <c r="T149" s="324"/>
      <c r="U149" s="324"/>
      <c r="V149" s="323"/>
      <c r="W149" s="324"/>
      <c r="AC149" s="327"/>
      <c r="AD149" s="327"/>
      <c r="AE149" s="327"/>
      <c r="AF149" s="327"/>
      <c r="AG149" s="327"/>
      <c r="AH149" s="327"/>
      <c r="AI149" s="327"/>
      <c r="AJ149" s="327"/>
      <c r="AK149" s="327"/>
    </row>
    <row r="150" spans="2:37" x14ac:dyDescent="0.2">
      <c r="B150" s="332"/>
      <c r="C150" s="346"/>
      <c r="D150" s="351"/>
      <c r="E150" s="351"/>
      <c r="F150" s="351"/>
      <c r="G150" s="351"/>
      <c r="H150" s="351"/>
      <c r="I150" s="351"/>
      <c r="J150" s="351"/>
      <c r="K150" s="351"/>
      <c r="L150" s="350"/>
      <c r="M150" s="350"/>
      <c r="N150" s="367"/>
      <c r="P150" s="324"/>
      <c r="Q150" s="324"/>
      <c r="R150" s="324"/>
      <c r="S150" s="324"/>
      <c r="T150" s="324"/>
      <c r="U150" s="324"/>
      <c r="V150" s="323"/>
      <c r="W150" s="326"/>
      <c r="AC150" s="327"/>
      <c r="AD150" s="327"/>
      <c r="AE150" s="327"/>
      <c r="AF150" s="327"/>
      <c r="AG150" s="327"/>
      <c r="AH150" s="327"/>
      <c r="AI150" s="327"/>
      <c r="AJ150" s="327"/>
      <c r="AK150" s="327"/>
    </row>
    <row r="151" spans="2:37" x14ac:dyDescent="0.2">
      <c r="B151" s="338" t="s">
        <v>1517</v>
      </c>
      <c r="C151" s="346"/>
      <c r="D151" s="351"/>
      <c r="E151" s="351"/>
      <c r="F151" s="351"/>
      <c r="G151" s="351"/>
      <c r="H151" s="351"/>
      <c r="I151" s="351"/>
      <c r="J151" s="351"/>
      <c r="K151" s="351"/>
      <c r="L151" s="350"/>
      <c r="M151" s="350"/>
      <c r="N151" s="367"/>
      <c r="V151" s="326"/>
      <c r="AC151" s="327"/>
      <c r="AD151" s="327"/>
      <c r="AE151" s="327"/>
      <c r="AF151" s="327"/>
      <c r="AG151" s="327"/>
      <c r="AH151" s="327"/>
      <c r="AI151" s="327"/>
      <c r="AJ151" s="327"/>
      <c r="AK151" s="327"/>
    </row>
    <row r="152" spans="2:37" x14ac:dyDescent="0.2">
      <c r="B152" s="331" t="s">
        <v>1518</v>
      </c>
      <c r="C152" s="346"/>
      <c r="D152" s="348">
        <v>43.052391052246101</v>
      </c>
      <c r="E152" s="349">
        <v>46.943863</v>
      </c>
      <c r="F152" s="349">
        <v>49.645214000000003</v>
      </c>
      <c r="G152" s="349">
        <v>59.144154</v>
      </c>
      <c r="H152" s="349">
        <v>61.675991000000003</v>
      </c>
      <c r="I152" s="349">
        <v>63.111282000000003</v>
      </c>
      <c r="J152" s="349">
        <v>64.897079000000005</v>
      </c>
      <c r="K152" s="349">
        <v>67.381805</v>
      </c>
      <c r="L152" s="350">
        <v>69.659087999999997</v>
      </c>
      <c r="M152" s="350">
        <v>71.842628000000005</v>
      </c>
      <c r="N152" s="367">
        <f t="shared" si="23"/>
        <v>74.094613440049415</v>
      </c>
      <c r="AC152" s="327"/>
      <c r="AD152" s="327"/>
      <c r="AE152" s="327"/>
      <c r="AF152" s="327"/>
      <c r="AG152" s="327"/>
      <c r="AH152" s="327"/>
      <c r="AI152" s="327"/>
      <c r="AJ152" s="327"/>
      <c r="AK152" s="327"/>
    </row>
    <row r="153" spans="2:37" x14ac:dyDescent="0.2">
      <c r="B153" s="331" t="s">
        <v>1483</v>
      </c>
      <c r="C153" s="346"/>
      <c r="D153" s="348">
        <v>58.660655975341797</v>
      </c>
      <c r="E153" s="349">
        <v>59.781562999999998</v>
      </c>
      <c r="F153" s="349">
        <v>58.348605999999997</v>
      </c>
      <c r="G153" s="349">
        <v>60.065635999999998</v>
      </c>
      <c r="H153" s="349">
        <v>63.183993999999998</v>
      </c>
      <c r="I153" s="349">
        <v>66.761238000000006</v>
      </c>
      <c r="J153" s="349">
        <v>70.120711999999997</v>
      </c>
      <c r="K153" s="349">
        <v>73.355804000000006</v>
      </c>
      <c r="L153" s="350">
        <v>76.611816000000005</v>
      </c>
      <c r="M153" s="350">
        <v>79.692604000000003</v>
      </c>
      <c r="N153" s="367">
        <f t="shared" si="23"/>
        <v>82.897279608942</v>
      </c>
      <c r="AC153" s="327"/>
      <c r="AD153" s="327"/>
      <c r="AE153" s="327"/>
      <c r="AF153" s="327"/>
      <c r="AG153" s="327"/>
      <c r="AH153" s="327"/>
      <c r="AI153" s="327"/>
      <c r="AJ153" s="327"/>
      <c r="AK153" s="327"/>
    </row>
    <row r="154" spans="2:37" x14ac:dyDescent="0.2">
      <c r="B154" s="331" t="s">
        <v>1486</v>
      </c>
      <c r="C154" s="346"/>
      <c r="D154" s="348">
        <v>4.0430588722229004</v>
      </c>
      <c r="E154" s="349">
        <v>3.3552870000000001</v>
      </c>
      <c r="F154" s="349">
        <v>2.7793100000000002</v>
      </c>
      <c r="G154" s="349">
        <v>2.6456409999999999</v>
      </c>
      <c r="H154" s="349">
        <v>2.3857050000000002</v>
      </c>
      <c r="I154" s="349">
        <v>2.2166969999999999</v>
      </c>
      <c r="J154" s="349">
        <v>2.0668519999999999</v>
      </c>
      <c r="K154" s="349">
        <v>1.9220330000000001</v>
      </c>
      <c r="L154" s="350">
        <v>1.80236</v>
      </c>
      <c r="M154" s="350">
        <v>1.697292</v>
      </c>
      <c r="N154" s="367">
        <f t="shared" si="23"/>
        <v>1.5983489054706053</v>
      </c>
      <c r="AC154" s="327"/>
      <c r="AD154" s="327"/>
      <c r="AE154" s="327"/>
      <c r="AF154" s="327"/>
      <c r="AG154" s="327"/>
      <c r="AH154" s="327"/>
      <c r="AI154" s="327"/>
      <c r="AJ154" s="327"/>
      <c r="AK154" s="327"/>
    </row>
    <row r="155" spans="2:37" x14ac:dyDescent="0.2">
      <c r="B155" s="331" t="s">
        <v>1487</v>
      </c>
      <c r="C155" s="346"/>
      <c r="D155" s="348">
        <v>4.0272889137268102</v>
      </c>
      <c r="E155" s="349">
        <v>3.3885390000000002</v>
      </c>
      <c r="F155" s="349">
        <v>3.3543829999999999</v>
      </c>
      <c r="G155" s="349">
        <v>4.0547789999999999</v>
      </c>
      <c r="H155" s="349">
        <v>3.6748500000000002</v>
      </c>
      <c r="I155" s="349">
        <v>3.4217279999999999</v>
      </c>
      <c r="J155" s="349">
        <v>3.2032949999999998</v>
      </c>
      <c r="K155" s="349">
        <v>2.984899</v>
      </c>
      <c r="L155" s="350">
        <v>2.8259439999999998</v>
      </c>
      <c r="M155" s="350">
        <v>2.7075239999999998</v>
      </c>
      <c r="N155" s="367">
        <f t="shared" si="23"/>
        <v>2.594066340513471</v>
      </c>
      <c r="AC155" s="327"/>
      <c r="AD155" s="327"/>
      <c r="AE155" s="327"/>
      <c r="AF155" s="327"/>
      <c r="AG155" s="327"/>
      <c r="AH155" s="327"/>
      <c r="AI155" s="327"/>
      <c r="AJ155" s="327"/>
      <c r="AK155" s="327"/>
    </row>
    <row r="156" spans="2:37" x14ac:dyDescent="0.2">
      <c r="B156" s="331" t="s">
        <v>1519</v>
      </c>
      <c r="C156" s="346"/>
      <c r="D156" s="348">
        <v>0.17044399678707101</v>
      </c>
      <c r="E156" s="349">
        <v>0.64861999999999997</v>
      </c>
      <c r="F156" s="349">
        <v>0.68609399999999998</v>
      </c>
      <c r="G156" s="349">
        <v>1.6193630000000001</v>
      </c>
      <c r="H156" s="349">
        <v>3.2382330000000001</v>
      </c>
      <c r="I156" s="349">
        <v>4.7348220000000003</v>
      </c>
      <c r="J156" s="349">
        <v>5.6063939999999999</v>
      </c>
      <c r="K156" s="349">
        <v>5.6361780000000001</v>
      </c>
      <c r="L156" s="350">
        <v>5.6700030000000003</v>
      </c>
      <c r="M156" s="350">
        <v>5.7073559999999999</v>
      </c>
      <c r="N156" s="367">
        <f t="shared" si="23"/>
        <v>5.744955075109484</v>
      </c>
      <c r="AE156" s="327"/>
    </row>
    <row r="157" spans="2:37" x14ac:dyDescent="0.2">
      <c r="B157" s="368" t="s">
        <v>1419</v>
      </c>
      <c r="C157" s="369"/>
      <c r="D157" s="371">
        <f>SUM(D152:D156)</f>
        <v>109.95383881032467</v>
      </c>
      <c r="E157" s="371">
        <f t="shared" ref="E157:N157" si="27">SUM(E152:E156)</f>
        <v>114.11787199999999</v>
      </c>
      <c r="F157" s="371">
        <f t="shared" si="27"/>
        <v>114.81360699999999</v>
      </c>
      <c r="G157" s="371">
        <f t="shared" si="27"/>
        <v>127.529573</v>
      </c>
      <c r="H157" s="371">
        <f t="shared" si="27"/>
        <v>134.158773</v>
      </c>
      <c r="I157" s="371">
        <f t="shared" si="27"/>
        <v>140.24576700000003</v>
      </c>
      <c r="J157" s="371">
        <f t="shared" si="27"/>
        <v>145.89433199999999</v>
      </c>
      <c r="K157" s="371">
        <f t="shared" si="27"/>
        <v>151.28071900000003</v>
      </c>
      <c r="L157" s="371">
        <f t="shared" si="27"/>
        <v>156.569211</v>
      </c>
      <c r="M157" s="371">
        <f t="shared" si="27"/>
        <v>161.64740400000002</v>
      </c>
      <c r="N157" s="371">
        <f t="shared" si="27"/>
        <v>166.92926337008498</v>
      </c>
      <c r="AC157" s="327"/>
      <c r="AD157" s="327"/>
      <c r="AE157" s="327"/>
      <c r="AF157" s="327"/>
      <c r="AG157" s="327"/>
      <c r="AH157" s="327"/>
      <c r="AI157" s="327"/>
      <c r="AJ157" s="327"/>
      <c r="AK157" s="327"/>
    </row>
    <row r="158" spans="2:37" x14ac:dyDescent="0.2">
      <c r="B158" s="332"/>
      <c r="C158" s="346"/>
      <c r="D158" s="351"/>
      <c r="E158" s="351"/>
      <c r="F158" s="351"/>
      <c r="G158" s="351"/>
      <c r="H158" s="351"/>
      <c r="I158" s="351"/>
      <c r="J158" s="351"/>
      <c r="K158" s="351"/>
      <c r="L158" s="350"/>
      <c r="M158" s="350"/>
      <c r="N158" s="367"/>
      <c r="AC158" s="327"/>
      <c r="AD158" s="327"/>
      <c r="AE158" s="327"/>
      <c r="AF158" s="327"/>
      <c r="AG158" s="327"/>
      <c r="AH158" s="327"/>
      <c r="AI158" s="327"/>
      <c r="AJ158" s="327"/>
      <c r="AK158" s="327"/>
    </row>
    <row r="159" spans="2:37" x14ac:dyDescent="0.2">
      <c r="B159" s="338" t="s">
        <v>1520</v>
      </c>
      <c r="C159" s="346"/>
      <c r="D159" s="351"/>
      <c r="E159" s="351"/>
      <c r="F159" s="351"/>
      <c r="G159" s="351"/>
      <c r="H159" s="351"/>
      <c r="I159" s="351"/>
      <c r="J159" s="351"/>
      <c r="K159" s="351"/>
      <c r="L159" s="350"/>
      <c r="M159" s="350"/>
      <c r="N159" s="367"/>
      <c r="AC159" s="327"/>
      <c r="AD159" s="327"/>
      <c r="AE159" s="327"/>
      <c r="AF159" s="327"/>
      <c r="AG159" s="327"/>
      <c r="AH159" s="327"/>
      <c r="AI159" s="327"/>
      <c r="AJ159" s="327"/>
      <c r="AK159" s="327"/>
    </row>
    <row r="160" spans="2:37" x14ac:dyDescent="0.2">
      <c r="B160" s="331" t="s">
        <v>1518</v>
      </c>
      <c r="C160" s="346"/>
      <c r="D160" s="348">
        <v>65.712928771972699</v>
      </c>
      <c r="E160" s="349">
        <v>69.341408000000001</v>
      </c>
      <c r="F160" s="349">
        <v>70.223861999999997</v>
      </c>
      <c r="G160" s="349">
        <v>96.368842999999998</v>
      </c>
      <c r="H160" s="349">
        <v>100.198555</v>
      </c>
      <c r="I160" s="349">
        <v>103.12352</v>
      </c>
      <c r="J160" s="349">
        <v>105.187927</v>
      </c>
      <c r="K160" s="349">
        <v>108.035225</v>
      </c>
      <c r="L160" s="350">
        <v>110.57737</v>
      </c>
      <c r="M160" s="350">
        <v>112.79387699999999</v>
      </c>
      <c r="N160" s="367">
        <f t="shared" si="23"/>
        <v>115.05481355444724</v>
      </c>
      <c r="AC160" s="327"/>
      <c r="AD160" s="327"/>
      <c r="AE160" s="327"/>
      <c r="AF160" s="327"/>
      <c r="AG160" s="327"/>
      <c r="AH160" s="327"/>
      <c r="AI160" s="327"/>
      <c r="AJ160" s="327"/>
      <c r="AK160" s="327"/>
    </row>
    <row r="161" spans="2:37" x14ac:dyDescent="0.2">
      <c r="B161" s="331" t="s">
        <v>1483</v>
      </c>
      <c r="C161" s="346"/>
      <c r="D161" s="348">
        <v>38.655399322509801</v>
      </c>
      <c r="E161" s="349">
        <v>39.297351999999997</v>
      </c>
      <c r="F161" s="349">
        <v>38.351463000000003</v>
      </c>
      <c r="G161" s="349">
        <v>47.877865</v>
      </c>
      <c r="H161" s="349">
        <v>50.517521000000002</v>
      </c>
      <c r="I161" s="349">
        <v>53.66621</v>
      </c>
      <c r="J161" s="349">
        <v>57.278697999999999</v>
      </c>
      <c r="K161" s="349">
        <v>59.794044</v>
      </c>
      <c r="L161" s="350">
        <v>62.561092000000002</v>
      </c>
      <c r="M161" s="350">
        <v>65.422531000000006</v>
      </c>
      <c r="N161" s="367">
        <f t="shared" si="23"/>
        <v>68.414847401416225</v>
      </c>
      <c r="AC161" s="327"/>
      <c r="AD161" s="327"/>
      <c r="AE161" s="327"/>
      <c r="AF161" s="327"/>
      <c r="AG161" s="327"/>
      <c r="AH161" s="327"/>
      <c r="AI161" s="327"/>
      <c r="AJ161" s="327"/>
      <c r="AK161" s="327"/>
    </row>
    <row r="162" spans="2:37" x14ac:dyDescent="0.2">
      <c r="B162" s="331" t="s">
        <v>1487</v>
      </c>
      <c r="C162" s="346"/>
      <c r="D162" s="348">
        <v>5.6207227706909197</v>
      </c>
      <c r="E162" s="349">
        <v>5.5236910000000004</v>
      </c>
      <c r="F162" s="349">
        <v>5.1636569999999997</v>
      </c>
      <c r="G162" s="349">
        <v>7.185219</v>
      </c>
      <c r="H162" s="349">
        <v>7.1969430000000001</v>
      </c>
      <c r="I162" s="349">
        <v>7.0514330000000003</v>
      </c>
      <c r="J162" s="349">
        <v>6.8681109999999999</v>
      </c>
      <c r="K162" s="349">
        <v>6.7403110000000002</v>
      </c>
      <c r="L162" s="350">
        <v>6.5714249999999996</v>
      </c>
      <c r="M162" s="350">
        <v>6.426418</v>
      </c>
      <c r="N162" s="367">
        <f t="shared" si="23"/>
        <v>6.2846107671812428</v>
      </c>
      <c r="AC162" s="327"/>
      <c r="AD162" s="327"/>
      <c r="AE162" s="327"/>
      <c r="AF162" s="327"/>
      <c r="AG162" s="327"/>
      <c r="AH162" s="327"/>
      <c r="AI162" s="327"/>
      <c r="AJ162" s="327"/>
      <c r="AK162" s="327"/>
    </row>
    <row r="163" spans="2:37" x14ac:dyDescent="0.2">
      <c r="B163" s="368" t="s">
        <v>1419</v>
      </c>
      <c r="C163" s="369"/>
      <c r="D163" s="371">
        <f>SUM(D160:D162)</f>
        <v>109.98905086517343</v>
      </c>
      <c r="E163" s="371">
        <f t="shared" ref="E163:N163" si="28">SUM(E160:E162)</f>
        <v>114.16245099999999</v>
      </c>
      <c r="F163" s="371">
        <f t="shared" si="28"/>
        <v>113.73898199999999</v>
      </c>
      <c r="G163" s="371">
        <f t="shared" si="28"/>
        <v>151.431927</v>
      </c>
      <c r="H163" s="371">
        <f t="shared" si="28"/>
        <v>157.91301899999999</v>
      </c>
      <c r="I163" s="371">
        <f t="shared" si="28"/>
        <v>163.84116299999999</v>
      </c>
      <c r="J163" s="371">
        <f t="shared" si="28"/>
        <v>169.33473599999999</v>
      </c>
      <c r="K163" s="371">
        <f t="shared" si="28"/>
        <v>174.56958</v>
      </c>
      <c r="L163" s="371">
        <f t="shared" si="28"/>
        <v>179.70988700000001</v>
      </c>
      <c r="M163" s="371">
        <f t="shared" si="28"/>
        <v>184.64282600000001</v>
      </c>
      <c r="N163" s="371">
        <f t="shared" si="28"/>
        <v>189.7542717230447</v>
      </c>
      <c r="AC163" s="327"/>
      <c r="AD163" s="327"/>
      <c r="AE163" s="327"/>
      <c r="AF163" s="327"/>
      <c r="AG163" s="327"/>
      <c r="AH163" s="327"/>
      <c r="AI163" s="327"/>
      <c r="AJ163" s="327"/>
      <c r="AK163" s="327"/>
    </row>
    <row r="164" spans="2:37" x14ac:dyDescent="0.2">
      <c r="B164" s="346"/>
      <c r="C164" s="346"/>
      <c r="D164" s="350"/>
      <c r="E164" s="350"/>
      <c r="F164" s="350"/>
      <c r="G164" s="350"/>
      <c r="H164" s="350"/>
      <c r="I164" s="350"/>
      <c r="J164" s="350"/>
      <c r="K164" s="350"/>
      <c r="L164" s="350"/>
      <c r="M164" s="350"/>
      <c r="N164" s="367"/>
      <c r="AE164" s="327"/>
    </row>
    <row r="165" spans="2:37" x14ac:dyDescent="0.2">
      <c r="B165" s="338" t="s">
        <v>1521</v>
      </c>
      <c r="C165" s="346"/>
      <c r="D165" s="351"/>
      <c r="E165" s="351"/>
      <c r="F165" s="351"/>
      <c r="G165" s="351"/>
      <c r="H165" s="351"/>
      <c r="I165" s="351"/>
      <c r="J165" s="351"/>
      <c r="K165" s="351"/>
      <c r="L165" s="350"/>
      <c r="M165" s="352"/>
      <c r="N165" s="367"/>
      <c r="AC165" s="327"/>
      <c r="AD165" s="327"/>
      <c r="AE165" s="327"/>
      <c r="AF165" s="327"/>
      <c r="AG165" s="327"/>
      <c r="AH165" s="327"/>
      <c r="AI165" s="327"/>
      <c r="AJ165" s="327"/>
      <c r="AK165" s="327"/>
    </row>
    <row r="166" spans="2:37" x14ac:dyDescent="0.2">
      <c r="B166" s="331" t="s">
        <v>1518</v>
      </c>
      <c r="C166" s="346"/>
      <c r="D166" s="348">
        <v>67.225288391113295</v>
      </c>
      <c r="E166" s="349">
        <v>71.288071000000002</v>
      </c>
      <c r="F166" s="349">
        <v>74.656197000000006</v>
      </c>
      <c r="G166" s="349">
        <v>82.851844999999997</v>
      </c>
      <c r="H166" s="349">
        <v>91.593001999999998</v>
      </c>
      <c r="I166" s="349">
        <v>99.765617000000006</v>
      </c>
      <c r="J166" s="349">
        <v>107.711365</v>
      </c>
      <c r="K166" s="349">
        <v>115.583641</v>
      </c>
      <c r="L166" s="350">
        <v>123.18261</v>
      </c>
      <c r="M166" s="350">
        <v>130.56716900000001</v>
      </c>
      <c r="N166" s="367">
        <f t="shared" si="23"/>
        <v>138.39441801626515</v>
      </c>
      <c r="AC166" s="327"/>
      <c r="AD166" s="327"/>
      <c r="AE166" s="327"/>
      <c r="AF166" s="327"/>
      <c r="AG166" s="327"/>
      <c r="AH166" s="327"/>
      <c r="AI166" s="327"/>
      <c r="AJ166" s="327"/>
      <c r="AK166" s="327"/>
    </row>
    <row r="167" spans="2:37" x14ac:dyDescent="0.2">
      <c r="B167" s="331" t="s">
        <v>1483</v>
      </c>
      <c r="C167" s="346"/>
      <c r="D167" s="348">
        <v>19.374872207641602</v>
      </c>
      <c r="E167" s="349">
        <v>20.029577</v>
      </c>
      <c r="F167" s="349">
        <v>17.892229</v>
      </c>
      <c r="G167" s="349">
        <v>19.328486999999999</v>
      </c>
      <c r="H167" s="349">
        <v>21.150563999999999</v>
      </c>
      <c r="I167" s="349">
        <v>23.198757000000001</v>
      </c>
      <c r="J167" s="349">
        <v>25.112666999999998</v>
      </c>
      <c r="K167" s="349">
        <v>26.915823</v>
      </c>
      <c r="L167" s="350">
        <v>28.850496</v>
      </c>
      <c r="M167" s="350">
        <v>30.725327</v>
      </c>
      <c r="N167" s="367">
        <f t="shared" si="23"/>
        <v>32.721992691457679</v>
      </c>
      <c r="AC167" s="327"/>
      <c r="AD167" s="327"/>
      <c r="AE167" s="327"/>
      <c r="AF167" s="327"/>
      <c r="AG167" s="327"/>
      <c r="AH167" s="327"/>
      <c r="AI167" s="327"/>
      <c r="AJ167" s="327"/>
      <c r="AK167" s="327"/>
    </row>
    <row r="168" spans="2:37" x14ac:dyDescent="0.2">
      <c r="B168" s="368" t="s">
        <v>1419</v>
      </c>
      <c r="C168" s="369"/>
      <c r="D168" s="371">
        <f>SUM(D166:D167)</f>
        <v>86.600160598754897</v>
      </c>
      <c r="E168" s="371">
        <f t="shared" ref="E168:N168" si="29">SUM(E166:E167)</f>
        <v>91.317648000000005</v>
      </c>
      <c r="F168" s="371">
        <f t="shared" si="29"/>
        <v>92.548426000000006</v>
      </c>
      <c r="G168" s="371">
        <f t="shared" si="29"/>
        <v>102.18033199999999</v>
      </c>
      <c r="H168" s="371">
        <f t="shared" si="29"/>
        <v>112.743566</v>
      </c>
      <c r="I168" s="371">
        <f t="shared" si="29"/>
        <v>122.96437400000001</v>
      </c>
      <c r="J168" s="371">
        <f t="shared" si="29"/>
        <v>132.82403199999999</v>
      </c>
      <c r="K168" s="371">
        <f t="shared" si="29"/>
        <v>142.49946399999999</v>
      </c>
      <c r="L168" s="371">
        <f t="shared" si="29"/>
        <v>152.033106</v>
      </c>
      <c r="M168" s="371">
        <f t="shared" si="29"/>
        <v>161.292496</v>
      </c>
      <c r="N168" s="371">
        <f t="shared" si="29"/>
        <v>171.11641070772282</v>
      </c>
      <c r="AC168" s="327"/>
      <c r="AD168" s="327"/>
      <c r="AE168" s="327"/>
      <c r="AF168" s="327"/>
      <c r="AG168" s="327"/>
      <c r="AH168" s="327"/>
      <c r="AI168" s="327"/>
      <c r="AJ168" s="327"/>
      <c r="AK168" s="327"/>
    </row>
    <row r="169" spans="2:37" x14ac:dyDescent="0.2">
      <c r="B169" s="332"/>
      <c r="C169" s="346"/>
      <c r="D169" s="351"/>
      <c r="E169" s="351"/>
      <c r="F169" s="351"/>
      <c r="G169" s="351"/>
      <c r="H169" s="351"/>
      <c r="I169" s="351"/>
      <c r="J169" s="351"/>
      <c r="K169" s="351"/>
      <c r="L169" s="350"/>
      <c r="M169" s="350"/>
      <c r="N169" s="367"/>
      <c r="AC169" s="327"/>
      <c r="AD169" s="327"/>
      <c r="AE169" s="327"/>
      <c r="AF169" s="327"/>
      <c r="AG169" s="327"/>
      <c r="AH169" s="327"/>
      <c r="AI169" s="327"/>
      <c r="AJ169" s="327"/>
      <c r="AK169" s="327"/>
    </row>
    <row r="170" spans="2:37" x14ac:dyDescent="0.2">
      <c r="B170" s="338" t="s">
        <v>1522</v>
      </c>
      <c r="C170" s="346"/>
      <c r="D170" s="351"/>
      <c r="E170" s="351"/>
      <c r="F170" s="351"/>
      <c r="G170" s="351"/>
      <c r="H170" s="351"/>
      <c r="I170" s="351"/>
      <c r="J170" s="351"/>
      <c r="K170" s="351"/>
      <c r="L170" s="350"/>
      <c r="M170" s="352"/>
      <c r="N170" s="367"/>
      <c r="AE170" s="327"/>
    </row>
    <row r="171" spans="2:37" x14ac:dyDescent="0.2">
      <c r="B171" s="331" t="s">
        <v>1523</v>
      </c>
      <c r="C171" s="346"/>
      <c r="D171" s="348">
        <v>137.59495544433599</v>
      </c>
      <c r="E171" s="349">
        <v>143.34660299999999</v>
      </c>
      <c r="F171" s="349">
        <v>145.15602100000001</v>
      </c>
      <c r="G171" s="349">
        <v>168.42892499999999</v>
      </c>
      <c r="H171" s="349">
        <v>178.06526199999999</v>
      </c>
      <c r="I171" s="349">
        <v>186.971237</v>
      </c>
      <c r="J171" s="349">
        <v>195.25654599999999</v>
      </c>
      <c r="K171" s="349">
        <v>203.13880900000001</v>
      </c>
      <c r="L171" s="350">
        <v>210.86968999999999</v>
      </c>
      <c r="M171" s="350">
        <v>218.28552199999999</v>
      </c>
      <c r="N171" s="367">
        <f t="shared" si="23"/>
        <v>225.96215281016669</v>
      </c>
      <c r="O171" s="438"/>
      <c r="AC171" s="327"/>
      <c r="AD171" s="327"/>
      <c r="AE171" s="327"/>
      <c r="AF171" s="327"/>
      <c r="AG171" s="327"/>
      <c r="AH171" s="327"/>
      <c r="AI171" s="327"/>
      <c r="AJ171" s="327"/>
      <c r="AK171" s="327"/>
    </row>
    <row r="172" spans="2:37" x14ac:dyDescent="0.2">
      <c r="B172" s="331" t="s">
        <v>1473</v>
      </c>
      <c r="C172" s="346"/>
      <c r="D172" s="348">
        <v>38.425449371337898</v>
      </c>
      <c r="E172" s="349">
        <v>39.755409</v>
      </c>
      <c r="F172" s="349">
        <v>38.494754999999998</v>
      </c>
      <c r="G172" s="349">
        <v>44.426056000000003</v>
      </c>
      <c r="H172" s="349">
        <v>46.606502999999996</v>
      </c>
      <c r="I172" s="349">
        <v>48.656849000000001</v>
      </c>
      <c r="J172" s="349">
        <v>50.555218000000004</v>
      </c>
      <c r="K172" s="349">
        <v>52.339035000000003</v>
      </c>
      <c r="L172" s="350">
        <v>54.082709999999999</v>
      </c>
      <c r="M172" s="350">
        <v>55.742942999999997</v>
      </c>
      <c r="N172" s="367">
        <f t="shared" si="23"/>
        <v>57.454141893060623</v>
      </c>
      <c r="AC172" s="327"/>
      <c r="AD172" s="327"/>
      <c r="AE172" s="327"/>
      <c r="AF172" s="327"/>
      <c r="AG172" s="327"/>
      <c r="AH172" s="327"/>
      <c r="AI172" s="327"/>
      <c r="AJ172" s="327"/>
      <c r="AK172" s="327"/>
    </row>
    <row r="173" spans="2:37" x14ac:dyDescent="0.2">
      <c r="B173" s="332"/>
      <c r="C173" s="346"/>
      <c r="D173" s="351"/>
      <c r="E173" s="351"/>
      <c r="F173" s="351"/>
      <c r="G173" s="351"/>
      <c r="H173" s="351"/>
      <c r="I173" s="351"/>
      <c r="J173" s="350"/>
      <c r="K173" s="350"/>
      <c r="L173" s="350"/>
      <c r="M173" s="350"/>
      <c r="N173" s="367"/>
      <c r="AC173" s="327"/>
      <c r="AD173" s="327"/>
      <c r="AE173" s="327"/>
      <c r="AF173" s="327"/>
      <c r="AG173" s="327"/>
      <c r="AH173" s="327"/>
      <c r="AI173" s="327"/>
      <c r="AJ173" s="327"/>
      <c r="AK173" s="327"/>
    </row>
    <row r="174" spans="2:37" x14ac:dyDescent="0.2">
      <c r="B174" s="338" t="s">
        <v>1524</v>
      </c>
      <c r="C174" s="346"/>
      <c r="D174" s="351"/>
      <c r="E174" s="351"/>
      <c r="F174" s="351"/>
      <c r="G174" s="351"/>
      <c r="H174" s="351"/>
      <c r="I174" s="351"/>
      <c r="J174" s="350"/>
      <c r="K174" s="350"/>
      <c r="L174" s="350"/>
      <c r="M174" s="352"/>
      <c r="N174" s="367"/>
      <c r="O174" s="438"/>
      <c r="AC174" s="327"/>
      <c r="AD174" s="327"/>
      <c r="AE174" s="327"/>
      <c r="AF174" s="327"/>
      <c r="AG174" s="327"/>
      <c r="AH174" s="327"/>
      <c r="AI174" s="327"/>
      <c r="AJ174" s="327"/>
      <c r="AK174" s="327"/>
    </row>
    <row r="175" spans="2:37" x14ac:dyDescent="0.2">
      <c r="B175" s="338" t="s">
        <v>1506</v>
      </c>
      <c r="C175" s="346"/>
      <c r="D175" s="351"/>
      <c r="E175" s="351"/>
      <c r="F175" s="351"/>
      <c r="G175" s="351"/>
      <c r="H175" s="351"/>
      <c r="I175" s="351"/>
      <c r="J175" s="350"/>
      <c r="K175" s="350"/>
      <c r="L175" s="350"/>
      <c r="M175" s="352"/>
      <c r="N175" s="367"/>
      <c r="AE175" s="327"/>
    </row>
    <row r="176" spans="2:37" x14ac:dyDescent="0.2">
      <c r="B176" s="331" t="s">
        <v>1525</v>
      </c>
      <c r="C176" s="346"/>
      <c r="D176" s="348">
        <v>7.73056840896606</v>
      </c>
      <c r="E176" s="349">
        <v>7.4521790000000001</v>
      </c>
      <c r="F176" s="349">
        <v>8.2009939999999997</v>
      </c>
      <c r="G176" s="349">
        <v>8.1115349999999999</v>
      </c>
      <c r="H176" s="349">
        <v>8.4682300000000001</v>
      </c>
      <c r="I176" s="349">
        <v>8.8006030000000006</v>
      </c>
      <c r="J176" s="349">
        <v>9.0156770000000002</v>
      </c>
      <c r="K176" s="349">
        <v>9.0991710000000001</v>
      </c>
      <c r="L176" s="350">
        <v>9.1313650000000006</v>
      </c>
      <c r="M176" s="350">
        <v>9.138287</v>
      </c>
      <c r="N176" s="367">
        <f t="shared" si="23"/>
        <v>9.1452142471984192</v>
      </c>
      <c r="O176" s="438"/>
      <c r="AC176" s="327"/>
      <c r="AD176" s="327"/>
      <c r="AE176" s="327"/>
      <c r="AF176" s="327"/>
      <c r="AG176" s="327"/>
      <c r="AH176" s="327"/>
      <c r="AI176" s="327"/>
      <c r="AJ176" s="327"/>
      <c r="AK176" s="327"/>
    </row>
    <row r="177" spans="2:37" x14ac:dyDescent="0.2">
      <c r="B177" s="376" t="s">
        <v>1526</v>
      </c>
      <c r="C177" s="377"/>
      <c r="D177" s="378">
        <f t="shared" ref="D177:N177" si="30">D176/3.412</f>
        <v>2.2657000026278018</v>
      </c>
      <c r="E177" s="378">
        <f>E176/3.412</f>
        <v>2.1841087338804219</v>
      </c>
      <c r="F177" s="378">
        <f t="shared" si="30"/>
        <v>2.4035738569753811</v>
      </c>
      <c r="G177" s="378">
        <f t="shared" si="30"/>
        <v>2.3773549237983587</v>
      </c>
      <c r="H177" s="378">
        <f t="shared" si="30"/>
        <v>2.4818962485345839</v>
      </c>
      <c r="I177" s="378">
        <f t="shared" si="30"/>
        <v>2.5793092028135991</v>
      </c>
      <c r="J177" s="378">
        <f t="shared" si="30"/>
        <v>2.6423437866354047</v>
      </c>
      <c r="K177" s="378">
        <f t="shared" si="30"/>
        <v>2.6668144783118408</v>
      </c>
      <c r="L177" s="378">
        <f t="shared" si="30"/>
        <v>2.6762500000000005</v>
      </c>
      <c r="M177" s="378">
        <f t="shared" si="30"/>
        <v>2.6782787221570925</v>
      </c>
      <c r="N177" s="378">
        <f t="shared" si="30"/>
        <v>2.6803089821800761</v>
      </c>
      <c r="AC177" s="327"/>
      <c r="AD177" s="327"/>
      <c r="AE177" s="327"/>
      <c r="AF177" s="327"/>
      <c r="AG177" s="327"/>
      <c r="AH177" s="327"/>
      <c r="AI177" s="327"/>
      <c r="AJ177" s="327"/>
      <c r="AK177" s="327"/>
    </row>
    <row r="178" spans="2:37" x14ac:dyDescent="0.2">
      <c r="B178" s="331" t="s">
        <v>1527</v>
      </c>
      <c r="C178" s="346"/>
      <c r="D178" s="351">
        <v>1.29999995231628</v>
      </c>
      <c r="E178" s="350">
        <v>1.3</v>
      </c>
      <c r="F178" s="350">
        <v>1.3</v>
      </c>
      <c r="G178" s="350">
        <v>1.3</v>
      </c>
      <c r="H178" s="350">
        <v>1.3</v>
      </c>
      <c r="I178" s="350">
        <v>1.3</v>
      </c>
      <c r="J178" s="350">
        <v>1.3</v>
      </c>
      <c r="K178" s="349">
        <v>1.3</v>
      </c>
      <c r="L178" s="350">
        <v>1.3</v>
      </c>
      <c r="M178" s="350">
        <v>1.3</v>
      </c>
      <c r="N178" s="367">
        <f t="shared" si="23"/>
        <v>1.3</v>
      </c>
      <c r="AC178" s="327"/>
      <c r="AD178" s="327"/>
      <c r="AE178" s="327"/>
      <c r="AF178" s="327"/>
      <c r="AG178" s="327"/>
      <c r="AH178" s="327"/>
      <c r="AI178" s="327"/>
      <c r="AJ178" s="327"/>
      <c r="AK178" s="327"/>
    </row>
    <row r="179" spans="2:37" x14ac:dyDescent="0.2">
      <c r="B179" s="331" t="s">
        <v>1528</v>
      </c>
      <c r="C179" s="346"/>
      <c r="D179" s="351">
        <v>3.2999999523162802</v>
      </c>
      <c r="E179" s="350">
        <v>3.3304610000000001</v>
      </c>
      <c r="F179" s="350">
        <v>3.0885389999999999</v>
      </c>
      <c r="G179" s="350">
        <v>3.4048039999999999</v>
      </c>
      <c r="H179" s="350">
        <v>3.6346810000000001</v>
      </c>
      <c r="I179" s="350">
        <v>3.7546110000000001</v>
      </c>
      <c r="J179" s="350">
        <v>3.7960410000000002</v>
      </c>
      <c r="K179" s="349">
        <v>3.7440150000000001</v>
      </c>
      <c r="L179" s="350">
        <v>3.6968719999999999</v>
      </c>
      <c r="M179" s="350">
        <v>3.6663009999999998</v>
      </c>
      <c r="N179" s="367">
        <f>M179*M179/L179</f>
        <v>3.6359828045442195</v>
      </c>
      <c r="AE179" s="327"/>
    </row>
    <row r="180" spans="2:37" x14ac:dyDescent="0.2">
      <c r="B180" s="331" t="s">
        <v>1529</v>
      </c>
      <c r="C180" s="346"/>
      <c r="D180" s="351">
        <v>0.81440001726150502</v>
      </c>
      <c r="E180" s="350">
        <v>0.83637899999999998</v>
      </c>
      <c r="F180" s="350">
        <v>0.80592399999999997</v>
      </c>
      <c r="G180" s="350">
        <v>0.82003599999999999</v>
      </c>
      <c r="H180" s="350">
        <v>0.851464</v>
      </c>
      <c r="I180" s="350">
        <v>0.87741400000000003</v>
      </c>
      <c r="J180" s="350">
        <v>0.88805000000000001</v>
      </c>
      <c r="K180" s="349">
        <v>0.88716899999999999</v>
      </c>
      <c r="L180" s="350">
        <v>0.88049599999999995</v>
      </c>
      <c r="M180" s="350">
        <v>0.87323399999999995</v>
      </c>
      <c r="N180" s="367">
        <f t="shared" si="23"/>
        <v>0.86603189424597038</v>
      </c>
      <c r="O180" s="438"/>
      <c r="AC180" s="327"/>
      <c r="AD180" s="327"/>
      <c r="AE180" s="327"/>
      <c r="AF180" s="327"/>
      <c r="AG180" s="327"/>
      <c r="AH180" s="327"/>
      <c r="AI180" s="327"/>
      <c r="AJ180" s="327"/>
      <c r="AK180" s="327"/>
    </row>
    <row r="181" spans="2:37" x14ac:dyDescent="0.2">
      <c r="B181" s="331" t="s">
        <v>1530</v>
      </c>
      <c r="C181" s="346"/>
      <c r="D181" s="351">
        <v>0.81739997863769498</v>
      </c>
      <c r="E181" s="350">
        <v>0.85390900000000003</v>
      </c>
      <c r="F181" s="350">
        <v>0.83410700000000004</v>
      </c>
      <c r="G181" s="350">
        <v>0.83380600000000005</v>
      </c>
      <c r="H181" s="350">
        <v>0.84250899999999995</v>
      </c>
      <c r="I181" s="350">
        <v>0.84937600000000002</v>
      </c>
      <c r="J181" s="350">
        <v>0.852715</v>
      </c>
      <c r="K181" s="349">
        <v>0.85349799999999998</v>
      </c>
      <c r="L181" s="350">
        <v>0.85262800000000005</v>
      </c>
      <c r="M181" s="350">
        <v>0.85032700000000006</v>
      </c>
      <c r="N181" s="367">
        <f t="shared" si="23"/>
        <v>0.84803220974328786</v>
      </c>
      <c r="O181" s="438"/>
      <c r="AC181" s="327"/>
      <c r="AD181" s="327"/>
      <c r="AE181" s="327"/>
      <c r="AF181" s="327"/>
      <c r="AG181" s="327"/>
      <c r="AH181" s="327"/>
      <c r="AI181" s="327"/>
      <c r="AJ181" s="327"/>
      <c r="AK181" s="327"/>
    </row>
    <row r="182" spans="2:37" x14ac:dyDescent="0.2">
      <c r="B182" s="379" t="s">
        <v>1531</v>
      </c>
      <c r="C182" s="369"/>
      <c r="D182" s="380">
        <v>0.981853056187732</v>
      </c>
      <c r="E182" s="380">
        <v>1.0008758470752426</v>
      </c>
      <c r="F182" s="380">
        <v>1.0394845279297567</v>
      </c>
      <c r="G182" s="380">
        <v>1.0866488259492666</v>
      </c>
      <c r="H182" s="380">
        <v>1.1230291898638338</v>
      </c>
      <c r="I182" s="380">
        <v>1.1509683962969781</v>
      </c>
      <c r="J182" s="380">
        <v>1.171451916674876</v>
      </c>
      <c r="K182" s="381">
        <v>1.1891003642149611</v>
      </c>
      <c r="L182" s="396">
        <f>0.87</f>
        <v>0.87</v>
      </c>
      <c r="M182" s="396">
        <f>L182*M181</f>
        <v>0.73978449000000002</v>
      </c>
      <c r="N182" s="396">
        <f>M182*N181</f>
        <v>0.6273610757885113</v>
      </c>
      <c r="O182" s="325"/>
      <c r="AC182" s="327"/>
      <c r="AD182" s="327"/>
      <c r="AE182" s="327"/>
      <c r="AF182" s="327"/>
      <c r="AG182" s="327"/>
      <c r="AH182" s="327"/>
      <c r="AI182" s="327"/>
      <c r="AJ182" s="327"/>
      <c r="AK182" s="327"/>
    </row>
    <row r="183" spans="2:37" x14ac:dyDescent="0.2">
      <c r="B183" s="391"/>
      <c r="C183" s="392"/>
      <c r="D183" s="380"/>
      <c r="E183" s="395"/>
      <c r="F183" s="395"/>
      <c r="G183" s="395"/>
      <c r="H183" s="395"/>
      <c r="I183" s="395"/>
      <c r="J183" s="395"/>
      <c r="K183" s="395"/>
      <c r="L183" s="395"/>
      <c r="M183" s="395"/>
      <c r="N183" s="395"/>
    </row>
    <row r="184" spans="2:37" x14ac:dyDescent="0.2">
      <c r="B184" s="338" t="s">
        <v>1532</v>
      </c>
      <c r="C184" s="346"/>
      <c r="D184" s="351"/>
      <c r="E184" s="351"/>
      <c r="F184" s="351"/>
      <c r="G184" s="351"/>
      <c r="H184" s="351"/>
      <c r="I184" s="351"/>
      <c r="J184" s="351"/>
      <c r="K184" s="351"/>
      <c r="L184" s="350"/>
      <c r="M184" s="352"/>
      <c r="N184" s="367"/>
      <c r="O184" s="325"/>
      <c r="P184" s="324"/>
      <c r="Q184" s="324"/>
      <c r="R184" s="324"/>
      <c r="S184" s="324"/>
      <c r="AC184" s="327"/>
      <c r="AD184" s="327"/>
      <c r="AE184" s="327"/>
      <c r="AF184" s="327"/>
      <c r="AG184" s="327"/>
      <c r="AH184" s="327"/>
      <c r="AI184" s="327"/>
      <c r="AJ184" s="327"/>
      <c r="AK184" s="327"/>
    </row>
    <row r="185" spans="2:37" x14ac:dyDescent="0.2">
      <c r="B185" s="353" t="s">
        <v>1533</v>
      </c>
      <c r="C185" s="346"/>
      <c r="D185" s="351">
        <v>11.3684425354004</v>
      </c>
      <c r="E185" s="350">
        <v>12.514075</v>
      </c>
      <c r="F185" s="350">
        <v>13.443845</v>
      </c>
      <c r="G185" s="350">
        <v>13.797464</v>
      </c>
      <c r="H185" s="350">
        <v>14.788684</v>
      </c>
      <c r="I185" s="350">
        <v>15.623494000000001</v>
      </c>
      <c r="J185" s="350">
        <v>16.123374999999999</v>
      </c>
      <c r="K185" s="351">
        <v>16.283840000000001</v>
      </c>
      <c r="L185" s="350">
        <v>16.340574</v>
      </c>
      <c r="M185" s="350">
        <v>16.350580000000001</v>
      </c>
      <c r="N185" s="367">
        <f t="shared" si="23"/>
        <v>16.360592127081951</v>
      </c>
      <c r="AC185" s="327"/>
      <c r="AD185" s="327"/>
      <c r="AE185" s="327"/>
      <c r="AF185" s="327"/>
      <c r="AG185" s="327"/>
      <c r="AH185" s="327"/>
      <c r="AI185" s="327"/>
      <c r="AJ185" s="327"/>
      <c r="AK185" s="327"/>
    </row>
    <row r="186" spans="2:37" x14ac:dyDescent="0.2">
      <c r="B186" s="376" t="s">
        <v>1526</v>
      </c>
      <c r="C186" s="377"/>
      <c r="D186" s="378">
        <f>D185/3.412</f>
        <v>3.331899922450293</v>
      </c>
      <c r="E186" s="378">
        <f t="shared" ref="E186:N186" si="31">E185/3.412</f>
        <v>3.6676655920281362</v>
      </c>
      <c r="F186" s="378">
        <f t="shared" si="31"/>
        <v>3.9401655920281358</v>
      </c>
      <c r="G186" s="378">
        <f t="shared" si="31"/>
        <v>4.0438053927315361</v>
      </c>
      <c r="H186" s="378">
        <f t="shared" si="31"/>
        <v>4.3343153575615476</v>
      </c>
      <c r="I186" s="378">
        <f t="shared" si="31"/>
        <v>4.5789841735052761</v>
      </c>
      <c r="J186" s="378">
        <f t="shared" si="31"/>
        <v>4.7254909144196953</v>
      </c>
      <c r="K186" s="378">
        <f t="shared" si="31"/>
        <v>4.7725205158264954</v>
      </c>
      <c r="L186" s="378">
        <f t="shared" si="31"/>
        <v>4.7891483001172332</v>
      </c>
      <c r="M186" s="378">
        <f t="shared" si="31"/>
        <v>4.792080890973037</v>
      </c>
      <c r="N186" s="378">
        <f t="shared" si="31"/>
        <v>4.7950152775738424</v>
      </c>
      <c r="AC186" s="327"/>
      <c r="AD186" s="327"/>
      <c r="AE186" s="327"/>
      <c r="AF186" s="327"/>
      <c r="AG186" s="327"/>
      <c r="AH186" s="327"/>
      <c r="AI186" s="327"/>
      <c r="AJ186" s="327"/>
      <c r="AK186" s="327"/>
    </row>
    <row r="187" spans="2:37" x14ac:dyDescent="0.2">
      <c r="B187" s="331" t="s">
        <v>1527</v>
      </c>
      <c r="C187" s="346"/>
      <c r="D187" s="351">
        <v>0.67000001668930098</v>
      </c>
      <c r="E187" s="350">
        <v>0.6</v>
      </c>
      <c r="F187" s="350">
        <v>0.6</v>
      </c>
      <c r="G187" s="350">
        <v>0.60571200000000003</v>
      </c>
      <c r="H187" s="350">
        <v>0.63670700000000002</v>
      </c>
      <c r="I187" s="350">
        <v>0.66571100000000005</v>
      </c>
      <c r="J187" s="350">
        <v>0.69510499999999997</v>
      </c>
      <c r="K187" s="351">
        <v>0.69999699999999998</v>
      </c>
      <c r="L187" s="350">
        <v>0.7</v>
      </c>
      <c r="M187" s="350">
        <v>0.7</v>
      </c>
      <c r="N187" s="367">
        <f t="shared" si="23"/>
        <v>0.7</v>
      </c>
      <c r="P187" s="438"/>
      <c r="Q187" s="438"/>
      <c r="R187" s="438"/>
      <c r="S187" s="438"/>
      <c r="AC187" s="327"/>
      <c r="AD187" s="327"/>
      <c r="AE187" s="327"/>
      <c r="AF187" s="327"/>
      <c r="AG187" s="327"/>
      <c r="AH187" s="327"/>
      <c r="AI187" s="327"/>
      <c r="AJ187" s="327"/>
      <c r="AK187" s="327"/>
    </row>
    <row r="188" spans="2:37" x14ac:dyDescent="0.2">
      <c r="B188" s="331" t="s">
        <v>1534</v>
      </c>
      <c r="C188" s="346"/>
      <c r="D188" s="351">
        <v>13.800000190734901</v>
      </c>
      <c r="E188" s="350">
        <v>14.167597000000001</v>
      </c>
      <c r="F188" s="350">
        <v>13.449636999999999</v>
      </c>
      <c r="G188" s="350">
        <v>15.371586000000001</v>
      </c>
      <c r="H188" s="350">
        <v>16.961611000000001</v>
      </c>
      <c r="I188" s="350">
        <v>17.815270999999999</v>
      </c>
      <c r="J188" s="350">
        <v>18.107792</v>
      </c>
      <c r="K188" s="351">
        <v>17.722010000000001</v>
      </c>
      <c r="L188" s="350">
        <v>17.382135000000002</v>
      </c>
      <c r="M188" s="350">
        <v>17.163919</v>
      </c>
      <c r="N188" s="367">
        <f t="shared" si="23"/>
        <v>16.948442492165718</v>
      </c>
      <c r="P188" s="324"/>
      <c r="Q188" s="324"/>
      <c r="R188" s="324"/>
      <c r="S188" s="324"/>
      <c r="AE188" s="327"/>
    </row>
    <row r="189" spans="2:37" x14ac:dyDescent="0.2">
      <c r="B189" s="376" t="s">
        <v>1535</v>
      </c>
      <c r="C189" s="377"/>
      <c r="D189" s="378">
        <f>D188/3.412</f>
        <v>4.0445487077183175</v>
      </c>
      <c r="E189" s="378">
        <f t="shared" ref="E189:N189" si="32">E188/3.412</f>
        <v>4.1522851699882768</v>
      </c>
      <c r="F189" s="378">
        <f t="shared" si="32"/>
        <v>3.9418631301289566</v>
      </c>
      <c r="G189" s="378">
        <f t="shared" si="32"/>
        <v>4.5051541617819462</v>
      </c>
      <c r="H189" s="378">
        <f t="shared" si="32"/>
        <v>4.9711638335287223</v>
      </c>
      <c r="I189" s="378">
        <f t="shared" si="32"/>
        <v>5.221357268464244</v>
      </c>
      <c r="J189" s="378">
        <f t="shared" si="32"/>
        <v>5.3070902696365767</v>
      </c>
      <c r="K189" s="378">
        <f t="shared" si="32"/>
        <v>5.1940240328253227</v>
      </c>
      <c r="L189" s="378">
        <f t="shared" si="32"/>
        <v>5.0944123681125442</v>
      </c>
      <c r="M189" s="378">
        <f t="shared" si="32"/>
        <v>5.0304569167643614</v>
      </c>
      <c r="N189" s="378">
        <f t="shared" si="32"/>
        <v>4.9673043646441144</v>
      </c>
      <c r="P189" s="324"/>
      <c r="Q189" s="324"/>
      <c r="R189" s="324"/>
      <c r="S189" s="324"/>
      <c r="AE189" s="327"/>
    </row>
    <row r="190" spans="2:37" x14ac:dyDescent="0.2">
      <c r="B190" s="331" t="s">
        <v>1536</v>
      </c>
      <c r="C190" s="346"/>
      <c r="D190" s="351">
        <v>11.0634098052979</v>
      </c>
      <c r="E190" s="350">
        <v>12.422831</v>
      </c>
      <c r="F190" s="350">
        <v>12.40264</v>
      </c>
      <c r="G190" s="350">
        <v>13.228505</v>
      </c>
      <c r="H190" s="350">
        <v>14.378797</v>
      </c>
      <c r="I190" s="350">
        <v>15.240843999999999</v>
      </c>
      <c r="J190" s="350">
        <v>15.634285999999999</v>
      </c>
      <c r="K190" s="351">
        <v>15.698021000000001</v>
      </c>
      <c r="L190" s="350">
        <v>15.673481000000001</v>
      </c>
      <c r="M190" s="350">
        <v>15.614152000000001</v>
      </c>
      <c r="N190" s="367">
        <f t="shared" si="23"/>
        <v>15.555047578716177</v>
      </c>
      <c r="AC190" s="327"/>
      <c r="AD190" s="327"/>
      <c r="AE190" s="327"/>
      <c r="AF190" s="327"/>
      <c r="AG190" s="327"/>
      <c r="AH190" s="327"/>
      <c r="AI190" s="327"/>
      <c r="AJ190" s="327"/>
      <c r="AK190" s="327"/>
    </row>
    <row r="191" spans="2:37" x14ac:dyDescent="0.2">
      <c r="B191" s="376" t="s">
        <v>1537</v>
      </c>
      <c r="C191" s="377"/>
      <c r="D191" s="378">
        <f>D190/3.412</f>
        <v>3.2424999429360786</v>
      </c>
      <c r="E191" s="378">
        <f t="shared" ref="E191:N191" si="33">E190/3.412</f>
        <v>3.6409235052754982</v>
      </c>
      <c r="F191" s="378">
        <f t="shared" si="33"/>
        <v>3.635005861664713</v>
      </c>
      <c r="G191" s="378">
        <f t="shared" si="33"/>
        <v>3.8770530480656507</v>
      </c>
      <c r="H191" s="378">
        <f t="shared" si="33"/>
        <v>4.2141843493552171</v>
      </c>
      <c r="I191" s="378">
        <f t="shared" si="33"/>
        <v>4.4668358733880424</v>
      </c>
      <c r="J191" s="378">
        <f t="shared" si="33"/>
        <v>4.5821471277842907</v>
      </c>
      <c r="K191" s="378">
        <f t="shared" si="33"/>
        <v>4.6008267878077378</v>
      </c>
      <c r="L191" s="378">
        <f t="shared" si="33"/>
        <v>4.5936345252051582</v>
      </c>
      <c r="M191" s="378">
        <f t="shared" si="33"/>
        <v>4.5762461899179367</v>
      </c>
      <c r="N191" s="378">
        <f t="shared" si="33"/>
        <v>4.5589236748875077</v>
      </c>
      <c r="AC191" s="327"/>
      <c r="AD191" s="327"/>
      <c r="AE191" s="327"/>
      <c r="AF191" s="327"/>
      <c r="AG191" s="327"/>
      <c r="AH191" s="327"/>
      <c r="AI191" s="327"/>
      <c r="AJ191" s="327"/>
      <c r="AK191" s="327"/>
    </row>
    <row r="192" spans="2:37" x14ac:dyDescent="0.2">
      <c r="B192" s="331" t="s">
        <v>1538</v>
      </c>
      <c r="C192" s="346"/>
      <c r="D192" s="351">
        <v>9.36389255523682</v>
      </c>
      <c r="E192" s="350">
        <v>9.8786939999999994</v>
      </c>
      <c r="F192" s="350">
        <v>9.7818170000000002</v>
      </c>
      <c r="G192" s="350">
        <v>11.152911</v>
      </c>
      <c r="H192" s="350">
        <v>11.555712</v>
      </c>
      <c r="I192" s="350">
        <v>11.849714000000001</v>
      </c>
      <c r="J192" s="350">
        <v>11.972925999999999</v>
      </c>
      <c r="K192" s="351">
        <v>12.063248</v>
      </c>
      <c r="L192" s="350">
        <v>12.138025000000001</v>
      </c>
      <c r="M192" s="350">
        <v>12.18211</v>
      </c>
      <c r="N192" s="367">
        <f t="shared" si="23"/>
        <v>12.226355115605708</v>
      </c>
      <c r="P192" s="324"/>
      <c r="Q192" s="324"/>
      <c r="R192" s="324"/>
      <c r="S192" s="324"/>
      <c r="AE192" s="327"/>
    </row>
    <row r="193" spans="2:37" x14ac:dyDescent="0.2">
      <c r="B193" s="376" t="s">
        <v>1539</v>
      </c>
      <c r="C193" s="377"/>
      <c r="D193" s="378">
        <f>D192/3.412</f>
        <v>2.7443999282640155</v>
      </c>
      <c r="E193" s="378">
        <f t="shared" ref="E193:N193" si="34">E192/3.412</f>
        <v>2.8952796014067994</v>
      </c>
      <c r="F193" s="378">
        <f t="shared" si="34"/>
        <v>2.8668865767878078</v>
      </c>
      <c r="G193" s="378">
        <f t="shared" si="34"/>
        <v>3.2687312426729189</v>
      </c>
      <c r="H193" s="378">
        <f t="shared" si="34"/>
        <v>3.3867854630715124</v>
      </c>
      <c r="I193" s="378">
        <f t="shared" si="34"/>
        <v>3.4729525205158267</v>
      </c>
      <c r="J193" s="378">
        <f t="shared" si="34"/>
        <v>3.509063892145369</v>
      </c>
      <c r="K193" s="378">
        <f t="shared" si="34"/>
        <v>3.535535756154748</v>
      </c>
      <c r="L193" s="378">
        <f t="shared" si="34"/>
        <v>3.5574516412661197</v>
      </c>
      <c r="M193" s="378">
        <f t="shared" si="34"/>
        <v>3.5703722157092614</v>
      </c>
      <c r="N193" s="378">
        <f t="shared" si="34"/>
        <v>3.5833397173522004</v>
      </c>
      <c r="P193" s="324"/>
      <c r="Q193" s="324"/>
      <c r="R193" s="324"/>
      <c r="S193" s="324"/>
      <c r="AC193" s="327"/>
      <c r="AD193" s="327"/>
      <c r="AE193" s="327"/>
      <c r="AF193" s="327"/>
      <c r="AG193" s="327"/>
      <c r="AH193" s="327"/>
      <c r="AI193" s="327"/>
      <c r="AJ193" s="327"/>
      <c r="AK193" s="327"/>
    </row>
    <row r="194" spans="2:37" x14ac:dyDescent="0.2">
      <c r="B194" s="379" t="s">
        <v>1531</v>
      </c>
      <c r="C194" s="369"/>
      <c r="D194" s="380">
        <f>D186*D144/D149 + D189*D146/D149 + D191*D147/D149 + D193*D148/D149</f>
        <v>3.032280091452658</v>
      </c>
      <c r="E194" s="380">
        <f>E186*E144/E149 + E189*E146/E149 + E191*E147/E149 + E193*E148/E149</f>
        <v>3.3403635196114161</v>
      </c>
      <c r="F194" s="380">
        <f t="shared" ref="F194:K194" si="35">F186*F144/F149 + F189*F146/F149 + F191*F147/F149 + F193*F148/F149</f>
        <v>3.3532786321375756</v>
      </c>
      <c r="G194" s="380">
        <f t="shared" si="35"/>
        <v>3.5966743894273701</v>
      </c>
      <c r="H194" s="380">
        <f t="shared" si="35"/>
        <v>3.8609625447565659</v>
      </c>
      <c r="I194" s="380">
        <f t="shared" si="35"/>
        <v>4.0720630109931628</v>
      </c>
      <c r="J194" s="380">
        <f t="shared" si="35"/>
        <v>4.185190062844967</v>
      </c>
      <c r="K194" s="380">
        <f t="shared" si="35"/>
        <v>4.2303789835195751</v>
      </c>
      <c r="L194" s="382">
        <v>2.89</v>
      </c>
      <c r="M194" s="382">
        <f>L194*M193</f>
        <v>10.318375703399767</v>
      </c>
      <c r="N194" s="382">
        <f>M194*N193</f>
        <v>36.97424547655433</v>
      </c>
      <c r="P194" s="324"/>
      <c r="Q194" s="324"/>
      <c r="R194" s="324"/>
      <c r="S194" s="324"/>
      <c r="AC194" s="327"/>
      <c r="AD194" s="327"/>
      <c r="AE194" s="327"/>
      <c r="AF194" s="327"/>
      <c r="AG194" s="327"/>
      <c r="AH194" s="327"/>
      <c r="AI194" s="327"/>
      <c r="AJ194" s="327"/>
      <c r="AK194" s="327"/>
    </row>
    <row r="195" spans="2:37" x14ac:dyDescent="0.2">
      <c r="B195" s="383" t="s">
        <v>1540</v>
      </c>
      <c r="C195" s="369"/>
      <c r="D195" s="384">
        <f>D186/D177</f>
        <v>1.4705830068349262</v>
      </c>
      <c r="E195" s="384">
        <f t="shared" ref="E195:M195" si="36">E186/E177</f>
        <v>1.6792504581545882</v>
      </c>
      <c r="F195" s="384">
        <f t="shared" si="36"/>
        <v>1.639294578193814</v>
      </c>
      <c r="G195" s="384">
        <f t="shared" si="36"/>
        <v>1.700968312409427</v>
      </c>
      <c r="H195" s="384">
        <f t="shared" si="36"/>
        <v>1.7463725005107325</v>
      </c>
      <c r="I195" s="384">
        <f t="shared" si="36"/>
        <v>1.7752753987425636</v>
      </c>
      <c r="J195" s="384">
        <f t="shared" si="36"/>
        <v>1.7883709675934485</v>
      </c>
      <c r="K195" s="384">
        <f t="shared" si="36"/>
        <v>1.7895959972617286</v>
      </c>
      <c r="L195" s="384">
        <f t="shared" si="36"/>
        <v>1.7894995983623474</v>
      </c>
      <c r="M195" s="384">
        <f t="shared" si="36"/>
        <v>1.7892390554159661</v>
      </c>
      <c r="N195" s="384">
        <f t="shared" ref="N195" si="37">N186/N177</f>
        <v>1.7889785504034439</v>
      </c>
      <c r="P195" s="390" t="s">
        <v>1541</v>
      </c>
      <c r="Q195" s="390"/>
      <c r="R195" s="390"/>
      <c r="S195" s="390"/>
      <c r="T195" s="390"/>
      <c r="U195" s="390"/>
      <c r="V195" s="390"/>
      <c r="AE195" s="327"/>
    </row>
    <row r="196" spans="2:37" x14ac:dyDescent="0.2">
      <c r="B196" s="394"/>
      <c r="C196" s="369"/>
      <c r="D196" s="393"/>
      <c r="E196" s="393"/>
      <c r="F196" s="393"/>
      <c r="G196" s="393"/>
      <c r="H196" s="393"/>
      <c r="I196" s="393"/>
      <c r="J196" s="393"/>
      <c r="K196" s="393"/>
      <c r="L196" s="393"/>
      <c r="M196" s="393"/>
      <c r="N196" s="367"/>
      <c r="AC196" s="327"/>
      <c r="AD196" s="327"/>
      <c r="AE196" s="327"/>
      <c r="AF196" s="327"/>
      <c r="AG196" s="327"/>
      <c r="AH196" s="327"/>
      <c r="AI196" s="327"/>
      <c r="AJ196" s="327"/>
      <c r="AK196" s="327"/>
    </row>
    <row r="197" spans="2:37" x14ac:dyDescent="0.2">
      <c r="B197" s="338" t="s">
        <v>1542</v>
      </c>
      <c r="C197" s="346"/>
      <c r="D197" s="351"/>
      <c r="E197" s="351"/>
      <c r="F197" s="351"/>
      <c r="G197" s="351"/>
      <c r="H197" s="351"/>
      <c r="I197" s="351"/>
      <c r="J197" s="351"/>
      <c r="K197" s="351"/>
      <c r="L197" s="350"/>
      <c r="M197" s="352"/>
      <c r="N197" s="367"/>
      <c r="P197" s="45"/>
      <c r="Q197" s="45"/>
      <c r="R197" s="45"/>
      <c r="S197" s="45"/>
      <c r="T197" s="45"/>
      <c r="U197" s="45"/>
      <c r="V197" s="45"/>
      <c r="AE197" s="327"/>
    </row>
    <row r="198" spans="2:37" x14ac:dyDescent="0.2">
      <c r="B198" s="331" t="s">
        <v>1543</v>
      </c>
      <c r="C198" s="346"/>
      <c r="D198" s="348">
        <v>0.88819998502731301</v>
      </c>
      <c r="E198" s="349">
        <v>0.89587600000000001</v>
      </c>
      <c r="F198" s="349">
        <v>0.90687200000000001</v>
      </c>
      <c r="G198" s="349">
        <v>0.90693800000000002</v>
      </c>
      <c r="H198" s="349">
        <v>0.96658599999999995</v>
      </c>
      <c r="I198" s="349">
        <v>1.0234220000000001</v>
      </c>
      <c r="J198" s="349">
        <v>1.0320370000000001</v>
      </c>
      <c r="K198" s="349">
        <v>1.0069630000000001</v>
      </c>
      <c r="L198" s="350">
        <v>0.99170800000000003</v>
      </c>
      <c r="M198" s="350">
        <v>0.98531000000000002</v>
      </c>
      <c r="N198" s="367">
        <f t="shared" ref="N198:N217" si="38">M198*M198/L198</f>
        <v>0.97895327667014886</v>
      </c>
      <c r="P198" s="44"/>
      <c r="Q198" s="44"/>
      <c r="R198" s="44"/>
      <c r="S198" s="44"/>
      <c r="T198" s="44"/>
      <c r="U198" s="44"/>
      <c r="V198" s="44"/>
      <c r="AC198" s="327"/>
      <c r="AD198" s="327"/>
      <c r="AE198" s="327"/>
      <c r="AF198" s="327"/>
      <c r="AG198" s="327"/>
      <c r="AH198" s="327"/>
      <c r="AI198" s="327"/>
      <c r="AJ198" s="327"/>
      <c r="AK198" s="327"/>
    </row>
    <row r="199" spans="2:37" x14ac:dyDescent="0.2">
      <c r="B199" s="331" t="s">
        <v>1544</v>
      </c>
      <c r="C199" s="346"/>
      <c r="D199" s="348">
        <v>0.57569998502731301</v>
      </c>
      <c r="E199" s="349">
        <v>0.612344</v>
      </c>
      <c r="F199" s="349">
        <v>0.61395200000000005</v>
      </c>
      <c r="G199" s="349">
        <v>0.60857099999999997</v>
      </c>
      <c r="H199" s="349">
        <v>0.62732399999999999</v>
      </c>
      <c r="I199" s="349">
        <v>0.63031800000000004</v>
      </c>
      <c r="J199" s="349">
        <v>0.62685800000000003</v>
      </c>
      <c r="K199" s="349">
        <v>0.62318399999999996</v>
      </c>
      <c r="L199" s="350">
        <v>0.62122999999999995</v>
      </c>
      <c r="M199" s="350">
        <v>0.62052200000000002</v>
      </c>
      <c r="N199" s="367">
        <f t="shared" si="38"/>
        <v>0.61981480688955792</v>
      </c>
      <c r="P199" s="305"/>
      <c r="Q199" s="46"/>
      <c r="R199" s="46"/>
      <c r="S199" s="46"/>
      <c r="T199" s="46"/>
      <c r="U199" s="46"/>
      <c r="V199" s="46"/>
      <c r="AE199" s="327"/>
    </row>
    <row r="200" spans="2:37" x14ac:dyDescent="0.2">
      <c r="B200" s="331" t="s">
        <v>1545</v>
      </c>
      <c r="C200" s="346"/>
      <c r="D200" s="348">
        <v>0.54500001668930098</v>
      </c>
      <c r="E200" s="349">
        <v>0.58048</v>
      </c>
      <c r="F200" s="349">
        <v>0.56229600000000002</v>
      </c>
      <c r="G200" s="349">
        <v>0.58255999999999997</v>
      </c>
      <c r="H200" s="349">
        <v>0.64568400000000004</v>
      </c>
      <c r="I200" s="349">
        <v>0.66605000000000003</v>
      </c>
      <c r="J200" s="349">
        <v>0.66623500000000002</v>
      </c>
      <c r="K200" s="349">
        <v>0.66636700000000004</v>
      </c>
      <c r="L200" s="350">
        <v>0.66643799999999997</v>
      </c>
      <c r="M200" s="350">
        <v>0.66649499999999995</v>
      </c>
      <c r="N200" s="367">
        <f t="shared" si="38"/>
        <v>0.66655200487517208</v>
      </c>
      <c r="P200" s="47"/>
      <c r="Q200" s="47"/>
      <c r="R200" s="47"/>
      <c r="S200" s="47"/>
      <c r="T200" s="47"/>
      <c r="U200" s="47"/>
      <c r="V200" s="47"/>
      <c r="AE200" s="327"/>
    </row>
    <row r="201" spans="2:37" x14ac:dyDescent="0.2">
      <c r="B201" s="331" t="s">
        <v>1546</v>
      </c>
      <c r="C201" s="346"/>
      <c r="D201" s="348">
        <v>0.57480001449585005</v>
      </c>
      <c r="E201" s="349">
        <v>0.65624700000000002</v>
      </c>
      <c r="F201" s="349">
        <v>0.64494200000000002</v>
      </c>
      <c r="G201" s="349">
        <v>0.59947300000000003</v>
      </c>
      <c r="H201" s="349">
        <v>0.61690100000000003</v>
      </c>
      <c r="I201" s="349">
        <v>0.62184200000000001</v>
      </c>
      <c r="J201" s="349">
        <v>0.62076200000000004</v>
      </c>
      <c r="K201" s="349">
        <v>0.618919</v>
      </c>
      <c r="L201" s="350">
        <v>0.61764300000000005</v>
      </c>
      <c r="M201" s="350">
        <v>0.61713799999999996</v>
      </c>
      <c r="N201" s="367">
        <f t="shared" si="38"/>
        <v>0.61663341290033225</v>
      </c>
      <c r="P201" s="43"/>
      <c r="Q201" s="43"/>
      <c r="R201" s="43"/>
      <c r="S201" s="31"/>
      <c r="T201" s="31"/>
      <c r="U201" s="31"/>
      <c r="V201" s="31"/>
      <c r="AE201" s="327"/>
    </row>
    <row r="202" spans="2:37" x14ac:dyDescent="0.2">
      <c r="B202" s="379" t="s">
        <v>1531</v>
      </c>
      <c r="C202" s="369"/>
      <c r="D202" s="380">
        <f>D198*D152/D157 + D199*D153/D157 + D200*D154/D157 + D201*D155/D157</f>
        <v>0.69600502866964997</v>
      </c>
      <c r="E202" s="380">
        <f>E198*E152/E157 + E199*E153/E157 + E200*E154/E157 + E201*E155/E157</f>
        <v>0.72586489497064055</v>
      </c>
      <c r="F202" s="380">
        <f t="shared" ref="F202:N202" si="39">F198*F152/F157 + F199*F153/F157 + F200*F154/F157 + F201*F155/F157</f>
        <v>0.73659627502222802</v>
      </c>
      <c r="G202" s="380">
        <f t="shared" si="39"/>
        <v>0.7383876370309419</v>
      </c>
      <c r="H202" s="380">
        <f t="shared" si="39"/>
        <v>0.76818990790749109</v>
      </c>
      <c r="I202" s="380">
        <f t="shared" si="39"/>
        <v>0.78629460296305409</v>
      </c>
      <c r="J202" s="380">
        <f t="shared" si="39"/>
        <v>0.78342597268157765</v>
      </c>
      <c r="K202" s="380">
        <f t="shared" si="39"/>
        <v>0.77136953544253717</v>
      </c>
      <c r="L202" s="380">
        <f t="shared" si="39"/>
        <v>0.76401751184436895</v>
      </c>
      <c r="M202" s="380">
        <f t="shared" si="39"/>
        <v>0.76116549568479297</v>
      </c>
      <c r="N202" s="380">
        <f t="shared" si="39"/>
        <v>0.75829183006019885</v>
      </c>
      <c r="P202" s="305"/>
      <c r="Q202" s="282"/>
      <c r="R202" s="282"/>
      <c r="S202" s="22"/>
      <c r="T202" s="22"/>
      <c r="U202" s="22"/>
      <c r="V202" s="22"/>
      <c r="AE202" s="327"/>
    </row>
    <row r="203" spans="2:37" x14ac:dyDescent="0.2">
      <c r="B203" s="391"/>
      <c r="C203" s="392"/>
      <c r="D203" s="380"/>
      <c r="E203" s="380"/>
      <c r="F203" s="380"/>
      <c r="G203" s="380"/>
      <c r="H203" s="380"/>
      <c r="I203" s="380"/>
      <c r="J203" s="380"/>
      <c r="K203" s="381"/>
      <c r="L203" s="393"/>
      <c r="M203" s="393"/>
      <c r="N203" s="367"/>
      <c r="P203" s="305"/>
      <c r="Q203" s="305"/>
      <c r="R203" s="305"/>
      <c r="S203" s="305"/>
      <c r="T203" s="305"/>
      <c r="U203" s="305"/>
      <c r="V203" s="305"/>
      <c r="AC203" s="327"/>
      <c r="AD203" s="327"/>
      <c r="AE203" s="327"/>
      <c r="AF203" s="327"/>
      <c r="AG203" s="327"/>
      <c r="AH203" s="327"/>
      <c r="AI203" s="327"/>
      <c r="AJ203" s="327"/>
      <c r="AK203" s="327"/>
    </row>
    <row r="204" spans="2:37" x14ac:dyDescent="0.2">
      <c r="B204" s="338" t="s">
        <v>1547</v>
      </c>
      <c r="C204" s="346"/>
      <c r="D204" s="351"/>
      <c r="E204" s="351"/>
      <c r="F204" s="351"/>
      <c r="G204" s="351"/>
      <c r="H204" s="351"/>
      <c r="I204" s="351"/>
      <c r="J204" s="351"/>
      <c r="K204" s="351"/>
      <c r="L204" s="350"/>
      <c r="M204" s="352"/>
      <c r="N204" s="367"/>
      <c r="P204" s="305"/>
      <c r="Q204" s="305"/>
      <c r="R204" s="305"/>
      <c r="S204" s="305"/>
      <c r="T204" s="305"/>
      <c r="U204" s="305"/>
      <c r="V204" s="305"/>
      <c r="AC204" s="327"/>
      <c r="AD204" s="327"/>
      <c r="AE204" s="327"/>
      <c r="AF204" s="327"/>
      <c r="AG204" s="327"/>
      <c r="AH204" s="327"/>
      <c r="AI204" s="327"/>
      <c r="AJ204" s="327"/>
      <c r="AK204" s="327"/>
    </row>
    <row r="205" spans="2:37" x14ac:dyDescent="0.2">
      <c r="B205" s="331" t="s">
        <v>1523</v>
      </c>
      <c r="C205" s="346"/>
      <c r="D205" s="348">
        <v>673.06201171875</v>
      </c>
      <c r="E205" s="349">
        <v>612.76629600000001</v>
      </c>
      <c r="F205" s="349">
        <v>603.79351799999995</v>
      </c>
      <c r="G205" s="349">
        <v>621.62365699999998</v>
      </c>
      <c r="H205" s="349">
        <v>573.78015100000005</v>
      </c>
      <c r="I205" s="349">
        <v>537.87042199999996</v>
      </c>
      <c r="J205" s="349">
        <v>515.33673099999999</v>
      </c>
      <c r="K205" s="349">
        <v>505.38198899999998</v>
      </c>
      <c r="L205" s="350">
        <v>504.784088</v>
      </c>
      <c r="M205" s="350">
        <v>504.64325000000002</v>
      </c>
      <c r="N205" s="367">
        <f t="shared" si="38"/>
        <v>504.50245129470585</v>
      </c>
      <c r="P205" s="305"/>
      <c r="Q205" s="305"/>
      <c r="R205" s="305"/>
      <c r="S205" s="305"/>
      <c r="T205" s="305"/>
      <c r="U205" s="305"/>
      <c r="V205" s="305"/>
      <c r="AC205" s="327"/>
      <c r="AD205" s="327"/>
      <c r="AE205" s="327"/>
      <c r="AF205" s="327"/>
      <c r="AG205" s="327"/>
      <c r="AH205" s="327"/>
      <c r="AI205" s="327"/>
      <c r="AJ205" s="327"/>
      <c r="AK205" s="327"/>
    </row>
    <row r="206" spans="2:37" x14ac:dyDescent="0.2">
      <c r="B206" s="331" t="s">
        <v>1473</v>
      </c>
      <c r="C206" s="346"/>
      <c r="D206" s="348">
        <v>481.41000366210898</v>
      </c>
      <c r="E206" s="349">
        <v>510.42568999999997</v>
      </c>
      <c r="F206" s="349">
        <v>535.09484899999995</v>
      </c>
      <c r="G206" s="349">
        <v>458.335938</v>
      </c>
      <c r="H206" s="349">
        <v>433.82998700000002</v>
      </c>
      <c r="I206" s="349">
        <v>410.096924</v>
      </c>
      <c r="J206" s="349">
        <v>392.090485</v>
      </c>
      <c r="K206" s="349">
        <v>380.19821200000001</v>
      </c>
      <c r="L206" s="350">
        <v>374.65905800000002</v>
      </c>
      <c r="M206" s="350">
        <v>374.38818400000002</v>
      </c>
      <c r="N206" s="367">
        <f t="shared" si="38"/>
        <v>374.11750583864932</v>
      </c>
      <c r="P206" s="305"/>
      <c r="Q206" s="305"/>
      <c r="R206" s="305"/>
      <c r="S206" s="305"/>
      <c r="T206" s="305"/>
      <c r="U206" s="305"/>
      <c r="V206" s="305"/>
      <c r="AC206" s="327"/>
      <c r="AD206" s="327"/>
      <c r="AE206" s="327"/>
      <c r="AF206" s="327"/>
      <c r="AG206" s="327"/>
      <c r="AH206" s="327"/>
      <c r="AI206" s="327"/>
      <c r="AJ206" s="327"/>
      <c r="AK206" s="327"/>
    </row>
    <row r="207" spans="2:37" x14ac:dyDescent="0.2">
      <c r="B207" s="332"/>
      <c r="C207" s="346"/>
      <c r="D207" s="351"/>
      <c r="E207" s="351"/>
      <c r="F207" s="351"/>
      <c r="G207" s="351"/>
      <c r="H207" s="351"/>
      <c r="I207" s="351"/>
      <c r="J207" s="351"/>
      <c r="K207" s="350"/>
      <c r="L207" s="350"/>
      <c r="M207" s="350"/>
      <c r="N207" s="367"/>
      <c r="P207" s="305"/>
      <c r="Q207" s="305"/>
      <c r="R207" s="305"/>
      <c r="S207" s="305"/>
      <c r="T207" s="305"/>
      <c r="U207" s="305"/>
      <c r="V207" s="305"/>
      <c r="AC207" s="327"/>
      <c r="AD207" s="327"/>
      <c r="AE207" s="327"/>
      <c r="AF207" s="327"/>
      <c r="AG207" s="327"/>
      <c r="AH207" s="327"/>
      <c r="AI207" s="327"/>
      <c r="AJ207" s="327"/>
      <c r="AK207" s="327"/>
    </row>
    <row r="208" spans="2:37" x14ac:dyDescent="0.2">
      <c r="B208" s="338" t="s">
        <v>1548</v>
      </c>
      <c r="C208" s="346"/>
      <c r="D208" s="351"/>
      <c r="E208" s="351"/>
      <c r="F208" s="351"/>
      <c r="G208" s="351"/>
      <c r="H208" s="351"/>
      <c r="I208" s="351"/>
      <c r="J208" s="351"/>
      <c r="K208" s="350"/>
      <c r="L208" s="350"/>
      <c r="M208" s="352"/>
      <c r="N208" s="367"/>
      <c r="P208" s="305"/>
      <c r="Q208" s="305"/>
      <c r="R208" s="305"/>
      <c r="S208" s="305"/>
      <c r="T208" s="305"/>
      <c r="U208" s="305"/>
      <c r="V208" s="305"/>
      <c r="AF208" s="327"/>
      <c r="AG208" s="327"/>
      <c r="AH208" s="327"/>
      <c r="AI208" s="327"/>
      <c r="AJ208" s="327"/>
      <c r="AK208" s="327"/>
    </row>
    <row r="209" spans="2:66" x14ac:dyDescent="0.2">
      <c r="B209" s="338" t="s">
        <v>1549</v>
      </c>
      <c r="C209" s="346"/>
      <c r="D209" s="351"/>
      <c r="E209" s="351"/>
      <c r="F209" s="351"/>
      <c r="G209" s="351"/>
      <c r="H209" s="351"/>
      <c r="I209" s="351"/>
      <c r="J209" s="351"/>
      <c r="K209" s="350"/>
      <c r="L209" s="350"/>
      <c r="M209" s="352"/>
      <c r="N209" s="367"/>
      <c r="P209" s="305"/>
      <c r="Q209" s="305"/>
      <c r="R209" s="305"/>
      <c r="S209" s="305"/>
      <c r="T209" s="305"/>
      <c r="U209" s="305"/>
      <c r="V209" s="305"/>
      <c r="AF209" s="327"/>
      <c r="AG209" s="327"/>
      <c r="AH209" s="327"/>
      <c r="AI209" s="327"/>
      <c r="AJ209" s="327"/>
      <c r="AK209" s="327"/>
    </row>
    <row r="210" spans="2:66" x14ac:dyDescent="0.2">
      <c r="B210" s="331" t="s">
        <v>1550</v>
      </c>
      <c r="C210" s="346"/>
      <c r="D210" s="354">
        <v>0.97422799999999998</v>
      </c>
      <c r="E210" s="349">
        <v>0.905362</v>
      </c>
      <c r="F210" s="349">
        <v>0.95352899999999996</v>
      </c>
      <c r="G210" s="349">
        <v>0.96857000000000004</v>
      </c>
      <c r="H210" s="349">
        <v>0.93102499999999999</v>
      </c>
      <c r="I210" s="349">
        <v>0.90287099999999998</v>
      </c>
      <c r="J210" s="349">
        <v>0.867313</v>
      </c>
      <c r="K210" s="349">
        <v>0.83236500000000002</v>
      </c>
      <c r="L210" s="350">
        <v>0.79865799999999998</v>
      </c>
      <c r="M210" s="350">
        <v>0.76516499999999998</v>
      </c>
      <c r="N210" s="367">
        <f t="shared" si="38"/>
        <v>0.73307658249839103</v>
      </c>
      <c r="O210" s="438"/>
      <c r="P210" s="305"/>
      <c r="Q210" s="44"/>
      <c r="R210" s="44"/>
      <c r="S210" s="44"/>
      <c r="T210" s="44"/>
      <c r="U210" s="44"/>
      <c r="V210" s="44"/>
      <c r="AC210" s="327"/>
      <c r="AD210" s="327"/>
      <c r="AF210" s="327"/>
      <c r="AG210" s="327"/>
      <c r="AH210" s="327"/>
      <c r="AI210" s="327"/>
      <c r="AJ210" s="327"/>
      <c r="AK210" s="327"/>
    </row>
    <row r="211" spans="2:66" x14ac:dyDescent="0.2">
      <c r="B211" s="331" t="s">
        <v>1551</v>
      </c>
      <c r="C211" s="346"/>
      <c r="D211" s="348">
        <v>1.0231920000000001</v>
      </c>
      <c r="E211" s="349">
        <v>0.83914</v>
      </c>
      <c r="F211" s="349">
        <v>0.98570400000000002</v>
      </c>
      <c r="G211" s="349">
        <v>0.87612199999999996</v>
      </c>
      <c r="H211" s="349">
        <v>0.77489200000000003</v>
      </c>
      <c r="I211" s="349">
        <v>0.77132599999999996</v>
      </c>
      <c r="J211" s="349">
        <v>0.88260099999999997</v>
      </c>
      <c r="K211" s="349">
        <v>0.88129299999999999</v>
      </c>
      <c r="L211" s="350">
        <v>0.87481500000000001</v>
      </c>
      <c r="M211" s="350">
        <v>0.87474700000000005</v>
      </c>
      <c r="N211" s="367">
        <f t="shared" si="38"/>
        <v>0.87467900528568898</v>
      </c>
      <c r="P211" s="305"/>
      <c r="Q211" s="46"/>
      <c r="R211" s="46"/>
      <c r="S211" s="46"/>
      <c r="T211" s="46"/>
      <c r="U211" s="46"/>
      <c r="V211" s="46"/>
      <c r="AC211" s="327"/>
      <c r="AD211" s="327"/>
      <c r="AE211" s="327"/>
      <c r="AF211" s="327"/>
      <c r="AG211" s="327"/>
      <c r="AH211" s="327"/>
      <c r="AI211" s="327"/>
      <c r="AJ211" s="327"/>
      <c r="AK211" s="327"/>
    </row>
    <row r="212" spans="2:66" x14ac:dyDescent="0.2">
      <c r="B212" s="331" t="s">
        <v>1552</v>
      </c>
      <c r="C212" s="346"/>
      <c r="D212" s="348">
        <v>0.97457899999999997</v>
      </c>
      <c r="E212" s="349">
        <v>0.90308299999999997</v>
      </c>
      <c r="F212" s="349">
        <v>0.95558500000000002</v>
      </c>
      <c r="G212" s="349">
        <v>0.96265100000000003</v>
      </c>
      <c r="H212" s="349">
        <v>0.91953300000000004</v>
      </c>
      <c r="I212" s="349">
        <v>0.88771699999999998</v>
      </c>
      <c r="J212" s="349">
        <v>0.85676600000000003</v>
      </c>
      <c r="K212" s="349">
        <v>0.83145999999999998</v>
      </c>
      <c r="L212" s="350">
        <v>0.80911299999999997</v>
      </c>
      <c r="M212" s="350">
        <v>0.78863000000000005</v>
      </c>
      <c r="N212" s="367">
        <f t="shared" si="38"/>
        <v>0.76866553485112732</v>
      </c>
      <c r="P212" s="49"/>
      <c r="Q212" s="50"/>
      <c r="R212" s="50"/>
      <c r="S212" s="50"/>
      <c r="T212" s="50"/>
      <c r="U212" s="50"/>
      <c r="V212" s="50"/>
      <c r="AC212" s="327"/>
      <c r="AD212" s="327"/>
      <c r="AE212" s="327"/>
      <c r="AF212" s="327"/>
      <c r="AG212" s="327"/>
      <c r="AH212" s="327"/>
      <c r="AI212" s="327"/>
      <c r="AJ212" s="327"/>
      <c r="AK212" s="327"/>
    </row>
    <row r="213" spans="2:66" x14ac:dyDescent="0.2">
      <c r="B213" s="346"/>
      <c r="C213" s="346"/>
      <c r="D213" s="350"/>
      <c r="E213" s="350"/>
      <c r="F213" s="350"/>
      <c r="G213" s="350"/>
      <c r="H213" s="350"/>
      <c r="I213" s="350"/>
      <c r="J213" s="350"/>
      <c r="K213" s="350"/>
      <c r="L213" s="350"/>
      <c r="M213" s="350"/>
      <c r="N213" s="367"/>
      <c r="P213" s="43"/>
      <c r="Q213" s="305"/>
      <c r="R213" s="305"/>
      <c r="S213" s="22"/>
      <c r="T213" s="22"/>
      <c r="U213" s="22"/>
      <c r="V213" s="22"/>
      <c r="AC213" s="327"/>
      <c r="AD213" s="327"/>
      <c r="AF213" s="327"/>
      <c r="AG213" s="327"/>
      <c r="AH213" s="327"/>
      <c r="AI213" s="327"/>
      <c r="AJ213" s="327"/>
      <c r="AK213" s="327"/>
    </row>
    <row r="214" spans="2:66" x14ac:dyDescent="0.2">
      <c r="B214" s="338" t="s">
        <v>1532</v>
      </c>
      <c r="C214" s="346"/>
      <c r="D214" s="351"/>
      <c r="E214" s="351"/>
      <c r="F214" s="351"/>
      <c r="G214" s="351"/>
      <c r="H214" s="351"/>
      <c r="I214" s="351"/>
      <c r="J214" s="351"/>
      <c r="K214" s="351"/>
      <c r="L214" s="350"/>
      <c r="M214" s="350"/>
      <c r="N214" s="367"/>
      <c r="O214" s="438"/>
      <c r="P214" s="305"/>
      <c r="Q214" s="305"/>
      <c r="R214" s="305"/>
      <c r="S214" s="305"/>
      <c r="T214" s="305"/>
      <c r="U214" s="305"/>
      <c r="V214" s="305"/>
      <c r="AF214" s="327"/>
      <c r="AG214" s="327"/>
      <c r="AH214" s="327"/>
      <c r="AI214" s="327"/>
      <c r="AJ214" s="327"/>
      <c r="AK214" s="327"/>
    </row>
    <row r="215" spans="2:66" x14ac:dyDescent="0.2">
      <c r="B215" s="331" t="s">
        <v>1550</v>
      </c>
      <c r="C215" s="346"/>
      <c r="D215" s="354">
        <v>0.985433</v>
      </c>
      <c r="E215" s="349">
        <v>0.95929600000000004</v>
      </c>
      <c r="F215" s="349">
        <v>0.978545</v>
      </c>
      <c r="G215" s="349">
        <v>0.98903099999999999</v>
      </c>
      <c r="H215" s="349">
        <v>0.97557099999999997</v>
      </c>
      <c r="I215" s="349">
        <v>0.96549499999999999</v>
      </c>
      <c r="J215" s="349">
        <v>0.952708</v>
      </c>
      <c r="K215" s="349">
        <v>0.940056</v>
      </c>
      <c r="L215" s="350">
        <v>0.92771400000000004</v>
      </c>
      <c r="M215" s="350">
        <v>0.91531200000000001</v>
      </c>
      <c r="N215" s="367">
        <f t="shared" si="38"/>
        <v>0.90307579420381712</v>
      </c>
      <c r="O215" s="438"/>
      <c r="P215" s="305"/>
      <c r="Q215" s="282"/>
      <c r="R215" s="282"/>
      <c r="S215" s="22"/>
      <c r="T215" s="22"/>
      <c r="U215" s="22"/>
      <c r="V215" s="22"/>
      <c r="AC215" s="327"/>
      <c r="AD215" s="327"/>
      <c r="AF215" s="327"/>
      <c r="AG215" s="327"/>
      <c r="AH215" s="327"/>
      <c r="AI215" s="327"/>
      <c r="AJ215" s="327"/>
      <c r="AK215" s="327"/>
    </row>
    <row r="216" spans="2:66" x14ac:dyDescent="0.2">
      <c r="B216" s="331" t="s">
        <v>1551</v>
      </c>
      <c r="C216" s="346"/>
      <c r="D216" s="348">
        <v>1.0663450000000001</v>
      </c>
      <c r="E216" s="349">
        <v>0.98592900000000006</v>
      </c>
      <c r="F216" s="349">
        <v>1.050303</v>
      </c>
      <c r="G216" s="349">
        <v>0.99050800000000006</v>
      </c>
      <c r="H216" s="349">
        <v>0.95875100000000002</v>
      </c>
      <c r="I216" s="349">
        <v>0.95821699999999999</v>
      </c>
      <c r="J216" s="349">
        <v>0.99954100000000001</v>
      </c>
      <c r="K216" s="349">
        <v>1.000248</v>
      </c>
      <c r="L216" s="350">
        <v>0.99830399999999997</v>
      </c>
      <c r="M216" s="350">
        <v>1.0001139999999999</v>
      </c>
      <c r="N216" s="367">
        <f t="shared" si="38"/>
        <v>1.001927281665705</v>
      </c>
      <c r="P216" s="305"/>
      <c r="Q216" s="305"/>
      <c r="R216" s="305"/>
      <c r="S216" s="305"/>
      <c r="T216" s="305"/>
      <c r="U216" s="305"/>
      <c r="V216" s="305"/>
      <c r="AC216" s="327"/>
      <c r="AD216" s="327"/>
      <c r="AE216" s="327"/>
      <c r="AF216" s="327"/>
      <c r="AG216" s="327"/>
      <c r="AH216" s="327"/>
      <c r="AI216" s="327"/>
      <c r="AJ216" s="327"/>
      <c r="AK216" s="327"/>
    </row>
    <row r="217" spans="2:66" x14ac:dyDescent="0.2">
      <c r="B217" s="331" t="s">
        <v>1552</v>
      </c>
      <c r="C217" s="346"/>
      <c r="D217" s="348">
        <v>0.98617900000000003</v>
      </c>
      <c r="E217" s="349">
        <v>0.96123199999999998</v>
      </c>
      <c r="F217" s="349">
        <v>0.98167000000000004</v>
      </c>
      <c r="G217" s="349">
        <v>0.989178</v>
      </c>
      <c r="H217" s="349">
        <v>0.97603300000000004</v>
      </c>
      <c r="I217" s="349">
        <v>0.966445</v>
      </c>
      <c r="J217" s="349">
        <v>0.95631500000000003</v>
      </c>
      <c r="K217" s="349">
        <v>0.94758100000000001</v>
      </c>
      <c r="L217" s="350">
        <v>0.93948399999999999</v>
      </c>
      <c r="M217" s="350">
        <v>0.93163799999999997</v>
      </c>
      <c r="N217" s="367">
        <f t="shared" si="38"/>
        <v>0.92385752502863272</v>
      </c>
      <c r="P217" s="305"/>
      <c r="Q217" s="305"/>
      <c r="R217" s="305"/>
      <c r="S217" s="305"/>
      <c r="T217" s="305"/>
      <c r="U217" s="305"/>
      <c r="V217" s="305"/>
      <c r="AC217" s="327"/>
      <c r="AD217" s="327"/>
      <c r="AE217" s="327"/>
      <c r="AF217" s="327"/>
      <c r="AG217" s="327"/>
      <c r="AH217" s="327"/>
      <c r="AI217" s="327"/>
      <c r="AJ217" s="327"/>
      <c r="AK217" s="327"/>
    </row>
    <row r="218" spans="2:66" x14ac:dyDescent="0.2">
      <c r="B218" s="324"/>
      <c r="D218" s="355"/>
      <c r="E218" s="355"/>
      <c r="F218" s="355"/>
      <c r="G218" s="355"/>
      <c r="H218" s="355"/>
      <c r="I218" s="355"/>
      <c r="J218" s="355"/>
      <c r="K218" s="355"/>
      <c r="L218" s="355"/>
      <c r="M218" s="355"/>
      <c r="P218" s="305"/>
      <c r="Q218" s="44"/>
      <c r="R218" s="44"/>
      <c r="S218" s="44"/>
      <c r="T218" s="44"/>
      <c r="U218" s="44"/>
      <c r="V218" s="44"/>
      <c r="AC218" s="327"/>
      <c r="AD218" s="327"/>
      <c r="AE218" s="327"/>
      <c r="AF218" s="327"/>
      <c r="AG218" s="327"/>
      <c r="AH218" s="327"/>
      <c r="AI218" s="327"/>
      <c r="AJ218" s="327"/>
      <c r="AK218" s="327"/>
    </row>
    <row r="219" spans="2:66" x14ac:dyDescent="0.2">
      <c r="B219" s="20" t="s">
        <v>1553</v>
      </c>
      <c r="C219" s="20"/>
      <c r="D219" s="20"/>
      <c r="E219" s="20"/>
      <c r="F219" s="20"/>
      <c r="G219" s="20"/>
      <c r="H219" s="20"/>
      <c r="I219" s="20"/>
      <c r="J219" s="324"/>
      <c r="K219" s="324"/>
      <c r="L219" s="324"/>
      <c r="M219" s="324"/>
      <c r="N219" s="324"/>
      <c r="P219" s="305"/>
      <c r="Q219" s="46"/>
      <c r="R219" s="46"/>
      <c r="S219" s="46"/>
      <c r="T219" s="46"/>
      <c r="U219" s="46"/>
      <c r="V219" s="46"/>
      <c r="AF219" s="327"/>
      <c r="AG219" s="327"/>
      <c r="AH219" s="327"/>
      <c r="AI219" s="327"/>
      <c r="AJ219" s="327"/>
      <c r="AK219" s="327"/>
    </row>
    <row r="220" spans="2:66" ht="13.5" thickBot="1" x14ac:dyDescent="0.25">
      <c r="B220" s="534" t="s">
        <v>1554</v>
      </c>
      <c r="C220" s="521"/>
      <c r="D220" s="521"/>
      <c r="E220" s="521"/>
      <c r="F220" s="318">
        <v>2015</v>
      </c>
      <c r="G220" s="521"/>
      <c r="H220" s="521"/>
      <c r="I220" s="521"/>
      <c r="J220" s="324"/>
      <c r="K220" s="324"/>
      <c r="L220" s="324"/>
      <c r="M220" s="324"/>
      <c r="N220" s="324"/>
      <c r="P220" s="48"/>
      <c r="Q220" s="50"/>
      <c r="R220" s="50"/>
      <c r="S220" s="50"/>
      <c r="T220" s="50"/>
      <c r="U220" s="50"/>
      <c r="V220" s="50"/>
      <c r="AC220" s="327"/>
      <c r="AD220" s="327"/>
      <c r="AF220" s="327"/>
      <c r="AG220" s="327"/>
      <c r="AH220" s="327"/>
      <c r="AI220" s="327"/>
      <c r="AJ220" s="327"/>
      <c r="AK220" s="327"/>
    </row>
    <row r="221" spans="2:66" ht="13.5" thickTop="1" x14ac:dyDescent="0.2">
      <c r="B221" s="522" t="s">
        <v>1555</v>
      </c>
      <c r="C221" s="521"/>
      <c r="D221" s="521"/>
      <c r="E221" s="521"/>
      <c r="F221" s="523">
        <v>15.4</v>
      </c>
      <c r="G221" s="521"/>
      <c r="H221" s="521"/>
      <c r="I221" s="521"/>
      <c r="J221" s="324"/>
      <c r="K221" s="324"/>
      <c r="L221" s="324"/>
      <c r="M221" s="324"/>
      <c r="N221" s="324"/>
      <c r="AC221" s="327"/>
      <c r="AD221" s="327"/>
      <c r="AE221" s="327"/>
      <c r="AF221" s="327"/>
      <c r="AG221" s="327"/>
      <c r="AH221" s="327"/>
      <c r="AI221" s="327"/>
      <c r="AJ221" s="327"/>
      <c r="AK221" s="327"/>
    </row>
    <row r="222" spans="2:66" x14ac:dyDescent="0.2">
      <c r="B222" s="524" t="s">
        <v>1556</v>
      </c>
      <c r="C222" s="521"/>
      <c r="D222" s="521"/>
      <c r="E222" s="521"/>
      <c r="F222" s="525" t="s">
        <v>514</v>
      </c>
      <c r="G222" s="521"/>
      <c r="H222" s="521"/>
      <c r="I222" s="521"/>
      <c r="J222" s="324"/>
      <c r="K222" s="324"/>
      <c r="L222" s="324"/>
      <c r="M222" s="324"/>
      <c r="N222" s="324"/>
      <c r="P222" s="324"/>
      <c r="Q222" s="324"/>
      <c r="R222" s="324"/>
      <c r="S222" s="324"/>
      <c r="AC222" s="327"/>
      <c r="AD222" s="327"/>
      <c r="AE222" s="327"/>
      <c r="AF222" s="327"/>
      <c r="AG222" s="327"/>
      <c r="AH222" s="327"/>
      <c r="AI222" s="327"/>
      <c r="AJ222" s="327"/>
      <c r="AK222" s="327"/>
    </row>
    <row r="223" spans="2:66" s="324" customFormat="1" x14ac:dyDescent="0.2">
      <c r="B223" s="526" t="s">
        <v>1557</v>
      </c>
      <c r="C223" s="521"/>
      <c r="D223" s="521"/>
      <c r="E223" s="521"/>
      <c r="F223" s="527">
        <v>15.4</v>
      </c>
      <c r="G223" s="521"/>
      <c r="H223" s="521"/>
      <c r="I223" s="521"/>
      <c r="O223" s="318"/>
      <c r="T223" s="318"/>
      <c r="U223" s="318"/>
      <c r="V223" s="318"/>
      <c r="W223" s="318"/>
      <c r="X223" s="318"/>
      <c r="Y223" s="318"/>
      <c r="Z223" s="318"/>
      <c r="AA223" s="318"/>
      <c r="AB223" s="318"/>
      <c r="AC223" s="327"/>
      <c r="AD223" s="327"/>
      <c r="AE223" s="327"/>
      <c r="AF223" s="327"/>
      <c r="AG223" s="327"/>
      <c r="AH223" s="327"/>
      <c r="AI223" s="327"/>
      <c r="AJ223" s="327"/>
      <c r="AK223" s="327"/>
    </row>
    <row r="224" spans="2:66" s="324" customFormat="1" x14ac:dyDescent="0.2">
      <c r="B224" s="528" t="s">
        <v>1558</v>
      </c>
      <c r="C224" s="521"/>
      <c r="D224" s="521"/>
      <c r="E224" s="521"/>
      <c r="F224" s="527" t="s">
        <v>1559</v>
      </c>
      <c r="G224" s="521"/>
      <c r="H224" s="521"/>
      <c r="I224" s="521"/>
      <c r="O224" s="318"/>
      <c r="P224" s="318"/>
      <c r="Q224" s="318"/>
      <c r="R224" s="318"/>
      <c r="S224" s="318"/>
      <c r="T224" s="318"/>
      <c r="U224" s="318"/>
      <c r="V224" s="318"/>
      <c r="W224" s="318"/>
      <c r="X224" s="318"/>
      <c r="Y224" s="318"/>
      <c r="Z224" s="318"/>
      <c r="AA224" s="318"/>
      <c r="AB224" s="318"/>
      <c r="AC224" s="318"/>
      <c r="AD224" s="318"/>
      <c r="AE224" s="318"/>
      <c r="AF224" s="318"/>
      <c r="AG224" s="318"/>
      <c r="AH224" s="318"/>
      <c r="AI224" s="318"/>
      <c r="AJ224" s="318"/>
      <c r="AK224" s="318"/>
      <c r="AL224" s="318"/>
      <c r="AM224" s="318"/>
      <c r="AN224" s="318"/>
      <c r="AO224" s="318"/>
      <c r="AP224" s="318"/>
      <c r="AQ224" s="318"/>
      <c r="AR224" s="318"/>
      <c r="AS224" s="318"/>
      <c r="AT224" s="318"/>
      <c r="AU224" s="318"/>
      <c r="AV224" s="318"/>
      <c r="AW224" s="318"/>
      <c r="AX224" s="318"/>
      <c r="AY224" s="318"/>
      <c r="AZ224" s="318"/>
      <c r="BA224" s="318"/>
      <c r="BB224" s="318"/>
      <c r="BC224" s="318"/>
      <c r="BD224" s="318"/>
      <c r="BE224" s="318"/>
      <c r="BF224" s="318"/>
      <c r="BG224" s="318"/>
      <c r="BH224" s="318"/>
      <c r="BI224" s="318"/>
      <c r="BJ224" s="318"/>
      <c r="BK224" s="318"/>
      <c r="BL224" s="318"/>
      <c r="BM224" s="318"/>
      <c r="BN224" s="318"/>
    </row>
    <row r="225" spans="2:28" s="324" customFormat="1" x14ac:dyDescent="0.2">
      <c r="B225" s="528" t="s">
        <v>1560</v>
      </c>
      <c r="C225" s="521"/>
      <c r="D225" s="521"/>
      <c r="E225" s="521"/>
      <c r="F225" s="527" t="s">
        <v>1559</v>
      </c>
      <c r="G225" s="521"/>
      <c r="H225" s="521"/>
      <c r="I225" s="521"/>
      <c r="P225" s="318"/>
      <c r="Q225" s="318"/>
      <c r="R225" s="318"/>
      <c r="S225" s="318"/>
      <c r="T225" s="318"/>
      <c r="U225" s="318"/>
      <c r="V225" s="318"/>
      <c r="W225" s="318"/>
      <c r="X225" s="318"/>
      <c r="Y225" s="318"/>
      <c r="Z225" s="318"/>
      <c r="AA225" s="318"/>
      <c r="AB225" s="318"/>
    </row>
    <row r="226" spans="2:28" s="324" customFormat="1" x14ac:dyDescent="0.2">
      <c r="B226" s="529" t="s">
        <v>1561</v>
      </c>
      <c r="C226" s="521"/>
      <c r="D226" s="521"/>
      <c r="E226" s="521"/>
      <c r="F226" s="525" t="s">
        <v>514</v>
      </c>
      <c r="G226" s="521"/>
      <c r="H226" s="521"/>
      <c r="I226" s="521"/>
      <c r="T226" s="318"/>
      <c r="U226" s="318"/>
      <c r="V226" s="318"/>
      <c r="W226" s="318"/>
      <c r="X226" s="318"/>
      <c r="Y226" s="318"/>
      <c r="Z226" s="318"/>
      <c r="AA226" s="318"/>
      <c r="AB226" s="318"/>
    </row>
    <row r="227" spans="2:28" s="324" customFormat="1" x14ac:dyDescent="0.2">
      <c r="B227" s="528" t="s">
        <v>1562</v>
      </c>
      <c r="C227" s="521"/>
      <c r="D227" s="521"/>
      <c r="E227" s="521"/>
      <c r="F227" s="527">
        <v>9.3000000000000007</v>
      </c>
      <c r="G227" s="521"/>
      <c r="H227" s="521"/>
      <c r="I227" s="521"/>
      <c r="T227" s="318"/>
      <c r="U227" s="318"/>
      <c r="V227" s="318"/>
      <c r="W227" s="318"/>
      <c r="X227" s="318"/>
      <c r="Y227" s="318"/>
      <c r="Z227" s="318"/>
      <c r="AA227" s="318"/>
      <c r="AB227" s="318"/>
    </row>
    <row r="228" spans="2:28" s="324" customFormat="1" x14ac:dyDescent="0.2">
      <c r="B228" s="530" t="s">
        <v>1563</v>
      </c>
      <c r="C228" s="521"/>
      <c r="D228" s="521"/>
      <c r="E228" s="521"/>
      <c r="F228" s="527">
        <v>5.6</v>
      </c>
      <c r="G228" s="521"/>
      <c r="H228" s="521"/>
      <c r="I228" s="521"/>
      <c r="T228" s="318"/>
      <c r="U228" s="318"/>
      <c r="V228" s="318"/>
      <c r="W228" s="318"/>
      <c r="X228" s="318"/>
      <c r="Y228" s="318"/>
      <c r="Z228" s="318"/>
      <c r="AA228" s="318"/>
      <c r="AB228" s="318"/>
    </row>
    <row r="229" spans="2:28" s="324" customFormat="1" x14ac:dyDescent="0.2">
      <c r="B229" s="530" t="s">
        <v>1564</v>
      </c>
      <c r="C229" s="521"/>
      <c r="D229" s="521"/>
      <c r="E229" s="521"/>
      <c r="F229" s="527">
        <v>3.2</v>
      </c>
      <c r="G229" s="521"/>
      <c r="H229" s="521"/>
      <c r="I229" s="521"/>
      <c r="P229" s="318"/>
      <c r="Q229" s="318"/>
      <c r="R229" s="318"/>
      <c r="S229" s="318"/>
      <c r="T229" s="318"/>
      <c r="U229" s="318"/>
      <c r="V229" s="318"/>
      <c r="W229" s="318"/>
      <c r="X229" s="318"/>
      <c r="Y229" s="318"/>
      <c r="Z229" s="318"/>
      <c r="AA229" s="318"/>
      <c r="AB229" s="318"/>
    </row>
    <row r="230" spans="2:28" s="324" customFormat="1" x14ac:dyDescent="0.2">
      <c r="B230" s="530" t="s">
        <v>1565</v>
      </c>
      <c r="C230" s="521"/>
      <c r="D230" s="521"/>
      <c r="E230" s="521"/>
      <c r="F230" s="527">
        <v>0.3</v>
      </c>
      <c r="G230" s="521"/>
      <c r="H230" s="521"/>
      <c r="I230" s="521"/>
      <c r="P230" s="318"/>
      <c r="Q230" s="318"/>
      <c r="R230" s="318"/>
      <c r="S230" s="318"/>
      <c r="T230" s="318"/>
      <c r="U230" s="318"/>
      <c r="V230" s="318"/>
      <c r="W230" s="318"/>
      <c r="X230" s="318"/>
      <c r="Y230" s="318"/>
      <c r="Z230" s="318"/>
      <c r="AA230" s="318"/>
      <c r="AB230" s="318"/>
    </row>
    <row r="231" spans="2:28" s="324" customFormat="1" x14ac:dyDescent="0.2">
      <c r="B231" s="530" t="s">
        <v>1566</v>
      </c>
      <c r="C231" s="521"/>
      <c r="D231" s="521"/>
      <c r="E231" s="521"/>
      <c r="F231" s="527" t="s">
        <v>1567</v>
      </c>
      <c r="G231" s="521"/>
      <c r="H231" s="521"/>
      <c r="I231" s="521"/>
      <c r="P231" s="318"/>
      <c r="Q231" s="318"/>
      <c r="R231" s="318"/>
      <c r="S231" s="318"/>
      <c r="T231" s="318"/>
      <c r="U231" s="318"/>
      <c r="V231" s="318"/>
      <c r="W231" s="318"/>
      <c r="X231" s="318"/>
      <c r="Y231" s="318"/>
      <c r="Z231" s="318"/>
      <c r="AA231" s="318"/>
      <c r="AB231" s="318"/>
    </row>
    <row r="232" spans="2:28" s="324" customFormat="1" x14ac:dyDescent="0.2">
      <c r="B232" s="528" t="s">
        <v>138</v>
      </c>
      <c r="C232" s="521"/>
      <c r="D232" s="521"/>
      <c r="E232" s="521"/>
      <c r="F232" s="527">
        <v>2.2999999999999998</v>
      </c>
      <c r="G232" s="521"/>
      <c r="H232" s="521"/>
      <c r="I232" s="521"/>
      <c r="P232" s="318"/>
      <c r="Q232" s="318"/>
      <c r="R232" s="318"/>
      <c r="S232" s="318"/>
      <c r="T232" s="318"/>
      <c r="U232" s="318"/>
      <c r="V232" s="318"/>
      <c r="W232" s="318"/>
      <c r="X232" s="318"/>
      <c r="Y232" s="318"/>
      <c r="Z232" s="318"/>
      <c r="AA232" s="318"/>
      <c r="AB232" s="318"/>
    </row>
    <row r="233" spans="2:28" s="324" customFormat="1" x14ac:dyDescent="0.2">
      <c r="B233" s="530" t="s">
        <v>1563</v>
      </c>
      <c r="C233" s="521"/>
      <c r="D233" s="521"/>
      <c r="E233" s="521"/>
      <c r="F233" s="535">
        <v>0.3</v>
      </c>
      <c r="G233" s="521"/>
      <c r="H233" s="521"/>
      <c r="I233" s="521"/>
      <c r="P233" s="318"/>
      <c r="Q233" s="318"/>
      <c r="R233" s="318"/>
      <c r="S233" s="318"/>
      <c r="T233" s="318"/>
      <c r="U233" s="318"/>
      <c r="V233" s="318"/>
      <c r="W233" s="318"/>
      <c r="X233" s="318"/>
      <c r="Y233" s="318"/>
      <c r="Z233" s="318"/>
      <c r="AA233" s="318"/>
      <c r="AB233" s="318"/>
    </row>
    <row r="234" spans="2:28" s="324" customFormat="1" x14ac:dyDescent="0.2">
      <c r="B234" s="530" t="s">
        <v>1568</v>
      </c>
      <c r="C234" s="521"/>
      <c r="D234" s="521"/>
      <c r="E234" s="521"/>
      <c r="F234" s="527">
        <v>0.6</v>
      </c>
      <c r="G234" s="521"/>
      <c r="H234" s="521"/>
      <c r="I234" s="521"/>
      <c r="P234" s="318"/>
      <c r="Q234" s="318"/>
      <c r="R234" s="318"/>
      <c r="S234" s="318"/>
      <c r="T234" s="318"/>
      <c r="U234" s="318"/>
      <c r="V234" s="318"/>
      <c r="W234" s="318"/>
      <c r="X234" s="318"/>
      <c r="Y234" s="318"/>
      <c r="Z234" s="318"/>
      <c r="AA234" s="318"/>
      <c r="AB234" s="318"/>
    </row>
    <row r="235" spans="2:28" s="324" customFormat="1" x14ac:dyDescent="0.2">
      <c r="B235" s="530" t="s">
        <v>1569</v>
      </c>
      <c r="C235" s="521"/>
      <c r="D235" s="521"/>
      <c r="E235" s="521"/>
      <c r="F235" s="527">
        <v>1.2</v>
      </c>
      <c r="G235" s="521"/>
      <c r="H235" s="521"/>
      <c r="I235" s="521"/>
      <c r="P235" s="318"/>
      <c r="Q235" s="318"/>
      <c r="R235" s="318"/>
      <c r="S235" s="318"/>
      <c r="T235" s="318"/>
      <c r="U235" s="318"/>
      <c r="V235" s="318"/>
      <c r="W235" s="318"/>
      <c r="X235" s="318"/>
      <c r="Y235" s="318"/>
      <c r="Z235" s="318"/>
      <c r="AA235" s="318"/>
      <c r="AB235" s="318"/>
    </row>
    <row r="236" spans="2:28" s="324" customFormat="1" x14ac:dyDescent="0.2">
      <c r="B236" s="530" t="s">
        <v>1570</v>
      </c>
      <c r="C236" s="521"/>
      <c r="D236" s="521"/>
      <c r="E236" s="521"/>
      <c r="F236" s="527" t="s">
        <v>1567</v>
      </c>
      <c r="G236" s="521"/>
      <c r="H236" s="521"/>
      <c r="I236" s="521"/>
      <c r="P236" s="318"/>
      <c r="Q236" s="318"/>
      <c r="R236" s="318"/>
      <c r="S236" s="318"/>
      <c r="T236" s="318"/>
      <c r="U236" s="318"/>
      <c r="V236" s="318"/>
      <c r="W236" s="318"/>
      <c r="X236" s="318"/>
      <c r="Y236" s="318"/>
      <c r="Z236" s="318"/>
      <c r="AA236" s="318"/>
      <c r="AB236" s="318"/>
    </row>
    <row r="237" spans="2:28" s="324" customFormat="1" x14ac:dyDescent="0.2">
      <c r="B237" s="530" t="s">
        <v>1566</v>
      </c>
      <c r="C237" s="521"/>
      <c r="D237" s="521"/>
      <c r="E237" s="521"/>
      <c r="F237" s="527" t="s">
        <v>1567</v>
      </c>
      <c r="G237" s="521"/>
      <c r="H237" s="521"/>
      <c r="I237" s="521"/>
      <c r="P237" s="318"/>
      <c r="Q237" s="318"/>
      <c r="R237" s="318"/>
      <c r="S237" s="318"/>
      <c r="T237" s="318"/>
      <c r="U237" s="318"/>
      <c r="V237" s="318"/>
      <c r="W237" s="318"/>
      <c r="X237" s="318"/>
      <c r="Y237" s="318"/>
      <c r="Z237" s="318"/>
      <c r="AA237" s="318"/>
    </row>
    <row r="238" spans="2:28" s="324" customFormat="1" x14ac:dyDescent="0.2">
      <c r="B238" s="528" t="s">
        <v>1571</v>
      </c>
      <c r="C238" s="521"/>
      <c r="D238" s="521"/>
      <c r="E238" s="521"/>
      <c r="F238" s="527">
        <v>2.6</v>
      </c>
      <c r="G238" s="521"/>
      <c r="H238" s="521"/>
      <c r="I238" s="521"/>
    </row>
    <row r="239" spans="2:28" s="324" customFormat="1" x14ac:dyDescent="0.2">
      <c r="B239" s="530" t="s">
        <v>1563</v>
      </c>
      <c r="C239" s="521"/>
      <c r="D239" s="521"/>
      <c r="E239" s="521"/>
      <c r="F239" s="527">
        <v>1.3</v>
      </c>
      <c r="G239" s="521"/>
      <c r="H239" s="521"/>
      <c r="I239" s="521"/>
    </row>
    <row r="240" spans="2:28" s="324" customFormat="1" x14ac:dyDescent="0.2">
      <c r="B240" s="530" t="s">
        <v>1564</v>
      </c>
      <c r="C240" s="521"/>
      <c r="D240" s="521"/>
      <c r="E240" s="521"/>
      <c r="F240" s="527">
        <v>1</v>
      </c>
      <c r="G240" s="521"/>
      <c r="H240" s="521"/>
      <c r="I240" s="521"/>
    </row>
    <row r="241" spans="2:66" s="324" customFormat="1" x14ac:dyDescent="0.2">
      <c r="B241" s="530" t="s">
        <v>1566</v>
      </c>
      <c r="C241" s="521"/>
      <c r="D241" s="521"/>
      <c r="E241" s="521"/>
      <c r="F241" s="527" t="s">
        <v>1567</v>
      </c>
      <c r="G241" s="521"/>
      <c r="H241" s="521"/>
      <c r="I241" s="521"/>
    </row>
    <row r="242" spans="2:66" s="324" customFormat="1" x14ac:dyDescent="0.2">
      <c r="B242" s="528" t="s">
        <v>1487</v>
      </c>
      <c r="C242" s="521"/>
      <c r="D242" s="521"/>
      <c r="E242" s="521"/>
      <c r="F242" s="527">
        <v>0.4</v>
      </c>
      <c r="G242" s="521"/>
      <c r="H242" s="521"/>
      <c r="I242" s="521"/>
    </row>
    <row r="243" spans="2:66" s="324" customFormat="1" x14ac:dyDescent="0.2">
      <c r="B243" s="530" t="s">
        <v>1563</v>
      </c>
      <c r="C243" s="521"/>
      <c r="D243" s="521"/>
      <c r="E243" s="521"/>
      <c r="F243" s="527">
        <v>0.4</v>
      </c>
      <c r="G243" s="521"/>
      <c r="H243" s="521"/>
      <c r="I243" s="521"/>
    </row>
    <row r="244" spans="2:66" s="324" customFormat="1" x14ac:dyDescent="0.2">
      <c r="B244" s="530" t="s">
        <v>1566</v>
      </c>
      <c r="C244" s="521"/>
      <c r="D244" s="521"/>
      <c r="E244" s="521"/>
      <c r="F244" s="527" t="s">
        <v>1567</v>
      </c>
      <c r="G244" s="521"/>
      <c r="H244" s="521"/>
      <c r="I244" s="521"/>
    </row>
    <row r="245" spans="2:66" s="324" customFormat="1" x14ac:dyDescent="0.2">
      <c r="B245" s="528" t="s">
        <v>1572</v>
      </c>
      <c r="C245" s="521"/>
      <c r="D245" s="521"/>
      <c r="E245" s="521"/>
      <c r="F245" s="527">
        <v>0.6</v>
      </c>
      <c r="G245" s="521"/>
      <c r="H245" s="521"/>
      <c r="I245" s="521"/>
    </row>
    <row r="246" spans="2:66" s="324" customFormat="1" x14ac:dyDescent="0.2">
      <c r="B246" s="530" t="s">
        <v>1573</v>
      </c>
      <c r="C246" s="318"/>
      <c r="D246" s="318"/>
      <c r="E246" s="318"/>
      <c r="F246" s="527">
        <v>0.4</v>
      </c>
      <c r="G246" s="318"/>
      <c r="H246" s="318"/>
      <c r="I246" s="318"/>
      <c r="J246" s="318"/>
      <c r="K246" s="318"/>
      <c r="L246" s="318"/>
      <c r="M246" s="318"/>
      <c r="N246" s="318"/>
    </row>
    <row r="247" spans="2:66" s="324" customFormat="1" x14ac:dyDescent="0.2">
      <c r="B247" s="530" t="s">
        <v>1566</v>
      </c>
      <c r="C247" s="318"/>
      <c r="D247" s="318"/>
      <c r="E247" s="318"/>
      <c r="F247" s="527" t="s">
        <v>1567</v>
      </c>
      <c r="G247" s="318"/>
      <c r="H247" s="318"/>
      <c r="I247" s="318"/>
      <c r="J247" s="318"/>
      <c r="K247" s="318"/>
      <c r="L247" s="318"/>
      <c r="M247" s="318"/>
      <c r="N247" s="318"/>
    </row>
    <row r="248" spans="2:66" s="324" customFormat="1" ht="14.25" x14ac:dyDescent="0.2">
      <c r="B248" s="528" t="s">
        <v>1574</v>
      </c>
      <c r="C248" s="318"/>
      <c r="D248" s="318"/>
      <c r="E248" s="318"/>
      <c r="F248" s="527" t="s">
        <v>1567</v>
      </c>
      <c r="G248" s="318"/>
      <c r="H248" s="318"/>
      <c r="I248" s="318"/>
      <c r="J248" s="318"/>
      <c r="K248" s="318"/>
      <c r="L248" s="318"/>
      <c r="M248" s="318"/>
      <c r="N248" s="318"/>
    </row>
    <row r="249" spans="2:66" x14ac:dyDescent="0.2">
      <c r="B249" s="528" t="s">
        <v>1575</v>
      </c>
      <c r="F249" s="527" t="s">
        <v>1559</v>
      </c>
      <c r="O249" s="324"/>
      <c r="P249" s="324"/>
      <c r="Q249" s="324"/>
      <c r="R249" s="324"/>
      <c r="S249" s="324"/>
      <c r="T249" s="324"/>
      <c r="U249" s="324"/>
      <c r="V249" s="324"/>
      <c r="W249" s="324"/>
      <c r="X249" s="324"/>
      <c r="Y249" s="324"/>
      <c r="Z249" s="324"/>
      <c r="AA249" s="324"/>
      <c r="AB249" s="324"/>
      <c r="AC249" s="324"/>
      <c r="AD249" s="324"/>
      <c r="AE249" s="324"/>
      <c r="AF249" s="324"/>
      <c r="AG249" s="324"/>
      <c r="AH249" s="324"/>
      <c r="AI249" s="324"/>
      <c r="AJ249" s="324"/>
      <c r="AK249" s="324"/>
      <c r="AL249" s="324"/>
      <c r="AM249" s="324"/>
      <c r="AN249" s="324"/>
      <c r="AO249" s="324"/>
      <c r="AP249" s="324"/>
      <c r="AQ249" s="324"/>
      <c r="AR249" s="324"/>
      <c r="AS249" s="324"/>
      <c r="AT249" s="324"/>
      <c r="AU249" s="324"/>
      <c r="AV249" s="324"/>
      <c r="AW249" s="324"/>
      <c r="AX249" s="324"/>
      <c r="AY249" s="324"/>
      <c r="AZ249" s="324"/>
      <c r="BA249" s="324"/>
      <c r="BB249" s="324"/>
      <c r="BC249" s="324"/>
      <c r="BD249" s="324"/>
      <c r="BE249" s="324"/>
      <c r="BF249" s="324"/>
      <c r="BG249" s="324"/>
      <c r="BH249" s="324"/>
      <c r="BI249" s="324"/>
      <c r="BJ249" s="324"/>
      <c r="BK249" s="324"/>
      <c r="BL249" s="324"/>
      <c r="BM249" s="324"/>
      <c r="BN249" s="324"/>
    </row>
    <row r="250" spans="2:66" x14ac:dyDescent="0.2">
      <c r="B250" s="529" t="s">
        <v>1576</v>
      </c>
      <c r="F250" s="525" t="s">
        <v>514</v>
      </c>
      <c r="O250" s="324"/>
      <c r="P250" s="324"/>
      <c r="Q250" s="324"/>
      <c r="R250" s="324"/>
      <c r="S250" s="324"/>
      <c r="T250" s="324"/>
      <c r="U250" s="324"/>
      <c r="V250" s="324"/>
      <c r="W250" s="324"/>
      <c r="X250" s="324"/>
      <c r="Y250" s="324"/>
      <c r="Z250" s="324"/>
      <c r="AA250" s="324"/>
      <c r="AB250" s="324"/>
      <c r="AC250" s="324"/>
      <c r="AD250" s="324"/>
      <c r="AE250" s="324"/>
      <c r="AF250" s="324"/>
      <c r="AG250" s="324"/>
      <c r="AH250" s="324"/>
      <c r="AI250" s="324"/>
      <c r="AJ250" s="324"/>
      <c r="AK250" s="324"/>
      <c r="AL250" s="324"/>
      <c r="AM250" s="324"/>
      <c r="AN250" s="324"/>
      <c r="AO250" s="324"/>
      <c r="AP250" s="324"/>
      <c r="AQ250" s="324"/>
      <c r="AR250" s="324"/>
      <c r="AS250" s="324"/>
      <c r="AT250" s="324"/>
      <c r="AU250" s="324"/>
      <c r="AV250" s="324"/>
      <c r="AW250" s="324"/>
      <c r="AX250" s="324"/>
      <c r="AY250" s="324"/>
      <c r="AZ250" s="324"/>
      <c r="BA250" s="324"/>
      <c r="BB250" s="324"/>
      <c r="BC250" s="324"/>
      <c r="BD250" s="324"/>
      <c r="BE250" s="324"/>
      <c r="BF250" s="324"/>
      <c r="BG250" s="324"/>
      <c r="BH250" s="324"/>
      <c r="BI250" s="324"/>
      <c r="BJ250" s="324"/>
      <c r="BK250" s="324"/>
      <c r="BL250" s="324"/>
      <c r="BM250" s="324"/>
      <c r="BN250" s="324"/>
    </row>
    <row r="251" spans="2:66" x14ac:dyDescent="0.2">
      <c r="B251" s="528" t="s">
        <v>1563</v>
      </c>
      <c r="F251" s="535">
        <v>7.5</v>
      </c>
      <c r="O251" s="324"/>
      <c r="P251" s="324"/>
      <c r="Q251" s="324"/>
      <c r="R251" s="324"/>
      <c r="S251" s="324"/>
      <c r="T251" s="324"/>
      <c r="U251" s="324"/>
      <c r="V251" s="324"/>
      <c r="W251" s="324"/>
      <c r="X251" s="324"/>
      <c r="Y251" s="324"/>
      <c r="Z251" s="324"/>
      <c r="AA251" s="324"/>
      <c r="AB251" s="324"/>
      <c r="AC251" s="324"/>
      <c r="AD251" s="324"/>
      <c r="AE251" s="324"/>
      <c r="AF251" s="324"/>
      <c r="AG251" s="324"/>
      <c r="AH251" s="324"/>
      <c r="AI251" s="324"/>
      <c r="AJ251" s="324"/>
      <c r="AK251" s="324"/>
      <c r="AL251" s="324"/>
      <c r="AM251" s="324"/>
      <c r="AN251" s="324"/>
      <c r="AO251" s="324"/>
      <c r="AP251" s="324"/>
      <c r="AQ251" s="324"/>
      <c r="AR251" s="324"/>
      <c r="AS251" s="324"/>
      <c r="AT251" s="324"/>
      <c r="AU251" s="324"/>
      <c r="AV251" s="324"/>
      <c r="AW251" s="324"/>
      <c r="AX251" s="324"/>
      <c r="AY251" s="324"/>
      <c r="AZ251" s="324"/>
      <c r="BA251" s="324"/>
      <c r="BB251" s="324"/>
      <c r="BC251" s="324"/>
      <c r="BD251" s="324"/>
      <c r="BE251" s="324"/>
      <c r="BF251" s="324"/>
      <c r="BG251" s="324"/>
      <c r="BH251" s="324"/>
      <c r="BI251" s="324"/>
      <c r="BJ251" s="324"/>
      <c r="BK251" s="324"/>
      <c r="BL251" s="324"/>
      <c r="BM251" s="324"/>
      <c r="BN251" s="324"/>
    </row>
    <row r="252" spans="2:66" x14ac:dyDescent="0.2">
      <c r="B252" s="528" t="s">
        <v>1568</v>
      </c>
      <c r="F252" s="527">
        <v>0.7</v>
      </c>
      <c r="P252" s="324"/>
      <c r="Q252" s="324"/>
      <c r="R252" s="324"/>
      <c r="S252" s="324"/>
      <c r="T252" s="324"/>
      <c r="U252" s="324"/>
      <c r="V252" s="324"/>
      <c r="W252" s="324"/>
      <c r="X252" s="324"/>
      <c r="Y252" s="324"/>
      <c r="Z252" s="324"/>
      <c r="AA252" s="324"/>
      <c r="AB252" s="324"/>
    </row>
    <row r="253" spans="2:66" x14ac:dyDescent="0.2">
      <c r="B253" s="528" t="s">
        <v>1564</v>
      </c>
      <c r="F253" s="527">
        <v>4.5</v>
      </c>
      <c r="P253" s="324"/>
      <c r="Q253" s="324"/>
      <c r="R253" s="324"/>
      <c r="S253" s="324"/>
      <c r="T253" s="324"/>
      <c r="U253" s="324"/>
      <c r="V253" s="324"/>
      <c r="W253" s="324"/>
      <c r="X253" s="324"/>
      <c r="Y253" s="324"/>
      <c r="Z253" s="324"/>
      <c r="AA253" s="324"/>
      <c r="AB253" s="324"/>
    </row>
    <row r="254" spans="2:66" x14ac:dyDescent="0.2">
      <c r="B254" s="528" t="s">
        <v>1569</v>
      </c>
      <c r="F254" s="527">
        <v>1.2</v>
      </c>
      <c r="P254" s="324"/>
      <c r="Q254" s="324"/>
      <c r="R254" s="324"/>
      <c r="S254" s="324"/>
      <c r="T254" s="324"/>
      <c r="U254" s="324"/>
      <c r="V254" s="324"/>
      <c r="W254" s="324"/>
      <c r="X254" s="324"/>
      <c r="Y254" s="324"/>
      <c r="Z254" s="324"/>
      <c r="AA254" s="324"/>
      <c r="AB254" s="324"/>
    </row>
    <row r="255" spans="2:66" x14ac:dyDescent="0.2">
      <c r="B255" s="528" t="s">
        <v>1577</v>
      </c>
      <c r="F255" s="527">
        <v>0.5</v>
      </c>
      <c r="P255" s="324"/>
      <c r="Q255" s="324"/>
      <c r="R255" s="324"/>
      <c r="S255" s="324"/>
      <c r="T255" s="324"/>
      <c r="U255" s="324"/>
      <c r="V255" s="324"/>
      <c r="W255" s="324"/>
      <c r="X255" s="324"/>
      <c r="Y255" s="324"/>
      <c r="Z255" s="324"/>
      <c r="AA255" s="324"/>
      <c r="AB255" s="324"/>
    </row>
    <row r="256" spans="2:66" x14ac:dyDescent="0.2">
      <c r="B256" s="528" t="s">
        <v>1570</v>
      </c>
      <c r="F256" s="527" t="s">
        <v>1567</v>
      </c>
      <c r="P256" s="324"/>
      <c r="Q256" s="324"/>
      <c r="R256" s="324"/>
      <c r="S256" s="324"/>
      <c r="T256" s="324"/>
      <c r="U256" s="324"/>
      <c r="V256" s="324"/>
      <c r="W256" s="324"/>
      <c r="X256" s="324"/>
      <c r="Y256" s="324"/>
      <c r="Z256" s="324"/>
      <c r="AA256" s="324"/>
      <c r="AB256" s="324"/>
    </row>
    <row r="257" spans="2:28" x14ac:dyDescent="0.2">
      <c r="B257" s="528" t="s">
        <v>1578</v>
      </c>
      <c r="F257" s="527">
        <v>0.4</v>
      </c>
      <c r="P257" s="324"/>
      <c r="Q257" s="324"/>
      <c r="R257" s="324"/>
      <c r="S257" s="324"/>
      <c r="T257" s="324"/>
      <c r="U257" s="324"/>
      <c r="V257" s="324"/>
      <c r="W257" s="324"/>
      <c r="X257" s="324"/>
      <c r="Y257" s="324"/>
      <c r="Z257" s="324"/>
      <c r="AA257" s="324"/>
      <c r="AB257" s="324"/>
    </row>
    <row r="258" spans="2:28" x14ac:dyDescent="0.2">
      <c r="B258" s="528" t="s">
        <v>1579</v>
      </c>
      <c r="F258" s="527" t="s">
        <v>1567</v>
      </c>
      <c r="P258" s="324"/>
      <c r="Q258" s="324"/>
      <c r="R258" s="324"/>
      <c r="S258" s="324"/>
      <c r="T258" s="324"/>
      <c r="U258" s="324"/>
      <c r="V258" s="324"/>
      <c r="W258" s="324"/>
      <c r="X258" s="324"/>
      <c r="Y258" s="324"/>
      <c r="Z258" s="324"/>
      <c r="AA258" s="324"/>
      <c r="AB258" s="324"/>
    </row>
    <row r="259" spans="2:28" x14ac:dyDescent="0.2">
      <c r="B259" s="528" t="s">
        <v>1580</v>
      </c>
      <c r="F259" s="527" t="s">
        <v>1567</v>
      </c>
      <c r="P259" s="324"/>
      <c r="Q259" s="324"/>
      <c r="R259" s="324"/>
      <c r="S259" s="324"/>
      <c r="T259" s="324"/>
      <c r="U259" s="324"/>
      <c r="V259" s="324"/>
      <c r="W259" s="324"/>
      <c r="X259" s="324"/>
      <c r="Y259" s="324"/>
      <c r="Z259" s="324"/>
      <c r="AA259" s="324"/>
      <c r="AB259" s="324"/>
    </row>
    <row r="260" spans="2:28" x14ac:dyDescent="0.2">
      <c r="B260" s="526" t="s">
        <v>1566</v>
      </c>
      <c r="F260" s="527" t="s">
        <v>1567</v>
      </c>
      <c r="P260" s="324"/>
      <c r="Q260" s="324"/>
      <c r="R260" s="324"/>
      <c r="S260" s="324"/>
      <c r="T260" s="324"/>
      <c r="U260" s="324"/>
      <c r="V260" s="324"/>
      <c r="W260" s="324"/>
      <c r="X260" s="324"/>
      <c r="Y260" s="324"/>
      <c r="Z260" s="324"/>
      <c r="AA260" s="324"/>
      <c r="AB260" s="324"/>
    </row>
    <row r="261" spans="2:28" x14ac:dyDescent="0.2">
      <c r="B261" s="528" t="s">
        <v>1575</v>
      </c>
      <c r="F261" s="527" t="s">
        <v>1559</v>
      </c>
      <c r="P261" s="324"/>
      <c r="Q261" s="324"/>
      <c r="R261" s="324"/>
      <c r="S261" s="324"/>
      <c r="T261" s="324"/>
      <c r="U261" s="324"/>
      <c r="V261" s="324"/>
      <c r="W261" s="324"/>
      <c r="X261" s="324"/>
      <c r="Y261" s="324"/>
      <c r="Z261" s="324"/>
      <c r="AA261" s="324"/>
      <c r="AB261" s="324"/>
    </row>
    <row r="262" spans="2:28" x14ac:dyDescent="0.2">
      <c r="B262" s="529" t="s">
        <v>1581</v>
      </c>
      <c r="F262" s="525" t="s">
        <v>514</v>
      </c>
      <c r="P262" s="324"/>
      <c r="Q262" s="324"/>
      <c r="R262" s="324"/>
      <c r="S262" s="324"/>
      <c r="T262" s="324"/>
      <c r="U262" s="324"/>
      <c r="V262" s="324"/>
      <c r="W262" s="324"/>
      <c r="X262" s="324"/>
      <c r="Y262" s="324"/>
      <c r="Z262" s="324"/>
      <c r="AA262" s="324"/>
      <c r="AB262" s="324"/>
    </row>
    <row r="263" spans="2:28" x14ac:dyDescent="0.2">
      <c r="B263" s="528" t="s">
        <v>1582</v>
      </c>
      <c r="F263" s="527">
        <v>1.3</v>
      </c>
      <c r="P263" s="324"/>
      <c r="Q263" s="324"/>
      <c r="R263" s="324"/>
      <c r="S263" s="324"/>
      <c r="T263" s="324"/>
      <c r="U263" s="324"/>
      <c r="V263" s="324"/>
      <c r="W263" s="324"/>
      <c r="X263" s="324"/>
      <c r="Y263" s="324"/>
      <c r="Z263" s="324"/>
      <c r="AA263" s="324"/>
      <c r="AB263" s="324"/>
    </row>
    <row r="264" spans="2:28" x14ac:dyDescent="0.2">
      <c r="B264" s="528" t="s">
        <v>1583</v>
      </c>
      <c r="F264" s="527">
        <v>1.8</v>
      </c>
      <c r="P264" s="324"/>
      <c r="Q264" s="324"/>
      <c r="R264" s="324"/>
      <c r="S264" s="324"/>
      <c r="T264" s="324"/>
      <c r="U264" s="324"/>
      <c r="V264" s="324"/>
      <c r="W264" s="324"/>
      <c r="X264" s="324"/>
      <c r="Y264" s="324"/>
      <c r="Z264" s="324"/>
      <c r="AA264" s="324"/>
    </row>
    <row r="265" spans="2:28" x14ac:dyDescent="0.2">
      <c r="B265" s="528" t="s">
        <v>1584</v>
      </c>
      <c r="F265" s="527">
        <v>3.8</v>
      </c>
    </row>
    <row r="266" spans="2:28" x14ac:dyDescent="0.2">
      <c r="B266" s="528" t="s">
        <v>1585</v>
      </c>
      <c r="F266" s="527">
        <v>2.6</v>
      </c>
    </row>
    <row r="267" spans="2:28" x14ac:dyDescent="0.2">
      <c r="B267" s="528" t="s">
        <v>1586</v>
      </c>
      <c r="F267" s="527">
        <v>1.9</v>
      </c>
    </row>
    <row r="268" spans="2:28" x14ac:dyDescent="0.2">
      <c r="B268" s="528" t="s">
        <v>1587</v>
      </c>
      <c r="F268" s="527">
        <v>4</v>
      </c>
    </row>
    <row r="269" spans="2:28" x14ac:dyDescent="0.2">
      <c r="B269" s="528" t="s">
        <v>1575</v>
      </c>
      <c r="F269" s="527" t="s">
        <v>1559</v>
      </c>
    </row>
    <row r="270" spans="2:28" x14ac:dyDescent="0.2">
      <c r="B270" s="524" t="s">
        <v>1588</v>
      </c>
      <c r="F270" s="525" t="s">
        <v>514</v>
      </c>
    </row>
    <row r="271" spans="2:28" x14ac:dyDescent="0.2">
      <c r="B271" s="526" t="s">
        <v>1589</v>
      </c>
      <c r="F271" s="527">
        <v>11.7</v>
      </c>
    </row>
    <row r="272" spans="2:28" x14ac:dyDescent="0.2">
      <c r="B272" s="530" t="s">
        <v>1590</v>
      </c>
      <c r="F272" s="527">
        <v>7.1</v>
      </c>
    </row>
    <row r="273" spans="2:6" x14ac:dyDescent="0.2">
      <c r="B273" s="530" t="s">
        <v>1591</v>
      </c>
      <c r="F273" s="527">
        <v>4.7</v>
      </c>
    </row>
    <row r="274" spans="2:6" x14ac:dyDescent="0.2">
      <c r="B274" s="526" t="s">
        <v>1592</v>
      </c>
      <c r="F274" s="527">
        <v>3.6</v>
      </c>
    </row>
    <row r="275" spans="2:6" x14ac:dyDescent="0.2">
      <c r="B275" s="528" t="s">
        <v>1575</v>
      </c>
      <c r="F275" s="527" t="s">
        <v>1559</v>
      </c>
    </row>
    <row r="276" spans="2:6" x14ac:dyDescent="0.2">
      <c r="B276" s="524" t="s">
        <v>1593</v>
      </c>
      <c r="F276" s="525" t="s">
        <v>514</v>
      </c>
    </row>
    <row r="277" spans="2:6" x14ac:dyDescent="0.2">
      <c r="B277" s="526" t="s">
        <v>1589</v>
      </c>
      <c r="F277" s="527">
        <v>0.5</v>
      </c>
    </row>
    <row r="278" spans="2:6" x14ac:dyDescent="0.2">
      <c r="B278" s="526" t="s">
        <v>1592</v>
      </c>
      <c r="F278" s="527">
        <v>10.3</v>
      </c>
    </row>
    <row r="279" spans="2:6" x14ac:dyDescent="0.2">
      <c r="B279" s="526" t="s">
        <v>1594</v>
      </c>
      <c r="F279" s="527">
        <v>1</v>
      </c>
    </row>
    <row r="280" spans="2:6" ht="25.5" x14ac:dyDescent="0.2">
      <c r="B280" s="528" t="s">
        <v>1595</v>
      </c>
      <c r="F280" s="527">
        <v>3.5</v>
      </c>
    </row>
    <row r="281" spans="2:6" x14ac:dyDescent="0.2">
      <c r="B281" s="529" t="s">
        <v>1596</v>
      </c>
      <c r="F281" s="525" t="s">
        <v>514</v>
      </c>
    </row>
    <row r="282" spans="2:6" ht="25.5" x14ac:dyDescent="0.2">
      <c r="B282" s="528" t="s">
        <v>1597</v>
      </c>
      <c r="F282" s="527">
        <v>5.3</v>
      </c>
    </row>
    <row r="283" spans="2:6" ht="25.5" x14ac:dyDescent="0.2">
      <c r="B283" s="528" t="s">
        <v>1598</v>
      </c>
      <c r="F283" s="527">
        <v>3.2</v>
      </c>
    </row>
    <row r="284" spans="2:6" ht="25.5" x14ac:dyDescent="0.2">
      <c r="B284" s="528" t="s">
        <v>1599</v>
      </c>
      <c r="F284" s="527">
        <v>3</v>
      </c>
    </row>
    <row r="285" spans="2:6" x14ac:dyDescent="0.2">
      <c r="B285" s="528" t="s">
        <v>1600</v>
      </c>
      <c r="F285" s="527">
        <v>2.1</v>
      </c>
    </row>
    <row r="286" spans="2:6" x14ac:dyDescent="0.2">
      <c r="B286" s="528" t="s">
        <v>1601</v>
      </c>
      <c r="F286" s="527">
        <v>1.7</v>
      </c>
    </row>
    <row r="287" spans="2:6" x14ac:dyDescent="0.2">
      <c r="B287" s="528" t="s">
        <v>1575</v>
      </c>
      <c r="F287" s="527" t="s">
        <v>1559</v>
      </c>
    </row>
    <row r="288" spans="2:6" x14ac:dyDescent="0.2">
      <c r="B288" s="524" t="s">
        <v>1602</v>
      </c>
      <c r="F288" s="525" t="s">
        <v>514</v>
      </c>
    </row>
    <row r="289" spans="2:6" x14ac:dyDescent="0.2">
      <c r="B289" s="526" t="s">
        <v>1603</v>
      </c>
      <c r="F289" s="527">
        <v>5.9</v>
      </c>
    </row>
    <row r="290" spans="2:6" x14ac:dyDescent="0.2">
      <c r="B290" s="530" t="s">
        <v>1562</v>
      </c>
      <c r="F290" s="527">
        <v>1</v>
      </c>
    </row>
    <row r="291" spans="2:6" x14ac:dyDescent="0.2">
      <c r="B291" s="531" t="s">
        <v>1580</v>
      </c>
      <c r="F291" s="527">
        <v>0.8</v>
      </c>
    </row>
    <row r="292" spans="2:6" x14ac:dyDescent="0.2">
      <c r="B292" s="531" t="s">
        <v>1566</v>
      </c>
      <c r="F292" s="527" t="s">
        <v>1567</v>
      </c>
    </row>
    <row r="293" spans="2:6" x14ac:dyDescent="0.2">
      <c r="B293" s="530" t="s">
        <v>138</v>
      </c>
      <c r="F293" s="527">
        <v>3.3</v>
      </c>
    </row>
    <row r="294" spans="2:6" x14ac:dyDescent="0.2">
      <c r="B294" s="531" t="s">
        <v>1570</v>
      </c>
      <c r="F294" s="527">
        <v>2.8</v>
      </c>
    </row>
    <row r="295" spans="2:6" x14ac:dyDescent="0.2">
      <c r="B295" s="531" t="s">
        <v>1566</v>
      </c>
      <c r="F295" s="527">
        <v>0.5</v>
      </c>
    </row>
    <row r="296" spans="2:6" x14ac:dyDescent="0.2">
      <c r="B296" s="530" t="s">
        <v>1572</v>
      </c>
      <c r="F296" s="527">
        <v>0.8</v>
      </c>
    </row>
    <row r="297" spans="2:6" x14ac:dyDescent="0.2">
      <c r="B297" s="531" t="s">
        <v>1573</v>
      </c>
      <c r="F297" s="527">
        <v>0.4</v>
      </c>
    </row>
    <row r="298" spans="2:6" x14ac:dyDescent="0.2">
      <c r="B298" s="531" t="s">
        <v>1580</v>
      </c>
      <c r="F298" s="527">
        <v>0.4</v>
      </c>
    </row>
    <row r="299" spans="2:6" x14ac:dyDescent="0.2">
      <c r="B299" s="531" t="s">
        <v>1566</v>
      </c>
      <c r="F299" s="527" t="s">
        <v>1567</v>
      </c>
    </row>
    <row r="300" spans="2:6" x14ac:dyDescent="0.2">
      <c r="B300" s="530" t="s">
        <v>1604</v>
      </c>
      <c r="F300" s="527">
        <v>0.8</v>
      </c>
    </row>
    <row r="301" spans="2:6" x14ac:dyDescent="0.2">
      <c r="B301" s="526" t="s">
        <v>1605</v>
      </c>
      <c r="F301" s="527">
        <v>9.5</v>
      </c>
    </row>
    <row r="302" spans="2:6" x14ac:dyDescent="0.2">
      <c r="B302" s="528" t="s">
        <v>1606</v>
      </c>
      <c r="F302" s="527" t="s">
        <v>1559</v>
      </c>
    </row>
    <row r="303" spans="2:6" ht="25.5" x14ac:dyDescent="0.2">
      <c r="B303" s="524" t="s">
        <v>1607</v>
      </c>
      <c r="F303" s="525" t="s">
        <v>514</v>
      </c>
    </row>
    <row r="304" spans="2:6" x14ac:dyDescent="0.2">
      <c r="B304" s="526" t="s">
        <v>1608</v>
      </c>
      <c r="F304" s="527">
        <v>0.9</v>
      </c>
    </row>
    <row r="305" spans="2:6" x14ac:dyDescent="0.2">
      <c r="B305" s="528" t="s">
        <v>1609</v>
      </c>
      <c r="F305" s="527">
        <v>1.6</v>
      </c>
    </row>
    <row r="306" spans="2:6" x14ac:dyDescent="0.2">
      <c r="B306" s="528" t="s">
        <v>1610</v>
      </c>
      <c r="F306" s="527">
        <v>4.4000000000000004</v>
      </c>
    </row>
    <row r="307" spans="2:6" x14ac:dyDescent="0.2">
      <c r="B307" s="528" t="s">
        <v>1611</v>
      </c>
      <c r="F307" s="527">
        <v>4.2</v>
      </c>
    </row>
    <row r="308" spans="2:6" x14ac:dyDescent="0.2">
      <c r="B308" s="528" t="s">
        <v>1612</v>
      </c>
      <c r="F308" s="527">
        <v>2.7</v>
      </c>
    </row>
    <row r="309" spans="2:6" x14ac:dyDescent="0.2">
      <c r="B309" s="528" t="s">
        <v>1613</v>
      </c>
      <c r="F309" s="527">
        <v>1.6</v>
      </c>
    </row>
    <row r="310" spans="2:6" x14ac:dyDescent="0.2">
      <c r="B310" s="526" t="s">
        <v>1575</v>
      </c>
      <c r="F310" s="527" t="s">
        <v>1559</v>
      </c>
    </row>
    <row r="311" spans="2:6" ht="25.5" x14ac:dyDescent="0.2">
      <c r="B311" s="529" t="s">
        <v>1614</v>
      </c>
      <c r="F311" s="525" t="s">
        <v>514</v>
      </c>
    </row>
    <row r="312" spans="2:6" x14ac:dyDescent="0.2">
      <c r="B312" s="526" t="s">
        <v>1608</v>
      </c>
      <c r="F312" s="527">
        <v>3.2</v>
      </c>
    </row>
    <row r="313" spans="2:6" x14ac:dyDescent="0.2">
      <c r="B313" s="528" t="s">
        <v>1609</v>
      </c>
      <c r="F313" s="527">
        <v>3.5</v>
      </c>
    </row>
    <row r="314" spans="2:6" x14ac:dyDescent="0.2">
      <c r="B314" s="528" t="s">
        <v>1610</v>
      </c>
      <c r="F314" s="527">
        <v>3.6</v>
      </c>
    </row>
    <row r="315" spans="2:6" x14ac:dyDescent="0.2">
      <c r="B315" s="528" t="s">
        <v>1611</v>
      </c>
      <c r="F315" s="527">
        <v>2.9</v>
      </c>
    </row>
    <row r="316" spans="2:6" x14ac:dyDescent="0.2">
      <c r="B316" s="528" t="s">
        <v>1612</v>
      </c>
      <c r="F316" s="527">
        <v>1.2</v>
      </c>
    </row>
    <row r="317" spans="2:6" x14ac:dyDescent="0.2">
      <c r="B317" s="528" t="s">
        <v>1613</v>
      </c>
      <c r="F317" s="527">
        <v>0.9</v>
      </c>
    </row>
    <row r="318" spans="2:6" x14ac:dyDescent="0.2">
      <c r="B318" s="526" t="s">
        <v>1575</v>
      </c>
      <c r="F318" s="527" t="s">
        <v>1559</v>
      </c>
    </row>
    <row r="319" spans="2:6" x14ac:dyDescent="0.2">
      <c r="B319" s="529" t="s">
        <v>1615</v>
      </c>
      <c r="F319" s="525" t="s">
        <v>514</v>
      </c>
    </row>
    <row r="320" spans="2:6" x14ac:dyDescent="0.2">
      <c r="B320" s="526" t="s">
        <v>1608</v>
      </c>
      <c r="F320" s="527">
        <v>2.5</v>
      </c>
    </row>
    <row r="321" spans="2:6" x14ac:dyDescent="0.2">
      <c r="B321" s="528" t="s">
        <v>1609</v>
      </c>
      <c r="F321" s="527">
        <v>3</v>
      </c>
    </row>
    <row r="322" spans="2:6" x14ac:dyDescent="0.2">
      <c r="B322" s="528" t="s">
        <v>1610</v>
      </c>
      <c r="F322" s="527">
        <v>3.7</v>
      </c>
    </row>
    <row r="323" spans="2:6" x14ac:dyDescent="0.2">
      <c r="B323" s="528" t="s">
        <v>1611</v>
      </c>
      <c r="F323" s="527">
        <v>3.6</v>
      </c>
    </row>
    <row r="324" spans="2:6" x14ac:dyDescent="0.2">
      <c r="B324" s="528" t="s">
        <v>1612</v>
      </c>
      <c r="F324" s="527">
        <v>1.5</v>
      </c>
    </row>
    <row r="325" spans="2:6" x14ac:dyDescent="0.2">
      <c r="B325" s="528" t="s">
        <v>1613</v>
      </c>
      <c r="F325" s="527">
        <v>1.1000000000000001</v>
      </c>
    </row>
    <row r="326" spans="2:6" x14ac:dyDescent="0.2">
      <c r="B326" s="526" t="s">
        <v>1575</v>
      </c>
      <c r="F326" s="527" t="s">
        <v>1559</v>
      </c>
    </row>
    <row r="327" spans="2:6" x14ac:dyDescent="0.2">
      <c r="B327" s="524" t="s">
        <v>1616</v>
      </c>
      <c r="F327" s="525" t="s">
        <v>514</v>
      </c>
    </row>
    <row r="328" spans="2:6" x14ac:dyDescent="0.2">
      <c r="B328" s="528" t="s">
        <v>1589</v>
      </c>
      <c r="F328" s="527">
        <v>4.4000000000000004</v>
      </c>
    </row>
    <row r="329" spans="2:6" x14ac:dyDescent="0.2">
      <c r="B329" s="528" t="s">
        <v>1592</v>
      </c>
      <c r="F329" s="527">
        <v>3.4</v>
      </c>
    </row>
    <row r="330" spans="2:6" x14ac:dyDescent="0.2">
      <c r="B330" s="528" t="s">
        <v>1617</v>
      </c>
      <c r="F330" s="527">
        <v>1.4</v>
      </c>
    </row>
    <row r="331" spans="2:6" ht="25.5" x14ac:dyDescent="0.2">
      <c r="B331" s="528" t="s">
        <v>1618</v>
      </c>
      <c r="F331" s="527">
        <v>6.2</v>
      </c>
    </row>
    <row r="332" spans="2:6" x14ac:dyDescent="0.2">
      <c r="B332" s="532" t="s">
        <v>1619</v>
      </c>
      <c r="F332" s="533" t="s">
        <v>514</v>
      </c>
    </row>
    <row r="333" spans="2:6" x14ac:dyDescent="0.2">
      <c r="B333" s="528" t="s">
        <v>1589</v>
      </c>
      <c r="F333" s="527">
        <v>0.5</v>
      </c>
    </row>
    <row r="334" spans="2:6" x14ac:dyDescent="0.2">
      <c r="B334" s="528" t="s">
        <v>1592</v>
      </c>
      <c r="F334" s="527">
        <v>4.8</v>
      </c>
    </row>
    <row r="335" spans="2:6" x14ac:dyDescent="0.2">
      <c r="B335" s="528" t="s">
        <v>1620</v>
      </c>
      <c r="F335" s="527">
        <v>3.9</v>
      </c>
    </row>
    <row r="336" spans="2:6" ht="25.5" x14ac:dyDescent="0.2">
      <c r="B336" s="528" t="s">
        <v>1618</v>
      </c>
      <c r="F336" s="527">
        <v>6.2</v>
      </c>
    </row>
    <row r="337" spans="2:6" x14ac:dyDescent="0.2">
      <c r="B337" s="524" t="s">
        <v>1621</v>
      </c>
      <c r="F337" s="525" t="s">
        <v>514</v>
      </c>
    </row>
    <row r="338" spans="2:6" x14ac:dyDescent="0.2">
      <c r="B338" s="528" t="s">
        <v>1589</v>
      </c>
      <c r="F338" s="527">
        <v>0.4</v>
      </c>
    </row>
    <row r="339" spans="2:6" x14ac:dyDescent="0.2">
      <c r="B339" s="528" t="s">
        <v>1592</v>
      </c>
      <c r="F339" s="527">
        <v>4.5</v>
      </c>
    </row>
    <row r="340" spans="2:6" x14ac:dyDescent="0.2">
      <c r="B340" s="528" t="s">
        <v>1622</v>
      </c>
      <c r="F340" s="527">
        <v>4.2</v>
      </c>
    </row>
    <row r="341" spans="2:6" ht="25.5" x14ac:dyDescent="0.2">
      <c r="B341" s="528" t="s">
        <v>1618</v>
      </c>
      <c r="F341" s="527">
        <v>6.2</v>
      </c>
    </row>
    <row r="342" spans="2:6" x14ac:dyDescent="0.2">
      <c r="B342" s="529" t="s">
        <v>1623</v>
      </c>
      <c r="F342" s="525" t="s">
        <v>514</v>
      </c>
    </row>
    <row r="343" spans="2:6" x14ac:dyDescent="0.2">
      <c r="B343" s="528" t="s">
        <v>1624</v>
      </c>
      <c r="F343" s="527">
        <v>4.0999999999999996</v>
      </c>
    </row>
    <row r="344" spans="2:6" x14ac:dyDescent="0.2">
      <c r="B344" s="530" t="s">
        <v>1625</v>
      </c>
      <c r="F344" s="527" t="s">
        <v>1567</v>
      </c>
    </row>
    <row r="345" spans="2:6" x14ac:dyDescent="0.2">
      <c r="B345" s="530" t="s">
        <v>1626</v>
      </c>
      <c r="F345" s="527">
        <v>1.5</v>
      </c>
    </row>
    <row r="346" spans="2:6" x14ac:dyDescent="0.2">
      <c r="B346" s="530" t="s">
        <v>1627</v>
      </c>
      <c r="F346" s="527">
        <v>1.8</v>
      </c>
    </row>
    <row r="347" spans="2:6" x14ac:dyDescent="0.2">
      <c r="B347" s="530" t="s">
        <v>1628</v>
      </c>
      <c r="F347" s="527">
        <v>0.2</v>
      </c>
    </row>
    <row r="348" spans="2:6" x14ac:dyDescent="0.2">
      <c r="B348" s="530" t="s">
        <v>1629</v>
      </c>
      <c r="F348" s="527" t="s">
        <v>1567</v>
      </c>
    </row>
    <row r="349" spans="2:6" x14ac:dyDescent="0.2">
      <c r="B349" s="530" t="s">
        <v>1630</v>
      </c>
      <c r="F349" s="527">
        <v>0.3</v>
      </c>
    </row>
    <row r="350" spans="2:6" x14ac:dyDescent="0.2">
      <c r="B350" s="528" t="s">
        <v>1631</v>
      </c>
      <c r="F350" s="527">
        <v>11.3</v>
      </c>
    </row>
  </sheetData>
  <mergeCells count="1">
    <mergeCell ref="U11:U12"/>
  </mergeCells>
  <hyperlinks>
    <hyperlink ref="P9" r:id="rId1" xr:uid="{2D026C93-E1A3-4C42-AE15-CE85533BFB4E}"/>
  </hyperlinks>
  <pageMargins left="0.7" right="0.7" top="0.75" bottom="0.75" header="0.3" footer="0.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74247-8A88-44DB-859E-CF06E49F70AC}">
  <dimension ref="B2:AD47"/>
  <sheetViews>
    <sheetView zoomScaleNormal="100" workbookViewId="0">
      <selection activeCell="J42" sqref="J42"/>
    </sheetView>
  </sheetViews>
  <sheetFormatPr defaultColWidth="9.140625" defaultRowHeight="12.75" x14ac:dyDescent="0.2"/>
  <cols>
    <col min="1" max="1" width="4.7109375" style="439" customWidth="1"/>
    <col min="2" max="3" width="13.5703125" style="439" customWidth="1"/>
    <col min="4" max="4" width="15.5703125" style="439" bestFit="1" customWidth="1"/>
    <col min="5" max="5" width="13.28515625" style="439" bestFit="1" customWidth="1"/>
    <col min="6" max="6" width="15.5703125" style="439" bestFit="1" customWidth="1"/>
    <col min="7" max="7" width="9.5703125" style="439" bestFit="1" customWidth="1"/>
    <col min="8" max="8" width="11.28515625" style="439" bestFit="1" customWidth="1"/>
    <col min="9" max="9" width="11.42578125" style="439" bestFit="1" customWidth="1"/>
    <col min="10" max="10" width="11.7109375" style="439" bestFit="1" customWidth="1"/>
    <col min="11" max="11" width="4.7109375" style="439" customWidth="1"/>
    <col min="12" max="12" width="13.7109375" style="442" customWidth="1"/>
    <col min="13" max="13" width="13.7109375" style="439" customWidth="1"/>
    <col min="14" max="14" width="15.5703125" style="439" bestFit="1" customWidth="1"/>
    <col min="15" max="15" width="13.28515625" style="439" bestFit="1" customWidth="1"/>
    <col min="16" max="16" width="15.5703125" style="439" bestFit="1" customWidth="1"/>
    <col min="17" max="17" width="9.5703125" style="439" bestFit="1" customWidth="1"/>
    <col min="18" max="18" width="11.28515625" style="439" bestFit="1" customWidth="1"/>
    <col min="19" max="19" width="11.42578125" style="439" bestFit="1" customWidth="1"/>
    <col min="20" max="20" width="11.7109375" style="439" bestFit="1" customWidth="1"/>
    <col min="21" max="21" width="4.7109375" style="439" customWidth="1"/>
    <col min="22" max="22" width="13.5703125" style="442" customWidth="1"/>
    <col min="23" max="23" width="13.5703125" style="439" customWidth="1"/>
    <col min="24" max="24" width="15.5703125" style="439" bestFit="1" customWidth="1"/>
    <col min="25" max="25" width="13.28515625" style="439" bestFit="1" customWidth="1"/>
    <col min="26" max="26" width="15.5703125" style="439" bestFit="1" customWidth="1"/>
    <col min="27" max="27" width="9.5703125" style="439" bestFit="1" customWidth="1"/>
    <col min="28" max="28" width="11.28515625" style="439" bestFit="1" customWidth="1"/>
    <col min="29" max="29" width="11.42578125" style="439" bestFit="1" customWidth="1"/>
    <col min="30" max="30" width="11.7109375" style="439" bestFit="1" customWidth="1"/>
    <col min="31" max="16384" width="9.140625" style="439"/>
  </cols>
  <sheetData>
    <row r="2" spans="2:30" x14ac:dyDescent="0.2">
      <c r="C2" s="440" t="s">
        <v>1632</v>
      </c>
      <c r="D2" s="441"/>
      <c r="E2" s="441"/>
      <c r="F2" s="441"/>
      <c r="M2" s="440" t="s">
        <v>1633</v>
      </c>
      <c r="N2" s="441"/>
      <c r="O2" s="441"/>
      <c r="P2" s="441"/>
      <c r="W2" s="440" t="s">
        <v>1634</v>
      </c>
      <c r="X2" s="441"/>
      <c r="Y2" s="441"/>
      <c r="Z2" s="441"/>
    </row>
    <row r="3" spans="2:30" s="442" customFormat="1" x14ac:dyDescent="0.2">
      <c r="B3" s="444"/>
      <c r="C3" s="443" t="s">
        <v>1419</v>
      </c>
      <c r="D3" s="443" t="s">
        <v>1635</v>
      </c>
      <c r="E3" s="443" t="s">
        <v>1636</v>
      </c>
      <c r="F3" s="443" t="s">
        <v>1637</v>
      </c>
      <c r="L3" s="444"/>
      <c r="M3" s="443" t="s">
        <v>1419</v>
      </c>
      <c r="N3" s="443" t="s">
        <v>1635</v>
      </c>
      <c r="O3" s="443" t="s">
        <v>1636</v>
      </c>
      <c r="P3" s="443" t="s">
        <v>1637</v>
      </c>
      <c r="V3" s="444"/>
      <c r="W3" s="443" t="s">
        <v>1419</v>
      </c>
      <c r="X3" s="443" t="s">
        <v>1635</v>
      </c>
      <c r="Y3" s="443" t="s">
        <v>1636</v>
      </c>
      <c r="Z3" s="443" t="s">
        <v>1637</v>
      </c>
    </row>
    <row r="4" spans="2:30" ht="12.75" customHeight="1" x14ac:dyDescent="0.2">
      <c r="B4" s="445" t="s">
        <v>51</v>
      </c>
      <c r="C4" s="446">
        <f>GHG_INV!I69</f>
        <v>181.06907635048313</v>
      </c>
      <c r="D4" s="446">
        <f>GHG_INV!D69</f>
        <v>58.483486279862078</v>
      </c>
      <c r="E4" s="446">
        <f>GHG_INV!F69</f>
        <v>90.64212236226119</v>
      </c>
      <c r="F4" s="446">
        <f>GHG_INV!H69</f>
        <v>31.943467708359858</v>
      </c>
      <c r="L4" s="445" t="s">
        <v>51</v>
      </c>
      <c r="M4" s="446">
        <f>GHG_INV!I79</f>
        <v>176.5377559412386</v>
      </c>
      <c r="N4" s="446">
        <f>GHG_INV!D79</f>
        <v>56.537462642040978</v>
      </c>
      <c r="O4" s="446">
        <f>GHG_INV!F79</f>
        <v>87.510498088457567</v>
      </c>
      <c r="P4" s="446">
        <f>GHG_INV!H79</f>
        <v>32.489795210740049</v>
      </c>
      <c r="V4" s="445" t="s">
        <v>51</v>
      </c>
      <c r="W4" s="446">
        <f>GHG_INV!I89</f>
        <v>151.9123927367057</v>
      </c>
      <c r="X4" s="446">
        <f>GHG_INV!D89</f>
        <v>52.475919779382473</v>
      </c>
      <c r="Y4" s="446">
        <f>GHG_INV!F89</f>
        <v>72.948497112078499</v>
      </c>
      <c r="Z4" s="446">
        <f>GHG_INV!H89</f>
        <v>26.487975845244723</v>
      </c>
    </row>
    <row r="5" spans="2:30" ht="12.75" customHeight="1" x14ac:dyDescent="0.2">
      <c r="B5" s="445" t="s">
        <v>1638</v>
      </c>
      <c r="C5" s="446">
        <f>GHG_INV!I70</f>
        <v>288.72888521396828</v>
      </c>
      <c r="D5" s="446">
        <f>GHG_INV!D70</f>
        <v>169.7932106162001</v>
      </c>
      <c r="E5" s="446">
        <f>GHG_INV!F70</f>
        <v>96.139880415021523</v>
      </c>
      <c r="F5" s="446">
        <f>GHG_INV!H70</f>
        <v>22.795794182746675</v>
      </c>
      <c r="L5" s="445" t="s">
        <v>1638</v>
      </c>
      <c r="M5" s="446">
        <f>GHG_INV!I80</f>
        <v>331.77185097182172</v>
      </c>
      <c r="N5" s="446">
        <f>GHG_INV!D80</f>
        <v>191.98429194787536</v>
      </c>
      <c r="O5" s="446">
        <f>GHG_INV!F80</f>
        <v>112.84986925934918</v>
      </c>
      <c r="P5" s="446">
        <f>GHG_INV!H80</f>
        <v>26.937689764597152</v>
      </c>
      <c r="V5" s="445" t="s">
        <v>1638</v>
      </c>
      <c r="W5" s="446">
        <f>GHG_INV!I90</f>
        <v>341.56322775195162</v>
      </c>
      <c r="X5" s="446">
        <f>GHG_INV!D90</f>
        <v>194.07826612244665</v>
      </c>
      <c r="Y5" s="446">
        <f>GHG_INV!F90</f>
        <v>119.68560446416397</v>
      </c>
      <c r="Z5" s="446">
        <f>GHG_INV!H90</f>
        <v>27.799357165341032</v>
      </c>
    </row>
    <row r="6" spans="2:30" ht="12.75" customHeight="1" x14ac:dyDescent="0.2">
      <c r="B6" s="445" t="s">
        <v>1639</v>
      </c>
      <c r="C6" s="446">
        <f>SUM(GHG_INV!I65:I68)</f>
        <v>83.869940960180728</v>
      </c>
      <c r="D6" s="446">
        <f>SUM(GHG_INV!D65:D68)</f>
        <v>62.907741407160977</v>
      </c>
      <c r="E6" s="446">
        <f>SUM(GHG_INV!F65:F68)</f>
        <v>17.527794696656049</v>
      </c>
      <c r="F6" s="446">
        <f>SUM(GHG_INV!H65:H68)</f>
        <v>3.4344048563637011</v>
      </c>
      <c r="L6" s="445" t="s">
        <v>1639</v>
      </c>
      <c r="M6" s="446">
        <f>SUM(GHG_INV!I75:I77)</f>
        <v>59.548416360540436</v>
      </c>
      <c r="N6" s="446">
        <f>SUM(GHG_INV!D75:D78)</f>
        <v>41.211086110872792</v>
      </c>
      <c r="O6" s="446">
        <f>SUM(GHG_INV!F75:F78)</f>
        <v>16.406122970908928</v>
      </c>
      <c r="P6" s="446">
        <f>SUM(GHG_INV!H75:H78)</f>
        <v>3.6873745410742722</v>
      </c>
      <c r="V6" s="445" t="s">
        <v>1639</v>
      </c>
      <c r="W6" s="446">
        <f>SUM(GHG_INV!I85:I87)</f>
        <v>30.920697664170174</v>
      </c>
      <c r="X6" s="446">
        <f>SUM(GHG_INV!D85:D88)</f>
        <v>22.067888067223191</v>
      </c>
      <c r="Y6" s="446">
        <f>SUM(GHG_INV!F85:F88)</f>
        <v>9.5856426759931637</v>
      </c>
      <c r="Z6" s="446">
        <f>SUM(GHG_INV!H85:H88)</f>
        <v>2.1646891034201494</v>
      </c>
    </row>
    <row r="7" spans="2:30" ht="12.75" customHeight="1" x14ac:dyDescent="0.2">
      <c r="B7" s="445" t="s">
        <v>1640</v>
      </c>
      <c r="C7" s="446">
        <f>GHG_INV!I71</f>
        <v>29.351245218951178</v>
      </c>
      <c r="D7" s="446">
        <f>GHG_INV!D71</f>
        <v>7.4544235145532998</v>
      </c>
      <c r="E7" s="446">
        <f>GHG_INV!F71</f>
        <v>16.843709003389389</v>
      </c>
      <c r="F7" s="446">
        <f>GHG_INV!H71</f>
        <v>5.0531127010084864</v>
      </c>
      <c r="L7" s="445" t="s">
        <v>1640</v>
      </c>
      <c r="M7" s="446">
        <f>GHG_INV!I81</f>
        <v>26.618413783661321</v>
      </c>
      <c r="N7" s="446">
        <f>GHG_INV!D81</f>
        <v>7.4188423506035894</v>
      </c>
      <c r="O7" s="446">
        <f>GHG_INV!F81</f>
        <v>14.768901097917594</v>
      </c>
      <c r="P7" s="446">
        <f>GHG_INV!H81</f>
        <v>4.430670335140138</v>
      </c>
      <c r="V7" s="445" t="s">
        <v>1640</v>
      </c>
      <c r="W7" s="446">
        <f>GHG_INV!I91</f>
        <v>20.889406677535163</v>
      </c>
      <c r="X7" s="446">
        <f>GHG_INV!D91</f>
        <v>6.6789380766751218</v>
      </c>
      <c r="Y7" s="446">
        <f>GHG_INV!F91</f>
        <v>10.931129689698919</v>
      </c>
      <c r="Z7" s="446">
        <f>GHG_INV!H91</f>
        <v>3.2793389111611209</v>
      </c>
    </row>
    <row r="8" spans="2:30" x14ac:dyDescent="0.2">
      <c r="B8" s="447"/>
      <c r="C8" s="448"/>
      <c r="D8" s="448"/>
      <c r="E8" s="448"/>
      <c r="F8" s="448"/>
      <c r="L8" s="447"/>
      <c r="M8" s="448"/>
      <c r="N8" s="448"/>
      <c r="O8" s="448"/>
      <c r="P8" s="448"/>
      <c r="V8" s="447"/>
      <c r="W8" s="448"/>
      <c r="X8" s="448"/>
      <c r="Y8" s="448"/>
      <c r="Z8" s="448"/>
    </row>
    <row r="9" spans="2:30" x14ac:dyDescent="0.2">
      <c r="B9" s="449" t="s">
        <v>1641</v>
      </c>
      <c r="C9" s="449"/>
      <c r="D9" s="449"/>
      <c r="E9" s="449"/>
      <c r="F9" s="449"/>
      <c r="G9" s="449"/>
      <c r="H9" s="449"/>
      <c r="I9" s="449"/>
      <c r="J9" s="449"/>
      <c r="L9" s="449" t="s">
        <v>1642</v>
      </c>
      <c r="M9" s="449"/>
      <c r="N9" s="449"/>
      <c r="O9" s="449"/>
      <c r="P9" s="449"/>
      <c r="Q9" s="449"/>
      <c r="R9" s="449"/>
      <c r="S9" s="449"/>
      <c r="T9" s="449"/>
      <c r="V9" s="449" t="s">
        <v>1643</v>
      </c>
      <c r="W9" s="449"/>
      <c r="X9" s="449"/>
      <c r="Y9" s="449"/>
      <c r="Z9" s="449"/>
      <c r="AA9" s="449"/>
      <c r="AB9" s="449"/>
      <c r="AC9" s="449"/>
      <c r="AD9" s="449"/>
    </row>
    <row r="10" spans="2:30" s="442" customFormat="1" x14ac:dyDescent="0.2">
      <c r="B10" s="450"/>
      <c r="C10" s="450" t="s">
        <v>1644</v>
      </c>
      <c r="D10" s="450" t="s">
        <v>1467</v>
      </c>
      <c r="E10" s="450" t="s">
        <v>1645</v>
      </c>
      <c r="F10" s="450" t="s">
        <v>1468</v>
      </c>
      <c r="G10" s="450" t="s">
        <v>1474</v>
      </c>
      <c r="H10" s="450" t="s">
        <v>1646</v>
      </c>
      <c r="I10" s="450" t="s">
        <v>1647</v>
      </c>
      <c r="J10" s="450" t="s">
        <v>1648</v>
      </c>
      <c r="L10" s="450"/>
      <c r="M10" s="450" t="s">
        <v>1644</v>
      </c>
      <c r="N10" s="450" t="s">
        <v>1467</v>
      </c>
      <c r="O10" s="450" t="s">
        <v>1645</v>
      </c>
      <c r="P10" s="450" t="s">
        <v>1468</v>
      </c>
      <c r="Q10" s="450" t="s">
        <v>1474</v>
      </c>
      <c r="R10" s="450" t="s">
        <v>1646</v>
      </c>
      <c r="S10" s="450" t="s">
        <v>1647</v>
      </c>
      <c r="T10" s="450" t="s">
        <v>1648</v>
      </c>
      <c r="V10" s="450"/>
      <c r="W10" s="450" t="s">
        <v>1644</v>
      </c>
      <c r="X10" s="450" t="s">
        <v>1467</v>
      </c>
      <c r="Y10" s="450" t="s">
        <v>1645</v>
      </c>
      <c r="Z10" s="450" t="s">
        <v>1468</v>
      </c>
      <c r="AA10" s="450" t="s">
        <v>1474</v>
      </c>
      <c r="AB10" s="450" t="s">
        <v>1646</v>
      </c>
      <c r="AC10" s="450" t="s">
        <v>1647</v>
      </c>
      <c r="AD10" s="450" t="s">
        <v>1648</v>
      </c>
    </row>
    <row r="11" spans="2:30" x14ac:dyDescent="0.2">
      <c r="B11" s="451" t="s">
        <v>51</v>
      </c>
      <c r="C11" s="452">
        <f>D4*BldgArea!$C$45</f>
        <v>8.4885673247969269</v>
      </c>
      <c r="D11" s="452">
        <f>$C11*Original!C54</f>
        <v>0.45590898218391179</v>
      </c>
      <c r="E11" s="452">
        <f>$C11*Original!D54</f>
        <v>0.20488555327711472</v>
      </c>
      <c r="F11" s="452">
        <f>$C11*Original!E54</f>
        <v>1.3560802573163346</v>
      </c>
      <c r="G11" s="452">
        <f>$C11*Original!F54</f>
        <v>2.1459765445814032</v>
      </c>
      <c r="H11" s="452">
        <f>$C11*Original!G54</f>
        <v>4.325715987438163</v>
      </c>
      <c r="I11" s="452">
        <f>$C11*Original!H54</f>
        <v>0</v>
      </c>
      <c r="J11" s="452">
        <f>$C11*Original!I54</f>
        <v>0</v>
      </c>
      <c r="L11" s="451" t="s">
        <v>51</v>
      </c>
      <c r="M11" s="452">
        <f>N4*BldgArea!$K$45</f>
        <v>8.1643636262519443</v>
      </c>
      <c r="N11" s="452">
        <f>$M11*Original!C54</f>
        <v>0.43849645866040438</v>
      </c>
      <c r="O11" s="452">
        <f>$M11*Original!D54</f>
        <v>0.19706036304073229</v>
      </c>
      <c r="P11" s="452">
        <f>$M11*Original!E54</f>
        <v>1.3042875085374581</v>
      </c>
      <c r="Q11" s="452">
        <f>$M11*Original!F54</f>
        <v>2.0640153011673723</v>
      </c>
      <c r="R11" s="452">
        <f>$M11*Original!G54</f>
        <v>4.1605039948459783</v>
      </c>
      <c r="S11" s="452">
        <f>$M11*Original!H54</f>
        <v>0</v>
      </c>
      <c r="T11" s="452">
        <f>$M11*Original!I54</f>
        <v>0</v>
      </c>
      <c r="V11" s="451" t="s">
        <v>51</v>
      </c>
      <c r="W11" s="452">
        <f>X4*BldgArea!$S$45</f>
        <v>7.6927627577086817</v>
      </c>
      <c r="X11" s="452">
        <f>$W11*Original!C54</f>
        <v>0.41316744096544827</v>
      </c>
      <c r="Y11" s="452">
        <f>$W11*Original!D54</f>
        <v>0.18567749933943442</v>
      </c>
      <c r="Z11" s="452">
        <f>$W11*Original!E54</f>
        <v>1.228947512670717</v>
      </c>
      <c r="AA11" s="452">
        <f>$W11*Original!F54</f>
        <v>1.944790894553825</v>
      </c>
      <c r="AB11" s="452">
        <f>$W11*Original!G54</f>
        <v>3.9201794101792578</v>
      </c>
      <c r="AC11" s="452">
        <f>$W11*Original!H54</f>
        <v>0</v>
      </c>
      <c r="AD11" s="452">
        <f>$W11*Original!I54</f>
        <v>0</v>
      </c>
    </row>
    <row r="12" spans="2:30" x14ac:dyDescent="0.2">
      <c r="B12" s="451" t="s">
        <v>1638</v>
      </c>
      <c r="C12" s="452">
        <f>D5*BldgArea!$C$45</f>
        <v>24.644582450368205</v>
      </c>
      <c r="D12" s="452">
        <f>$C12*Original!C55</f>
        <v>16.788575777333655</v>
      </c>
      <c r="E12" s="452">
        <f>$C12*Original!D55</f>
        <v>7.4653204752585234</v>
      </c>
      <c r="F12" s="452">
        <f>$C12*Original!E55</f>
        <v>0</v>
      </c>
      <c r="G12" s="452">
        <f>$C12*Original!F55</f>
        <v>0</v>
      </c>
      <c r="H12" s="452">
        <f>$C12*Original!G55</f>
        <v>0</v>
      </c>
      <c r="I12" s="452">
        <f>$C12*Original!H55</f>
        <v>0</v>
      </c>
      <c r="J12" s="452">
        <f>$C12*Original!I55</f>
        <v>0.39068619777602631</v>
      </c>
      <c r="L12" s="451" t="s">
        <v>1638</v>
      </c>
      <c r="M12" s="452">
        <f>N5*BldgArea!$K$45</f>
        <v>27.723733905692381</v>
      </c>
      <c r="N12" s="452">
        <f>$M12*Original!C55</f>
        <v>18.886179485641758</v>
      </c>
      <c r="O12" s="452">
        <f>$M12*Original!D55</f>
        <v>8.3980549799776405</v>
      </c>
      <c r="P12" s="452">
        <f>$M12*Original!E55</f>
        <v>0</v>
      </c>
      <c r="Q12" s="452">
        <f>$M12*Original!F55</f>
        <v>0</v>
      </c>
      <c r="R12" s="452">
        <f>$M12*Original!G55</f>
        <v>0</v>
      </c>
      <c r="S12" s="452">
        <f>$M12*Original!H55</f>
        <v>0</v>
      </c>
      <c r="T12" s="452">
        <f>$M12*Original!I55</f>
        <v>0.43949944007298181</v>
      </c>
      <c r="V12" s="451" t="s">
        <v>1638</v>
      </c>
      <c r="W12" s="452">
        <f>X5*BldgArea!$S$45</f>
        <v>28.451107936444853</v>
      </c>
      <c r="X12" s="452">
        <f>$W12*Original!C55</f>
        <v>19.381686928640455</v>
      </c>
      <c r="Y12" s="452">
        <f>$W12*Original!D55</f>
        <v>8.6183906361358815</v>
      </c>
      <c r="Z12" s="452">
        <f>$W12*Original!E55</f>
        <v>0</v>
      </c>
      <c r="AA12" s="452">
        <f>$W12*Original!F55</f>
        <v>0</v>
      </c>
      <c r="AB12" s="452">
        <f>$W12*Original!G55</f>
        <v>0</v>
      </c>
      <c r="AC12" s="452">
        <f>$W12*Original!H55</f>
        <v>0</v>
      </c>
      <c r="AD12" s="452">
        <f>$W12*Original!I55</f>
        <v>0.45103037166851628</v>
      </c>
    </row>
    <row r="13" spans="2:30" x14ac:dyDescent="0.2">
      <c r="B13" s="451" t="s">
        <v>1639</v>
      </c>
      <c r="C13" s="452">
        <f>D6*BldgArea!$C$45</f>
        <v>9.1307244515188053</v>
      </c>
      <c r="D13" s="452">
        <f>$C13*Original!C56</f>
        <v>6.8979786450694087</v>
      </c>
      <c r="E13" s="452">
        <f>$C13*Original!D56</f>
        <v>2.2327422639297576</v>
      </c>
      <c r="F13" s="452">
        <f>$C13*Original!E56</f>
        <v>0</v>
      </c>
      <c r="G13" s="452">
        <f>$C13*Original!F56</f>
        <v>0</v>
      </c>
      <c r="H13" s="452">
        <f>$C13*Original!G56</f>
        <v>0</v>
      </c>
      <c r="I13" s="452">
        <f>$C13*Original!H56</f>
        <v>3.5425196392697569E-6</v>
      </c>
      <c r="J13" s="452">
        <f>$C13*Original!I56</f>
        <v>0</v>
      </c>
      <c r="L13" s="451" t="s">
        <v>1639</v>
      </c>
      <c r="M13" s="452">
        <f>N6*BldgArea!$K$45</f>
        <v>5.9511388859491339</v>
      </c>
      <c r="N13" s="452">
        <f>$M13*Original!C56</f>
        <v>4.4959005352845667</v>
      </c>
      <c r="O13" s="452">
        <f>$M13*Original!D56</f>
        <v>1.4552360417539776</v>
      </c>
      <c r="P13" s="452">
        <f>$M13*Original!E56</f>
        <v>0</v>
      </c>
      <c r="Q13" s="452">
        <f>$M13*Original!F56</f>
        <v>0</v>
      </c>
      <c r="R13" s="452">
        <f>$M13*Original!G56</f>
        <v>0</v>
      </c>
      <c r="S13" s="452">
        <f>$M13*Original!H56</f>
        <v>2.3089105898919073E-6</v>
      </c>
      <c r="T13" s="452">
        <f>$M13*Original!I56</f>
        <v>0</v>
      </c>
      <c r="V13" s="451" t="s">
        <v>1639</v>
      </c>
      <c r="W13" s="452">
        <f>X6*BldgArea!$S$45</f>
        <v>3.2350653057350969</v>
      </c>
      <c r="X13" s="452">
        <f>$W13*Original!C56</f>
        <v>2.4439913298066607</v>
      </c>
      <c r="Y13" s="452">
        <f>$W13*Original!D56</f>
        <v>0.791072720794472</v>
      </c>
      <c r="Z13" s="452">
        <f>$W13*Original!E56</f>
        <v>0</v>
      </c>
      <c r="AA13" s="452">
        <f>$W13*Original!F56</f>
        <v>0</v>
      </c>
      <c r="AB13" s="452">
        <f>$W13*Original!G56</f>
        <v>0</v>
      </c>
      <c r="AC13" s="452">
        <f>$W13*Original!H56</f>
        <v>1.2551339645322992E-6</v>
      </c>
      <c r="AD13" s="452">
        <f>$W13*Original!I56</f>
        <v>0</v>
      </c>
    </row>
    <row r="14" spans="2:30" x14ac:dyDescent="0.2">
      <c r="B14" s="451" t="s">
        <v>1640</v>
      </c>
      <c r="C14" s="452">
        <f>D7*BldgArea!$C$45</f>
        <v>1.0819699695745333</v>
      </c>
      <c r="D14" s="452">
        <f>$C14*Original!C57</f>
        <v>0.75984300805211757</v>
      </c>
      <c r="E14" s="452">
        <f>$C14*Original!D57</f>
        <v>0.32212696152241571</v>
      </c>
      <c r="F14" s="452">
        <f>$C14*Original!E57</f>
        <v>0</v>
      </c>
      <c r="G14" s="452">
        <f>$C14*Original!F57</f>
        <v>0</v>
      </c>
      <c r="H14" s="452">
        <f>$C14*Original!G57</f>
        <v>0</v>
      </c>
      <c r="I14" s="452">
        <f>$C14*Original!H57</f>
        <v>0</v>
      </c>
      <c r="J14" s="452">
        <f>$C14*Original!I57</f>
        <v>0</v>
      </c>
      <c r="L14" s="451" t="s">
        <v>1640</v>
      </c>
      <c r="M14" s="452">
        <f>N7*BldgArea!$K$45</f>
        <v>1.0713272900069233</v>
      </c>
      <c r="N14" s="452">
        <f>$M14*Original!C57</f>
        <v>0.75236889519890449</v>
      </c>
      <c r="O14" s="452">
        <f>$M14*Original!D57</f>
        <v>0.3189583948080188</v>
      </c>
      <c r="P14" s="452">
        <f>$M14*Original!E57</f>
        <v>0</v>
      </c>
      <c r="Q14" s="452">
        <f>$M14*Original!F57</f>
        <v>0</v>
      </c>
      <c r="R14" s="452">
        <f>$M14*Original!G57</f>
        <v>0</v>
      </c>
      <c r="S14" s="452">
        <f>$M14*Original!H57</f>
        <v>0</v>
      </c>
      <c r="T14" s="452">
        <f>$M14*Original!I57</f>
        <v>0</v>
      </c>
      <c r="V14" s="451" t="s">
        <v>1640</v>
      </c>
      <c r="W14" s="452">
        <f>X7*BldgArea!$S$45</f>
        <v>0.97910596542750972</v>
      </c>
      <c r="X14" s="452">
        <f>$W14*Original!C57</f>
        <v>0.68760394733022412</v>
      </c>
      <c r="Y14" s="452">
        <f>$W14*Original!D57</f>
        <v>0.29150201809728554</v>
      </c>
      <c r="Z14" s="452">
        <f>$W14*Original!E57</f>
        <v>0</v>
      </c>
      <c r="AA14" s="452">
        <f>$W14*Original!F57</f>
        <v>0</v>
      </c>
      <c r="AB14" s="452">
        <f>$W14*Original!G57</f>
        <v>0</v>
      </c>
      <c r="AC14" s="452">
        <f>$W14*Original!H57</f>
        <v>0</v>
      </c>
      <c r="AD14" s="452">
        <f>$W14*Original!I57</f>
        <v>0</v>
      </c>
    </row>
    <row r="15" spans="2:30" x14ac:dyDescent="0.2">
      <c r="B15" s="451"/>
      <c r="C15" s="452"/>
      <c r="D15" s="452">
        <f>SUM(D11:D14)</f>
        <v>24.902306412639092</v>
      </c>
      <c r="E15" s="452">
        <f t="shared" ref="E15:J15" si="0">SUM(E11:E14)</f>
        <v>10.225075253987812</v>
      </c>
      <c r="F15" s="452">
        <f t="shared" si="0"/>
        <v>1.3560802573163346</v>
      </c>
      <c r="G15" s="452">
        <f t="shared" si="0"/>
        <v>2.1459765445814032</v>
      </c>
      <c r="H15" s="452">
        <f t="shared" si="0"/>
        <v>4.325715987438163</v>
      </c>
      <c r="I15" s="452">
        <f t="shared" si="0"/>
        <v>3.5425196392697569E-6</v>
      </c>
      <c r="J15" s="452">
        <f t="shared" si="0"/>
        <v>0.39068619777602631</v>
      </c>
      <c r="L15" s="451"/>
      <c r="M15" s="452"/>
      <c r="N15" s="452">
        <f>SUM(N11:N14)</f>
        <v>24.572945374785633</v>
      </c>
      <c r="O15" s="452">
        <f t="shared" ref="O15:T15" si="1">SUM(O11:O14)</f>
        <v>10.369309779580369</v>
      </c>
      <c r="P15" s="452">
        <f t="shared" si="1"/>
        <v>1.3042875085374581</v>
      </c>
      <c r="Q15" s="452">
        <f t="shared" si="1"/>
        <v>2.0640153011673723</v>
      </c>
      <c r="R15" s="452">
        <f t="shared" si="1"/>
        <v>4.1605039948459783</v>
      </c>
      <c r="S15" s="452">
        <f t="shared" si="1"/>
        <v>2.3089105898919073E-6</v>
      </c>
      <c r="T15" s="452">
        <f t="shared" si="1"/>
        <v>0.43949944007298181</v>
      </c>
      <c r="V15" s="451"/>
      <c r="W15" s="452"/>
      <c r="X15" s="452">
        <f>SUM(X11:X14)</f>
        <v>22.926449646742789</v>
      </c>
      <c r="Y15" s="452">
        <f t="shared" ref="Y15:AD15" si="2">SUM(Y11:Y14)</f>
        <v>9.8866428743670731</v>
      </c>
      <c r="Z15" s="452">
        <f t="shared" si="2"/>
        <v>1.228947512670717</v>
      </c>
      <c r="AA15" s="452">
        <f t="shared" si="2"/>
        <v>1.944790894553825</v>
      </c>
      <c r="AB15" s="452">
        <f t="shared" si="2"/>
        <v>3.9201794101792578</v>
      </c>
      <c r="AC15" s="452">
        <f t="shared" si="2"/>
        <v>1.2551339645322992E-6</v>
      </c>
      <c r="AD15" s="452">
        <f t="shared" si="2"/>
        <v>0.45103037166851628</v>
      </c>
    </row>
    <row r="16" spans="2:30" x14ac:dyDescent="0.2">
      <c r="B16" s="450"/>
      <c r="C16" s="450" t="s">
        <v>1649</v>
      </c>
      <c r="D16" s="450" t="s">
        <v>1467</v>
      </c>
      <c r="E16" s="450" t="s">
        <v>1645</v>
      </c>
      <c r="F16" s="450" t="s">
        <v>1468</v>
      </c>
      <c r="G16" s="450" t="s">
        <v>1474</v>
      </c>
      <c r="H16" s="450" t="s">
        <v>1646</v>
      </c>
      <c r="I16" s="450" t="s">
        <v>1647</v>
      </c>
      <c r="J16" s="450" t="s">
        <v>1648</v>
      </c>
      <c r="K16" s="442"/>
      <c r="L16" s="450"/>
      <c r="M16" s="450" t="s">
        <v>1649</v>
      </c>
      <c r="N16" s="450" t="s">
        <v>1467</v>
      </c>
      <c r="O16" s="450" t="s">
        <v>1645</v>
      </c>
      <c r="P16" s="450" t="s">
        <v>1468</v>
      </c>
      <c r="Q16" s="450" t="s">
        <v>1474</v>
      </c>
      <c r="R16" s="450" t="s">
        <v>1646</v>
      </c>
      <c r="S16" s="450" t="s">
        <v>1647</v>
      </c>
      <c r="T16" s="450" t="s">
        <v>1648</v>
      </c>
      <c r="U16" s="442"/>
      <c r="V16" s="450"/>
      <c r="W16" s="450" t="s">
        <v>1649</v>
      </c>
      <c r="X16" s="450" t="s">
        <v>1467</v>
      </c>
      <c r="Y16" s="450" t="s">
        <v>1645</v>
      </c>
      <c r="Z16" s="450" t="s">
        <v>1468</v>
      </c>
      <c r="AA16" s="450" t="s">
        <v>1474</v>
      </c>
      <c r="AB16" s="450" t="s">
        <v>1646</v>
      </c>
      <c r="AC16" s="450" t="s">
        <v>1647</v>
      </c>
      <c r="AD16" s="450" t="s">
        <v>1648</v>
      </c>
    </row>
    <row r="17" spans="2:30" x14ac:dyDescent="0.2">
      <c r="B17" s="451" t="s">
        <v>51</v>
      </c>
      <c r="C17" s="452">
        <f>D4*BldgArea!$C$46</f>
        <v>17.039248784617396</v>
      </c>
      <c r="D17" s="452">
        <f>$C17*Original!C54</f>
        <v>0.9151540269793661</v>
      </c>
      <c r="E17" s="452">
        <f>$C17*Original!D54</f>
        <v>0.411270333506633</v>
      </c>
      <c r="F17" s="452">
        <f>$C17*Original!E54</f>
        <v>2.7220834791310065</v>
      </c>
      <c r="G17" s="452">
        <f>$C17*Original!F54</f>
        <v>4.3076560307484968</v>
      </c>
      <c r="H17" s="452">
        <f>$C17*Original!G54</f>
        <v>8.6830849142518947</v>
      </c>
      <c r="I17" s="452">
        <f>$C17*Original!H54</f>
        <v>0</v>
      </c>
      <c r="J17" s="452">
        <f>$C17*Original!I54</f>
        <v>0</v>
      </c>
      <c r="L17" s="451" t="s">
        <v>51</v>
      </c>
      <c r="M17" s="452">
        <f>N4*BldgArea!$K$46</f>
        <v>16.472938058221075</v>
      </c>
      <c r="N17" s="452">
        <f>$M17*Original!C54</f>
        <v>0.88473827635947522</v>
      </c>
      <c r="O17" s="452">
        <f>$M17*Original!D54</f>
        <v>0.39760149139643031</v>
      </c>
      <c r="P17" s="452">
        <f>$M17*Original!E54</f>
        <v>2.6316132305969413</v>
      </c>
      <c r="Q17" s="452">
        <f>$M17*Original!F54</f>
        <v>4.1644882275974</v>
      </c>
      <c r="R17" s="452">
        <f>$M17*Original!G54</f>
        <v>8.3944968322708302</v>
      </c>
      <c r="S17" s="452">
        <f>$M17*Original!H54</f>
        <v>0</v>
      </c>
      <c r="T17" s="452">
        <f>$M17*Original!I54</f>
        <v>0</v>
      </c>
      <c r="V17" s="451" t="s">
        <v>51</v>
      </c>
      <c r="W17" s="452">
        <f>X4*BldgArea!$S$46</f>
        <v>15.352434635056065</v>
      </c>
      <c r="X17" s="452">
        <f>$W17*Original!C54</f>
        <v>0.82455761740464151</v>
      </c>
      <c r="Y17" s="452">
        <f>$W17*Original!D54</f>
        <v>0.37055629577980059</v>
      </c>
      <c r="Z17" s="452">
        <f>$W17*Original!E54</f>
        <v>2.4526086339118596</v>
      </c>
      <c r="AA17" s="452">
        <f>$W17*Original!F54</f>
        <v>3.8812161544395414</v>
      </c>
      <c r="AB17" s="452">
        <f>$W17*Original!G54</f>
        <v>7.8234959335202241</v>
      </c>
      <c r="AC17" s="452">
        <f>$W17*Original!H54</f>
        <v>0</v>
      </c>
      <c r="AD17" s="452">
        <f>$W17*Original!I54</f>
        <v>0</v>
      </c>
    </row>
    <row r="18" spans="2:30" x14ac:dyDescent="0.2">
      <c r="B18" s="451" t="s">
        <v>1638</v>
      </c>
      <c r="C18" s="452">
        <f>D5*BldgArea!$C$46</f>
        <v>49.469498856202527</v>
      </c>
      <c r="D18" s="452">
        <f>$C18*Original!C55</f>
        <v>33.700000066410873</v>
      </c>
      <c r="E18" s="452">
        <f>$C18*Original!D55</f>
        <v>14.985267592004552</v>
      </c>
      <c r="F18" s="452">
        <f>$C18*Original!E55</f>
        <v>0</v>
      </c>
      <c r="G18" s="452">
        <f>$C18*Original!F55</f>
        <v>0</v>
      </c>
      <c r="H18" s="452">
        <f>$C18*Original!G55</f>
        <v>0</v>
      </c>
      <c r="I18" s="452">
        <f>$C18*Original!H55</f>
        <v>0</v>
      </c>
      <c r="J18" s="452">
        <f>$C18*Original!I55</f>
        <v>0.78423119778710193</v>
      </c>
      <c r="L18" s="451" t="s">
        <v>1638</v>
      </c>
      <c r="M18" s="452">
        <f>N5*BldgArea!$K$46</f>
        <v>55.937164521018474</v>
      </c>
      <c r="N18" s="452">
        <f>$M18*Original!C55</f>
        <v>38.105954005167881</v>
      </c>
      <c r="O18" s="452">
        <f>$M18*Original!D55</f>
        <v>16.944448560556758</v>
      </c>
      <c r="P18" s="452">
        <f>$M18*Original!E55</f>
        <v>0</v>
      </c>
      <c r="Q18" s="452">
        <f>$M18*Original!F55</f>
        <v>0</v>
      </c>
      <c r="R18" s="452">
        <f>$M18*Original!G55</f>
        <v>0</v>
      </c>
      <c r="S18" s="452">
        <f>$M18*Original!H55</f>
        <v>0</v>
      </c>
      <c r="T18" s="452">
        <f>$M18*Original!I55</f>
        <v>0.88676195529383928</v>
      </c>
      <c r="V18" s="451" t="s">
        <v>1638</v>
      </c>
      <c r="W18" s="452">
        <f>X5*BldgArea!$S$46</f>
        <v>56.779831725799262</v>
      </c>
      <c r="X18" s="452">
        <f>$W18*Original!C55</f>
        <v>38.68000236857705</v>
      </c>
      <c r="Y18" s="452">
        <f>$W18*Original!D55</f>
        <v>17.199708748078613</v>
      </c>
      <c r="Z18" s="452">
        <f>$W18*Original!E55</f>
        <v>0</v>
      </c>
      <c r="AA18" s="452">
        <f>$W18*Original!F55</f>
        <v>0</v>
      </c>
      <c r="AB18" s="452">
        <f>$W18*Original!G55</f>
        <v>0</v>
      </c>
      <c r="AC18" s="452">
        <f>$W18*Original!H55</f>
        <v>0</v>
      </c>
      <c r="AD18" s="452">
        <f>$W18*Original!I55</f>
        <v>0.90012060914360004</v>
      </c>
    </row>
    <row r="19" spans="2:30" x14ac:dyDescent="0.2">
      <c r="B19" s="451" t="s">
        <v>1639</v>
      </c>
      <c r="C19" s="452">
        <f>D6*BldgArea!$C$46</f>
        <v>18.328261950486461</v>
      </c>
      <c r="D19" s="452">
        <f>$C19*Original!C56</f>
        <v>13.846432471704231</v>
      </c>
      <c r="E19" s="452">
        <f>$C19*Original!D56</f>
        <v>4.4818223678209632</v>
      </c>
      <c r="F19" s="452">
        <f>$C19*Original!E56</f>
        <v>0</v>
      </c>
      <c r="G19" s="452">
        <f>$C19*Original!F56</f>
        <v>0</v>
      </c>
      <c r="H19" s="452">
        <f>$C19*Original!G56</f>
        <v>0</v>
      </c>
      <c r="I19" s="452">
        <f>$C19*Original!H56</f>
        <v>7.1109612668772128E-6</v>
      </c>
      <c r="J19" s="452">
        <f>$C19*Original!I56</f>
        <v>0</v>
      </c>
      <c r="L19" s="451" t="s">
        <v>1639</v>
      </c>
      <c r="M19" s="452">
        <f>N6*BldgArea!$K$46</f>
        <v>12.007395399305022</v>
      </c>
      <c r="N19" s="452">
        <f>$M19*Original!C56</f>
        <v>9.0712141722263127</v>
      </c>
      <c r="O19" s="452">
        <f>$M19*Original!D56</f>
        <v>2.93617656847421</v>
      </c>
      <c r="P19" s="452">
        <f>$M19*Original!E56</f>
        <v>0</v>
      </c>
      <c r="Q19" s="452">
        <f>$M19*Original!F56</f>
        <v>0</v>
      </c>
      <c r="R19" s="452">
        <f>$M19*Original!G56</f>
        <v>0</v>
      </c>
      <c r="S19" s="452">
        <f>$M19*Original!H56</f>
        <v>4.6586045000448838E-6</v>
      </c>
      <c r="T19" s="452">
        <f>$M19*Original!I56</f>
        <v>0</v>
      </c>
      <c r="V19" s="451" t="s">
        <v>1639</v>
      </c>
      <c r="W19" s="452">
        <f>X6*BldgArea!$S$46</f>
        <v>6.4562147840406015</v>
      </c>
      <c r="X19" s="452">
        <f>$W19*Original!C56</f>
        <v>4.877469684334363</v>
      </c>
      <c r="Y19" s="452">
        <f>$W19*Original!D56</f>
        <v>1.5787425948373441</v>
      </c>
      <c r="Z19" s="452">
        <f>$W19*Original!E56</f>
        <v>0</v>
      </c>
      <c r="AA19" s="452">
        <f>$W19*Original!F56</f>
        <v>0</v>
      </c>
      <c r="AB19" s="452">
        <f>$W19*Original!G56</f>
        <v>0</v>
      </c>
      <c r="AC19" s="452">
        <f>$W19*Original!H56</f>
        <v>2.5048688950418577E-6</v>
      </c>
      <c r="AD19" s="452">
        <f>$W19*Original!I56</f>
        <v>0</v>
      </c>
    </row>
    <row r="20" spans="2:30" x14ac:dyDescent="0.2">
      <c r="B20" s="451" t="s">
        <v>1640</v>
      </c>
      <c r="C20" s="452">
        <f>D7*BldgArea!$C$46</f>
        <v>2.1718571324998512</v>
      </c>
      <c r="D20" s="452">
        <f>$C20*Original!C57</f>
        <v>1.5252460817069395</v>
      </c>
      <c r="E20" s="452">
        <f>$C20*Original!D57</f>
        <v>0.6466110507929117</v>
      </c>
      <c r="F20" s="452">
        <f>$C20*Original!E57</f>
        <v>0</v>
      </c>
      <c r="G20" s="452">
        <f>$C20*Original!F57</f>
        <v>0</v>
      </c>
      <c r="H20" s="452">
        <f>$C20*Original!G57</f>
        <v>0</v>
      </c>
      <c r="I20" s="452">
        <f>$C20*Original!H57</f>
        <v>0</v>
      </c>
      <c r="J20" s="452">
        <f>$C20*Original!I57</f>
        <v>0</v>
      </c>
      <c r="L20" s="451" t="s">
        <v>1640</v>
      </c>
      <c r="M20" s="452">
        <f>N7*BldgArea!$K$46</f>
        <v>2.1615779130194874</v>
      </c>
      <c r="N20" s="452">
        <f>$M20*Original!C57</f>
        <v>1.5180272186423214</v>
      </c>
      <c r="O20" s="452">
        <f>$M20*Original!D57</f>
        <v>0.64355069437716594</v>
      </c>
      <c r="P20" s="452">
        <f>$M20*Original!E57</f>
        <v>0</v>
      </c>
      <c r="Q20" s="452">
        <f>$M20*Original!F57</f>
        <v>0</v>
      </c>
      <c r="R20" s="452">
        <f>$M20*Original!G57</f>
        <v>0</v>
      </c>
      <c r="S20" s="452">
        <f>$M20*Original!H57</f>
        <v>0</v>
      </c>
      <c r="T20" s="452">
        <f>$M20*Original!I57</f>
        <v>0</v>
      </c>
      <c r="V20" s="451" t="s">
        <v>1640</v>
      </c>
      <c r="W20" s="452">
        <f>X7*BldgArea!$S$46</f>
        <v>1.9540002478246896</v>
      </c>
      <c r="X20" s="452">
        <f>$W20*Original!C57</f>
        <v>1.3722501250432506</v>
      </c>
      <c r="Y20" s="452">
        <f>$W20*Original!D57</f>
        <v>0.58175012278143901</v>
      </c>
      <c r="Z20" s="452">
        <f>$W20*Original!E57</f>
        <v>0</v>
      </c>
      <c r="AA20" s="452">
        <f>$W20*Original!F57</f>
        <v>0</v>
      </c>
      <c r="AB20" s="452">
        <f>$W20*Original!G57</f>
        <v>0</v>
      </c>
      <c r="AC20" s="452">
        <f>$W20*Original!H57</f>
        <v>0</v>
      </c>
      <c r="AD20" s="452">
        <f>$W20*Original!I57</f>
        <v>0</v>
      </c>
    </row>
    <row r="21" spans="2:30" x14ac:dyDescent="0.2">
      <c r="B21" s="451"/>
      <c r="C21" s="452"/>
      <c r="D21" s="452">
        <f>SUM(D17:D20)</f>
        <v>49.98683264680141</v>
      </c>
      <c r="E21" s="452">
        <f>SUM(E17:E20)</f>
        <v>20.524971344125063</v>
      </c>
      <c r="F21" s="452">
        <f>SUM(F17:F20)</f>
        <v>2.7220834791310065</v>
      </c>
      <c r="G21" s="452">
        <f t="shared" ref="G21:J21" si="3">SUM(G17:G20)</f>
        <v>4.3076560307484968</v>
      </c>
      <c r="H21" s="452">
        <f t="shared" si="3"/>
        <v>8.6830849142518947</v>
      </c>
      <c r="I21" s="452">
        <f t="shared" si="3"/>
        <v>7.1109612668772128E-6</v>
      </c>
      <c r="J21" s="452">
        <f t="shared" si="3"/>
        <v>0.78423119778710193</v>
      </c>
      <c r="L21" s="451"/>
      <c r="M21" s="452"/>
      <c r="N21" s="452">
        <f>SUM(N17:N20)</f>
        <v>49.579933672395995</v>
      </c>
      <c r="O21" s="452">
        <f t="shared" ref="O21:T21" si="4">SUM(O17:O20)</f>
        <v>20.921777314804562</v>
      </c>
      <c r="P21" s="452">
        <f t="shared" si="4"/>
        <v>2.6316132305969413</v>
      </c>
      <c r="Q21" s="452">
        <f t="shared" si="4"/>
        <v>4.1644882275974</v>
      </c>
      <c r="R21" s="452">
        <f t="shared" si="4"/>
        <v>8.3944968322708302</v>
      </c>
      <c r="S21" s="452">
        <f t="shared" si="4"/>
        <v>4.6586045000448838E-6</v>
      </c>
      <c r="T21" s="452">
        <f t="shared" si="4"/>
        <v>0.88676195529383928</v>
      </c>
      <c r="V21" s="451"/>
      <c r="W21" s="452"/>
      <c r="X21" s="452">
        <f>SUM(X17:X20)</f>
        <v>45.754279795359309</v>
      </c>
      <c r="Y21" s="452">
        <f t="shared" ref="Y21:AD21" si="5">SUM(Y17:Y20)</f>
        <v>19.730757761477197</v>
      </c>
      <c r="Z21" s="452">
        <f t="shared" si="5"/>
        <v>2.4526086339118596</v>
      </c>
      <c r="AA21" s="452">
        <f t="shared" si="5"/>
        <v>3.8812161544395414</v>
      </c>
      <c r="AB21" s="452">
        <f t="shared" si="5"/>
        <v>7.8234959335202241</v>
      </c>
      <c r="AC21" s="452">
        <f t="shared" si="5"/>
        <v>2.5048688950418577E-6</v>
      </c>
      <c r="AD21" s="452">
        <f t="shared" si="5"/>
        <v>0.90012060914360004</v>
      </c>
    </row>
    <row r="22" spans="2:30" s="442" customFormat="1" x14ac:dyDescent="0.2">
      <c r="B22" s="450"/>
      <c r="C22" s="450" t="s">
        <v>1650</v>
      </c>
      <c r="D22" s="450" t="s">
        <v>1467</v>
      </c>
      <c r="E22" s="450" t="s">
        <v>1645</v>
      </c>
      <c r="F22" s="450" t="s">
        <v>1468</v>
      </c>
      <c r="G22" s="450" t="s">
        <v>1474</v>
      </c>
      <c r="H22" s="450" t="s">
        <v>1646</v>
      </c>
      <c r="I22" s="450" t="s">
        <v>1647</v>
      </c>
      <c r="J22" s="450" t="s">
        <v>1648</v>
      </c>
      <c r="L22" s="450"/>
      <c r="M22" s="450" t="s">
        <v>1650</v>
      </c>
      <c r="N22" s="450" t="s">
        <v>1467</v>
      </c>
      <c r="O22" s="450" t="s">
        <v>1645</v>
      </c>
      <c r="P22" s="450" t="s">
        <v>1468</v>
      </c>
      <c r="Q22" s="450" t="s">
        <v>1474</v>
      </c>
      <c r="R22" s="450" t="s">
        <v>1646</v>
      </c>
      <c r="S22" s="450" t="s">
        <v>1647</v>
      </c>
      <c r="T22" s="450" t="s">
        <v>1648</v>
      </c>
      <c r="V22" s="450"/>
      <c r="W22" s="450" t="s">
        <v>1650</v>
      </c>
      <c r="X22" s="450" t="s">
        <v>1467</v>
      </c>
      <c r="Y22" s="450" t="s">
        <v>1645</v>
      </c>
      <c r="Z22" s="450" t="s">
        <v>1468</v>
      </c>
      <c r="AA22" s="450" t="s">
        <v>1474</v>
      </c>
      <c r="AB22" s="450" t="s">
        <v>1646</v>
      </c>
      <c r="AC22" s="450" t="s">
        <v>1647</v>
      </c>
      <c r="AD22" s="450" t="s">
        <v>1648</v>
      </c>
    </row>
    <row r="23" spans="2:30" x14ac:dyDescent="0.2">
      <c r="B23" s="451" t="s">
        <v>51</v>
      </c>
      <c r="C23" s="452">
        <f>D4*BldgArea!$C$47</f>
        <v>14.920721773028651</v>
      </c>
      <c r="D23" s="452">
        <f>$C23*Original!C54</f>
        <v>0.80137092829779266</v>
      </c>
      <c r="E23" s="452">
        <f>$C23*Original!D54</f>
        <v>0.3601361948123562</v>
      </c>
      <c r="F23" s="452">
        <f>$C23*Original!E54</f>
        <v>2.383640895702996</v>
      </c>
      <c r="G23" s="452">
        <f>$C23*Original!F54</f>
        <v>3.7720757494151749</v>
      </c>
      <c r="H23" s="452">
        <f>$C23*Original!G54</f>
        <v>7.6034980048003327</v>
      </c>
      <c r="I23" s="452">
        <f>$C23*Original!H54</f>
        <v>0</v>
      </c>
      <c r="J23" s="452">
        <f>$C23*Original!I54</f>
        <v>0</v>
      </c>
      <c r="L23" s="451" t="s">
        <v>51</v>
      </c>
      <c r="M23" s="452">
        <f>N4*BldgArea!$K$47</f>
        <v>14.421515322384781</v>
      </c>
      <c r="N23" s="452">
        <f>$M23*Original!C54</f>
        <v>0.77455925371192436</v>
      </c>
      <c r="O23" s="452">
        <f>$M23*Original!D54</f>
        <v>0.34808702491994198</v>
      </c>
      <c r="P23" s="452">
        <f>$M23*Original!E54</f>
        <v>2.3038908052412572</v>
      </c>
      <c r="Q23" s="452">
        <f>$M23*Original!F54</f>
        <v>3.6458724346513249</v>
      </c>
      <c r="R23" s="452">
        <f>$M23*Original!G54</f>
        <v>7.3491058038603345</v>
      </c>
      <c r="S23" s="452">
        <f>$M23*Original!H54</f>
        <v>0</v>
      </c>
      <c r="T23" s="452">
        <f>$M23*Original!I54</f>
        <v>0</v>
      </c>
      <c r="V23" s="451" t="s">
        <v>51</v>
      </c>
      <c r="W23" s="452">
        <f>X4*BldgArea!$S$47</f>
        <v>13.648273863929733</v>
      </c>
      <c r="X23" s="452">
        <f>$W23*Original!C54</f>
        <v>0.73302954524429687</v>
      </c>
      <c r="Y23" s="452">
        <f>$W23*Original!D54</f>
        <v>0.32942356877115592</v>
      </c>
      <c r="Z23" s="452">
        <f>$W23*Original!E54</f>
        <v>2.1803626012666877</v>
      </c>
      <c r="AA23" s="452">
        <f>$W23*Original!F54</f>
        <v>3.4503909158448347</v>
      </c>
      <c r="AB23" s="452">
        <f>$W23*Original!G54</f>
        <v>6.955067232802759</v>
      </c>
      <c r="AC23" s="452">
        <f>$W23*Original!H54</f>
        <v>0</v>
      </c>
      <c r="AD23" s="452">
        <f>$W23*Original!I54</f>
        <v>0</v>
      </c>
    </row>
    <row r="24" spans="2:30" x14ac:dyDescent="0.2">
      <c r="B24" s="451" t="s">
        <v>1638</v>
      </c>
      <c r="C24" s="452">
        <f>D5*BldgArea!$C$47</f>
        <v>43.318848032250912</v>
      </c>
      <c r="D24" s="452">
        <f>$C24*Original!C55</f>
        <v>29.510005464319789</v>
      </c>
      <c r="E24" s="452">
        <f>$C24*Original!D55</f>
        <v>13.122116547563722</v>
      </c>
      <c r="F24" s="452">
        <f>$C24*Original!E55</f>
        <v>0</v>
      </c>
      <c r="G24" s="452">
        <f>$C24*Original!F55</f>
        <v>0</v>
      </c>
      <c r="H24" s="452">
        <f>$C24*Original!G55</f>
        <v>0</v>
      </c>
      <c r="I24" s="452">
        <f>$C24*Original!H55</f>
        <v>0</v>
      </c>
      <c r="J24" s="452">
        <f>$C24*Original!I55</f>
        <v>0.68672602036739938</v>
      </c>
      <c r="L24" s="451" t="s">
        <v>1638</v>
      </c>
      <c r="M24" s="452">
        <f>N5*BldgArea!$K$47</f>
        <v>48.971147246439791</v>
      </c>
      <c r="N24" s="452">
        <f>$M24*Original!C55</f>
        <v>33.360509073568636</v>
      </c>
      <c r="O24" s="452">
        <f>$M24*Original!D55</f>
        <v>14.834307254829751</v>
      </c>
      <c r="P24" s="452">
        <f>$M24*Original!E55</f>
        <v>0</v>
      </c>
      <c r="Q24" s="452">
        <f>$M24*Original!F55</f>
        <v>0</v>
      </c>
      <c r="R24" s="452">
        <f>$M24*Original!G55</f>
        <v>0</v>
      </c>
      <c r="S24" s="452">
        <f>$M24*Original!H55</f>
        <v>0</v>
      </c>
      <c r="T24" s="452">
        <f>$M24*Original!I55</f>
        <v>0.77633091804140641</v>
      </c>
      <c r="V24" s="451" t="s">
        <v>1638</v>
      </c>
      <c r="W24" s="452">
        <f>X5*BldgArea!$S$47</f>
        <v>50.477120519505426</v>
      </c>
      <c r="X24" s="452">
        <f>$W24*Original!C55</f>
        <v>34.386420000013395</v>
      </c>
      <c r="Y24" s="452">
        <f>$W24*Original!D55</f>
        <v>15.29049567405943</v>
      </c>
      <c r="Z24" s="452">
        <f>$W24*Original!E55</f>
        <v>0</v>
      </c>
      <c r="AA24" s="452">
        <f>$W24*Original!F55</f>
        <v>0</v>
      </c>
      <c r="AB24" s="452">
        <f>$W24*Original!G55</f>
        <v>0</v>
      </c>
      <c r="AC24" s="452">
        <f>$W24*Original!H55</f>
        <v>0</v>
      </c>
      <c r="AD24" s="452">
        <f>$W24*Original!I55</f>
        <v>0.80020484543259829</v>
      </c>
    </row>
    <row r="25" spans="2:30" x14ac:dyDescent="0.2">
      <c r="B25" s="451" t="s">
        <v>1639</v>
      </c>
      <c r="C25" s="452">
        <f>D6*BldgArea!$C$47</f>
        <v>16.049469117046907</v>
      </c>
      <c r="D25" s="452">
        <f>$C25*Original!C56</f>
        <v>12.124875284750843</v>
      </c>
      <c r="E25" s="452">
        <f>$C25*Original!D56</f>
        <v>3.9245876054561428</v>
      </c>
      <c r="F25" s="452">
        <f>$C25*Original!E56</f>
        <v>0</v>
      </c>
      <c r="G25" s="452">
        <f>$C25*Original!F56</f>
        <v>0</v>
      </c>
      <c r="H25" s="452">
        <f>$C25*Original!G56</f>
        <v>0</v>
      </c>
      <c r="I25" s="452">
        <f>$C25*Original!H56</f>
        <v>6.2268399236968272E-6</v>
      </c>
      <c r="J25" s="452">
        <f>$C25*Original!I56</f>
        <v>0</v>
      </c>
      <c r="L25" s="451" t="s">
        <v>1639</v>
      </c>
      <c r="M25" s="452">
        <f>N6*BldgArea!$K$47</f>
        <v>10.512079637584097</v>
      </c>
      <c r="N25" s="452">
        <f>$M25*Original!C56</f>
        <v>7.9415495714868944</v>
      </c>
      <c r="O25" s="452">
        <f>$M25*Original!D56</f>
        <v>2.5705259876422288</v>
      </c>
      <c r="P25" s="452">
        <f>$M25*Original!E56</f>
        <v>0</v>
      </c>
      <c r="Q25" s="452">
        <f>$M25*Original!F56</f>
        <v>0</v>
      </c>
      <c r="R25" s="452">
        <f>$M25*Original!G56</f>
        <v>0</v>
      </c>
      <c r="S25" s="452">
        <f>$M25*Original!H56</f>
        <v>4.0784549751159112E-6</v>
      </c>
      <c r="T25" s="452">
        <f>$M25*Original!I56</f>
        <v>0</v>
      </c>
      <c r="V25" s="451" t="s">
        <v>1639</v>
      </c>
      <c r="W25" s="452">
        <f>X6*BldgArea!$S$47</f>
        <v>5.7395579001998662</v>
      </c>
      <c r="X25" s="452">
        <f>$W25*Original!C56</f>
        <v>4.3360576740581047</v>
      </c>
      <c r="Y25" s="452">
        <f>$W25*Original!D56</f>
        <v>1.4034979993199264</v>
      </c>
      <c r="Z25" s="452">
        <f>$W25*Original!E56</f>
        <v>0</v>
      </c>
      <c r="AA25" s="452">
        <f>$W25*Original!F56</f>
        <v>0</v>
      </c>
      <c r="AB25" s="452">
        <f>$W25*Original!G56</f>
        <v>0</v>
      </c>
      <c r="AC25" s="452">
        <f>$W25*Original!H56</f>
        <v>2.2268218354570765E-6</v>
      </c>
      <c r="AD25" s="452">
        <f>$W25*Original!I56</f>
        <v>0</v>
      </c>
    </row>
    <row r="26" spans="2:30" x14ac:dyDescent="0.2">
      <c r="B26" s="451" t="s">
        <v>1640</v>
      </c>
      <c r="C26" s="452">
        <f>D7*BldgArea!$C$47</f>
        <v>1.9018253923290991</v>
      </c>
      <c r="D26" s="452">
        <f>$C26*Original!C57</f>
        <v>1.335608905546148</v>
      </c>
      <c r="E26" s="452">
        <f>$C26*Original!D57</f>
        <v>0.56621648678295122</v>
      </c>
      <c r="F26" s="452">
        <f>$C26*Original!E57</f>
        <v>0</v>
      </c>
      <c r="G26" s="452">
        <f>$C26*Original!F57</f>
        <v>0</v>
      </c>
      <c r="H26" s="452">
        <f>$C26*Original!G57</f>
        <v>0</v>
      </c>
      <c r="I26" s="452">
        <f>$C26*Original!H57</f>
        <v>0</v>
      </c>
      <c r="J26" s="452">
        <f>$C26*Original!I57</f>
        <v>0</v>
      </c>
      <c r="L26" s="451" t="s">
        <v>1640</v>
      </c>
      <c r="M26" s="452">
        <f>N7*BldgArea!$K$47</f>
        <v>1.8923903485196176</v>
      </c>
      <c r="N26" s="452">
        <f>$M26*Original!C57</f>
        <v>1.3289828879385437</v>
      </c>
      <c r="O26" s="452">
        <f>$M26*Original!D57</f>
        <v>0.56340746058107405</v>
      </c>
      <c r="P26" s="452">
        <f>$M26*Original!E57</f>
        <v>0</v>
      </c>
      <c r="Q26" s="452">
        <f>$M26*Original!F57</f>
        <v>0</v>
      </c>
      <c r="R26" s="452">
        <f>$M26*Original!G57</f>
        <v>0</v>
      </c>
      <c r="S26" s="452">
        <f>$M26*Original!H57</f>
        <v>0</v>
      </c>
      <c r="T26" s="452">
        <f>$M26*Original!I57</f>
        <v>0</v>
      </c>
      <c r="V26" s="451" t="s">
        <v>1640</v>
      </c>
      <c r="W26" s="452">
        <f>X7*BldgArea!$S$47</f>
        <v>1.737101062238168</v>
      </c>
      <c r="X26" s="452">
        <f>$W26*Original!C57</f>
        <v>1.2199267387620902</v>
      </c>
      <c r="Y26" s="452">
        <f>$W26*Original!D57</f>
        <v>0.51717432347607784</v>
      </c>
      <c r="Z26" s="452">
        <f>$W26*Original!E57</f>
        <v>0</v>
      </c>
      <c r="AA26" s="452">
        <f>$W26*Original!F57</f>
        <v>0</v>
      </c>
      <c r="AB26" s="452">
        <f>$W26*Original!G57</f>
        <v>0</v>
      </c>
      <c r="AC26" s="452">
        <f>$W26*Original!H57</f>
        <v>0</v>
      </c>
      <c r="AD26" s="452">
        <f>$W26*Original!I57</f>
        <v>0</v>
      </c>
    </row>
    <row r="27" spans="2:30" x14ac:dyDescent="0.2">
      <c r="B27" s="451"/>
      <c r="C27" s="452"/>
      <c r="D27" s="452">
        <f>SUM(D23:D26)</f>
        <v>43.77186058291457</v>
      </c>
      <c r="E27" s="452">
        <f t="shared" ref="E27:J27" si="6">SUM(E23:E26)</f>
        <v>17.973056834615175</v>
      </c>
      <c r="F27" s="452">
        <f t="shared" si="6"/>
        <v>2.383640895702996</v>
      </c>
      <c r="G27" s="452">
        <f t="shared" si="6"/>
        <v>3.7720757494151749</v>
      </c>
      <c r="H27" s="452">
        <f t="shared" si="6"/>
        <v>7.6034980048003327</v>
      </c>
      <c r="I27" s="452">
        <f t="shared" si="6"/>
        <v>6.2268399236968272E-6</v>
      </c>
      <c r="J27" s="452">
        <f t="shared" si="6"/>
        <v>0.68672602036739938</v>
      </c>
      <c r="L27" s="451"/>
      <c r="M27" s="452"/>
      <c r="N27" s="452">
        <f>SUM(N23:N26)</f>
        <v>43.405600786706003</v>
      </c>
      <c r="O27" s="452">
        <f t="shared" ref="O27:T27" si="7">SUM(O23:O26)</f>
        <v>18.316327727972997</v>
      </c>
      <c r="P27" s="452">
        <f t="shared" si="7"/>
        <v>2.3038908052412572</v>
      </c>
      <c r="Q27" s="452">
        <f t="shared" si="7"/>
        <v>3.6458724346513249</v>
      </c>
      <c r="R27" s="452">
        <f t="shared" si="7"/>
        <v>7.3491058038603345</v>
      </c>
      <c r="S27" s="452">
        <f t="shared" si="7"/>
        <v>4.0784549751159112E-6</v>
      </c>
      <c r="T27" s="452">
        <f t="shared" si="7"/>
        <v>0.77633091804140641</v>
      </c>
      <c r="V27" s="451"/>
      <c r="W27" s="452"/>
      <c r="X27" s="452">
        <f>SUM(X23:X26)</f>
        <v>40.675433958077889</v>
      </c>
      <c r="Y27" s="452">
        <f t="shared" ref="Y27:AD27" si="8">SUM(Y23:Y26)</f>
        <v>17.540591565626592</v>
      </c>
      <c r="Z27" s="452">
        <f t="shared" si="8"/>
        <v>2.1803626012666877</v>
      </c>
      <c r="AA27" s="452">
        <f t="shared" si="8"/>
        <v>3.4503909158448347</v>
      </c>
      <c r="AB27" s="452">
        <f t="shared" si="8"/>
        <v>6.955067232802759</v>
      </c>
      <c r="AC27" s="452">
        <f t="shared" si="8"/>
        <v>2.2268218354570765E-6</v>
      </c>
      <c r="AD27" s="452">
        <f t="shared" si="8"/>
        <v>0.80020484543259829</v>
      </c>
    </row>
    <row r="28" spans="2:30" s="442" customFormat="1" x14ac:dyDescent="0.2">
      <c r="B28" s="450"/>
      <c r="C28" s="450" t="s">
        <v>1651</v>
      </c>
      <c r="D28" s="450" t="s">
        <v>1467</v>
      </c>
      <c r="E28" s="450" t="s">
        <v>1645</v>
      </c>
      <c r="F28" s="450" t="s">
        <v>1468</v>
      </c>
      <c r="G28" s="450" t="s">
        <v>1474</v>
      </c>
      <c r="H28" s="450" t="s">
        <v>1646</v>
      </c>
      <c r="I28" s="450" t="s">
        <v>1647</v>
      </c>
      <c r="J28" s="450" t="s">
        <v>1648</v>
      </c>
      <c r="L28" s="450"/>
      <c r="M28" s="450" t="s">
        <v>1651</v>
      </c>
      <c r="N28" s="450" t="s">
        <v>1467</v>
      </c>
      <c r="O28" s="450" t="s">
        <v>1645</v>
      </c>
      <c r="P28" s="450" t="s">
        <v>1468</v>
      </c>
      <c r="Q28" s="450" t="s">
        <v>1474</v>
      </c>
      <c r="R28" s="450" t="s">
        <v>1646</v>
      </c>
      <c r="S28" s="450" t="s">
        <v>1647</v>
      </c>
      <c r="T28" s="450" t="s">
        <v>1648</v>
      </c>
      <c r="V28" s="450"/>
      <c r="W28" s="450" t="s">
        <v>1651</v>
      </c>
      <c r="X28" s="450" t="s">
        <v>1467</v>
      </c>
      <c r="Y28" s="450" t="s">
        <v>1645</v>
      </c>
      <c r="Z28" s="450" t="s">
        <v>1468</v>
      </c>
      <c r="AA28" s="450" t="s">
        <v>1474</v>
      </c>
      <c r="AB28" s="450" t="s">
        <v>1646</v>
      </c>
      <c r="AC28" s="450" t="s">
        <v>1647</v>
      </c>
      <c r="AD28" s="450" t="s">
        <v>1648</v>
      </c>
    </row>
    <row r="29" spans="2:30" x14ac:dyDescent="0.2">
      <c r="B29" s="451" t="s">
        <v>51</v>
      </c>
      <c r="C29" s="452">
        <f>D4*BldgArea!$C$48</f>
        <v>14.252014951933669</v>
      </c>
      <c r="D29" s="452">
        <f>$C29*Original!C54</f>
        <v>0.76545562780953902</v>
      </c>
      <c r="E29" s="452">
        <f>$C29*Original!D54</f>
        <v>0.34399585430754626</v>
      </c>
      <c r="F29" s="452">
        <f>$C29*Original!E54</f>
        <v>2.2768124895277095</v>
      </c>
      <c r="G29" s="452">
        <f>$C29*Original!F54</f>
        <v>3.6030214086338517</v>
      </c>
      <c r="H29" s="452">
        <f>$C29*Original!G54</f>
        <v>7.262729571655024</v>
      </c>
      <c r="I29" s="452">
        <f>$C29*Original!H54</f>
        <v>0</v>
      </c>
      <c r="J29" s="452">
        <f>$C29*Original!I54</f>
        <v>0</v>
      </c>
      <c r="L29" s="451" t="s">
        <v>51</v>
      </c>
      <c r="M29" s="452">
        <f>N4*BldgArea!$K$48</f>
        <v>13.818838180276702</v>
      </c>
      <c r="N29" s="452">
        <f>$M29*Original!C54</f>
        <v>0.742190314180591</v>
      </c>
      <c r="O29" s="452">
        <f>$M29*Original!D54</f>
        <v>0.333540419470095</v>
      </c>
      <c r="P29" s="452">
        <f>$M29*Original!E54</f>
        <v>2.2076108863012083</v>
      </c>
      <c r="Q29" s="452">
        <f>$M29*Original!F54</f>
        <v>3.4935109157479882</v>
      </c>
      <c r="R29" s="452">
        <f>$M29*Original!G54</f>
        <v>7.0419856445768199</v>
      </c>
      <c r="S29" s="452">
        <f>$M29*Original!H54</f>
        <v>0</v>
      </c>
      <c r="T29" s="452">
        <f>$M29*Original!I54</f>
        <v>0</v>
      </c>
      <c r="V29" s="451" t="s">
        <v>51</v>
      </c>
      <c r="W29" s="452">
        <f>X4*BldgArea!$S$48</f>
        <v>12.605883589497729</v>
      </c>
      <c r="X29" s="452">
        <f>$W29*Original!C54</f>
        <v>0.67704423336882413</v>
      </c>
      <c r="Y29" s="452">
        <f>$W29*Original!D54</f>
        <v>0.30426376265360311</v>
      </c>
      <c r="Z29" s="452">
        <f>$W29*Original!E54</f>
        <v>2.0138368711300521</v>
      </c>
      <c r="AA29" s="452">
        <f>$W29*Original!F54</f>
        <v>3.1868664606995885</v>
      </c>
      <c r="AB29" s="452">
        <f>$W29*Original!G54</f>
        <v>6.4238722616456627</v>
      </c>
      <c r="AC29" s="452">
        <f>$W29*Original!H54</f>
        <v>0</v>
      </c>
      <c r="AD29" s="452">
        <f>$W29*Original!I54</f>
        <v>0</v>
      </c>
    </row>
    <row r="30" spans="2:30" x14ac:dyDescent="0.2">
      <c r="B30" s="451" t="s">
        <v>1638</v>
      </c>
      <c r="C30" s="452">
        <f>D5*BldgArea!$C$48</f>
        <v>41.377413187355785</v>
      </c>
      <c r="D30" s="452">
        <f>$C30*Original!C55</f>
        <v>28.187445990004537</v>
      </c>
      <c r="E30" s="452">
        <f>$C30*Original!D55</f>
        <v>12.534018399495508</v>
      </c>
      <c r="F30" s="452">
        <f>$C30*Original!E55</f>
        <v>0</v>
      </c>
      <c r="G30" s="452">
        <f>$C30*Original!F55</f>
        <v>0</v>
      </c>
      <c r="H30" s="452">
        <f>$C30*Original!G55</f>
        <v>0</v>
      </c>
      <c r="I30" s="452">
        <f>$C30*Original!H55</f>
        <v>0</v>
      </c>
      <c r="J30" s="452">
        <f>$C30*Original!I55</f>
        <v>0.65594879785573801</v>
      </c>
      <c r="L30" s="451" t="s">
        <v>1638</v>
      </c>
      <c r="M30" s="452">
        <f>N5*BldgArea!$K$48</f>
        <v>46.924636154611079</v>
      </c>
      <c r="N30" s="452">
        <f>$M30*Original!C55</f>
        <v>31.966368734063437</v>
      </c>
      <c r="O30" s="452">
        <f>$M30*Original!D55</f>
        <v>14.214379480137659</v>
      </c>
      <c r="P30" s="452">
        <f>$M30*Original!E55</f>
        <v>0</v>
      </c>
      <c r="Q30" s="452">
        <f>$M30*Original!F55</f>
        <v>0</v>
      </c>
      <c r="R30" s="452">
        <f>$M30*Original!G55</f>
        <v>0</v>
      </c>
      <c r="S30" s="452">
        <f>$M30*Original!H55</f>
        <v>0</v>
      </c>
      <c r="T30" s="452">
        <f>$M30*Original!I55</f>
        <v>0.74388794040998474</v>
      </c>
      <c r="V30" s="451" t="s">
        <v>1638</v>
      </c>
      <c r="W30" s="452">
        <f>X5*BldgArea!$S$48</f>
        <v>46.621918020241196</v>
      </c>
      <c r="X30" s="452">
        <f>$W30*Original!C55</f>
        <v>31.760148711943891</v>
      </c>
      <c r="Y30" s="452">
        <f>$W30*Original!D55</f>
        <v>14.122680304820131</v>
      </c>
      <c r="Z30" s="452">
        <f>$W30*Original!E55</f>
        <v>0</v>
      </c>
      <c r="AA30" s="452">
        <f>$W30*Original!F55</f>
        <v>0</v>
      </c>
      <c r="AB30" s="452">
        <f>$W30*Original!G55</f>
        <v>0</v>
      </c>
      <c r="AC30" s="452">
        <f>$W30*Original!H55</f>
        <v>0</v>
      </c>
      <c r="AD30" s="452">
        <f>$W30*Original!I55</f>
        <v>0.73908900347717199</v>
      </c>
    </row>
    <row r="31" spans="2:30" x14ac:dyDescent="0.2">
      <c r="B31" s="451" t="s">
        <v>1639</v>
      </c>
      <c r="C31" s="452">
        <f>D6*BldgArea!$C$48</f>
        <v>15.330174860590567</v>
      </c>
      <c r="D31" s="452">
        <f>$C31*Original!C56</f>
        <v>11.581470821402746</v>
      </c>
      <c r="E31" s="452">
        <f>$C31*Original!D56</f>
        <v>3.7486980914182002</v>
      </c>
      <c r="F31" s="452">
        <f>$C31*Original!E56</f>
        <v>0</v>
      </c>
      <c r="G31" s="452">
        <f>$C31*Original!F56</f>
        <v>0</v>
      </c>
      <c r="H31" s="452">
        <f>$C31*Original!G56</f>
        <v>0</v>
      </c>
      <c r="I31" s="452">
        <f>$C31*Original!H56</f>
        <v>5.9477696217246035E-6</v>
      </c>
      <c r="J31" s="452">
        <f>$C31*Original!I56</f>
        <v>0</v>
      </c>
      <c r="L31" s="451" t="s">
        <v>1639</v>
      </c>
      <c r="M31" s="452">
        <f>N6*BldgArea!$K$48</f>
        <v>10.07277835946126</v>
      </c>
      <c r="N31" s="452">
        <f>$M31*Original!C56</f>
        <v>7.6096711043036063</v>
      </c>
      <c r="O31" s="452">
        <f>$M31*Original!D56</f>
        <v>2.4631033471418831</v>
      </c>
      <c r="P31" s="452">
        <f>$M31*Original!E56</f>
        <v>0</v>
      </c>
      <c r="Q31" s="452">
        <f>$M31*Original!F56</f>
        <v>0</v>
      </c>
      <c r="R31" s="452">
        <f>$M31*Original!G56</f>
        <v>0</v>
      </c>
      <c r="S31" s="452">
        <f>$M31*Original!H56</f>
        <v>3.90801577135179E-6</v>
      </c>
      <c r="T31" s="452">
        <f>$M31*Original!I56</f>
        <v>0</v>
      </c>
      <c r="V31" s="451" t="s">
        <v>1639</v>
      </c>
      <c r="W31" s="452">
        <f>X6*BldgArea!$S$48</f>
        <v>5.3011977533889585</v>
      </c>
      <c r="X31" s="452">
        <f>$W31*Original!C56</f>
        <v>4.0048902023414268</v>
      </c>
      <c r="Y31" s="452">
        <f>$W31*Original!D56</f>
        <v>1.2963054942997621</v>
      </c>
      <c r="Z31" s="452">
        <f>$W31*Original!E56</f>
        <v>0</v>
      </c>
      <c r="AA31" s="452">
        <f>$W31*Original!F56</f>
        <v>0</v>
      </c>
      <c r="AB31" s="452">
        <f>$W31*Original!G56</f>
        <v>0</v>
      </c>
      <c r="AC31" s="452">
        <f>$W31*Original!H56</f>
        <v>2.0567477698781391E-6</v>
      </c>
      <c r="AD31" s="452">
        <f>$W31*Original!I56</f>
        <v>0</v>
      </c>
    </row>
    <row r="32" spans="2:30" x14ac:dyDescent="0.2">
      <c r="B32" s="451" t="s">
        <v>1640</v>
      </c>
      <c r="C32" s="452">
        <f>D7*BldgArea!$C$48</f>
        <v>1.8165906676470127</v>
      </c>
      <c r="D32" s="452">
        <f>$C32*Original!C57</f>
        <v>1.2757504885714157</v>
      </c>
      <c r="E32" s="452">
        <f>$C32*Original!D57</f>
        <v>0.54084017907559689</v>
      </c>
      <c r="F32" s="452">
        <f>$C32*Original!E57</f>
        <v>0</v>
      </c>
      <c r="G32" s="452">
        <f>$C32*Original!F57</f>
        <v>0</v>
      </c>
      <c r="H32" s="452">
        <f>$C32*Original!G57</f>
        <v>0</v>
      </c>
      <c r="I32" s="452">
        <f>$C32*Original!H57</f>
        <v>0</v>
      </c>
      <c r="J32" s="452">
        <f>$C32*Original!I57</f>
        <v>0</v>
      </c>
      <c r="L32" s="451" t="s">
        <v>1640</v>
      </c>
      <c r="M32" s="452">
        <f>N7*BldgArea!$K$48</f>
        <v>1.8133070912124987</v>
      </c>
      <c r="N32" s="452">
        <f>$M32*Original!C57</f>
        <v>1.2734445071991682</v>
      </c>
      <c r="O32" s="452">
        <f>$M32*Original!D57</f>
        <v>0.53986258401333043</v>
      </c>
      <c r="P32" s="452">
        <f>$M32*Original!E57</f>
        <v>0</v>
      </c>
      <c r="Q32" s="452">
        <f>$M32*Original!F57</f>
        <v>0</v>
      </c>
      <c r="R32" s="452">
        <f>$M32*Original!G57</f>
        <v>0</v>
      </c>
      <c r="S32" s="452">
        <f>$M32*Original!H57</f>
        <v>0</v>
      </c>
      <c r="T32" s="452">
        <f>$M32*Original!I57</f>
        <v>0</v>
      </c>
      <c r="V32" s="451" t="s">
        <v>1640</v>
      </c>
      <c r="W32" s="452">
        <f>X7*BldgArea!$S$48</f>
        <v>1.6044295412066281</v>
      </c>
      <c r="X32" s="452">
        <f>$W32*Original!C57</f>
        <v>1.1267545339336171</v>
      </c>
      <c r="Y32" s="452">
        <f>$W32*Original!D57</f>
        <v>0.47767500727301088</v>
      </c>
      <c r="Z32" s="452">
        <f>$W32*Original!E57</f>
        <v>0</v>
      </c>
      <c r="AA32" s="452">
        <f>$W32*Original!F57</f>
        <v>0</v>
      </c>
      <c r="AB32" s="452">
        <f>$W32*Original!G57</f>
        <v>0</v>
      </c>
      <c r="AC32" s="452">
        <f>$W32*Original!H57</f>
        <v>0</v>
      </c>
      <c r="AD32" s="452">
        <f>$W32*Original!I57</f>
        <v>0</v>
      </c>
    </row>
    <row r="33" spans="2:30" x14ac:dyDescent="0.2">
      <c r="B33" s="451"/>
      <c r="C33" s="452"/>
      <c r="D33" s="452">
        <f>SUM(D29:D32)</f>
        <v>41.810122927788242</v>
      </c>
      <c r="E33" s="452">
        <f t="shared" ref="E33:J33" si="9">SUM(E29:E32)</f>
        <v>17.167552524296855</v>
      </c>
      <c r="F33" s="452">
        <f t="shared" si="9"/>
        <v>2.2768124895277095</v>
      </c>
      <c r="G33" s="452">
        <f t="shared" si="9"/>
        <v>3.6030214086338517</v>
      </c>
      <c r="H33" s="452">
        <f t="shared" si="9"/>
        <v>7.262729571655024</v>
      </c>
      <c r="I33" s="452">
        <f t="shared" si="9"/>
        <v>5.9477696217246035E-6</v>
      </c>
      <c r="J33" s="452">
        <f t="shared" si="9"/>
        <v>0.65594879785573801</v>
      </c>
      <c r="L33" s="451"/>
      <c r="M33" s="452"/>
      <c r="N33" s="452">
        <f>SUM(N29:N32)</f>
        <v>41.591674659746801</v>
      </c>
      <c r="O33" s="452">
        <f t="shared" ref="O33:T33" si="10">SUM(O29:O32)</f>
        <v>17.550885830762969</v>
      </c>
      <c r="P33" s="452">
        <f t="shared" si="10"/>
        <v>2.2076108863012083</v>
      </c>
      <c r="Q33" s="452">
        <f t="shared" si="10"/>
        <v>3.4935109157479882</v>
      </c>
      <c r="R33" s="452">
        <f t="shared" si="10"/>
        <v>7.0419856445768199</v>
      </c>
      <c r="S33" s="452">
        <f t="shared" si="10"/>
        <v>3.90801577135179E-6</v>
      </c>
      <c r="T33" s="452">
        <f t="shared" si="10"/>
        <v>0.74388794040998474</v>
      </c>
      <c r="V33" s="451"/>
      <c r="W33" s="452"/>
      <c r="X33" s="452">
        <f>SUM(X29:X32)</f>
        <v>37.568837681587759</v>
      </c>
      <c r="Y33" s="452">
        <f t="shared" ref="Y33:AD33" si="11">SUM(Y29:Y32)</f>
        <v>16.200924569046506</v>
      </c>
      <c r="Z33" s="452">
        <f t="shared" si="11"/>
        <v>2.0138368711300521</v>
      </c>
      <c r="AA33" s="452">
        <f t="shared" si="11"/>
        <v>3.1868664606995885</v>
      </c>
      <c r="AB33" s="452">
        <f t="shared" si="11"/>
        <v>6.4238722616456627</v>
      </c>
      <c r="AC33" s="452">
        <f t="shared" si="11"/>
        <v>2.0567477698781391E-6</v>
      </c>
      <c r="AD33" s="452">
        <f t="shared" si="11"/>
        <v>0.73908900347717199</v>
      </c>
    </row>
    <row r="34" spans="2:30" s="442" customFormat="1" x14ac:dyDescent="0.2">
      <c r="B34" s="450"/>
      <c r="C34" s="450" t="s">
        <v>1652</v>
      </c>
      <c r="D34" s="450" t="s">
        <v>1467</v>
      </c>
      <c r="E34" s="450" t="s">
        <v>1645</v>
      </c>
      <c r="F34" s="450" t="s">
        <v>1468</v>
      </c>
      <c r="G34" s="450" t="s">
        <v>1474</v>
      </c>
      <c r="H34" s="450" t="s">
        <v>1646</v>
      </c>
      <c r="I34" s="450" t="s">
        <v>1647</v>
      </c>
      <c r="J34" s="450" t="s">
        <v>1648</v>
      </c>
      <c r="L34" s="450"/>
      <c r="M34" s="450" t="s">
        <v>1652</v>
      </c>
      <c r="N34" s="450" t="s">
        <v>1467</v>
      </c>
      <c r="O34" s="450" t="s">
        <v>1645</v>
      </c>
      <c r="P34" s="450" t="s">
        <v>1468</v>
      </c>
      <c r="Q34" s="450" t="s">
        <v>1474</v>
      </c>
      <c r="R34" s="450" t="s">
        <v>1646</v>
      </c>
      <c r="S34" s="450" t="s">
        <v>1647</v>
      </c>
      <c r="T34" s="450" t="s">
        <v>1648</v>
      </c>
      <c r="V34" s="450"/>
      <c r="W34" s="450" t="s">
        <v>1652</v>
      </c>
      <c r="X34" s="450" t="s">
        <v>1467</v>
      </c>
      <c r="Y34" s="450" t="s">
        <v>1645</v>
      </c>
      <c r="Z34" s="450" t="s">
        <v>1468</v>
      </c>
      <c r="AA34" s="450" t="s">
        <v>1474</v>
      </c>
      <c r="AB34" s="450" t="s">
        <v>1646</v>
      </c>
      <c r="AC34" s="450" t="s">
        <v>1647</v>
      </c>
      <c r="AD34" s="450" t="s">
        <v>1648</v>
      </c>
    </row>
    <row r="35" spans="2:30" x14ac:dyDescent="0.2">
      <c r="B35" s="451" t="s">
        <v>51</v>
      </c>
      <c r="C35" s="452">
        <f>D4*BldgArea!$C$49</f>
        <v>3.7829334454854338</v>
      </c>
      <c r="D35" s="452">
        <f>$C35*Original!C54</f>
        <v>0.20317602144269994</v>
      </c>
      <c r="E35" s="452">
        <f>$C35*Original!D54</f>
        <v>9.1307329297447379E-2</v>
      </c>
      <c r="F35" s="452">
        <f>$C35*Original!E54</f>
        <v>0.60433771258180846</v>
      </c>
      <c r="G35" s="452">
        <f>$C35*Original!F54</f>
        <v>0.95635531098511539</v>
      </c>
      <c r="H35" s="452">
        <f>$C35*Original!G54</f>
        <v>1.9277570711783629</v>
      </c>
      <c r="I35" s="452">
        <f>$C35*Original!H54</f>
        <v>0</v>
      </c>
      <c r="J35" s="452">
        <f>$C35*Original!I54</f>
        <v>0</v>
      </c>
      <c r="L35" s="451" t="s">
        <v>51</v>
      </c>
      <c r="M35" s="452">
        <f>N4*BldgArea!$K$49</f>
        <v>3.6598074549064754</v>
      </c>
      <c r="N35" s="452">
        <f>$M35*Original!C54</f>
        <v>0.19656309809564013</v>
      </c>
      <c r="O35" s="452">
        <f>$M35*Original!D54</f>
        <v>8.8335480723086668E-2</v>
      </c>
      <c r="P35" s="452">
        <f>$M35*Original!E54</f>
        <v>0.58466787683710142</v>
      </c>
      <c r="Q35" s="452">
        <f>$M35*Original!F54</f>
        <v>0.9252280927278087</v>
      </c>
      <c r="R35" s="452">
        <f>$M35*Original!G54</f>
        <v>1.8650129065228389</v>
      </c>
      <c r="S35" s="452">
        <f>$M35*Original!H54</f>
        <v>0</v>
      </c>
      <c r="T35" s="452">
        <f>$M35*Original!I54</f>
        <v>0</v>
      </c>
      <c r="V35" s="451" t="s">
        <v>51</v>
      </c>
      <c r="W35" s="452">
        <f>X4*BldgArea!$S$49</f>
        <v>3.176564933190265</v>
      </c>
      <c r="X35" s="452">
        <f>$W35*Original!C54</f>
        <v>0.17060882362342875</v>
      </c>
      <c r="Y35" s="452">
        <f>$W35*Original!D54</f>
        <v>7.6671626548351413E-2</v>
      </c>
      <c r="Z35" s="452">
        <f>$W35*Original!E54</f>
        <v>0.50746808350085781</v>
      </c>
      <c r="AA35" s="452">
        <f>$W35*Original!F54</f>
        <v>0.8030605846822545</v>
      </c>
      <c r="AB35" s="452">
        <f>$W35*Original!G54</f>
        <v>1.6187558148353729</v>
      </c>
      <c r="AC35" s="452">
        <f>$W35*Original!H54</f>
        <v>0</v>
      </c>
      <c r="AD35" s="452">
        <f>$W35*Original!I54</f>
        <v>0</v>
      </c>
    </row>
    <row r="36" spans="2:30" x14ac:dyDescent="0.2">
      <c r="B36" s="451" t="s">
        <v>1638</v>
      </c>
      <c r="C36" s="452">
        <f>D5*BldgArea!$C$49</f>
        <v>10.98286809002267</v>
      </c>
      <c r="D36" s="452">
        <f>$C36*Original!C55</f>
        <v>7.4818355536411412</v>
      </c>
      <c r="E36" s="452">
        <f>$C36*Original!D55</f>
        <v>3.3269230750665333</v>
      </c>
      <c r="F36" s="452">
        <f>$C36*Original!E55</f>
        <v>0</v>
      </c>
      <c r="G36" s="452">
        <f>$C36*Original!F55</f>
        <v>0</v>
      </c>
      <c r="H36" s="452">
        <f>$C36*Original!G55</f>
        <v>0</v>
      </c>
      <c r="I36" s="452">
        <f>$C36*Original!H55</f>
        <v>0</v>
      </c>
      <c r="J36" s="452">
        <f>$C36*Original!I55</f>
        <v>0.17410946131499572</v>
      </c>
      <c r="L36" s="451" t="s">
        <v>1638</v>
      </c>
      <c r="M36" s="452">
        <f>N5*BldgArea!$K$49</f>
        <v>12.427610120113643</v>
      </c>
      <c r="N36" s="452">
        <f>$M36*Original!C55</f>
        <v>8.4660340524279913</v>
      </c>
      <c r="O36" s="452">
        <f>$M36*Original!D55</f>
        <v>3.7645633670222027</v>
      </c>
      <c r="P36" s="452">
        <f>$M36*Original!E55</f>
        <v>0</v>
      </c>
      <c r="Q36" s="452">
        <f>$M36*Original!F55</f>
        <v>0</v>
      </c>
      <c r="R36" s="452">
        <f>$M36*Original!G55</f>
        <v>0</v>
      </c>
      <c r="S36" s="452">
        <f>$M36*Original!H55</f>
        <v>0</v>
      </c>
      <c r="T36" s="452">
        <f>$M36*Original!I55</f>
        <v>0.19701270066344839</v>
      </c>
      <c r="V36" s="451" t="s">
        <v>1638</v>
      </c>
      <c r="W36" s="452">
        <f>X5*BldgArea!$S$49</f>
        <v>11.748287920455905</v>
      </c>
      <c r="X36" s="452">
        <f>$W36*Original!C55</f>
        <v>8.003260854742571</v>
      </c>
      <c r="Y36" s="452">
        <f>$W36*Original!D55</f>
        <v>3.5587835394833998</v>
      </c>
      <c r="Z36" s="452">
        <f>$W36*Original!E55</f>
        <v>0</v>
      </c>
      <c r="AA36" s="452">
        <f>$W36*Original!F55</f>
        <v>0</v>
      </c>
      <c r="AB36" s="452">
        <f>$W36*Original!G55</f>
        <v>0</v>
      </c>
      <c r="AC36" s="452">
        <f>$W36*Original!H55</f>
        <v>0</v>
      </c>
      <c r="AD36" s="452">
        <f>$W36*Original!I55</f>
        <v>0.18624352622993459</v>
      </c>
    </row>
    <row r="37" spans="2:30" x14ac:dyDescent="0.2">
      <c r="B37" s="451" t="s">
        <v>1639</v>
      </c>
      <c r="C37" s="452">
        <f>D6*BldgArea!$C$49</f>
        <v>4.0691110275182352</v>
      </c>
      <c r="D37" s="452">
        <f>$C37*Original!C56</f>
        <v>3.0740869600514871</v>
      </c>
      <c r="E37" s="452">
        <f>$C37*Original!D56</f>
        <v>0.99502248874144494</v>
      </c>
      <c r="F37" s="452">
        <f>$C37*Original!E56</f>
        <v>0</v>
      </c>
      <c r="G37" s="452">
        <f>$C37*Original!F56</f>
        <v>0</v>
      </c>
      <c r="H37" s="452">
        <f>$C37*Original!G56</f>
        <v>0</v>
      </c>
      <c r="I37" s="452">
        <f>$C37*Original!H56</f>
        <v>1.5787253033306368E-6</v>
      </c>
      <c r="J37" s="452">
        <f>$C37*Original!I56</f>
        <v>0</v>
      </c>
      <c r="L37" s="451" t="s">
        <v>1639</v>
      </c>
      <c r="M37" s="452">
        <f>N6*BldgArea!$K$49</f>
        <v>2.6676938285732774</v>
      </c>
      <c r="N37" s="452">
        <f>$M37*Original!C56</f>
        <v>2.0153598062003701</v>
      </c>
      <c r="O37" s="452">
        <f>$M37*Original!D56</f>
        <v>0.65233298736655831</v>
      </c>
      <c r="P37" s="452">
        <f>$M37*Original!E56</f>
        <v>0</v>
      </c>
      <c r="Q37" s="452">
        <f>$M37*Original!F56</f>
        <v>0</v>
      </c>
      <c r="R37" s="452">
        <f>$M37*Original!G56</f>
        <v>0</v>
      </c>
      <c r="S37" s="452">
        <f>$M37*Original!H56</f>
        <v>1.0350063491082124E-6</v>
      </c>
      <c r="T37" s="452">
        <f>$M37*Original!I56</f>
        <v>0</v>
      </c>
      <c r="V37" s="451" t="s">
        <v>1639</v>
      </c>
      <c r="W37" s="452">
        <f>X6*BldgArea!$S$49</f>
        <v>1.3358523238586673</v>
      </c>
      <c r="X37" s="452">
        <f>$W37*Original!C56</f>
        <v>1.0091949277267545</v>
      </c>
      <c r="Y37" s="452">
        <f>$W37*Original!D56</f>
        <v>0.32665687785068359</v>
      </c>
      <c r="Z37" s="452">
        <f>$W37*Original!E56</f>
        <v>0</v>
      </c>
      <c r="AA37" s="452">
        <f>$W37*Original!F56</f>
        <v>0</v>
      </c>
      <c r="AB37" s="452">
        <f>$W37*Original!G56</f>
        <v>0</v>
      </c>
      <c r="AC37" s="452">
        <f>$W37*Original!H56</f>
        <v>5.1828122922341655E-7</v>
      </c>
      <c r="AD37" s="452">
        <f>$W37*Original!I56</f>
        <v>0</v>
      </c>
    </row>
    <row r="38" spans="2:30" x14ac:dyDescent="0.2">
      <c r="B38" s="451" t="s">
        <v>1640</v>
      </c>
      <c r="C38" s="452">
        <f>D7*BldgArea!$C$49</f>
        <v>0.48218035250280322</v>
      </c>
      <c r="D38" s="452">
        <f>$C38*Original!C57</f>
        <v>0.33862434242369388</v>
      </c>
      <c r="E38" s="452">
        <f>$C38*Original!D57</f>
        <v>0.14355601007910934</v>
      </c>
      <c r="F38" s="452">
        <f>$C38*Original!E57</f>
        <v>0</v>
      </c>
      <c r="G38" s="452">
        <f>$C38*Original!F57</f>
        <v>0</v>
      </c>
      <c r="H38" s="452">
        <f>$C38*Original!G57</f>
        <v>0</v>
      </c>
      <c r="I38" s="452">
        <f>$C38*Original!H57</f>
        <v>0</v>
      </c>
      <c r="J38" s="452">
        <f>$C38*Original!I57</f>
        <v>0</v>
      </c>
      <c r="L38" s="451" t="s">
        <v>1640</v>
      </c>
      <c r="M38" s="452">
        <f>N7*BldgArea!$K$49</f>
        <v>0.48023970784506254</v>
      </c>
      <c r="N38" s="452">
        <f>$M38*Original!C57</f>
        <v>0.33726147162712472</v>
      </c>
      <c r="O38" s="452">
        <f>$M38*Original!D57</f>
        <v>0.14297823621793782</v>
      </c>
      <c r="P38" s="452">
        <f>$M38*Original!E57</f>
        <v>0</v>
      </c>
      <c r="Q38" s="452">
        <f>$M38*Original!F57</f>
        <v>0</v>
      </c>
      <c r="R38" s="452">
        <f>$M38*Original!G57</f>
        <v>0</v>
      </c>
      <c r="S38" s="452">
        <f>$M38*Original!H57</f>
        <v>0</v>
      </c>
      <c r="T38" s="452">
        <f>$M38*Original!I57</f>
        <v>0</v>
      </c>
      <c r="V38" s="451" t="s">
        <v>1640</v>
      </c>
      <c r="W38" s="452">
        <f>X7*BldgArea!$S$49</f>
        <v>0.40430125997812655</v>
      </c>
      <c r="X38" s="452">
        <f>$W38*Original!C57</f>
        <v>0.28393161934230426</v>
      </c>
      <c r="Y38" s="452">
        <f>$W38*Original!D57</f>
        <v>0.1203696406358223</v>
      </c>
      <c r="Z38" s="452">
        <f>$W38*Original!E57</f>
        <v>0</v>
      </c>
      <c r="AA38" s="452">
        <f>$W38*Original!F57</f>
        <v>0</v>
      </c>
      <c r="AB38" s="452">
        <f>$W38*Original!G57</f>
        <v>0</v>
      </c>
      <c r="AC38" s="452">
        <f>$W38*Original!H57</f>
        <v>0</v>
      </c>
      <c r="AD38" s="452">
        <f>$W38*Original!I57</f>
        <v>0</v>
      </c>
    </row>
    <row r="39" spans="2:30" x14ac:dyDescent="0.2">
      <c r="B39" s="451"/>
      <c r="C39" s="452"/>
      <c r="D39" s="452">
        <f>SUM(D35:D38)</f>
        <v>11.097722877559022</v>
      </c>
      <c r="E39" s="452">
        <f t="shared" ref="E39:J39" si="12">SUM(E35:E38)</f>
        <v>4.5568089031845354</v>
      </c>
      <c r="F39" s="452">
        <f t="shared" si="12"/>
        <v>0.60433771258180846</v>
      </c>
      <c r="G39" s="452">
        <f>SUM(G35:G38)</f>
        <v>0.95635531098511539</v>
      </c>
      <c r="H39" s="452">
        <f t="shared" si="12"/>
        <v>1.9277570711783629</v>
      </c>
      <c r="I39" s="452">
        <f t="shared" si="12"/>
        <v>1.5787253033306368E-6</v>
      </c>
      <c r="J39" s="452">
        <f t="shared" si="12"/>
        <v>0.17410946131499572</v>
      </c>
      <c r="L39" s="451"/>
      <c r="M39" s="452"/>
      <c r="N39" s="452">
        <f>SUM(N35:N38)</f>
        <v>11.015218428351126</v>
      </c>
      <c r="O39" s="452">
        <f t="shared" ref="O39:T39" si="13">SUM(O35:O38)</f>
        <v>4.6482100713297854</v>
      </c>
      <c r="P39" s="452">
        <f t="shared" si="13"/>
        <v>0.58466787683710142</v>
      </c>
      <c r="Q39" s="452">
        <f t="shared" si="13"/>
        <v>0.9252280927278087</v>
      </c>
      <c r="R39" s="452">
        <f t="shared" si="13"/>
        <v>1.8650129065228389</v>
      </c>
      <c r="S39" s="452">
        <f t="shared" si="13"/>
        <v>1.0350063491082124E-6</v>
      </c>
      <c r="T39" s="452">
        <f t="shared" si="13"/>
        <v>0.19701270066344839</v>
      </c>
      <c r="V39" s="451"/>
      <c r="W39" s="452"/>
      <c r="X39" s="452">
        <f>SUM(X35:X38)</f>
        <v>9.466996225435059</v>
      </c>
      <c r="Y39" s="452">
        <f>SUM(Y35:Y38)</f>
        <v>4.0824816845182568</v>
      </c>
      <c r="Z39" s="452">
        <f t="shared" ref="Z39:AD39" si="14">SUM(Z35:Z38)</f>
        <v>0.50746808350085781</v>
      </c>
      <c r="AA39" s="452">
        <f t="shared" si="14"/>
        <v>0.8030605846822545</v>
      </c>
      <c r="AB39" s="452">
        <f t="shared" si="14"/>
        <v>1.6187558148353729</v>
      </c>
      <c r="AC39" s="452">
        <f t="shared" si="14"/>
        <v>5.1828122922341655E-7</v>
      </c>
      <c r="AD39" s="452">
        <f t="shared" si="14"/>
        <v>0.18624352622993459</v>
      </c>
    </row>
    <row r="40" spans="2:30" s="442" customFormat="1" x14ac:dyDescent="0.2">
      <c r="B40" s="450"/>
      <c r="C40" s="450" t="s">
        <v>1653</v>
      </c>
      <c r="D40" s="450" t="s">
        <v>1467</v>
      </c>
      <c r="E40" s="450" t="s">
        <v>1645</v>
      </c>
      <c r="F40" s="450" t="s">
        <v>1468</v>
      </c>
      <c r="G40" s="450" t="s">
        <v>1474</v>
      </c>
      <c r="H40" s="450" t="s">
        <v>1646</v>
      </c>
      <c r="I40" s="450" t="s">
        <v>1647</v>
      </c>
      <c r="J40" s="450" t="s">
        <v>1648</v>
      </c>
      <c r="L40" s="450"/>
      <c r="M40" s="450" t="s">
        <v>1653</v>
      </c>
      <c r="N40" s="450" t="s">
        <v>1467</v>
      </c>
      <c r="O40" s="450" t="s">
        <v>1645</v>
      </c>
      <c r="P40" s="450" t="s">
        <v>1468</v>
      </c>
      <c r="Q40" s="450" t="s">
        <v>1474</v>
      </c>
      <c r="R40" s="450" t="s">
        <v>1646</v>
      </c>
      <c r="S40" s="450" t="s">
        <v>1647</v>
      </c>
      <c r="T40" s="450" t="s">
        <v>1648</v>
      </c>
      <c r="V40" s="450"/>
      <c r="W40" s="450" t="s">
        <v>1653</v>
      </c>
      <c r="X40" s="450" t="s">
        <v>1467</v>
      </c>
      <c r="Y40" s="450" t="s">
        <v>1645</v>
      </c>
      <c r="Z40" s="450" t="s">
        <v>1468</v>
      </c>
      <c r="AA40" s="450" t="s">
        <v>1474</v>
      </c>
      <c r="AB40" s="450" t="s">
        <v>1646</v>
      </c>
      <c r="AC40" s="450" t="s">
        <v>1647</v>
      </c>
      <c r="AD40" s="450" t="s">
        <v>1648</v>
      </c>
    </row>
    <row r="41" spans="2:30" x14ac:dyDescent="0.2">
      <c r="B41" s="451" t="s">
        <v>51</v>
      </c>
      <c r="C41" s="452">
        <f>C17+C11+C23+C29+C35</f>
        <v>58.483486279862078</v>
      </c>
      <c r="D41" s="452">
        <f>D17+D11+D23+D29+D35</f>
        <v>3.1410655867133093</v>
      </c>
      <c r="E41" s="452">
        <f t="shared" ref="C41:J44" si="15">E17+E11+E23+E29+E35</f>
        <v>1.4115952652010977</v>
      </c>
      <c r="F41" s="452">
        <f t="shared" si="15"/>
        <v>9.3429548342598547</v>
      </c>
      <c r="G41" s="452">
        <f>G17+G11+G23+G29+G35</f>
        <v>14.785085044364042</v>
      </c>
      <c r="H41" s="452">
        <f t="shared" si="15"/>
        <v>29.802785549323779</v>
      </c>
      <c r="I41" s="452">
        <f t="shared" si="15"/>
        <v>0</v>
      </c>
      <c r="J41" s="452">
        <f t="shared" si="15"/>
        <v>0</v>
      </c>
      <c r="L41" s="451" t="s">
        <v>51</v>
      </c>
      <c r="M41" s="452">
        <f t="shared" ref="M41:T44" si="16">M17+M11+M23+M29+M35</f>
        <v>56.537462642040978</v>
      </c>
      <c r="N41" s="452">
        <f t="shared" si="16"/>
        <v>3.0365474010080353</v>
      </c>
      <c r="O41" s="452">
        <f t="shared" si="16"/>
        <v>1.3646247795502864</v>
      </c>
      <c r="P41" s="452">
        <f t="shared" si="16"/>
        <v>9.0320703075139654</v>
      </c>
      <c r="Q41" s="452">
        <f t="shared" si="16"/>
        <v>14.293114971891894</v>
      </c>
      <c r="R41" s="452">
        <f>R17+R11+R23+R29+R35</f>
        <v>28.811105182076801</v>
      </c>
      <c r="S41" s="452">
        <f t="shared" si="16"/>
        <v>0</v>
      </c>
      <c r="T41" s="452">
        <f t="shared" si="16"/>
        <v>0</v>
      </c>
      <c r="V41" s="451" t="s">
        <v>51</v>
      </c>
      <c r="W41" s="452">
        <f>W17+W11+W23+W29+W35</f>
        <v>52.475919779382473</v>
      </c>
      <c r="X41" s="452">
        <f t="shared" ref="W41:AD44" si="17">X17+X11+X23+X29+X35</f>
        <v>2.8184076606066397</v>
      </c>
      <c r="Y41" s="452">
        <f t="shared" si="17"/>
        <v>1.2665927530923453</v>
      </c>
      <c r="Z41" s="452">
        <f t="shared" si="17"/>
        <v>8.3832237024801746</v>
      </c>
      <c r="AA41" s="452">
        <f t="shared" si="17"/>
        <v>13.266325010220045</v>
      </c>
      <c r="AB41" s="452">
        <f t="shared" si="17"/>
        <v>26.741370652983278</v>
      </c>
      <c r="AC41" s="452">
        <f t="shared" si="17"/>
        <v>0</v>
      </c>
      <c r="AD41" s="452">
        <f t="shared" si="17"/>
        <v>0</v>
      </c>
    </row>
    <row r="42" spans="2:30" x14ac:dyDescent="0.2">
      <c r="B42" s="451" t="s">
        <v>1638</v>
      </c>
      <c r="C42" s="452">
        <f t="shared" si="15"/>
        <v>169.7932106162001</v>
      </c>
      <c r="D42" s="452">
        <f>D18+D12+D24+D30+D36</f>
        <v>115.66786285171</v>
      </c>
      <c r="E42" s="452">
        <f t="shared" si="15"/>
        <v>51.433646089388837</v>
      </c>
      <c r="F42" s="452">
        <f t="shared" si="15"/>
        <v>0</v>
      </c>
      <c r="G42" s="452">
        <f t="shared" si="15"/>
        <v>0</v>
      </c>
      <c r="H42" s="452">
        <f t="shared" si="15"/>
        <v>0</v>
      </c>
      <c r="I42" s="452">
        <f t="shared" si="15"/>
        <v>0</v>
      </c>
      <c r="J42" s="452">
        <f t="shared" si="15"/>
        <v>2.6917016751012612</v>
      </c>
      <c r="L42" s="451" t="s">
        <v>1638</v>
      </c>
      <c r="M42" s="452">
        <f>M18+M12+M24+M30+M36</f>
        <v>191.98429194787539</v>
      </c>
      <c r="N42" s="452">
        <f t="shared" si="16"/>
        <v>130.78504535086969</v>
      </c>
      <c r="O42" s="452">
        <f t="shared" si="16"/>
        <v>58.155753642524012</v>
      </c>
      <c r="P42" s="452">
        <f t="shared" si="16"/>
        <v>0</v>
      </c>
      <c r="Q42" s="452">
        <f t="shared" si="16"/>
        <v>0</v>
      </c>
      <c r="R42" s="452">
        <f t="shared" si="16"/>
        <v>0</v>
      </c>
      <c r="S42" s="452">
        <f t="shared" si="16"/>
        <v>0</v>
      </c>
      <c r="T42" s="452">
        <f t="shared" si="16"/>
        <v>3.0434929544816609</v>
      </c>
      <c r="V42" s="451" t="s">
        <v>1638</v>
      </c>
      <c r="W42" s="452">
        <f>W18+W12+W24+W30+W36</f>
        <v>194.07826612244665</v>
      </c>
      <c r="X42" s="452">
        <f t="shared" si="17"/>
        <v>132.21151886391735</v>
      </c>
      <c r="Y42" s="452">
        <f t="shared" si="17"/>
        <v>58.790058902577456</v>
      </c>
      <c r="Z42" s="452">
        <f t="shared" si="17"/>
        <v>0</v>
      </c>
      <c r="AA42" s="452">
        <f t="shared" si="17"/>
        <v>0</v>
      </c>
      <c r="AB42" s="452">
        <f t="shared" si="17"/>
        <v>0</v>
      </c>
      <c r="AC42" s="452">
        <f t="shared" si="17"/>
        <v>0</v>
      </c>
      <c r="AD42" s="452">
        <f t="shared" si="17"/>
        <v>3.0766883559518208</v>
      </c>
    </row>
    <row r="43" spans="2:30" x14ac:dyDescent="0.2">
      <c r="B43" s="451" t="s">
        <v>1639</v>
      </c>
      <c r="C43" s="452">
        <f t="shared" si="15"/>
        <v>62.907741407160977</v>
      </c>
      <c r="D43" s="452">
        <f t="shared" si="15"/>
        <v>47.524844182978718</v>
      </c>
      <c r="E43" s="452">
        <f>E19+E13+E25+E31+E37</f>
        <v>15.382872817366508</v>
      </c>
      <c r="F43" s="452">
        <f t="shared" si="15"/>
        <v>0</v>
      </c>
      <c r="G43" s="452">
        <f t="shared" si="15"/>
        <v>0</v>
      </c>
      <c r="H43" s="452">
        <f t="shared" si="15"/>
        <v>0</v>
      </c>
      <c r="I43" s="452">
        <f t="shared" si="15"/>
        <v>2.4406815754899038E-5</v>
      </c>
      <c r="J43" s="452">
        <f t="shared" si="15"/>
        <v>0</v>
      </c>
      <c r="L43" s="451" t="s">
        <v>1639</v>
      </c>
      <c r="M43" s="452">
        <f t="shared" si="16"/>
        <v>41.211086110872792</v>
      </c>
      <c r="N43" s="452">
        <f>N19+N13+N25+N31+N37</f>
        <v>31.133695189501747</v>
      </c>
      <c r="O43" s="452">
        <f t="shared" si="16"/>
        <v>10.077374932378858</v>
      </c>
      <c r="P43" s="452">
        <f t="shared" si="16"/>
        <v>0</v>
      </c>
      <c r="Q43" s="452">
        <f t="shared" si="16"/>
        <v>0</v>
      </c>
      <c r="R43" s="452">
        <f t="shared" si="16"/>
        <v>0</v>
      </c>
      <c r="S43" s="452">
        <f t="shared" si="16"/>
        <v>1.5988992185512704E-5</v>
      </c>
      <c r="T43" s="452">
        <f t="shared" si="16"/>
        <v>0</v>
      </c>
      <c r="V43" s="451" t="s">
        <v>1639</v>
      </c>
      <c r="W43" s="452">
        <f>W19+W13+W25+W31+W37</f>
        <v>22.067888067223191</v>
      </c>
      <c r="X43" s="452">
        <f t="shared" si="17"/>
        <v>16.671603818267311</v>
      </c>
      <c r="Y43" s="452">
        <f t="shared" si="17"/>
        <v>5.3962756871021886</v>
      </c>
      <c r="Z43" s="452">
        <f t="shared" si="17"/>
        <v>0</v>
      </c>
      <c r="AA43" s="452">
        <f t="shared" si="17"/>
        <v>0</v>
      </c>
      <c r="AB43" s="452">
        <f t="shared" si="17"/>
        <v>0</v>
      </c>
      <c r="AC43" s="452">
        <f t="shared" si="17"/>
        <v>8.5618536941327903E-6</v>
      </c>
      <c r="AD43" s="452">
        <f t="shared" si="17"/>
        <v>0</v>
      </c>
    </row>
    <row r="44" spans="2:30" x14ac:dyDescent="0.2">
      <c r="B44" s="451" t="s">
        <v>1640</v>
      </c>
      <c r="C44" s="452">
        <f t="shared" si="15"/>
        <v>7.4544235145532998</v>
      </c>
      <c r="D44" s="452">
        <f t="shared" si="15"/>
        <v>5.235072826300315</v>
      </c>
      <c r="E44" s="452">
        <f t="shared" si="15"/>
        <v>2.2193506882529848</v>
      </c>
      <c r="F44" s="452">
        <f>F20+F14+F26+F32+F38</f>
        <v>0</v>
      </c>
      <c r="G44" s="452">
        <f t="shared" si="15"/>
        <v>0</v>
      </c>
      <c r="H44" s="452">
        <f t="shared" si="15"/>
        <v>0</v>
      </c>
      <c r="I44" s="452">
        <f t="shared" si="15"/>
        <v>0</v>
      </c>
      <c r="J44" s="452">
        <f t="shared" si="15"/>
        <v>0</v>
      </c>
      <c r="L44" s="451" t="s">
        <v>1640</v>
      </c>
      <c r="M44" s="452">
        <f t="shared" si="16"/>
        <v>7.4188423506035894</v>
      </c>
      <c r="N44" s="452">
        <f t="shared" si="16"/>
        <v>5.2100849806060632</v>
      </c>
      <c r="O44" s="452">
        <f t="shared" si="16"/>
        <v>2.2087573699975271</v>
      </c>
      <c r="P44" s="452">
        <f t="shared" si="16"/>
        <v>0</v>
      </c>
      <c r="Q44" s="452">
        <f t="shared" si="16"/>
        <v>0</v>
      </c>
      <c r="R44" s="452">
        <f t="shared" si="16"/>
        <v>0</v>
      </c>
      <c r="S44" s="452">
        <f t="shared" si="16"/>
        <v>0</v>
      </c>
      <c r="T44" s="452">
        <f t="shared" si="16"/>
        <v>0</v>
      </c>
      <c r="V44" s="451" t="s">
        <v>1640</v>
      </c>
      <c r="W44" s="452">
        <f t="shared" si="17"/>
        <v>6.6789380766751218</v>
      </c>
      <c r="X44" s="452">
        <f t="shared" si="17"/>
        <v>4.6904669644114865</v>
      </c>
      <c r="Y44" s="452">
        <f t="shared" si="17"/>
        <v>1.9884711122636356</v>
      </c>
      <c r="Z44" s="452">
        <f t="shared" si="17"/>
        <v>0</v>
      </c>
      <c r="AA44" s="452">
        <f t="shared" si="17"/>
        <v>0</v>
      </c>
      <c r="AB44" s="452">
        <f t="shared" si="17"/>
        <v>0</v>
      </c>
      <c r="AC44" s="452">
        <f t="shared" si="17"/>
        <v>0</v>
      </c>
      <c r="AD44" s="452">
        <f t="shared" si="17"/>
        <v>0</v>
      </c>
    </row>
    <row r="45" spans="2:30" x14ac:dyDescent="0.2">
      <c r="B45" s="451"/>
      <c r="C45" s="452"/>
      <c r="D45" s="452">
        <f>SUM(D41:D44)</f>
        <v>171.56884544770236</v>
      </c>
      <c r="E45" s="452">
        <f t="shared" ref="E45:J45" si="18">SUM(E41:E44)</f>
        <v>70.447464860209436</v>
      </c>
      <c r="F45" s="452">
        <f t="shared" si="18"/>
        <v>9.3429548342598547</v>
      </c>
      <c r="G45" s="452">
        <f>SUM(G41:G44)</f>
        <v>14.785085044364042</v>
      </c>
      <c r="H45" s="452">
        <f t="shared" si="18"/>
        <v>29.802785549323779</v>
      </c>
      <c r="I45" s="452">
        <f t="shared" si="18"/>
        <v>2.4406815754899038E-5</v>
      </c>
      <c r="J45" s="452">
        <f t="shared" si="18"/>
        <v>2.6917016751012612</v>
      </c>
      <c r="L45" s="451"/>
      <c r="M45" s="452"/>
      <c r="N45" s="452">
        <f>SUM(N41:N44)</f>
        <v>170.16537292198552</v>
      </c>
      <c r="O45" s="452">
        <f t="shared" ref="O45:T45" si="19">SUM(O41:O44)</f>
        <v>71.806510724450675</v>
      </c>
      <c r="P45" s="452">
        <f t="shared" si="19"/>
        <v>9.0320703075139654</v>
      </c>
      <c r="Q45" s="452">
        <f t="shared" si="19"/>
        <v>14.293114971891894</v>
      </c>
      <c r="R45" s="452">
        <f t="shared" si="19"/>
        <v>28.811105182076801</v>
      </c>
      <c r="S45" s="452">
        <f t="shared" si="19"/>
        <v>1.5988992185512704E-5</v>
      </c>
      <c r="T45" s="452">
        <f t="shared" si="19"/>
        <v>3.0434929544816609</v>
      </c>
      <c r="V45" s="451"/>
      <c r="W45" s="452"/>
      <c r="X45" s="452">
        <f>SUM(X41:X44)</f>
        <v>156.39199730720279</v>
      </c>
      <c r="Y45" s="452">
        <f t="shared" ref="Y45:AD45" si="20">SUM(Y41:Y44)</f>
        <v>67.441398455035625</v>
      </c>
      <c r="Z45" s="452">
        <f t="shared" si="20"/>
        <v>8.3832237024801746</v>
      </c>
      <c r="AA45" s="452">
        <f t="shared" si="20"/>
        <v>13.266325010220045</v>
      </c>
      <c r="AB45" s="452">
        <f t="shared" si="20"/>
        <v>26.741370652983278</v>
      </c>
      <c r="AC45" s="452">
        <f t="shared" si="20"/>
        <v>8.5618536941327903E-6</v>
      </c>
      <c r="AD45" s="452">
        <f t="shared" si="20"/>
        <v>3.0766883559518208</v>
      </c>
    </row>
    <row r="47" spans="2:30" x14ac:dyDescent="0.2">
      <c r="F47" s="439">
        <f>F44/kgs_to_pj</f>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094D1-CBD0-4442-B790-41662AF5FB7D}">
  <sheetPr>
    <tabColor theme="9"/>
  </sheetPr>
  <dimension ref="A1:BH142"/>
  <sheetViews>
    <sheetView zoomScale="80" zoomScaleNormal="80" workbookViewId="0">
      <pane xSplit="15" ySplit="4" topLeftCell="AH5" activePane="bottomRight" state="frozen"/>
      <selection pane="topRight" activeCell="P1" sqref="P1"/>
      <selection pane="bottomLeft" activeCell="A5" sqref="A5"/>
      <selection pane="bottomRight" activeCell="AJ126" sqref="AJ126"/>
    </sheetView>
  </sheetViews>
  <sheetFormatPr defaultColWidth="34.85546875" defaultRowHeight="12.75" x14ac:dyDescent="0.2"/>
  <cols>
    <col min="1" max="1" width="24.42578125" style="30" customWidth="1"/>
    <col min="2" max="2" width="17.28515625" style="30" bestFit="1" customWidth="1"/>
    <col min="3" max="3" width="38.7109375" style="30" bestFit="1" customWidth="1"/>
    <col min="4" max="4" width="12" style="30" bestFit="1" customWidth="1"/>
    <col min="5" max="5" width="15.28515625" style="30" hidden="1" customWidth="1"/>
    <col min="6" max="6" width="17.42578125" style="30" hidden="1" customWidth="1"/>
    <col min="7" max="7" width="13.42578125" style="42" hidden="1" customWidth="1"/>
    <col min="8" max="8" width="12.28515625" style="549" hidden="1" customWidth="1"/>
    <col min="9" max="9" width="17" style="548" hidden="1" customWidth="1"/>
    <col min="10" max="10" width="11.5703125" style="773" bestFit="1" customWidth="1"/>
    <col min="11" max="11" width="15.140625" style="42" hidden="1" customWidth="1"/>
    <col min="12" max="12" width="15.28515625" style="42" hidden="1" customWidth="1"/>
    <col min="13" max="13" width="9.42578125" style="42" bestFit="1" customWidth="1"/>
    <col min="14" max="14" width="13" style="42" hidden="1" customWidth="1"/>
    <col min="15" max="15" width="16.42578125" style="42" hidden="1" customWidth="1"/>
    <col min="16" max="16" width="4.7109375" style="42" customWidth="1"/>
    <col min="17" max="17" width="15.7109375" style="30" customWidth="1"/>
    <col min="18" max="18" width="15.7109375" style="115" customWidth="1"/>
    <col min="19" max="19" width="12.140625" style="42" bestFit="1" customWidth="1"/>
    <col min="20" max="20" width="19.28515625" style="42" bestFit="1" customWidth="1"/>
    <col min="21" max="22" width="9.42578125" style="42" bestFit="1" customWidth="1"/>
    <col min="23" max="23" width="10" style="42" bestFit="1" customWidth="1"/>
    <col min="24" max="24" width="8.7109375" style="42" bestFit="1" customWidth="1"/>
    <col min="25" max="25" width="9.5703125" style="42" bestFit="1" customWidth="1"/>
    <col min="26" max="27" width="9.42578125" style="42" bestFit="1" customWidth="1"/>
    <col min="28" max="28" width="10" style="42" bestFit="1" customWidth="1"/>
    <col min="29" max="29" width="8.7109375" style="42" bestFit="1" customWidth="1"/>
    <col min="30" max="30" width="9.5703125" style="42" bestFit="1" customWidth="1"/>
    <col min="31" max="31" width="2.7109375" style="42" customWidth="1"/>
    <col min="32" max="33" width="15.7109375" style="42" customWidth="1"/>
    <col min="34" max="34" width="12.140625" style="42" bestFit="1" customWidth="1"/>
    <col min="35" max="35" width="14.85546875" style="42" bestFit="1" customWidth="1"/>
    <col min="36" max="37" width="9.42578125" style="42" bestFit="1" customWidth="1"/>
    <col min="38" max="38" width="10" style="42" bestFit="1" customWidth="1"/>
    <col min="39" max="39" width="8.7109375" style="42" bestFit="1" customWidth="1"/>
    <col min="40" max="40" width="9.5703125" style="42" bestFit="1" customWidth="1"/>
    <col min="41" max="42" width="9.42578125" style="42" bestFit="1" customWidth="1"/>
    <col min="43" max="43" width="10" style="42" bestFit="1" customWidth="1"/>
    <col min="44" max="44" width="8.7109375" style="42" bestFit="1" customWidth="1"/>
    <col min="45" max="45" width="9.5703125" style="42" bestFit="1" customWidth="1"/>
    <col min="46" max="46" width="2.7109375" style="30" customWidth="1"/>
    <col min="47" max="48" width="15.7109375" style="30" customWidth="1"/>
    <col min="49" max="49" width="12.140625" style="42" bestFit="1" customWidth="1"/>
    <col min="50" max="50" width="14.85546875" style="42" bestFit="1" customWidth="1"/>
    <col min="51" max="52" width="9.42578125" style="42" bestFit="1" customWidth="1"/>
    <col min="53" max="53" width="10" style="42" bestFit="1" customWidth="1"/>
    <col min="54" max="54" width="8.7109375" style="42" bestFit="1" customWidth="1"/>
    <col min="55" max="55" width="9.5703125" style="42" bestFit="1" customWidth="1"/>
    <col min="56" max="57" width="9.42578125" style="42" bestFit="1" customWidth="1"/>
    <col min="58" max="58" width="10" style="42" bestFit="1" customWidth="1"/>
    <col min="59" max="59" width="8.7109375" style="42" bestFit="1" customWidth="1"/>
    <col min="60" max="60" width="9.5703125" style="42" bestFit="1" customWidth="1"/>
    <col min="61" max="16384" width="34.85546875" style="30"/>
  </cols>
  <sheetData>
    <row r="1" spans="1:60" ht="20.25" x14ac:dyDescent="0.3">
      <c r="A1" s="551" t="s">
        <v>1654</v>
      </c>
      <c r="B1" s="552"/>
      <c r="C1" s="552"/>
      <c r="D1" s="552"/>
      <c r="E1" s="552"/>
      <c r="F1" s="552"/>
      <c r="G1" s="553"/>
      <c r="H1" s="554"/>
      <c r="I1" s="555"/>
      <c r="J1" s="766"/>
      <c r="K1" s="553"/>
      <c r="L1" s="553"/>
      <c r="M1" s="553"/>
      <c r="N1" s="553"/>
      <c r="O1" s="553"/>
      <c r="P1" s="690"/>
      <c r="Q1" s="754">
        <v>2010</v>
      </c>
      <c r="AE1" s="688"/>
      <c r="AF1" s="695">
        <v>2015</v>
      </c>
      <c r="AT1" s="693"/>
      <c r="AU1" s="695">
        <v>2020</v>
      </c>
      <c r="AV1" s="42"/>
    </row>
    <row r="2" spans="1:60" s="248" customFormat="1" x14ac:dyDescent="0.2">
      <c r="A2" s="512" t="s">
        <v>1655</v>
      </c>
      <c r="B2" s="556"/>
      <c r="C2" s="556"/>
      <c r="D2" s="556"/>
      <c r="E2" s="556"/>
      <c r="F2" s="556"/>
      <c r="G2" s="556"/>
      <c r="H2" s="556"/>
      <c r="I2" s="556"/>
      <c r="J2" s="767"/>
      <c r="K2" s="556"/>
      <c r="L2" s="556"/>
      <c r="M2" s="556"/>
      <c r="N2" s="556"/>
      <c r="O2" s="556"/>
      <c r="P2" s="690"/>
      <c r="S2" s="143" t="s">
        <v>1656</v>
      </c>
      <c r="T2" s="143" t="s">
        <v>1657</v>
      </c>
      <c r="U2" s="897" t="s">
        <v>1658</v>
      </c>
      <c r="V2" s="897"/>
      <c r="W2" s="897"/>
      <c r="X2" s="897"/>
      <c r="Y2" s="897"/>
      <c r="Z2" s="896" t="s">
        <v>1659</v>
      </c>
      <c r="AA2" s="896"/>
      <c r="AB2" s="896"/>
      <c r="AC2" s="896"/>
      <c r="AD2" s="896"/>
      <c r="AE2" s="689"/>
      <c r="AF2" s="707"/>
      <c r="AG2" s="707"/>
      <c r="AH2" s="143" t="s">
        <v>1656</v>
      </c>
      <c r="AI2" s="143" t="s">
        <v>1657</v>
      </c>
      <c r="AJ2" s="897" t="s">
        <v>1658</v>
      </c>
      <c r="AK2" s="897"/>
      <c r="AL2" s="897"/>
      <c r="AM2" s="897"/>
      <c r="AN2" s="897"/>
      <c r="AO2" s="896" t="s">
        <v>1659</v>
      </c>
      <c r="AP2" s="896"/>
      <c r="AQ2" s="896"/>
      <c r="AR2" s="896"/>
      <c r="AS2" s="896"/>
      <c r="AT2" s="693"/>
      <c r="AU2" s="707"/>
      <c r="AV2" s="707"/>
      <c r="AW2" s="143" t="s">
        <v>1656</v>
      </c>
      <c r="AX2" s="143" t="s">
        <v>1657</v>
      </c>
      <c r="AY2" s="897" t="s">
        <v>1658</v>
      </c>
      <c r="AZ2" s="897"/>
      <c r="BA2" s="897"/>
      <c r="BB2" s="897"/>
      <c r="BC2" s="897"/>
      <c r="BD2" s="896" t="s">
        <v>1659</v>
      </c>
      <c r="BE2" s="896"/>
      <c r="BF2" s="896"/>
      <c r="BG2" s="896"/>
      <c r="BH2" s="896"/>
    </row>
    <row r="3" spans="1:60" x14ac:dyDescent="0.2">
      <c r="A3" s="512" t="s">
        <v>1660</v>
      </c>
      <c r="B3" s="552"/>
      <c r="C3" s="552"/>
      <c r="D3" s="552"/>
      <c r="E3" s="552"/>
      <c r="F3" s="552"/>
      <c r="G3" s="553"/>
      <c r="H3" s="554"/>
      <c r="I3" s="555"/>
      <c r="J3" s="766"/>
      <c r="K3" s="553"/>
      <c r="L3" s="553"/>
      <c r="M3" s="553"/>
      <c r="N3" s="553"/>
      <c r="O3" s="553"/>
      <c r="P3" s="690"/>
      <c r="Q3" s="696"/>
      <c r="R3" s="697"/>
      <c r="S3" s="698"/>
      <c r="T3" s="698"/>
      <c r="U3" s="116"/>
      <c r="V3" s="116"/>
      <c r="W3" s="116"/>
      <c r="X3" s="116"/>
      <c r="Y3" s="116"/>
      <c r="Z3" s="141"/>
      <c r="AA3" s="141"/>
      <c r="AB3" s="141"/>
      <c r="AC3" s="141"/>
      <c r="AD3" s="141"/>
      <c r="AE3" s="688"/>
      <c r="AH3" s="698"/>
      <c r="AI3" s="698"/>
      <c r="AJ3" s="116"/>
      <c r="AK3" s="116"/>
      <c r="AL3" s="116"/>
      <c r="AM3" s="116"/>
      <c r="AN3" s="116"/>
      <c r="AO3" s="141"/>
      <c r="AP3" s="141"/>
      <c r="AQ3" s="141"/>
      <c r="AR3" s="141"/>
      <c r="AS3" s="141"/>
      <c r="AT3" s="691"/>
      <c r="AU3" s="42"/>
      <c r="AV3" s="42"/>
      <c r="AW3" s="698"/>
      <c r="AX3" s="698"/>
      <c r="AY3" s="116"/>
      <c r="AZ3" s="116"/>
      <c r="BA3" s="116"/>
      <c r="BB3" s="116"/>
      <c r="BC3" s="116"/>
      <c r="BD3" s="141"/>
      <c r="BE3" s="141"/>
      <c r="BF3" s="141"/>
      <c r="BG3" s="141"/>
      <c r="BH3" s="141"/>
    </row>
    <row r="4" spans="1:60" s="21" customFormat="1" ht="25.5" x14ac:dyDescent="0.2">
      <c r="A4" s="543"/>
      <c r="B4" s="891" t="s">
        <v>7</v>
      </c>
      <c r="C4" s="891" t="s">
        <v>8</v>
      </c>
      <c r="D4" s="891" t="s">
        <v>1661</v>
      </c>
      <c r="E4" s="891" t="s">
        <v>467</v>
      </c>
      <c r="F4" s="891" t="s">
        <v>468</v>
      </c>
      <c r="G4" s="567" t="s">
        <v>1662</v>
      </c>
      <c r="H4" s="568" t="s">
        <v>1663</v>
      </c>
      <c r="I4" s="569" t="s">
        <v>1664</v>
      </c>
      <c r="J4" s="569" t="s">
        <v>472</v>
      </c>
      <c r="K4" s="567" t="s">
        <v>1665</v>
      </c>
      <c r="L4" s="567" t="s">
        <v>1666</v>
      </c>
      <c r="M4" s="567" t="s">
        <v>1667</v>
      </c>
      <c r="N4" s="567" t="s">
        <v>1668</v>
      </c>
      <c r="O4" s="567" t="s">
        <v>1669</v>
      </c>
      <c r="P4" s="690"/>
      <c r="Q4" s="701" t="s">
        <v>1670</v>
      </c>
      <c r="R4" s="702" t="s">
        <v>1671</v>
      </c>
      <c r="S4" s="703"/>
      <c r="T4" s="703"/>
      <c r="U4" s="703" t="s">
        <v>1672</v>
      </c>
      <c r="V4" s="703" t="s">
        <v>1673</v>
      </c>
      <c r="W4" s="703" t="s">
        <v>1674</v>
      </c>
      <c r="X4" s="703" t="s">
        <v>1675</v>
      </c>
      <c r="Y4" s="703" t="s">
        <v>1676</v>
      </c>
      <c r="Z4" s="703" t="s">
        <v>1672</v>
      </c>
      <c r="AA4" s="703" t="s">
        <v>1673</v>
      </c>
      <c r="AB4" s="703" t="s">
        <v>1674</v>
      </c>
      <c r="AC4" s="703" t="s">
        <v>1675</v>
      </c>
      <c r="AD4" s="703" t="s">
        <v>1676</v>
      </c>
      <c r="AE4" s="704"/>
      <c r="AF4" s="701" t="s">
        <v>1677</v>
      </c>
      <c r="AG4" s="702" t="s">
        <v>1671</v>
      </c>
      <c r="AH4" s="703"/>
      <c r="AI4" s="703"/>
      <c r="AJ4" s="703" t="s">
        <v>1672</v>
      </c>
      <c r="AK4" s="703" t="s">
        <v>1673</v>
      </c>
      <c r="AL4" s="703" t="s">
        <v>1674</v>
      </c>
      <c r="AM4" s="703" t="s">
        <v>1675</v>
      </c>
      <c r="AN4" s="703" t="s">
        <v>1676</v>
      </c>
      <c r="AO4" s="703" t="s">
        <v>1672</v>
      </c>
      <c r="AP4" s="703" t="s">
        <v>1673</v>
      </c>
      <c r="AQ4" s="703" t="s">
        <v>1674</v>
      </c>
      <c r="AR4" s="703" t="s">
        <v>1675</v>
      </c>
      <c r="AS4" s="703" t="s">
        <v>1676</v>
      </c>
      <c r="AT4" s="705"/>
      <c r="AU4" s="701" t="s">
        <v>1678</v>
      </c>
      <c r="AV4" s="702" t="s">
        <v>1671</v>
      </c>
      <c r="AW4" s="703"/>
      <c r="AX4" s="703"/>
      <c r="AY4" s="703" t="s">
        <v>1672</v>
      </c>
      <c r="AZ4" s="703" t="s">
        <v>1673</v>
      </c>
      <c r="BA4" s="703" t="s">
        <v>1674</v>
      </c>
      <c r="BB4" s="703" t="s">
        <v>1675</v>
      </c>
      <c r="BC4" s="703" t="s">
        <v>1676</v>
      </c>
      <c r="BD4" s="703" t="s">
        <v>1672</v>
      </c>
      <c r="BE4" s="703" t="s">
        <v>1673</v>
      </c>
      <c r="BF4" s="703" t="s">
        <v>1674</v>
      </c>
      <c r="BG4" s="703" t="s">
        <v>1675</v>
      </c>
      <c r="BH4" s="703" t="s">
        <v>1676</v>
      </c>
    </row>
    <row r="5" spans="1:60" s="21" customFormat="1" x14ac:dyDescent="0.2">
      <c r="A5" s="570" t="s">
        <v>371</v>
      </c>
      <c r="B5" s="571"/>
      <c r="C5" s="571"/>
      <c r="D5" s="571"/>
      <c r="E5" s="571"/>
      <c r="F5" s="571"/>
      <c r="G5" s="571"/>
      <c r="H5" s="571"/>
      <c r="I5" s="571"/>
      <c r="J5" s="768"/>
      <c r="K5" s="571"/>
      <c r="L5" s="571"/>
      <c r="M5" s="571"/>
      <c r="N5" s="571"/>
      <c r="O5" s="571"/>
      <c r="P5" s="690"/>
      <c r="Q5" s="144"/>
      <c r="R5" s="145"/>
      <c r="S5" s="125"/>
      <c r="T5" s="139">
        <f>SUM(T7:T58)</f>
        <v>151.08046072238966</v>
      </c>
      <c r="U5" s="139"/>
      <c r="V5" s="139"/>
      <c r="W5" s="139"/>
      <c r="X5" s="139"/>
      <c r="Y5" s="139"/>
      <c r="Z5" s="139">
        <f>CommData_DMD!E9</f>
        <v>44.265367328406654</v>
      </c>
      <c r="AA5" s="139">
        <f>CommData_DMD!E19</f>
        <v>21.04343473550983</v>
      </c>
      <c r="AB5" s="139">
        <f>CommData_DMD!E29</f>
        <v>37.294840584637271</v>
      </c>
      <c r="AC5" s="139">
        <f>CommData_DMD!E39</f>
        <v>10.042388124387402</v>
      </c>
      <c r="AD5" s="139">
        <f>CommData_DMD!E49</f>
        <v>38.554159875761009</v>
      </c>
      <c r="AE5" s="690"/>
      <c r="AF5" s="144"/>
      <c r="AG5" s="145"/>
      <c r="AH5" s="125"/>
      <c r="AI5" s="139">
        <f>SUM(AI7:AI58)</f>
        <v>150.59911919729291</v>
      </c>
      <c r="AJ5" s="139"/>
      <c r="AK5" s="139"/>
      <c r="AL5" s="139"/>
      <c r="AM5" s="139"/>
      <c r="AN5" s="139"/>
      <c r="AO5" s="139">
        <f>CommData_DMD!F9</f>
        <v>44.376666082564206</v>
      </c>
      <c r="AP5" s="139">
        <f>CommData_DMD!F19</f>
        <v>21.513374252978178</v>
      </c>
      <c r="AQ5" s="139">
        <f>CommData_DMD!F29</f>
        <v>39.427265286467694</v>
      </c>
      <c r="AR5" s="139">
        <f>CommData_DMD!F39</f>
        <v>9.4413972455373703</v>
      </c>
      <c r="AS5" s="139">
        <f>CommData_DMD!F49</f>
        <v>37.497212063622285</v>
      </c>
      <c r="AT5" s="694"/>
      <c r="AU5" s="144"/>
      <c r="AV5" s="145"/>
      <c r="AW5" s="125"/>
      <c r="AX5" s="139">
        <f>SUM(AX7:AX58)</f>
        <v>138.59305583234328</v>
      </c>
      <c r="AY5" s="139"/>
      <c r="AZ5" s="139"/>
      <c r="BA5" s="139"/>
      <c r="BB5" s="139"/>
      <c r="BC5" s="139"/>
      <c r="BD5" s="139">
        <f>CommData_DMD!G9</f>
        <v>37.39162555928224</v>
      </c>
      <c r="BE5" s="139">
        <f>CommData_DMD!G19</f>
        <v>18.25194384411423</v>
      </c>
      <c r="BF5" s="139">
        <f>CommData_DMD!G29</f>
        <v>31.917949340539788</v>
      </c>
      <c r="BG5" s="139">
        <f>CommData_DMD!G39</f>
        <v>7.53944129706466</v>
      </c>
      <c r="BH5" s="139">
        <f>CommData_DMD!G49</f>
        <v>30.714712605260615</v>
      </c>
    </row>
    <row r="6" spans="1:60" x14ac:dyDescent="0.2">
      <c r="A6" s="557" t="s">
        <v>51</v>
      </c>
      <c r="B6" s="558"/>
      <c r="C6" s="558"/>
      <c r="D6" s="558"/>
      <c r="E6" s="558"/>
      <c r="F6" s="558"/>
      <c r="G6" s="141"/>
      <c r="H6" s="559"/>
      <c r="I6" s="560"/>
      <c r="J6" s="769"/>
      <c r="K6" s="141"/>
      <c r="L6" s="141"/>
      <c r="M6" s="141">
        <f>M8</f>
        <v>0.16</v>
      </c>
      <c r="N6" s="141"/>
      <c r="O6" s="141"/>
      <c r="P6" s="690"/>
      <c r="Q6" s="140">
        <f>SUM(Q7:Q23)</f>
        <v>165.61917538241306</v>
      </c>
      <c r="R6" s="142" t="str">
        <f>A6</f>
        <v>ELC</v>
      </c>
      <c r="S6" s="120">
        <f>'Fuel Share'!D41</f>
        <v>3.1410655867133093</v>
      </c>
      <c r="T6" s="120"/>
      <c r="U6" s="120"/>
      <c r="V6" s="120"/>
      <c r="W6" s="120"/>
      <c r="X6" s="120"/>
      <c r="Y6" s="120"/>
      <c r="Z6" s="120">
        <f>SUM(Z8:Z54)</f>
        <v>39.385664752247742</v>
      </c>
      <c r="AA6" s="120">
        <f>SUM(AA8:AA54)</f>
        <v>18.723659505175252</v>
      </c>
      <c r="AB6" s="120">
        <f>SUM(AB8:AB54)</f>
        <v>33.18355131580288</v>
      </c>
      <c r="AC6" s="120">
        <f>SUM(AC8:AC54)</f>
        <v>8.9353405574306191</v>
      </c>
      <c r="AD6" s="120">
        <f>SUM(AD8:AD54)</f>
        <v>34.304046420887175</v>
      </c>
      <c r="AE6" s="691"/>
      <c r="AF6" s="140">
        <f>SUM(AF7:AF23)</f>
        <v>226.9059815239267</v>
      </c>
      <c r="AG6" s="142" t="s">
        <v>51</v>
      </c>
      <c r="AH6" s="120">
        <f>'Fuel Share'!N41</f>
        <v>3.0365474010080353</v>
      </c>
      <c r="AI6" s="120"/>
      <c r="AJ6" s="120"/>
      <c r="AK6" s="120"/>
      <c r="AL6" s="120"/>
      <c r="AM6" s="120"/>
      <c r="AN6" s="120"/>
      <c r="AO6" s="120">
        <f>SUM(AO8:AO54)</f>
        <v>39.492483402298532</v>
      </c>
      <c r="AP6" s="120">
        <f>SUM(AP8:AP54)</f>
        <v>19.145570197464551</v>
      </c>
      <c r="AQ6" s="120">
        <f>SUM(AQ8:AQ54)</f>
        <v>35.087823340014957</v>
      </c>
      <c r="AR6" s="120">
        <f>SUM(AR8:AR54)</f>
        <v>8.4022585950951321</v>
      </c>
      <c r="AS6" s="120">
        <f>SUM(AS8:AS54)</f>
        <v>33.37019555051495</v>
      </c>
      <c r="AT6" s="691"/>
      <c r="AU6" s="140">
        <f>SUM(AU7:AU23)</f>
        <v>288.19278766544039</v>
      </c>
      <c r="AV6" s="142" t="s">
        <v>51</v>
      </c>
      <c r="AW6" s="120">
        <f>'Fuel Share'!X41</f>
        <v>2.8184076606066397</v>
      </c>
      <c r="AX6" s="120"/>
      <c r="AY6" s="120"/>
      <c r="AZ6" s="120"/>
      <c r="BA6" s="120"/>
      <c r="BB6" s="120"/>
      <c r="BC6" s="120"/>
      <c r="BD6" s="120">
        <f>SUM(BD7:BD58)</f>
        <v>33.365715787011844</v>
      </c>
      <c r="BE6" s="120">
        <f t="shared" ref="BE6:BH6" si="0">SUM(BE7:BE58)</f>
        <v>16.28677977366079</v>
      </c>
      <c r="BF6" s="120">
        <f t="shared" si="0"/>
        <v>43.403525248504728</v>
      </c>
      <c r="BG6" s="120">
        <f t="shared" si="0"/>
        <v>6.7276790390374313</v>
      </c>
      <c r="BH6" s="120">
        <f t="shared" si="0"/>
        <v>27.407697738149579</v>
      </c>
    </row>
    <row r="7" spans="1:60" x14ac:dyDescent="0.2">
      <c r="A7" s="561" t="s">
        <v>372</v>
      </c>
      <c r="B7" s="562"/>
      <c r="C7" s="562"/>
      <c r="D7" s="562"/>
      <c r="E7" s="562"/>
      <c r="F7" s="562"/>
      <c r="G7" s="563"/>
      <c r="H7" s="564"/>
      <c r="I7" s="565"/>
      <c r="J7" s="770"/>
      <c r="K7" s="563"/>
      <c r="L7" s="563"/>
      <c r="M7" s="563"/>
      <c r="N7" s="563"/>
      <c r="O7" s="563"/>
      <c r="P7" s="690"/>
      <c r="Q7" s="42"/>
      <c r="U7" s="116"/>
      <c r="V7" s="116"/>
      <c r="W7" s="116"/>
      <c r="X7" s="116"/>
      <c r="Y7" s="116"/>
      <c r="Z7" s="141"/>
      <c r="AA7" s="141"/>
      <c r="AB7" s="141"/>
      <c r="AC7" s="141"/>
      <c r="AD7" s="141"/>
      <c r="AE7" s="688"/>
      <c r="AJ7" s="116"/>
      <c r="AK7" s="116"/>
      <c r="AL7" s="116"/>
      <c r="AM7" s="116"/>
      <c r="AN7" s="116"/>
      <c r="AO7" s="141"/>
      <c r="AP7" s="141"/>
      <c r="AQ7" s="141"/>
      <c r="AR7" s="141"/>
      <c r="AS7" s="141"/>
      <c r="AT7" s="691"/>
      <c r="AU7" s="42"/>
      <c r="AV7" s="42"/>
      <c r="AY7" s="116"/>
      <c r="AZ7" s="116"/>
      <c r="BA7" s="116"/>
      <c r="BB7" s="116"/>
      <c r="BC7" s="116"/>
      <c r="BD7" s="141"/>
      <c r="BE7" s="141"/>
      <c r="BF7" s="141"/>
      <c r="BG7" s="141"/>
      <c r="BH7" s="141"/>
    </row>
    <row r="8" spans="1:60" x14ac:dyDescent="0.2">
      <c r="A8" s="562" t="s">
        <v>66</v>
      </c>
      <c r="B8" s="562" t="s">
        <v>593</v>
      </c>
      <c r="C8" s="562" t="s">
        <v>594</v>
      </c>
      <c r="D8" s="562" t="s">
        <v>26</v>
      </c>
      <c r="E8" s="562" t="s">
        <v>47</v>
      </c>
      <c r="F8" s="562" t="s">
        <v>30</v>
      </c>
      <c r="G8" s="562">
        <v>2005</v>
      </c>
      <c r="H8" s="564">
        <v>20</v>
      </c>
      <c r="I8" s="565"/>
      <c r="J8" s="770">
        <v>1</v>
      </c>
      <c r="K8" s="563">
        <v>1</v>
      </c>
      <c r="L8" s="563">
        <v>1</v>
      </c>
      <c r="M8" s="563">
        <v>0.16</v>
      </c>
      <c r="N8" s="563"/>
      <c r="O8" s="563">
        <v>0.18</v>
      </c>
      <c r="P8" s="690"/>
      <c r="U8" s="116"/>
      <c r="V8" s="116"/>
      <c r="W8" s="116"/>
      <c r="X8" s="116"/>
      <c r="Y8" s="116"/>
      <c r="Z8" s="141"/>
      <c r="AA8" s="141"/>
      <c r="AB8" s="141"/>
      <c r="AC8" s="141"/>
      <c r="AD8" s="141"/>
      <c r="AE8" s="688"/>
      <c r="AJ8" s="116"/>
      <c r="AK8" s="116"/>
      <c r="AL8" s="116"/>
      <c r="AM8" s="116"/>
      <c r="AN8" s="116"/>
      <c r="AO8" s="141"/>
      <c r="AP8" s="141"/>
      <c r="AQ8" s="141"/>
      <c r="AR8" s="141"/>
      <c r="AS8" s="141"/>
      <c r="AT8" s="691"/>
      <c r="AU8" s="42"/>
      <c r="AV8" s="42"/>
      <c r="AY8" s="116"/>
      <c r="AZ8" s="116"/>
      <c r="BA8" s="116"/>
      <c r="BB8" s="116"/>
      <c r="BC8" s="116"/>
      <c r="BD8" s="141"/>
      <c r="BE8" s="141"/>
      <c r="BF8" s="141"/>
      <c r="BG8" s="141"/>
      <c r="BH8" s="141"/>
    </row>
    <row r="9" spans="1:60" x14ac:dyDescent="0.2">
      <c r="A9" s="562" t="s">
        <v>66</v>
      </c>
      <c r="B9" s="562" t="s">
        <v>508</v>
      </c>
      <c r="C9" s="562" t="s">
        <v>509</v>
      </c>
      <c r="D9" s="562" t="s">
        <v>26</v>
      </c>
      <c r="E9" s="562" t="s">
        <v>47</v>
      </c>
      <c r="F9" s="562" t="s">
        <v>30</v>
      </c>
      <c r="G9" s="562">
        <v>2010</v>
      </c>
      <c r="H9" s="564">
        <v>20</v>
      </c>
      <c r="I9" s="565">
        <v>3.7369871363896401</v>
      </c>
      <c r="J9" s="770">
        <v>1</v>
      </c>
      <c r="K9" s="563">
        <v>1</v>
      </c>
      <c r="L9" s="563">
        <v>1</v>
      </c>
      <c r="M9" s="563">
        <v>0.16</v>
      </c>
      <c r="N9" s="563"/>
      <c r="O9" s="563">
        <v>0.18</v>
      </c>
      <c r="P9" s="690"/>
      <c r="Q9" s="42">
        <f>RECS!T5</f>
        <v>135.05002493406798</v>
      </c>
      <c r="R9" s="115">
        <f>Q9/$Q$6</f>
        <v>0.81542505342294325</v>
      </c>
      <c r="S9" s="42">
        <f>S6*$R$9*$J$9/$M$9</f>
        <v>16.00814733656668</v>
      </c>
      <c r="T9" s="42">
        <f>S9*$M$9</f>
        <v>2.5613035738506689</v>
      </c>
      <c r="U9" s="116">
        <f>$S9*Z$5/$T$5</f>
        <v>4.6902592083197518</v>
      </c>
      <c r="V9" s="116">
        <f>$S9*AA$5/$T$5</f>
        <v>2.2297152265934534</v>
      </c>
      <c r="W9" s="116">
        <f>$S9*AB$5/$T$5</f>
        <v>3.951677802132644</v>
      </c>
      <c r="X9" s="116">
        <f>$S9*AC$5/$T$5</f>
        <v>1.0640689599271054</v>
      </c>
      <c r="Y9" s="116">
        <f>$S9*AD$5/$T$5</f>
        <v>4.0851124545006448</v>
      </c>
      <c r="Z9" s="141">
        <f>$T9*Z5/$T$5</f>
        <v>0.75044147333116029</v>
      </c>
      <c r="AA9" s="141">
        <f>$T9*AA5/$T$5</f>
        <v>0.35675443625495262</v>
      </c>
      <c r="AB9" s="141">
        <f>$T9*AB5/$T$5</f>
        <v>0.63226844834122309</v>
      </c>
      <c r="AC9" s="141">
        <f>$T9*AC5/$T$5</f>
        <v>0.17025103358833688</v>
      </c>
      <c r="AD9" s="141">
        <f>$T9*AD5/$T$5</f>
        <v>0.65361799272010324</v>
      </c>
      <c r="AE9" s="688"/>
      <c r="AF9" s="42">
        <f>RECS!U5</f>
        <v>140.77382179646443</v>
      </c>
      <c r="AG9" s="115">
        <f>AF9/$AF$6</f>
        <v>0.62040595338655791</v>
      </c>
      <c r="AH9" s="42">
        <f>AH6*$AG$9*$J$9/$M$9</f>
        <v>11.774325533286655</v>
      </c>
      <c r="AI9" s="42">
        <f>AH9*$M$9</f>
        <v>1.8838920853258649</v>
      </c>
      <c r="AJ9" s="116">
        <f>$AH9*AO$5/$AI$5</f>
        <v>3.4695110789696035</v>
      </c>
      <c r="AK9" s="116">
        <f>$AH9*AP$5/$AI$5</f>
        <v>1.6819850814807817</v>
      </c>
      <c r="AL9" s="116">
        <f>$AH9*AQ$5/$AI$5</f>
        <v>3.0825509395042192</v>
      </c>
      <c r="AM9" s="116">
        <f>$AH9*AR$5/$AI$5</f>
        <v>0.73815892981684328</v>
      </c>
      <c r="AN9" s="116">
        <f>$AH9*AS$5/$AI$5</f>
        <v>2.9316531449920227</v>
      </c>
      <c r="AO9" s="141">
        <f>$AI9*AO5/$AI$5</f>
        <v>0.55512177263513651</v>
      </c>
      <c r="AP9" s="141">
        <f>$AI9*AP5/$AI$5</f>
        <v>0.26911761303692511</v>
      </c>
      <c r="AQ9" s="141">
        <f>$AI9*AQ5/$AI$5</f>
        <v>0.49320815032067511</v>
      </c>
      <c r="AR9" s="141">
        <f>$AI9*AR5/$AI$5</f>
        <v>0.11810542877069495</v>
      </c>
      <c r="AS9" s="141">
        <f>$AI9*AS5/$AI$5</f>
        <v>0.46906450319872373</v>
      </c>
      <c r="AT9" s="691"/>
      <c r="AU9" s="42">
        <f>RECS!V5</f>
        <v>146.49761865886089</v>
      </c>
      <c r="AV9" s="115">
        <f>AU9/$AU$6</f>
        <v>0.50833200874176021</v>
      </c>
      <c r="AW9" s="42">
        <f>AW6*$AV$9*$J$9/$M$9</f>
        <v>8.9542926723083642</v>
      </c>
      <c r="AX9" s="42">
        <f>AW9*$M$9</f>
        <v>1.4326868275693383</v>
      </c>
      <c r="AY9" s="116">
        <f>$AW9*BD$5/$AX$5</f>
        <v>2.4158177099161962</v>
      </c>
      <c r="AZ9" s="116">
        <f t="shared" ref="AZ9:BB9" si="1">$AW9*BE$5/$AX$5</f>
        <v>1.1792311385098675</v>
      </c>
      <c r="BA9" s="116">
        <f t="shared" si="1"/>
        <v>2.0621715725847185</v>
      </c>
      <c r="BB9" s="116">
        <f t="shared" si="1"/>
        <v>0.487112168457219</v>
      </c>
      <c r="BC9" s="116">
        <f>$AW9*BH$5/$AX$5</f>
        <v>1.9844322239784211</v>
      </c>
      <c r="BD9" s="141">
        <f>$AX9*BD5/$AX$5</f>
        <v>0.3865308335865914</v>
      </c>
      <c r="BE9" s="141">
        <f>$AX9*BE5/$AX$5</f>
        <v>0.1886769821615788</v>
      </c>
      <c r="BF9" s="141">
        <f>$AX9*BF5/$AX$5</f>
        <v>0.32994745161355493</v>
      </c>
      <c r="BG9" s="141">
        <f t="shared" ref="BG9:BH9" si="2">$AX9*BG5/$AX$5</f>
        <v>7.7937946953155035E-2</v>
      </c>
      <c r="BH9" s="141">
        <f t="shared" si="2"/>
        <v>0.31750915583654743</v>
      </c>
    </row>
    <row r="10" spans="1:60" x14ac:dyDescent="0.2">
      <c r="A10" s="561" t="s">
        <v>376</v>
      </c>
      <c r="B10" s="562"/>
      <c r="C10" s="562"/>
      <c r="D10" s="562"/>
      <c r="E10" s="562"/>
      <c r="F10" s="562"/>
      <c r="G10" s="563"/>
      <c r="H10" s="564"/>
      <c r="I10" s="565"/>
      <c r="J10" s="770"/>
      <c r="K10" s="563"/>
      <c r="L10" s="563"/>
      <c r="M10" s="563"/>
      <c r="N10" s="563"/>
      <c r="O10" s="563"/>
      <c r="P10" s="690"/>
      <c r="U10" s="116"/>
      <c r="V10" s="116"/>
      <c r="W10" s="116"/>
      <c r="X10" s="116"/>
      <c r="Y10" s="116"/>
      <c r="Z10" s="141"/>
      <c r="AA10" s="141"/>
      <c r="AB10" s="141"/>
      <c r="AC10" s="141"/>
      <c r="AD10" s="141"/>
      <c r="AE10" s="688"/>
      <c r="AF10" s="30"/>
      <c r="AG10" s="115"/>
      <c r="AJ10" s="116"/>
      <c r="AK10" s="116"/>
      <c r="AL10" s="116"/>
      <c r="AM10" s="116"/>
      <c r="AN10" s="116"/>
      <c r="AO10" s="141"/>
      <c r="AP10" s="141"/>
      <c r="AQ10" s="141"/>
      <c r="AR10" s="141"/>
      <c r="AS10" s="141"/>
      <c r="AT10" s="691"/>
      <c r="AV10" s="115"/>
      <c r="AY10" s="116"/>
      <c r="AZ10" s="116"/>
      <c r="BA10" s="116"/>
      <c r="BB10" s="116"/>
      <c r="BC10" s="116"/>
      <c r="BD10" s="141"/>
      <c r="BE10" s="141"/>
      <c r="BF10" s="141"/>
      <c r="BG10" s="141"/>
      <c r="BH10" s="141"/>
    </row>
    <row r="11" spans="1:60" x14ac:dyDescent="0.2">
      <c r="A11" s="562" t="s">
        <v>66</v>
      </c>
      <c r="B11" s="562" t="s">
        <v>611</v>
      </c>
      <c r="C11" s="562" t="s">
        <v>612</v>
      </c>
      <c r="D11" s="562" t="s">
        <v>26</v>
      </c>
      <c r="E11" s="562" t="s">
        <v>47</v>
      </c>
      <c r="F11" s="562" t="s">
        <v>30</v>
      </c>
      <c r="G11" s="562">
        <v>2005</v>
      </c>
      <c r="H11" s="564">
        <v>15</v>
      </c>
      <c r="I11" s="565"/>
      <c r="J11" s="770">
        <v>2.2657000026278018</v>
      </c>
      <c r="K11" s="563">
        <v>1</v>
      </c>
      <c r="L11" s="563">
        <v>1</v>
      </c>
      <c r="M11" s="563">
        <v>0.16</v>
      </c>
      <c r="N11" s="563"/>
      <c r="O11" s="563">
        <v>0.18</v>
      </c>
      <c r="P11" s="690"/>
      <c r="U11" s="116"/>
      <c r="V11" s="116"/>
      <c r="W11" s="116"/>
      <c r="X11" s="116"/>
      <c r="Y11" s="116"/>
      <c r="Z11" s="141"/>
      <c r="AA11" s="141"/>
      <c r="AB11" s="141"/>
      <c r="AC11" s="141"/>
      <c r="AD11" s="141"/>
      <c r="AE11" s="688"/>
      <c r="AF11" s="30"/>
      <c r="AG11" s="115"/>
      <c r="AJ11" s="116"/>
      <c r="AK11" s="116"/>
      <c r="AL11" s="116"/>
      <c r="AM11" s="116"/>
      <c r="AN11" s="116"/>
      <c r="AO11" s="141"/>
      <c r="AP11" s="141"/>
      <c r="AQ11" s="141"/>
      <c r="AR11" s="141"/>
      <c r="AS11" s="141"/>
      <c r="AT11" s="691"/>
      <c r="AV11" s="115"/>
      <c r="AY11" s="116"/>
      <c r="AZ11" s="116"/>
      <c r="BA11" s="116"/>
      <c r="BB11" s="116"/>
      <c r="BC11" s="116"/>
      <c r="BD11" s="141"/>
      <c r="BE11" s="141"/>
      <c r="BF11" s="141"/>
      <c r="BG11" s="141"/>
      <c r="BH11" s="141"/>
    </row>
    <row r="12" spans="1:60" x14ac:dyDescent="0.2">
      <c r="A12" s="562" t="s">
        <v>66</v>
      </c>
      <c r="B12" s="562" t="s">
        <v>511</v>
      </c>
      <c r="C12" s="562" t="s">
        <v>512</v>
      </c>
      <c r="D12" s="562" t="s">
        <v>26</v>
      </c>
      <c r="E12" s="562" t="s">
        <v>47</v>
      </c>
      <c r="F12" s="562" t="s">
        <v>30</v>
      </c>
      <c r="G12" s="562">
        <v>2010</v>
      </c>
      <c r="H12" s="564">
        <v>15</v>
      </c>
      <c r="I12" s="565">
        <v>6.5561177831397135</v>
      </c>
      <c r="J12" s="770">
        <v>2.2599999999999998</v>
      </c>
      <c r="K12" s="563">
        <v>1</v>
      </c>
      <c r="L12" s="563">
        <v>1</v>
      </c>
      <c r="M12" s="563">
        <v>0.16</v>
      </c>
      <c r="N12" s="563"/>
      <c r="O12" s="563">
        <v>0.18</v>
      </c>
      <c r="P12" s="690"/>
      <c r="Q12" s="42">
        <f>RECS!T6</f>
        <v>30.569150448345095</v>
      </c>
      <c r="R12" s="115">
        <f>Q12/$Q$6</f>
        <v>0.18457494657705681</v>
      </c>
      <c r="S12" s="42">
        <f>S6*$R$12*$J$12/$M$12</f>
        <v>8.1891384316847979</v>
      </c>
      <c r="T12" s="42">
        <f>S12*$M$12</f>
        <v>1.3102621490695676</v>
      </c>
      <c r="U12" s="116">
        <f>$S12*Z$5/$T$5</f>
        <v>2.3993521005193683</v>
      </c>
      <c r="V12" s="116">
        <f>$S12*AA$5/$T$5</f>
        <v>1.1406345949915146</v>
      </c>
      <c r="W12" s="116">
        <f>$S12*AB$5/$T$5</f>
        <v>2.0215229082231003</v>
      </c>
      <c r="X12" s="116">
        <f>$S12*AC$5/$T$5</f>
        <v>0.54433582041048412</v>
      </c>
      <c r="Y12" s="116">
        <f>$S12*AD$5/$T$5</f>
        <v>2.0897828271788224</v>
      </c>
      <c r="Z12" s="141">
        <f>$T12*Z$5/$T$5</f>
        <v>0.38389633608309892</v>
      </c>
      <c r="AA12" s="141">
        <f>$T12*AA5/$T$5</f>
        <v>0.18250153519864235</v>
      </c>
      <c r="AB12" s="141">
        <f>$T12*AB5/$T$5</f>
        <v>0.32344366531569602</v>
      </c>
      <c r="AC12" s="141">
        <f>$T12*AC5/$T$5</f>
        <v>8.7093731265677446E-2</v>
      </c>
      <c r="AD12" s="141">
        <f>$T12*AD5/$T$5</f>
        <v>0.33436525234861159</v>
      </c>
      <c r="AE12" s="688"/>
      <c r="AF12" s="42">
        <f>RECS!U6</f>
        <v>86.13215972746228</v>
      </c>
      <c r="AG12" s="115">
        <f>AF12/$AF$6</f>
        <v>0.3795940466134422</v>
      </c>
      <c r="AH12" s="42">
        <f>AH6*$AG$12*$J$12/$M$12</f>
        <v>16.28125633401066</v>
      </c>
      <c r="AI12" s="42">
        <f>AH12*$M$12</f>
        <v>2.6050010134417056</v>
      </c>
      <c r="AJ12" s="116">
        <f>$AH12*AO$5/$AI$5</f>
        <v>4.7975571144775451</v>
      </c>
      <c r="AK12" s="116">
        <f t="shared" ref="AK12:AM12" si="3">$AH12*AP$5/$AI$5</f>
        <v>2.3258088273635731</v>
      </c>
      <c r="AL12" s="116">
        <f t="shared" si="3"/>
        <v>4.2624778690575482</v>
      </c>
      <c r="AM12" s="116">
        <f t="shared" si="3"/>
        <v>1.0207085507879867</v>
      </c>
      <c r="AN12" s="116">
        <f>$AH12*AS$5/$AI$5</f>
        <v>4.0538200002272351</v>
      </c>
      <c r="AO12" s="141">
        <f>$AI12*AO$5/$AI$5</f>
        <v>0.76760913831640731</v>
      </c>
      <c r="AP12" s="141">
        <f>$AI12*AP$5/$AI$5</f>
        <v>0.37212941237817171</v>
      </c>
      <c r="AQ12" s="141">
        <f>$AI12*AQ$5/$AI$5</f>
        <v>0.6819964590492078</v>
      </c>
      <c r="AR12" s="141">
        <f>$AI12*AR$5/$AI$5</f>
        <v>0.16331336812607786</v>
      </c>
      <c r="AS12" s="141">
        <f>$AI12*AS$5/$AI$5</f>
        <v>0.64861120003635753</v>
      </c>
      <c r="AT12" s="691"/>
      <c r="AU12" s="42">
        <f>RECS!V6</f>
        <v>141.69516900657948</v>
      </c>
      <c r="AV12" s="115">
        <f>AU12/$AU$6</f>
        <v>0.49166799125823968</v>
      </c>
      <c r="AW12" s="42">
        <f>AW6*$AV$12*$J$12/$M$12</f>
        <v>19.573306766651875</v>
      </c>
      <c r="AX12" s="42">
        <f>AW12*$M$12</f>
        <v>3.1317290826643003</v>
      </c>
      <c r="AY12" s="116">
        <f>$AW12*BD$5/$AX$5</f>
        <v>5.2807678796040722</v>
      </c>
      <c r="AZ12" s="116">
        <f t="shared" ref="AZ12:BB12" si="4">$AW12*BE$5/$AX$5</f>
        <v>2.5776969401751217</v>
      </c>
      <c r="BA12" s="116">
        <f t="shared" si="4"/>
        <v>4.5077281112885634</v>
      </c>
      <c r="BB12" s="116">
        <f t="shared" si="4"/>
        <v>1.0647849307481079</v>
      </c>
      <c r="BC12" s="116">
        <f>$AW12*BH$5/$AX$5</f>
        <v>4.3377966411215869</v>
      </c>
      <c r="BD12" s="141">
        <f>$AX12*BD$5/$AX$5</f>
        <v>0.84492286073665168</v>
      </c>
      <c r="BE12" s="141">
        <f>$AX12*BE$5/$AX$5</f>
        <v>0.41243151042801951</v>
      </c>
      <c r="BF12" s="141">
        <f t="shared" ref="BF12:BH12" si="5">$AX12*BF$5/$AX$5</f>
        <v>0.72123649780617027</v>
      </c>
      <c r="BG12" s="141">
        <f t="shared" si="5"/>
        <v>0.1703655889196973</v>
      </c>
      <c r="BH12" s="141">
        <f t="shared" si="5"/>
        <v>0.69404746257945393</v>
      </c>
    </row>
    <row r="13" spans="1:60" x14ac:dyDescent="0.2">
      <c r="A13" s="562" t="s">
        <v>66</v>
      </c>
      <c r="B13" s="562" t="s">
        <v>613</v>
      </c>
      <c r="C13" s="562" t="s">
        <v>614</v>
      </c>
      <c r="D13" s="562" t="s">
        <v>26</v>
      </c>
      <c r="E13" s="562" t="s">
        <v>47</v>
      </c>
      <c r="F13" s="562" t="s">
        <v>30</v>
      </c>
      <c r="G13" s="562">
        <v>2015</v>
      </c>
      <c r="H13" s="564">
        <v>15</v>
      </c>
      <c r="I13" s="565">
        <v>6.7609964638628277</v>
      </c>
      <c r="J13" s="770">
        <v>2.4</v>
      </c>
      <c r="K13" s="563">
        <v>1</v>
      </c>
      <c r="L13" s="563">
        <v>1</v>
      </c>
      <c r="M13" s="563">
        <v>0.16</v>
      </c>
      <c r="N13" s="563"/>
      <c r="O13" s="563">
        <v>0.18</v>
      </c>
      <c r="P13" s="690"/>
      <c r="U13" s="116"/>
      <c r="V13" s="116"/>
      <c r="W13" s="116"/>
      <c r="X13" s="116"/>
      <c r="Y13" s="116"/>
      <c r="Z13" s="141"/>
      <c r="AA13" s="141"/>
      <c r="AB13" s="141"/>
      <c r="AC13" s="141"/>
      <c r="AD13" s="141"/>
      <c r="AE13" s="688"/>
      <c r="AJ13" s="116"/>
      <c r="AK13" s="116"/>
      <c r="AL13" s="116"/>
      <c r="AM13" s="116"/>
      <c r="AN13" s="116"/>
      <c r="AO13" s="141"/>
      <c r="AP13" s="141"/>
      <c r="AQ13" s="141"/>
      <c r="AR13" s="141"/>
      <c r="AS13" s="141"/>
      <c r="AT13" s="691"/>
      <c r="AU13" s="42"/>
      <c r="AV13" s="42"/>
      <c r="AY13" s="116"/>
      <c r="AZ13" s="116"/>
      <c r="BA13" s="116"/>
      <c r="BB13" s="116"/>
      <c r="BC13" s="116"/>
      <c r="BD13" s="141"/>
      <c r="BE13" s="141"/>
      <c r="BF13" s="141"/>
      <c r="BG13" s="141"/>
      <c r="BH13" s="141"/>
    </row>
    <row r="14" spans="1:60" x14ac:dyDescent="0.2">
      <c r="A14" s="562" t="s">
        <v>66</v>
      </c>
      <c r="B14" s="562" t="s">
        <v>631</v>
      </c>
      <c r="C14" s="562" t="s">
        <v>632</v>
      </c>
      <c r="D14" s="562" t="s">
        <v>26</v>
      </c>
      <c r="E14" s="562" t="s">
        <v>47</v>
      </c>
      <c r="F14" s="562" t="s">
        <v>30</v>
      </c>
      <c r="G14" s="562">
        <v>2010</v>
      </c>
      <c r="H14" s="564">
        <v>15</v>
      </c>
      <c r="I14" s="565">
        <v>8.8097832710939876</v>
      </c>
      <c r="J14" s="770">
        <v>2.4</v>
      </c>
      <c r="K14" s="563">
        <v>1</v>
      </c>
      <c r="L14" s="563">
        <v>1</v>
      </c>
      <c r="M14" s="563">
        <v>0.16</v>
      </c>
      <c r="N14" s="563"/>
      <c r="O14" s="563">
        <v>0.18</v>
      </c>
      <c r="P14" s="690"/>
      <c r="Q14" s="42"/>
      <c r="U14" s="116"/>
      <c r="V14" s="116"/>
      <c r="W14" s="116"/>
      <c r="X14" s="116"/>
      <c r="Y14" s="116"/>
      <c r="Z14" s="141"/>
      <c r="AA14" s="141"/>
      <c r="AB14" s="141"/>
      <c r="AC14" s="141"/>
      <c r="AD14" s="141"/>
      <c r="AE14" s="688"/>
      <c r="AJ14" s="116"/>
      <c r="AK14" s="116"/>
      <c r="AL14" s="116"/>
      <c r="AM14" s="116"/>
      <c r="AN14" s="116"/>
      <c r="AO14" s="141"/>
      <c r="AP14" s="141"/>
      <c r="AQ14" s="141"/>
      <c r="AR14" s="141"/>
      <c r="AS14" s="141"/>
      <c r="AT14" s="691"/>
      <c r="AU14" s="42"/>
      <c r="AV14" s="42"/>
      <c r="AY14" s="116"/>
      <c r="AZ14" s="116"/>
      <c r="BA14" s="116"/>
      <c r="BB14" s="116"/>
      <c r="BC14" s="116"/>
      <c r="BD14" s="141"/>
      <c r="BE14" s="141"/>
      <c r="BF14" s="141"/>
      <c r="BG14" s="141"/>
      <c r="BH14" s="141"/>
    </row>
    <row r="15" spans="1:60" x14ac:dyDescent="0.2">
      <c r="A15" s="562" t="s">
        <v>66</v>
      </c>
      <c r="B15" s="562" t="s">
        <v>616</v>
      </c>
      <c r="C15" s="562" t="s">
        <v>617</v>
      </c>
      <c r="D15" s="562" t="s">
        <v>26</v>
      </c>
      <c r="E15" s="562" t="s">
        <v>47</v>
      </c>
      <c r="F15" s="562" t="s">
        <v>30</v>
      </c>
      <c r="G15" s="562">
        <v>2015</v>
      </c>
      <c r="H15" s="564">
        <v>15</v>
      </c>
      <c r="I15" s="565">
        <v>9.356126419688966</v>
      </c>
      <c r="J15" s="770">
        <v>2.58</v>
      </c>
      <c r="K15" s="563">
        <v>1</v>
      </c>
      <c r="L15" s="563">
        <v>1</v>
      </c>
      <c r="M15" s="563">
        <v>0.16</v>
      </c>
      <c r="N15" s="563"/>
      <c r="O15" s="563">
        <v>0.18</v>
      </c>
      <c r="P15" s="690"/>
      <c r="Q15" s="42"/>
      <c r="U15" s="116"/>
      <c r="V15" s="116"/>
      <c r="W15" s="116"/>
      <c r="X15" s="116"/>
      <c r="Y15" s="116"/>
      <c r="Z15" s="141"/>
      <c r="AA15" s="141"/>
      <c r="AB15" s="141"/>
      <c r="AC15" s="141"/>
      <c r="AD15" s="141"/>
      <c r="AE15" s="688"/>
      <c r="AJ15" s="116"/>
      <c r="AK15" s="116"/>
      <c r="AL15" s="116"/>
      <c r="AM15" s="116"/>
      <c r="AN15" s="116"/>
      <c r="AO15" s="141"/>
      <c r="AP15" s="141"/>
      <c r="AQ15" s="141"/>
      <c r="AR15" s="141"/>
      <c r="AS15" s="141"/>
      <c r="AT15" s="691"/>
      <c r="AU15" s="42"/>
      <c r="AV15" s="42"/>
      <c r="AY15" s="116"/>
      <c r="AZ15" s="116"/>
      <c r="BA15" s="116"/>
      <c r="BB15" s="116"/>
      <c r="BC15" s="116"/>
      <c r="BD15" s="141"/>
      <c r="BE15" s="141"/>
      <c r="BF15" s="141"/>
      <c r="BG15" s="141"/>
      <c r="BH15" s="141"/>
    </row>
    <row r="16" spans="1:60" x14ac:dyDescent="0.2">
      <c r="A16" s="562" t="s">
        <v>66</v>
      </c>
      <c r="B16" s="562" t="s">
        <v>634</v>
      </c>
      <c r="C16" s="562" t="s">
        <v>635</v>
      </c>
      <c r="D16" s="562" t="s">
        <v>26</v>
      </c>
      <c r="E16" s="562" t="s">
        <v>47</v>
      </c>
      <c r="F16" s="562" t="s">
        <v>30</v>
      </c>
      <c r="G16" s="562">
        <v>2010</v>
      </c>
      <c r="H16" s="564">
        <v>15</v>
      </c>
      <c r="I16" s="565">
        <v>9.7658837811351979</v>
      </c>
      <c r="J16" s="770">
        <v>2.4900000000000002</v>
      </c>
      <c r="K16" s="563">
        <v>1</v>
      </c>
      <c r="L16" s="563">
        <v>1</v>
      </c>
      <c r="M16" s="563">
        <v>0.16</v>
      </c>
      <c r="N16" s="563"/>
      <c r="O16" s="563">
        <v>0.18</v>
      </c>
      <c r="P16" s="690"/>
      <c r="Q16" s="42"/>
      <c r="U16" s="116"/>
      <c r="V16" s="116"/>
      <c r="W16" s="116"/>
      <c r="X16" s="116"/>
      <c r="Y16" s="116"/>
      <c r="Z16" s="141"/>
      <c r="AA16" s="141"/>
      <c r="AB16" s="141"/>
      <c r="AC16" s="141"/>
      <c r="AD16" s="141"/>
      <c r="AE16" s="688"/>
      <c r="AJ16" s="116"/>
      <c r="AK16" s="116"/>
      <c r="AL16" s="116"/>
      <c r="AM16" s="116"/>
      <c r="AN16" s="116"/>
      <c r="AO16" s="141"/>
      <c r="AP16" s="141"/>
      <c r="AQ16" s="141"/>
      <c r="AR16" s="141"/>
      <c r="AS16" s="141"/>
      <c r="AT16" s="691"/>
      <c r="AU16" s="42"/>
      <c r="AV16" s="42"/>
      <c r="AY16" s="116"/>
      <c r="AZ16" s="116"/>
      <c r="BA16" s="116"/>
      <c r="BB16" s="116"/>
      <c r="BC16" s="116"/>
      <c r="BD16" s="141"/>
      <c r="BE16" s="141"/>
      <c r="BF16" s="141"/>
      <c r="BG16" s="141"/>
      <c r="BH16" s="141"/>
    </row>
    <row r="17" spans="1:60" x14ac:dyDescent="0.2">
      <c r="A17" s="562" t="s">
        <v>66</v>
      </c>
      <c r="B17" s="562" t="s">
        <v>636</v>
      </c>
      <c r="C17" s="562" t="s">
        <v>637</v>
      </c>
      <c r="D17" s="562" t="s">
        <v>26</v>
      </c>
      <c r="E17" s="562" t="s">
        <v>47</v>
      </c>
      <c r="F17" s="562" t="s">
        <v>30</v>
      </c>
      <c r="G17" s="562">
        <v>2015</v>
      </c>
      <c r="H17" s="564">
        <v>15</v>
      </c>
      <c r="I17" s="565">
        <v>9.7658837811351979</v>
      </c>
      <c r="J17" s="770">
        <v>2.4900000000000002</v>
      </c>
      <c r="K17" s="563">
        <v>1</v>
      </c>
      <c r="L17" s="563">
        <v>1</v>
      </c>
      <c r="M17" s="563">
        <v>0.16</v>
      </c>
      <c r="N17" s="563"/>
      <c r="O17" s="563">
        <v>0.18</v>
      </c>
      <c r="P17" s="690"/>
      <c r="Q17" s="42"/>
      <c r="U17" s="116"/>
      <c r="V17" s="116"/>
      <c r="W17" s="116"/>
      <c r="X17" s="116"/>
      <c r="Y17" s="116"/>
      <c r="Z17" s="141"/>
      <c r="AA17" s="141"/>
      <c r="AB17" s="141"/>
      <c r="AC17" s="141"/>
      <c r="AD17" s="141"/>
      <c r="AE17" s="688"/>
      <c r="AJ17" s="116"/>
      <c r="AK17" s="116"/>
      <c r="AL17" s="116"/>
      <c r="AM17" s="116"/>
      <c r="AN17" s="116"/>
      <c r="AO17" s="141"/>
      <c r="AP17" s="141"/>
      <c r="AQ17" s="141"/>
      <c r="AR17" s="141"/>
      <c r="AS17" s="141"/>
      <c r="AT17" s="691"/>
      <c r="AU17" s="42"/>
      <c r="AV17" s="42"/>
      <c r="AY17" s="116"/>
      <c r="AZ17" s="116"/>
      <c r="BA17" s="116"/>
      <c r="BB17" s="116"/>
      <c r="BC17" s="116"/>
      <c r="BD17" s="141"/>
      <c r="BE17" s="141"/>
      <c r="BF17" s="141"/>
      <c r="BG17" s="141"/>
      <c r="BH17" s="141"/>
    </row>
    <row r="18" spans="1:60" x14ac:dyDescent="0.2">
      <c r="A18" s="562" t="s">
        <v>66</v>
      </c>
      <c r="B18" s="562" t="s">
        <v>618</v>
      </c>
      <c r="C18" s="562" t="s">
        <v>619</v>
      </c>
      <c r="D18" s="562" t="s">
        <v>26</v>
      </c>
      <c r="E18" s="562" t="s">
        <v>47</v>
      </c>
      <c r="F18" s="562" t="s">
        <v>30</v>
      </c>
      <c r="G18" s="562">
        <v>2020</v>
      </c>
      <c r="H18" s="564">
        <v>15</v>
      </c>
      <c r="I18" s="565">
        <v>10.2439340361558</v>
      </c>
      <c r="J18" s="770">
        <v>2.78</v>
      </c>
      <c r="K18" s="563">
        <v>1</v>
      </c>
      <c r="L18" s="563">
        <v>1</v>
      </c>
      <c r="M18" s="563">
        <v>0.16</v>
      </c>
      <c r="N18" s="563"/>
      <c r="O18" s="563">
        <v>0.18</v>
      </c>
      <c r="P18" s="690"/>
      <c r="Q18" s="42"/>
      <c r="U18" s="116"/>
      <c r="V18" s="116"/>
      <c r="W18" s="116"/>
      <c r="X18" s="116"/>
      <c r="Y18" s="116"/>
      <c r="Z18" s="141"/>
      <c r="AA18" s="141"/>
      <c r="AB18" s="141"/>
      <c r="AC18" s="141"/>
      <c r="AD18" s="141"/>
      <c r="AE18" s="688"/>
      <c r="AJ18" s="116"/>
      <c r="AK18" s="116"/>
      <c r="AL18" s="116"/>
      <c r="AM18" s="116"/>
      <c r="AN18" s="116"/>
      <c r="AO18" s="141"/>
      <c r="AP18" s="141"/>
      <c r="AQ18" s="141"/>
      <c r="AR18" s="141"/>
      <c r="AS18" s="141"/>
      <c r="AT18" s="691"/>
      <c r="AU18" s="42"/>
      <c r="AV18" s="42"/>
      <c r="AY18" s="116"/>
      <c r="AZ18" s="116"/>
      <c r="BA18" s="116"/>
      <c r="BB18" s="116"/>
      <c r="BC18" s="116"/>
      <c r="BD18" s="141"/>
      <c r="BE18" s="141"/>
      <c r="BF18" s="141"/>
      <c r="BG18" s="141"/>
      <c r="BH18" s="141"/>
    </row>
    <row r="19" spans="1:60" x14ac:dyDescent="0.2">
      <c r="A19" s="562" t="s">
        <v>66</v>
      </c>
      <c r="B19" s="562" t="s">
        <v>638</v>
      </c>
      <c r="C19" s="562" t="s">
        <v>639</v>
      </c>
      <c r="D19" s="562" t="s">
        <v>26</v>
      </c>
      <c r="E19" s="562" t="s">
        <v>47</v>
      </c>
      <c r="F19" s="562" t="s">
        <v>30</v>
      </c>
      <c r="G19" s="562">
        <v>2030</v>
      </c>
      <c r="H19" s="564">
        <v>15</v>
      </c>
      <c r="I19" s="565">
        <v>10.2439340361558</v>
      </c>
      <c r="J19" s="770">
        <v>2.8</v>
      </c>
      <c r="K19" s="563">
        <v>1</v>
      </c>
      <c r="L19" s="563">
        <v>1</v>
      </c>
      <c r="M19" s="563">
        <v>0.16</v>
      </c>
      <c r="N19" s="563"/>
      <c r="O19" s="563">
        <v>0.18</v>
      </c>
      <c r="P19" s="690"/>
      <c r="Q19" s="42"/>
      <c r="U19" s="116"/>
      <c r="V19" s="116"/>
      <c r="W19" s="116"/>
      <c r="X19" s="116"/>
      <c r="Y19" s="116"/>
      <c r="Z19" s="141"/>
      <c r="AA19" s="141"/>
      <c r="AB19" s="141"/>
      <c r="AC19" s="141"/>
      <c r="AD19" s="141"/>
      <c r="AE19" s="688"/>
      <c r="AJ19" s="116"/>
      <c r="AK19" s="116"/>
      <c r="AL19" s="116"/>
      <c r="AM19" s="116"/>
      <c r="AN19" s="116"/>
      <c r="AO19" s="141"/>
      <c r="AP19" s="141"/>
      <c r="AQ19" s="141"/>
      <c r="AR19" s="141"/>
      <c r="AS19" s="141"/>
      <c r="AT19" s="691"/>
      <c r="AU19" s="42"/>
      <c r="AV19" s="42"/>
      <c r="AY19" s="116"/>
      <c r="AZ19" s="116"/>
      <c r="BA19" s="116"/>
      <c r="BB19" s="116"/>
      <c r="BC19" s="116"/>
      <c r="BD19" s="141"/>
      <c r="BE19" s="141"/>
      <c r="BF19" s="141"/>
      <c r="BG19" s="141"/>
      <c r="BH19" s="141"/>
    </row>
    <row r="20" spans="1:60" x14ac:dyDescent="0.2">
      <c r="A20" s="562" t="s">
        <v>66</v>
      </c>
      <c r="B20" s="562" t="s">
        <v>641</v>
      </c>
      <c r="C20" s="562" t="s">
        <v>642</v>
      </c>
      <c r="D20" s="562" t="s">
        <v>26</v>
      </c>
      <c r="E20" s="562" t="s">
        <v>47</v>
      </c>
      <c r="F20" s="562" t="s">
        <v>30</v>
      </c>
      <c r="G20" s="562">
        <v>2010</v>
      </c>
      <c r="H20" s="564">
        <v>15</v>
      </c>
      <c r="I20" s="565">
        <v>10.926862971899521</v>
      </c>
      <c r="J20" s="770">
        <v>3.14</v>
      </c>
      <c r="K20" s="563">
        <v>1</v>
      </c>
      <c r="L20" s="563">
        <v>1</v>
      </c>
      <c r="M20" s="563">
        <v>0.16</v>
      </c>
      <c r="N20" s="563"/>
      <c r="O20" s="563">
        <v>0.18</v>
      </c>
      <c r="P20" s="690"/>
      <c r="Q20" s="42"/>
      <c r="U20" s="116"/>
      <c r="V20" s="116"/>
      <c r="W20" s="116"/>
      <c r="X20" s="116"/>
      <c r="Y20" s="116"/>
      <c r="Z20" s="141"/>
      <c r="AA20" s="141"/>
      <c r="AB20" s="141"/>
      <c r="AC20" s="141"/>
      <c r="AD20" s="141"/>
      <c r="AE20" s="688"/>
      <c r="AJ20" s="116"/>
      <c r="AK20" s="116"/>
      <c r="AL20" s="116"/>
      <c r="AM20" s="116"/>
      <c r="AN20" s="116"/>
      <c r="AO20" s="141"/>
      <c r="AP20" s="141"/>
      <c r="AQ20" s="141"/>
      <c r="AR20" s="141"/>
      <c r="AS20" s="141"/>
      <c r="AT20" s="691"/>
      <c r="AU20" s="42"/>
      <c r="AV20" s="42"/>
      <c r="AY20" s="116"/>
      <c r="AZ20" s="116"/>
      <c r="BA20" s="116"/>
      <c r="BB20" s="116"/>
      <c r="BC20" s="116"/>
      <c r="BD20" s="141"/>
      <c r="BE20" s="141"/>
      <c r="BF20" s="141"/>
      <c r="BG20" s="141"/>
      <c r="BH20" s="141"/>
    </row>
    <row r="21" spans="1:60" x14ac:dyDescent="0.2">
      <c r="A21" s="562" t="s">
        <v>66</v>
      </c>
      <c r="B21" s="562" t="s">
        <v>643</v>
      </c>
      <c r="C21" s="562" t="s">
        <v>644</v>
      </c>
      <c r="D21" s="562" t="s">
        <v>26</v>
      </c>
      <c r="E21" s="562" t="s">
        <v>47</v>
      </c>
      <c r="F21" s="562" t="s">
        <v>30</v>
      </c>
      <c r="G21" s="562">
        <v>2020</v>
      </c>
      <c r="H21" s="564">
        <v>15</v>
      </c>
      <c r="I21" s="565">
        <v>11.20003454619701</v>
      </c>
      <c r="J21" s="770">
        <v>3.17</v>
      </c>
      <c r="K21" s="563">
        <v>1</v>
      </c>
      <c r="L21" s="563">
        <v>1</v>
      </c>
      <c r="M21" s="563">
        <v>0.16</v>
      </c>
      <c r="N21" s="563"/>
      <c r="O21" s="563">
        <v>0.18</v>
      </c>
      <c r="P21" s="690"/>
      <c r="Q21" s="42"/>
      <c r="U21" s="116"/>
      <c r="V21" s="116"/>
      <c r="W21" s="116"/>
      <c r="X21" s="116"/>
      <c r="Y21" s="116"/>
      <c r="Z21" s="141"/>
      <c r="AA21" s="141"/>
      <c r="AB21" s="141"/>
      <c r="AC21" s="141"/>
      <c r="AD21" s="141"/>
      <c r="AE21" s="688"/>
      <c r="AJ21" s="116"/>
      <c r="AK21" s="116"/>
      <c r="AL21" s="116"/>
      <c r="AM21" s="116"/>
      <c r="AN21" s="116"/>
      <c r="AO21" s="141"/>
      <c r="AP21" s="141"/>
      <c r="AQ21" s="141"/>
      <c r="AR21" s="141"/>
      <c r="AS21" s="141"/>
      <c r="AT21" s="691"/>
      <c r="AU21" s="42"/>
      <c r="AV21" s="42"/>
      <c r="AY21" s="116"/>
      <c r="AZ21" s="116"/>
      <c r="BA21" s="116"/>
      <c r="BB21" s="116"/>
      <c r="BC21" s="116"/>
      <c r="BD21" s="141"/>
      <c r="BE21" s="141"/>
      <c r="BF21" s="141"/>
      <c r="BG21" s="141"/>
      <c r="BH21" s="141"/>
    </row>
    <row r="22" spans="1:60" x14ac:dyDescent="0.2">
      <c r="A22" s="562" t="s">
        <v>66</v>
      </c>
      <c r="B22" s="562" t="s">
        <v>623</v>
      </c>
      <c r="C22" s="562" t="s">
        <v>624</v>
      </c>
      <c r="D22" s="562" t="s">
        <v>26</v>
      </c>
      <c r="E22" s="562" t="s">
        <v>47</v>
      </c>
      <c r="F22" s="562" t="s">
        <v>30</v>
      </c>
      <c r="G22" s="562">
        <v>2030</v>
      </c>
      <c r="H22" s="564">
        <v>15</v>
      </c>
      <c r="I22" s="565">
        <v>11.268327439771381</v>
      </c>
      <c r="J22" s="770">
        <v>3.22</v>
      </c>
      <c r="K22" s="563">
        <v>1</v>
      </c>
      <c r="L22" s="563">
        <v>1</v>
      </c>
      <c r="M22" s="563">
        <v>0.16</v>
      </c>
      <c r="N22" s="563"/>
      <c r="O22" s="563">
        <v>0.18</v>
      </c>
      <c r="P22" s="690"/>
      <c r="Q22" s="42"/>
      <c r="U22" s="116"/>
      <c r="V22" s="116"/>
      <c r="W22" s="116"/>
      <c r="X22" s="116"/>
      <c r="Y22" s="116"/>
      <c r="Z22" s="141"/>
      <c r="AA22" s="141"/>
      <c r="AB22" s="141"/>
      <c r="AC22" s="141"/>
      <c r="AD22" s="141"/>
      <c r="AE22" s="688"/>
      <c r="AJ22" s="116"/>
      <c r="AK22" s="116"/>
      <c r="AL22" s="116"/>
      <c r="AM22" s="116"/>
      <c r="AN22" s="116"/>
      <c r="AO22" s="141"/>
      <c r="AP22" s="141"/>
      <c r="AQ22" s="141"/>
      <c r="AR22" s="141"/>
      <c r="AS22" s="141"/>
      <c r="AT22" s="691"/>
      <c r="AU22" s="42"/>
      <c r="AV22" s="42"/>
      <c r="AY22" s="116"/>
      <c r="AZ22" s="116"/>
      <c r="BA22" s="116"/>
      <c r="BB22" s="116"/>
      <c r="BC22" s="116"/>
      <c r="BD22" s="141"/>
      <c r="BE22" s="141"/>
      <c r="BF22" s="141"/>
      <c r="BG22" s="141"/>
      <c r="BH22" s="141"/>
    </row>
    <row r="23" spans="1:60" x14ac:dyDescent="0.2">
      <c r="A23" s="562" t="s">
        <v>66</v>
      </c>
      <c r="B23" s="562" t="s">
        <v>645</v>
      </c>
      <c r="C23" s="562" t="s">
        <v>646</v>
      </c>
      <c r="D23" s="562" t="s">
        <v>26</v>
      </c>
      <c r="E23" s="562" t="s">
        <v>47</v>
      </c>
      <c r="F23" s="562" t="s">
        <v>30</v>
      </c>
      <c r="G23" s="562">
        <v>2035</v>
      </c>
      <c r="H23" s="564">
        <v>15</v>
      </c>
      <c r="I23" s="565">
        <v>11.268327439771381</v>
      </c>
      <c r="J23" s="770">
        <v>3.22</v>
      </c>
      <c r="K23" s="563">
        <v>1</v>
      </c>
      <c r="L23" s="563">
        <v>1</v>
      </c>
      <c r="M23" s="563">
        <v>0.16</v>
      </c>
      <c r="N23" s="563"/>
      <c r="O23" s="563">
        <v>0.18</v>
      </c>
      <c r="P23" s="690"/>
      <c r="Q23" s="42"/>
      <c r="U23" s="116"/>
      <c r="V23" s="116"/>
      <c r="W23" s="116"/>
      <c r="X23" s="116"/>
      <c r="Y23" s="116"/>
      <c r="Z23" s="141"/>
      <c r="AA23" s="141"/>
      <c r="AB23" s="141"/>
      <c r="AC23" s="141"/>
      <c r="AD23" s="141"/>
      <c r="AE23" s="688"/>
      <c r="AJ23" s="116"/>
      <c r="AK23" s="116"/>
      <c r="AL23" s="116"/>
      <c r="AM23" s="116"/>
      <c r="AN23" s="116"/>
      <c r="AO23" s="141"/>
      <c r="AP23" s="141"/>
      <c r="AQ23" s="141"/>
      <c r="AR23" s="141"/>
      <c r="AS23" s="141"/>
      <c r="AT23" s="691"/>
      <c r="AU23" s="42"/>
      <c r="AV23" s="42"/>
      <c r="AY23" s="116"/>
      <c r="AZ23" s="116"/>
      <c r="BA23" s="116"/>
      <c r="BB23" s="116"/>
      <c r="BC23" s="116"/>
      <c r="BD23" s="141"/>
      <c r="BE23" s="141"/>
      <c r="BF23" s="141"/>
      <c r="BG23" s="141"/>
      <c r="BH23" s="141"/>
    </row>
    <row r="24" spans="1:60" x14ac:dyDescent="0.2">
      <c r="A24" s="557" t="s">
        <v>1638</v>
      </c>
      <c r="B24" s="558"/>
      <c r="C24" s="558"/>
      <c r="D24" s="558"/>
      <c r="E24" s="558"/>
      <c r="F24" s="558"/>
      <c r="G24" s="141"/>
      <c r="H24" s="559"/>
      <c r="I24" s="560"/>
      <c r="J24" s="769"/>
      <c r="K24" s="141"/>
      <c r="L24" s="141"/>
      <c r="M24" s="141">
        <f>M26</f>
        <v>0.16</v>
      </c>
      <c r="N24" s="141"/>
      <c r="O24" s="141"/>
      <c r="P24" s="690"/>
      <c r="Q24" s="120">
        <f>SUM(Q25:Q37)</f>
        <v>2687.6765151009877</v>
      </c>
      <c r="R24" s="121" t="s">
        <v>1638</v>
      </c>
      <c r="S24" s="120">
        <f>'Fuel Share'!D42</f>
        <v>115.66786285171</v>
      </c>
      <c r="T24" s="120"/>
      <c r="U24" s="120"/>
      <c r="V24" s="120"/>
      <c r="W24" s="120"/>
      <c r="X24" s="120"/>
      <c r="Y24" s="120"/>
      <c r="Z24" s="120"/>
      <c r="AA24" s="120"/>
      <c r="AB24" s="120"/>
      <c r="AC24" s="120"/>
      <c r="AD24" s="120"/>
      <c r="AE24" s="691"/>
      <c r="AF24" s="120">
        <f>SUM(AF25:AF37)</f>
        <v>2721.0300770257154</v>
      </c>
      <c r="AG24" s="120"/>
      <c r="AH24" s="120">
        <f>'Fuel Share'!N42</f>
        <v>130.78504535086969</v>
      </c>
      <c r="AI24" s="120"/>
      <c r="AJ24" s="120"/>
      <c r="AK24" s="120"/>
      <c r="AL24" s="120"/>
      <c r="AM24" s="120"/>
      <c r="AN24" s="120"/>
      <c r="AO24" s="120"/>
      <c r="AP24" s="120"/>
      <c r="AQ24" s="120"/>
      <c r="AR24" s="120"/>
      <c r="AS24" s="120"/>
      <c r="AT24" s="691"/>
      <c r="AU24" s="120">
        <f>SUM(AU25:AU37)</f>
        <v>2754.3836389504436</v>
      </c>
      <c r="AV24" s="120"/>
      <c r="AW24" s="120">
        <f>'Fuel Share'!X42</f>
        <v>132.21151886391735</v>
      </c>
      <c r="AX24" s="120"/>
      <c r="AY24" s="120"/>
      <c r="AZ24" s="120"/>
      <c r="BA24" s="120"/>
      <c r="BB24" s="120"/>
      <c r="BC24" s="120"/>
      <c r="BD24" s="120"/>
      <c r="BE24" s="120"/>
      <c r="BF24" s="120"/>
      <c r="BG24" s="120"/>
      <c r="BH24" s="120"/>
    </row>
    <row r="25" spans="1:60" x14ac:dyDescent="0.2">
      <c r="A25" s="561" t="s">
        <v>377</v>
      </c>
      <c r="B25" s="562"/>
      <c r="C25" s="562"/>
      <c r="D25" s="562"/>
      <c r="E25" s="562"/>
      <c r="F25" s="562"/>
      <c r="G25" s="563"/>
      <c r="H25" s="564"/>
      <c r="I25" s="565"/>
      <c r="J25" s="770"/>
      <c r="K25" s="563"/>
      <c r="L25" s="563"/>
      <c r="M25" s="563"/>
      <c r="N25" s="563"/>
      <c r="O25" s="563"/>
      <c r="P25" s="690"/>
      <c r="Q25" s="42"/>
      <c r="U25" s="116"/>
      <c r="V25" s="116"/>
      <c r="W25" s="116"/>
      <c r="X25" s="116"/>
      <c r="Y25" s="116"/>
      <c r="Z25" s="141"/>
      <c r="AA25" s="141"/>
      <c r="AB25" s="141"/>
      <c r="AC25" s="141"/>
      <c r="AD25" s="141"/>
      <c r="AE25" s="688"/>
      <c r="AJ25" s="116"/>
      <c r="AK25" s="116"/>
      <c r="AL25" s="116"/>
      <c r="AM25" s="116"/>
      <c r="AN25" s="116"/>
      <c r="AO25" s="141"/>
      <c r="AP25" s="141"/>
      <c r="AQ25" s="141"/>
      <c r="AR25" s="141"/>
      <c r="AS25" s="141"/>
      <c r="AT25" s="691"/>
      <c r="AU25" s="42"/>
      <c r="AV25" s="42"/>
      <c r="AY25" s="116"/>
      <c r="AZ25" s="116"/>
      <c r="BA25" s="116"/>
      <c r="BB25" s="116"/>
      <c r="BC25" s="116"/>
      <c r="BD25" s="141"/>
      <c r="BE25" s="141"/>
      <c r="BF25" s="141"/>
      <c r="BG25" s="141"/>
      <c r="BH25" s="141"/>
    </row>
    <row r="26" spans="1:60" x14ac:dyDescent="0.2">
      <c r="A26" s="562" t="s">
        <v>66</v>
      </c>
      <c r="B26" s="562" t="s">
        <v>648</v>
      </c>
      <c r="C26" s="562" t="s">
        <v>649</v>
      </c>
      <c r="D26" s="562" t="s">
        <v>26</v>
      </c>
      <c r="E26" s="562" t="s">
        <v>52</v>
      </c>
      <c r="F26" s="562" t="s">
        <v>30</v>
      </c>
      <c r="G26" s="562">
        <v>2005</v>
      </c>
      <c r="H26" s="564">
        <v>15</v>
      </c>
      <c r="I26" s="565"/>
      <c r="J26" s="770">
        <v>0.81440001726150502</v>
      </c>
      <c r="K26" s="563">
        <v>1</v>
      </c>
      <c r="L26" s="563">
        <v>1</v>
      </c>
      <c r="M26" s="563">
        <v>0.16</v>
      </c>
      <c r="N26" s="563"/>
      <c r="O26" s="563">
        <v>0.18</v>
      </c>
      <c r="P26" s="690"/>
      <c r="U26" s="116"/>
      <c r="V26" s="116"/>
      <c r="W26" s="116"/>
      <c r="X26" s="116"/>
      <c r="Y26" s="116"/>
      <c r="Z26" s="141"/>
      <c r="AA26" s="141"/>
      <c r="AB26" s="141"/>
      <c r="AC26" s="141"/>
      <c r="AD26" s="141"/>
      <c r="AE26" s="688"/>
      <c r="AJ26" s="116"/>
      <c r="AK26" s="116"/>
      <c r="AL26" s="116"/>
      <c r="AM26" s="116"/>
      <c r="AN26" s="116"/>
      <c r="AO26" s="141"/>
      <c r="AP26" s="141"/>
      <c r="AQ26" s="141"/>
      <c r="AR26" s="141"/>
      <c r="AS26" s="141"/>
      <c r="AT26" s="691"/>
      <c r="AU26" s="42"/>
      <c r="AV26" s="42"/>
      <c r="AY26" s="116"/>
      <c r="AZ26" s="116"/>
      <c r="BA26" s="116"/>
      <c r="BB26" s="116"/>
      <c r="BC26" s="116"/>
      <c r="BD26" s="141"/>
      <c r="BE26" s="141"/>
      <c r="BF26" s="141"/>
      <c r="BG26" s="141"/>
      <c r="BH26" s="141"/>
    </row>
    <row r="27" spans="1:60" x14ac:dyDescent="0.2">
      <c r="A27" s="562" t="s">
        <v>66</v>
      </c>
      <c r="B27" s="562" t="s">
        <v>515</v>
      </c>
      <c r="C27" s="562" t="s">
        <v>516</v>
      </c>
      <c r="D27" s="562" t="s">
        <v>26</v>
      </c>
      <c r="E27" s="562" t="s">
        <v>52</v>
      </c>
      <c r="F27" s="562" t="s">
        <v>30</v>
      </c>
      <c r="G27" s="562">
        <v>2010</v>
      </c>
      <c r="H27" s="564">
        <v>15</v>
      </c>
      <c r="I27" s="565">
        <v>4.9170883373547847</v>
      </c>
      <c r="J27" s="770">
        <v>0.8</v>
      </c>
      <c r="K27" s="563">
        <v>1</v>
      </c>
      <c r="L27" s="563">
        <v>1</v>
      </c>
      <c r="M27" s="563">
        <v>0.16</v>
      </c>
      <c r="N27" s="563"/>
      <c r="O27" s="563">
        <v>0.18</v>
      </c>
      <c r="P27" s="690"/>
      <c r="Q27" s="42">
        <f>RECS!T7</f>
        <v>1670.1372151976609</v>
      </c>
      <c r="R27" s="115">
        <f>Q27/$Q$24</f>
        <v>0.62140559171232945</v>
      </c>
      <c r="S27" s="42">
        <f>S24*$R$27*$J$27/$M$27</f>
        <v>359.38328378733712</v>
      </c>
      <c r="T27" s="42">
        <f>S24*$R$27*$J$27</f>
        <v>57.501325405973937</v>
      </c>
      <c r="U27" s="116">
        <f>$S27*Z$5/$T$5</f>
        <v>105.29642941562686</v>
      </c>
      <c r="V27" s="116">
        <f>$S27*AA$5/$T$5</f>
        <v>50.057159220002788</v>
      </c>
      <c r="W27" s="116">
        <f>$S27*AB$5/$T$5</f>
        <v>88.715259495140586</v>
      </c>
      <c r="X27" s="116">
        <f>$S27*AC$5/$T$5</f>
        <v>23.888373148669181</v>
      </c>
      <c r="Y27" s="116">
        <f>$S27*AD$5/$T$5</f>
        <v>91.710870575599259</v>
      </c>
      <c r="Z27" s="141">
        <f>$T27*Z$5/$T$5</f>
        <v>16.847428706500299</v>
      </c>
      <c r="AA27" s="141">
        <f>$T27*AA$5/$T$5</f>
        <v>8.0091454752004463</v>
      </c>
      <c r="AB27" s="141">
        <f>$T27*AB$5/$T$5</f>
        <v>14.194441519222494</v>
      </c>
      <c r="AC27" s="141">
        <f>$T27*AC$5/$T$5</f>
        <v>3.8221397037870686</v>
      </c>
      <c r="AD27" s="141">
        <f>$T27*AD$5/$T$5</f>
        <v>14.673739292095881</v>
      </c>
      <c r="AE27" s="688"/>
      <c r="AF27" s="42">
        <f>RECS!U7</f>
        <v>1715.5370192035889</v>
      </c>
      <c r="AG27" s="115">
        <f>AF27/$AF$24</f>
        <v>0.63047337612629262</v>
      </c>
      <c r="AH27" s="42">
        <f>AH24*$AG$27*$J$27/$M$27</f>
        <v>412.28244544596561</v>
      </c>
      <c r="AI27" s="42">
        <f>AH24*$AG$27*$J$27</f>
        <v>65.965191271354499</v>
      </c>
      <c r="AJ27" s="116">
        <f>$AH27*AO$5/$AI$5</f>
        <v>121.48623783974617</v>
      </c>
      <c r="AK27" s="116">
        <f t="shared" ref="AK27:AM27" si="6">$AH27*AP$5/$AI$5</f>
        <v>58.895341447465469</v>
      </c>
      <c r="AL27" s="116">
        <f t="shared" si="6"/>
        <v>107.93668273887172</v>
      </c>
      <c r="AM27" s="116">
        <f t="shared" si="6"/>
        <v>25.846913086639891</v>
      </c>
      <c r="AN27" s="116">
        <f>$AH27*AS$5/$AI$5</f>
        <v>102.6529396014824</v>
      </c>
      <c r="AO27" s="141">
        <f>$AI27*AO$5/$AI$5</f>
        <v>19.437798054359387</v>
      </c>
      <c r="AP27" s="141">
        <f t="shared" ref="AP27:AR27" si="7">$AI27*AP$5/$AI$5</f>
        <v>9.4232546315944745</v>
      </c>
      <c r="AQ27" s="141">
        <f t="shared" si="7"/>
        <v>17.269869238219474</v>
      </c>
      <c r="AR27" s="141">
        <f t="shared" si="7"/>
        <v>4.1355060938623831</v>
      </c>
      <c r="AS27" s="141">
        <f>$AI27*AS$5/$AI$5</f>
        <v>16.424470336237185</v>
      </c>
      <c r="AT27" s="691"/>
      <c r="AU27" s="42">
        <f>RECS!V7</f>
        <v>1760.9368232095167</v>
      </c>
      <c r="AV27" s="115">
        <f>AU27/$AU$24</f>
        <v>0.63932155212790931</v>
      </c>
      <c r="AW27" s="42">
        <f>AW24*$AV$27*$J$27/$M$27</f>
        <v>422.62836724634002</v>
      </c>
      <c r="AX27" s="42">
        <f>AW24*$AV$27*$J$27</f>
        <v>67.620538759414401</v>
      </c>
      <c r="AY27" s="116">
        <f>$AW27*BD$5/$AX$5</f>
        <v>114.02275217831006</v>
      </c>
      <c r="AZ27" s="116">
        <f t="shared" ref="AZ27:BB27" si="8">$AW27*BE$5/$AX$5</f>
        <v>55.657833500989348</v>
      </c>
      <c r="BA27" s="116">
        <f t="shared" si="8"/>
        <v>97.331217171240951</v>
      </c>
      <c r="BB27" s="116">
        <f t="shared" si="8"/>
        <v>22.990919322701473</v>
      </c>
      <c r="BC27" s="116">
        <f>$AW27*BH$5/$AX$5</f>
        <v>93.662043605596963</v>
      </c>
      <c r="BD27" s="141">
        <f>$AX27*BD$5/$AX$5</f>
        <v>18.24364034852961</v>
      </c>
      <c r="BE27" s="141">
        <f>$AX27*BE$5/$AX$5</f>
        <v>8.9052533601582962</v>
      </c>
      <c r="BF27" s="141">
        <f t="shared" ref="BF27:BG27" si="9">$AX27*BF$5/$AX$5</f>
        <v>15.572994747398551</v>
      </c>
      <c r="BG27" s="141">
        <f t="shared" si="9"/>
        <v>3.6785470916322356</v>
      </c>
      <c r="BH27" s="141">
        <f>$AX27*BH$5/$AX$5</f>
        <v>14.985926976895515</v>
      </c>
    </row>
    <row r="28" spans="1:60" x14ac:dyDescent="0.2">
      <c r="A28" s="562" t="s">
        <v>66</v>
      </c>
      <c r="B28" s="562" t="s">
        <v>666</v>
      </c>
      <c r="C28" s="562" t="s">
        <v>667</v>
      </c>
      <c r="D28" s="562" t="s">
        <v>26</v>
      </c>
      <c r="E28" s="562" t="s">
        <v>52</v>
      </c>
      <c r="F28" s="562" t="s">
        <v>30</v>
      </c>
      <c r="G28" s="562">
        <v>2010</v>
      </c>
      <c r="H28" s="564">
        <v>15</v>
      </c>
      <c r="I28" s="565">
        <v>4.9170883373547847</v>
      </c>
      <c r="J28" s="770">
        <v>0.8</v>
      </c>
      <c r="K28" s="563">
        <v>1</v>
      </c>
      <c r="L28" s="563">
        <v>1</v>
      </c>
      <c r="M28" s="563">
        <v>0.16</v>
      </c>
      <c r="N28" s="563"/>
      <c r="O28" s="563">
        <v>0.18</v>
      </c>
      <c r="P28" s="690"/>
      <c r="U28" s="116"/>
      <c r="V28" s="116"/>
      <c r="W28" s="116"/>
      <c r="X28" s="116"/>
      <c r="Y28" s="116"/>
      <c r="Z28" s="141"/>
      <c r="AA28" s="141"/>
      <c r="AB28" s="141"/>
      <c r="AC28" s="141"/>
      <c r="AD28" s="141"/>
      <c r="AE28" s="688"/>
      <c r="AF28" s="30"/>
      <c r="AG28" s="115"/>
      <c r="AJ28" s="116"/>
      <c r="AK28" s="116"/>
      <c r="AL28" s="116"/>
      <c r="AM28" s="116"/>
      <c r="AN28" s="116"/>
      <c r="AO28" s="141"/>
      <c r="AP28" s="141"/>
      <c r="AQ28" s="141"/>
      <c r="AR28" s="141"/>
      <c r="AS28" s="141"/>
      <c r="AT28" s="691"/>
      <c r="AV28" s="115"/>
      <c r="AY28" s="116"/>
      <c r="AZ28" s="116"/>
      <c r="BA28" s="116"/>
      <c r="BB28" s="116"/>
      <c r="BC28" s="116"/>
      <c r="BD28" s="141"/>
      <c r="BE28" s="141"/>
      <c r="BF28" s="141"/>
      <c r="BG28" s="141"/>
      <c r="BH28" s="141"/>
    </row>
    <row r="29" spans="1:60" x14ac:dyDescent="0.2">
      <c r="A29" s="562" t="s">
        <v>66</v>
      </c>
      <c r="B29" s="562" t="s">
        <v>668</v>
      </c>
      <c r="C29" s="562" t="s">
        <v>669</v>
      </c>
      <c r="D29" s="562" t="s">
        <v>26</v>
      </c>
      <c r="E29" s="562" t="s">
        <v>52</v>
      </c>
      <c r="F29" s="562" t="s">
        <v>30</v>
      </c>
      <c r="G29" s="562">
        <v>2010</v>
      </c>
      <c r="H29" s="564">
        <v>20</v>
      </c>
      <c r="I29" s="565">
        <v>5.4087971710902627</v>
      </c>
      <c r="J29" s="770">
        <v>0.9</v>
      </c>
      <c r="K29" s="563">
        <v>1</v>
      </c>
      <c r="L29" s="563">
        <v>1</v>
      </c>
      <c r="M29" s="563">
        <v>0.16</v>
      </c>
      <c r="N29" s="563"/>
      <c r="O29" s="563">
        <v>0.18</v>
      </c>
      <c r="P29" s="690"/>
      <c r="Q29" s="42"/>
      <c r="U29" s="116"/>
      <c r="V29" s="116"/>
      <c r="W29" s="116"/>
      <c r="X29" s="116"/>
      <c r="Y29" s="116"/>
      <c r="Z29" s="141"/>
      <c r="AA29" s="141"/>
      <c r="AB29" s="141"/>
      <c r="AC29" s="141"/>
      <c r="AD29" s="141"/>
      <c r="AE29" s="688"/>
      <c r="AG29" s="115"/>
      <c r="AJ29" s="116"/>
      <c r="AK29" s="116"/>
      <c r="AL29" s="116"/>
      <c r="AM29" s="116"/>
      <c r="AN29" s="116"/>
      <c r="AO29" s="141"/>
      <c r="AP29" s="141"/>
      <c r="AQ29" s="141"/>
      <c r="AR29" s="141"/>
      <c r="AS29" s="141"/>
      <c r="AT29" s="691"/>
      <c r="AU29" s="42"/>
      <c r="AV29" s="115"/>
      <c r="AY29" s="116"/>
      <c r="AZ29" s="116"/>
      <c r="BA29" s="116"/>
      <c r="BB29" s="116"/>
      <c r="BC29" s="116"/>
      <c r="BD29" s="141"/>
      <c r="BE29" s="141"/>
      <c r="BF29" s="141"/>
      <c r="BG29" s="141"/>
      <c r="BH29" s="141"/>
    </row>
    <row r="30" spans="1:60" x14ac:dyDescent="0.2">
      <c r="A30" s="562" t="s">
        <v>66</v>
      </c>
      <c r="B30" s="562" t="s">
        <v>670</v>
      </c>
      <c r="C30" s="562" t="s">
        <v>671</v>
      </c>
      <c r="D30" s="562" t="s">
        <v>26</v>
      </c>
      <c r="E30" s="562" t="s">
        <v>52</v>
      </c>
      <c r="F30" s="562" t="s">
        <v>30</v>
      </c>
      <c r="G30" s="562">
        <v>2010</v>
      </c>
      <c r="H30" s="564">
        <v>20</v>
      </c>
      <c r="I30" s="565">
        <v>6.2938730718141249</v>
      </c>
      <c r="J30" s="770">
        <v>0.95</v>
      </c>
      <c r="K30" s="563">
        <v>1</v>
      </c>
      <c r="L30" s="563">
        <v>1</v>
      </c>
      <c r="M30" s="563">
        <v>0.16</v>
      </c>
      <c r="N30" s="563"/>
      <c r="O30" s="563">
        <v>0.18</v>
      </c>
      <c r="P30" s="690"/>
      <c r="Q30" s="42"/>
      <c r="U30" s="116"/>
      <c r="V30" s="116"/>
      <c r="W30" s="116"/>
      <c r="X30" s="116"/>
      <c r="Y30" s="116"/>
      <c r="Z30" s="141"/>
      <c r="AA30" s="141"/>
      <c r="AB30" s="141"/>
      <c r="AC30" s="141"/>
      <c r="AD30" s="141"/>
      <c r="AE30" s="688"/>
      <c r="AG30" s="115"/>
      <c r="AJ30" s="116"/>
      <c r="AK30" s="116"/>
      <c r="AL30" s="116"/>
      <c r="AM30" s="116"/>
      <c r="AN30" s="116"/>
      <c r="AO30" s="141"/>
      <c r="AP30" s="141"/>
      <c r="AQ30" s="141"/>
      <c r="AR30" s="141"/>
      <c r="AS30" s="141"/>
      <c r="AT30" s="691"/>
      <c r="AU30" s="42"/>
      <c r="AV30" s="115"/>
      <c r="AY30" s="116"/>
      <c r="AZ30" s="116"/>
      <c r="BA30" s="116"/>
      <c r="BB30" s="116"/>
      <c r="BC30" s="116"/>
      <c r="BD30" s="141"/>
      <c r="BE30" s="141"/>
      <c r="BF30" s="141"/>
      <c r="BG30" s="141"/>
      <c r="BH30" s="141"/>
    </row>
    <row r="31" spans="1:60" x14ac:dyDescent="0.2">
      <c r="A31" s="562" t="s">
        <v>66</v>
      </c>
      <c r="B31" s="562" t="s">
        <v>672</v>
      </c>
      <c r="C31" s="562" t="s">
        <v>673</v>
      </c>
      <c r="D31" s="562" t="s">
        <v>26</v>
      </c>
      <c r="E31" s="562" t="s">
        <v>52</v>
      </c>
      <c r="F31" s="562" t="s">
        <v>30</v>
      </c>
      <c r="G31" s="562">
        <v>2010</v>
      </c>
      <c r="H31" s="564">
        <v>20</v>
      </c>
      <c r="I31" s="565">
        <v>7.3756325060321766</v>
      </c>
      <c r="J31" s="770">
        <v>0.98</v>
      </c>
      <c r="K31" s="563">
        <v>1</v>
      </c>
      <c r="L31" s="563">
        <v>1</v>
      </c>
      <c r="M31" s="563">
        <v>0.16</v>
      </c>
      <c r="N31" s="563"/>
      <c r="O31" s="563">
        <v>0.18</v>
      </c>
      <c r="P31" s="690"/>
      <c r="U31" s="116"/>
      <c r="V31" s="116"/>
      <c r="W31" s="116"/>
      <c r="X31" s="116"/>
      <c r="Y31" s="116"/>
      <c r="Z31" s="141"/>
      <c r="AA31" s="141"/>
      <c r="AB31" s="141"/>
      <c r="AC31" s="141"/>
      <c r="AD31" s="141"/>
      <c r="AE31" s="688"/>
      <c r="AF31" s="30"/>
      <c r="AG31" s="115"/>
      <c r="AJ31" s="116"/>
      <c r="AK31" s="116"/>
      <c r="AL31" s="116"/>
      <c r="AM31" s="116"/>
      <c r="AN31" s="116"/>
      <c r="AO31" s="141"/>
      <c r="AP31" s="141"/>
      <c r="AQ31" s="141"/>
      <c r="AR31" s="141"/>
      <c r="AS31" s="141"/>
      <c r="AT31" s="691"/>
      <c r="AV31" s="115"/>
      <c r="AY31" s="116"/>
      <c r="AZ31" s="116"/>
      <c r="BA31" s="116"/>
      <c r="BB31" s="116"/>
      <c r="BC31" s="116"/>
      <c r="BD31" s="141"/>
      <c r="BE31" s="141"/>
      <c r="BF31" s="141"/>
      <c r="BG31" s="141"/>
      <c r="BH31" s="141"/>
    </row>
    <row r="32" spans="1:60" x14ac:dyDescent="0.2">
      <c r="A32" s="561" t="s">
        <v>378</v>
      </c>
      <c r="B32" s="562"/>
      <c r="C32" s="562"/>
      <c r="D32" s="562"/>
      <c r="E32" s="562"/>
      <c r="F32" s="562"/>
      <c r="G32" s="563"/>
      <c r="H32" s="564"/>
      <c r="I32" s="565"/>
      <c r="J32" s="770"/>
      <c r="K32" s="563"/>
      <c r="L32" s="563"/>
      <c r="M32" s="563"/>
      <c r="N32" s="563"/>
      <c r="O32" s="563"/>
      <c r="P32" s="690"/>
      <c r="Q32" s="42"/>
      <c r="U32" s="116"/>
      <c r="V32" s="116"/>
      <c r="W32" s="116"/>
      <c r="X32" s="116"/>
      <c r="Y32" s="116"/>
      <c r="Z32" s="141"/>
      <c r="AA32" s="141"/>
      <c r="AB32" s="141"/>
      <c r="AC32" s="141"/>
      <c r="AD32" s="141"/>
      <c r="AE32" s="688"/>
      <c r="AG32" s="115"/>
      <c r="AJ32" s="116"/>
      <c r="AK32" s="116"/>
      <c r="AL32" s="116"/>
      <c r="AM32" s="116"/>
      <c r="AN32" s="116"/>
      <c r="AO32" s="141"/>
      <c r="AP32" s="141"/>
      <c r="AQ32" s="141"/>
      <c r="AR32" s="141"/>
      <c r="AS32" s="141"/>
      <c r="AT32" s="691"/>
      <c r="AU32" s="42"/>
      <c r="AV32" s="115"/>
      <c r="AY32" s="116"/>
      <c r="AZ32" s="116"/>
      <c r="BA32" s="116"/>
      <c r="BB32" s="116"/>
      <c r="BC32" s="116"/>
      <c r="BD32" s="141"/>
      <c r="BE32" s="141"/>
      <c r="BF32" s="141"/>
      <c r="BG32" s="141"/>
      <c r="BH32" s="141"/>
    </row>
    <row r="33" spans="1:60" x14ac:dyDescent="0.2">
      <c r="A33" s="562" t="s">
        <v>66</v>
      </c>
      <c r="B33" s="562" t="s">
        <v>687</v>
      </c>
      <c r="C33" s="562" t="s">
        <v>688</v>
      </c>
      <c r="D33" s="562" t="s">
        <v>26</v>
      </c>
      <c r="E33" s="562" t="s">
        <v>52</v>
      </c>
      <c r="F33" s="562" t="s">
        <v>30</v>
      </c>
      <c r="G33" s="562">
        <v>2005</v>
      </c>
      <c r="H33" s="564">
        <v>20</v>
      </c>
      <c r="I33" s="565"/>
      <c r="J33" s="770">
        <v>0.8</v>
      </c>
      <c r="K33" s="563">
        <v>1</v>
      </c>
      <c r="L33" s="563">
        <v>1</v>
      </c>
      <c r="M33" s="563">
        <v>0.16</v>
      </c>
      <c r="N33" s="563"/>
      <c r="O33" s="563">
        <v>0.18</v>
      </c>
      <c r="P33" s="690"/>
      <c r="U33" s="116"/>
      <c r="V33" s="116"/>
      <c r="W33" s="116"/>
      <c r="X33" s="116"/>
      <c r="Y33" s="116"/>
      <c r="Z33" s="141"/>
      <c r="AA33" s="141"/>
      <c r="AB33" s="141"/>
      <c r="AC33" s="141"/>
      <c r="AD33" s="141"/>
      <c r="AE33" s="688"/>
      <c r="AF33" s="30"/>
      <c r="AG33" s="115"/>
      <c r="AJ33" s="116"/>
      <c r="AK33" s="116"/>
      <c r="AL33" s="116"/>
      <c r="AM33" s="116"/>
      <c r="AN33" s="116"/>
      <c r="AO33" s="141"/>
      <c r="AP33" s="141"/>
      <c r="AQ33" s="141"/>
      <c r="AR33" s="141"/>
      <c r="AS33" s="141"/>
      <c r="AT33" s="691"/>
      <c r="AV33" s="115"/>
      <c r="AY33" s="116"/>
      <c r="AZ33" s="116"/>
      <c r="BA33" s="116"/>
      <c r="BB33" s="116"/>
      <c r="BC33" s="116"/>
      <c r="BD33" s="141"/>
      <c r="BE33" s="141"/>
      <c r="BF33" s="141"/>
      <c r="BG33" s="141"/>
      <c r="BH33" s="141"/>
    </row>
    <row r="34" spans="1:60" x14ac:dyDescent="0.2">
      <c r="A34" s="562" t="s">
        <v>66</v>
      </c>
      <c r="B34" s="562" t="s">
        <v>518</v>
      </c>
      <c r="C34" s="562" t="s">
        <v>519</v>
      </c>
      <c r="D34" s="562" t="s">
        <v>26</v>
      </c>
      <c r="E34" s="562" t="s">
        <v>52</v>
      </c>
      <c r="F34" s="562" t="s">
        <v>30</v>
      </c>
      <c r="G34" s="562">
        <v>2010</v>
      </c>
      <c r="H34" s="564">
        <v>20</v>
      </c>
      <c r="I34" s="565">
        <v>6.4905566053083152</v>
      </c>
      <c r="J34" s="770">
        <v>0.8</v>
      </c>
      <c r="K34" s="563">
        <v>1</v>
      </c>
      <c r="L34" s="563">
        <v>1</v>
      </c>
      <c r="M34" s="563">
        <v>0.16</v>
      </c>
      <c r="N34" s="563"/>
      <c r="O34" s="563">
        <v>0.18</v>
      </c>
      <c r="P34" s="690"/>
      <c r="Q34" s="42">
        <f>RECS!T8</f>
        <v>1017.5392999033267</v>
      </c>
      <c r="R34" s="115">
        <f>Q34/$Q$24</f>
        <v>0.37859440828767049</v>
      </c>
      <c r="S34" s="42">
        <f>S24*$R$34*$J$34/$M$34</f>
        <v>218.95603047121284</v>
      </c>
      <c r="T34" s="42">
        <f>S24*$R$34*$J$34</f>
        <v>35.032964875394057</v>
      </c>
      <c r="U34" s="116">
        <f>$S34*Z$5/$T$5</f>
        <v>64.152366700730397</v>
      </c>
      <c r="V34" s="116">
        <f>$S34*AA$5/$T$5</f>
        <v>30.497570070518314</v>
      </c>
      <c r="W34" s="116">
        <f>$S34*AB$5/$T$5</f>
        <v>54.05020750150981</v>
      </c>
      <c r="X34" s="116">
        <f>$S34*AC$5/$T$5</f>
        <v>14.55410864947973</v>
      </c>
      <c r="Y34" s="116">
        <f>$S34*AD$5/$T$5</f>
        <v>55.875298262828963</v>
      </c>
      <c r="Z34" s="141">
        <f>$T34*Z$5/$T$5</f>
        <v>10.264378672116864</v>
      </c>
      <c r="AA34" s="141">
        <f>$T34*AA$5/$T$5</f>
        <v>4.8796112112829313</v>
      </c>
      <c r="AB34" s="141">
        <f>$T34*AB$5/$T$5</f>
        <v>8.6480332002415707</v>
      </c>
      <c r="AC34" s="141">
        <f>$T34*AC$5/$T$5</f>
        <v>2.3286573839167573</v>
      </c>
      <c r="AD34" s="141">
        <f>$T34*AD$5/$T$5</f>
        <v>8.9400477220526362</v>
      </c>
      <c r="AE34" s="688"/>
      <c r="AF34" s="42">
        <f>RECS!U8</f>
        <v>1005.4930578221267</v>
      </c>
      <c r="AG34" s="115">
        <f>AF34/$AF$24</f>
        <v>0.36952662387370744</v>
      </c>
      <c r="AH34" s="42">
        <f>AH24*$AG$34*$J$34/$M$34</f>
        <v>241.64278130838301</v>
      </c>
      <c r="AI34" s="42">
        <f>AH24*$AG$34*$J$34</f>
        <v>38.662845009341282</v>
      </c>
      <c r="AJ34" s="116">
        <f>$AH34*AO$5/$AI$5</f>
        <v>71.204274464156072</v>
      </c>
      <c r="AK34" s="116">
        <f t="shared" ref="AK34:AM34" si="10">$AH34*AP$5/$AI$5</f>
        <v>34.519136748784184</v>
      </c>
      <c r="AL34" s="116">
        <f t="shared" si="10"/>
        <v>63.262747444918467</v>
      </c>
      <c r="AM34" s="116">
        <f t="shared" si="10"/>
        <v>15.149129038796973</v>
      </c>
      <c r="AN34" s="116">
        <f>$AH34*AS$5/$AI$5</f>
        <v>60.16589381571108</v>
      </c>
      <c r="AO34" s="141">
        <f>$AI34*AO$5/$AI$5</f>
        <v>11.392683914264973</v>
      </c>
      <c r="AP34" s="141">
        <f t="shared" ref="AP34:AR34" si="11">$AI34*AP$5/$AI$5</f>
        <v>5.5230618798054696</v>
      </c>
      <c r="AQ34" s="141">
        <f t="shared" si="11"/>
        <v>10.122039591186956</v>
      </c>
      <c r="AR34" s="141">
        <f t="shared" si="11"/>
        <v>2.4238606462075154</v>
      </c>
      <c r="AS34" s="141">
        <f>$AI34*AS$5/$AI$5</f>
        <v>9.6265430105137728</v>
      </c>
      <c r="AT34" s="691"/>
      <c r="AU34" s="42">
        <f>RECS!V8</f>
        <v>993.44681574092681</v>
      </c>
      <c r="AV34" s="115">
        <f>AU34/$AU$24</f>
        <v>0.36067844787209064</v>
      </c>
      <c r="AW34" s="42">
        <f>AW24*$AV$34*$J$34/$M$34</f>
        <v>238.42922707324675</v>
      </c>
      <c r="AX34" s="42">
        <f>AW24*$AV$34*$J$34</f>
        <v>38.148676331719479</v>
      </c>
      <c r="AY34" s="116">
        <f>$AW34*BD$5/$AX$5</f>
        <v>64.326862031938688</v>
      </c>
      <c r="AZ34" s="116">
        <f t="shared" ref="AZ34:BB34" si="12">$AW34*BE$5/$AX$5</f>
        <v>31.399818967848219</v>
      </c>
      <c r="BA34" s="116">
        <f t="shared" si="12"/>
        <v>54.910196945466097</v>
      </c>
      <c r="BB34" s="116">
        <f t="shared" si="12"/>
        <v>12.970513928185824</v>
      </c>
      <c r="BC34" s="116">
        <f>$AW34*BH$5/$AX$5</f>
        <v>52.840202867798894</v>
      </c>
      <c r="BD34" s="141">
        <f>$AX34*BD$5/$AX$5</f>
        <v>10.292297925110191</v>
      </c>
      <c r="BE34" s="141">
        <f>$AX34*BE$5/$AX$5</f>
        <v>5.0239710348557152</v>
      </c>
      <c r="BF34" s="141">
        <f t="shared" ref="BF34:BH34" si="13">$AX34*BF$5/$AX$5</f>
        <v>8.7856315112745733</v>
      </c>
      <c r="BG34" s="141">
        <f t="shared" si="13"/>
        <v>2.0752822285097317</v>
      </c>
      <c r="BH34" s="141">
        <f t="shared" si="13"/>
        <v>8.4544324588478226</v>
      </c>
    </row>
    <row r="35" spans="1:60" x14ac:dyDescent="0.2">
      <c r="A35" s="562" t="s">
        <v>66</v>
      </c>
      <c r="B35" s="562" t="s">
        <v>689</v>
      </c>
      <c r="C35" s="562" t="s">
        <v>690</v>
      </c>
      <c r="D35" s="562" t="s">
        <v>26</v>
      </c>
      <c r="E35" s="562" t="s">
        <v>52</v>
      </c>
      <c r="F35" s="562" t="s">
        <v>30</v>
      </c>
      <c r="G35" s="562">
        <v>2015</v>
      </c>
      <c r="H35" s="564">
        <v>20</v>
      </c>
      <c r="I35" s="565">
        <v>6.8839236722966968</v>
      </c>
      <c r="J35" s="770">
        <v>0.82</v>
      </c>
      <c r="K35" s="563">
        <v>1</v>
      </c>
      <c r="L35" s="563">
        <v>1</v>
      </c>
      <c r="M35" s="563">
        <v>0.16</v>
      </c>
      <c r="N35" s="563"/>
      <c r="O35" s="563">
        <v>0.18</v>
      </c>
      <c r="P35" s="690"/>
      <c r="Q35" s="42"/>
      <c r="U35" s="116"/>
      <c r="V35" s="116"/>
      <c r="W35" s="116"/>
      <c r="X35" s="116"/>
      <c r="Y35" s="116"/>
      <c r="Z35" s="141"/>
      <c r="AA35" s="141"/>
      <c r="AB35" s="141"/>
      <c r="AC35" s="141"/>
      <c r="AD35" s="141"/>
      <c r="AE35" s="688"/>
      <c r="AJ35" s="116"/>
      <c r="AK35" s="116"/>
      <c r="AL35" s="116"/>
      <c r="AM35" s="116"/>
      <c r="AN35" s="116"/>
      <c r="AO35" s="141"/>
      <c r="AP35" s="141"/>
      <c r="AQ35" s="141"/>
      <c r="AR35" s="141"/>
      <c r="AS35" s="141"/>
      <c r="AT35" s="691"/>
      <c r="AU35" s="42"/>
      <c r="AV35" s="42"/>
      <c r="AY35" s="116"/>
      <c r="AZ35" s="116"/>
      <c r="BA35" s="116"/>
      <c r="BB35" s="116"/>
      <c r="BC35" s="116"/>
      <c r="BD35" s="141"/>
      <c r="BE35" s="141"/>
      <c r="BF35" s="141"/>
      <c r="BG35" s="141"/>
      <c r="BH35" s="141"/>
    </row>
    <row r="36" spans="1:60" x14ac:dyDescent="0.2">
      <c r="A36" s="562" t="s">
        <v>66</v>
      </c>
      <c r="B36" s="562" t="s">
        <v>699</v>
      </c>
      <c r="C36" s="562" t="s">
        <v>700</v>
      </c>
      <c r="D36" s="562" t="s">
        <v>26</v>
      </c>
      <c r="E36" s="562" t="s">
        <v>52</v>
      </c>
      <c r="F36" s="562" t="s">
        <v>30</v>
      </c>
      <c r="G36" s="562">
        <v>2010</v>
      </c>
      <c r="H36" s="564">
        <v>20</v>
      </c>
      <c r="I36" s="565">
        <v>8.3590501735031335</v>
      </c>
      <c r="J36" s="770">
        <v>0.85</v>
      </c>
      <c r="K36" s="563">
        <v>1</v>
      </c>
      <c r="L36" s="563">
        <v>1</v>
      </c>
      <c r="M36" s="563">
        <v>0.16</v>
      </c>
      <c r="N36" s="563"/>
      <c r="O36" s="563">
        <v>0.18</v>
      </c>
      <c r="P36" s="690"/>
      <c r="Q36" s="42"/>
      <c r="U36" s="116"/>
      <c r="V36" s="116"/>
      <c r="W36" s="116"/>
      <c r="X36" s="116"/>
      <c r="Y36" s="116"/>
      <c r="Z36" s="141"/>
      <c r="AA36" s="141"/>
      <c r="AB36" s="141"/>
      <c r="AC36" s="141"/>
      <c r="AD36" s="141"/>
      <c r="AE36" s="688"/>
      <c r="AJ36" s="116"/>
      <c r="AK36" s="116"/>
      <c r="AL36" s="116"/>
      <c r="AM36" s="116"/>
      <c r="AN36" s="116"/>
      <c r="AO36" s="141"/>
      <c r="AP36" s="141"/>
      <c r="AQ36" s="141"/>
      <c r="AR36" s="141"/>
      <c r="AS36" s="141"/>
      <c r="AT36" s="691"/>
      <c r="AU36" s="42"/>
      <c r="AV36" s="42"/>
      <c r="AY36" s="116"/>
      <c r="AZ36" s="116"/>
      <c r="BA36" s="116"/>
      <c r="BB36" s="116"/>
      <c r="BC36" s="116"/>
      <c r="BD36" s="141"/>
      <c r="BE36" s="141"/>
      <c r="BF36" s="141"/>
      <c r="BG36" s="141"/>
      <c r="BH36" s="141"/>
    </row>
    <row r="37" spans="1:60" x14ac:dyDescent="0.2">
      <c r="A37" s="562" t="s">
        <v>66</v>
      </c>
      <c r="B37" s="562" t="s">
        <v>701</v>
      </c>
      <c r="C37" s="562" t="s">
        <v>702</v>
      </c>
      <c r="D37" s="562" t="s">
        <v>26</v>
      </c>
      <c r="E37" s="562" t="s">
        <v>52</v>
      </c>
      <c r="F37" s="562" t="s">
        <v>30</v>
      </c>
      <c r="G37" s="562">
        <v>2010</v>
      </c>
      <c r="H37" s="564">
        <v>20</v>
      </c>
      <c r="I37" s="565">
        <v>7.8673413397676546</v>
      </c>
      <c r="J37" s="770">
        <v>0.98</v>
      </c>
      <c r="K37" s="563">
        <v>1</v>
      </c>
      <c r="L37" s="563">
        <v>1</v>
      </c>
      <c r="M37" s="563">
        <v>0.16</v>
      </c>
      <c r="N37" s="563"/>
      <c r="O37" s="563">
        <v>0.18</v>
      </c>
      <c r="P37" s="690"/>
      <c r="Q37" s="42"/>
      <c r="U37" s="116"/>
      <c r="V37" s="116"/>
      <c r="W37" s="116"/>
      <c r="X37" s="116"/>
      <c r="Y37" s="116"/>
      <c r="Z37" s="141"/>
      <c r="AA37" s="141"/>
      <c r="AB37" s="141"/>
      <c r="AC37" s="141"/>
      <c r="AD37" s="141"/>
      <c r="AE37" s="688"/>
      <c r="AJ37" s="116"/>
      <c r="AK37" s="116"/>
      <c r="AL37" s="116"/>
      <c r="AM37" s="116"/>
      <c r="AN37" s="116"/>
      <c r="AO37" s="141"/>
      <c r="AP37" s="141"/>
      <c r="AQ37" s="141"/>
      <c r="AR37" s="141"/>
      <c r="AS37" s="141"/>
      <c r="AT37" s="691"/>
      <c r="AU37" s="42"/>
      <c r="AV37" s="42"/>
      <c r="AY37" s="116"/>
      <c r="AZ37" s="116"/>
      <c r="BA37" s="116"/>
      <c r="BB37" s="116"/>
      <c r="BC37" s="116"/>
      <c r="BD37" s="141"/>
      <c r="BE37" s="141"/>
      <c r="BF37" s="141"/>
      <c r="BG37" s="141"/>
      <c r="BH37" s="141"/>
    </row>
    <row r="38" spans="1:60" x14ac:dyDescent="0.2">
      <c r="A38" s="561" t="s">
        <v>389</v>
      </c>
      <c r="B38" s="562"/>
      <c r="C38" s="562"/>
      <c r="D38" s="562"/>
      <c r="E38" s="562"/>
      <c r="F38" s="562"/>
      <c r="G38" s="563"/>
      <c r="H38" s="564"/>
      <c r="I38" s="565"/>
      <c r="J38" s="770"/>
      <c r="K38" s="563"/>
      <c r="L38" s="563"/>
      <c r="M38" s="563"/>
      <c r="N38" s="563"/>
      <c r="O38" s="563"/>
      <c r="P38" s="690"/>
      <c r="Q38" s="42"/>
      <c r="U38" s="116"/>
      <c r="V38" s="116"/>
      <c r="W38" s="116"/>
      <c r="X38" s="116"/>
      <c r="Y38" s="116"/>
      <c r="Z38" s="141"/>
      <c r="AA38" s="141"/>
      <c r="AB38" s="141"/>
      <c r="AC38" s="141"/>
      <c r="AD38" s="141"/>
      <c r="AE38" s="688"/>
      <c r="AJ38" s="116"/>
      <c r="AK38" s="116"/>
      <c r="AL38" s="116"/>
      <c r="AM38" s="116"/>
      <c r="AN38" s="116"/>
      <c r="AO38" s="141"/>
      <c r="AP38" s="141"/>
      <c r="AQ38" s="141"/>
      <c r="AR38" s="141"/>
      <c r="AS38" s="141"/>
      <c r="AT38" s="691"/>
      <c r="AU38" s="42"/>
      <c r="AV38" s="42"/>
      <c r="AY38" s="116"/>
      <c r="AZ38" s="116"/>
      <c r="BA38" s="116"/>
      <c r="BB38" s="116"/>
      <c r="BC38" s="116"/>
      <c r="BD38" s="141"/>
      <c r="BE38" s="141"/>
      <c r="BF38" s="141"/>
      <c r="BG38" s="141"/>
      <c r="BH38" s="141"/>
    </row>
    <row r="39" spans="1:60" x14ac:dyDescent="0.2">
      <c r="A39" s="562" t="s">
        <v>66</v>
      </c>
      <c r="B39" s="562" t="s">
        <v>753</v>
      </c>
      <c r="C39" s="562" t="s">
        <v>754</v>
      </c>
      <c r="D39" s="562" t="s">
        <v>26</v>
      </c>
      <c r="E39" s="562" t="s">
        <v>52</v>
      </c>
      <c r="F39" s="562" t="s">
        <v>30</v>
      </c>
      <c r="G39" s="562">
        <v>2005</v>
      </c>
      <c r="H39" s="564">
        <v>15</v>
      </c>
      <c r="I39" s="565"/>
      <c r="J39" s="770">
        <v>1.29999995231628</v>
      </c>
      <c r="K39" s="563">
        <v>1</v>
      </c>
      <c r="L39" s="563">
        <v>1</v>
      </c>
      <c r="M39" s="563">
        <v>0.16</v>
      </c>
      <c r="N39" s="563"/>
      <c r="O39" s="563">
        <v>0.18</v>
      </c>
      <c r="P39" s="690"/>
      <c r="Q39" s="42"/>
      <c r="U39" s="116"/>
      <c r="V39" s="116"/>
      <c r="W39" s="116"/>
      <c r="X39" s="116"/>
      <c r="Y39" s="116"/>
      <c r="Z39" s="141"/>
      <c r="AA39" s="141"/>
      <c r="AB39" s="141"/>
      <c r="AC39" s="141"/>
      <c r="AD39" s="141"/>
      <c r="AE39" s="688"/>
      <c r="AJ39" s="116"/>
      <c r="AK39" s="116"/>
      <c r="AL39" s="116"/>
      <c r="AM39" s="116"/>
      <c r="AN39" s="116"/>
      <c r="AO39" s="141"/>
      <c r="AP39" s="141"/>
      <c r="AQ39" s="141"/>
      <c r="AR39" s="141"/>
      <c r="AS39" s="141"/>
      <c r="AT39" s="691"/>
      <c r="AU39" s="42"/>
      <c r="AV39" s="42"/>
      <c r="AY39" s="116"/>
      <c r="AZ39" s="116"/>
      <c r="BA39" s="116"/>
      <c r="BB39" s="116"/>
      <c r="BC39" s="116"/>
      <c r="BD39" s="141"/>
      <c r="BE39" s="141"/>
      <c r="BF39" s="141"/>
      <c r="BG39" s="141"/>
      <c r="BH39" s="141"/>
    </row>
    <row r="40" spans="1:60" x14ac:dyDescent="0.2">
      <c r="A40" s="562" t="s">
        <v>66</v>
      </c>
      <c r="B40" s="562" t="s">
        <v>755</v>
      </c>
      <c r="C40" s="562" t="s">
        <v>756</v>
      </c>
      <c r="D40" s="562" t="s">
        <v>26</v>
      </c>
      <c r="E40" s="562" t="s">
        <v>52</v>
      </c>
      <c r="F40" s="562" t="s">
        <v>30</v>
      </c>
      <c r="G40" s="562">
        <v>2010</v>
      </c>
      <c r="H40" s="564">
        <v>15</v>
      </c>
      <c r="I40" s="565">
        <v>12.292720843386961</v>
      </c>
      <c r="J40" s="770">
        <v>1.3</v>
      </c>
      <c r="K40" s="563">
        <v>1</v>
      </c>
      <c r="L40" s="563">
        <v>1</v>
      </c>
      <c r="M40" s="563">
        <v>0.16</v>
      </c>
      <c r="N40" s="563"/>
      <c r="O40" s="563">
        <v>0.18</v>
      </c>
      <c r="P40" s="690"/>
      <c r="Q40" s="42"/>
      <c r="U40" s="116"/>
      <c r="V40" s="116"/>
      <c r="W40" s="116"/>
      <c r="X40" s="116"/>
      <c r="Y40" s="116"/>
      <c r="Z40" s="141"/>
      <c r="AA40" s="141"/>
      <c r="AB40" s="141"/>
      <c r="AC40" s="141"/>
      <c r="AD40" s="141"/>
      <c r="AE40" s="688"/>
      <c r="AJ40" s="116"/>
      <c r="AK40" s="116"/>
      <c r="AL40" s="116"/>
      <c r="AM40" s="116"/>
      <c r="AN40" s="116"/>
      <c r="AO40" s="141"/>
      <c r="AP40" s="141"/>
      <c r="AQ40" s="141"/>
      <c r="AR40" s="141"/>
      <c r="AS40" s="141"/>
      <c r="AT40" s="691"/>
      <c r="AU40" s="42"/>
      <c r="AV40" s="42"/>
      <c r="AY40" s="116"/>
      <c r="AZ40" s="116"/>
      <c r="BA40" s="116"/>
      <c r="BB40" s="116"/>
      <c r="BC40" s="116"/>
      <c r="BD40" s="141"/>
      <c r="BE40" s="141"/>
      <c r="BF40" s="141"/>
      <c r="BG40" s="141"/>
      <c r="BH40" s="141"/>
    </row>
    <row r="41" spans="1:60" x14ac:dyDescent="0.2">
      <c r="A41" s="562" t="s">
        <v>66</v>
      </c>
      <c r="B41" s="562" t="s">
        <v>757</v>
      </c>
      <c r="C41" s="562" t="s">
        <v>758</v>
      </c>
      <c r="D41" s="562" t="s">
        <v>26</v>
      </c>
      <c r="E41" s="562" t="s">
        <v>52</v>
      </c>
      <c r="F41" s="562" t="s">
        <v>30</v>
      </c>
      <c r="G41" s="562">
        <v>2020</v>
      </c>
      <c r="H41" s="564">
        <v>15</v>
      </c>
      <c r="I41" s="565">
        <v>12.292720843386961</v>
      </c>
      <c r="J41" s="770">
        <v>1.4</v>
      </c>
      <c r="K41" s="563">
        <v>1</v>
      </c>
      <c r="L41" s="563">
        <v>1</v>
      </c>
      <c r="M41" s="563">
        <v>0.16</v>
      </c>
      <c r="N41" s="563"/>
      <c r="O41" s="563">
        <v>0.18</v>
      </c>
      <c r="P41" s="690"/>
      <c r="Q41" s="42"/>
      <c r="U41" s="116"/>
      <c r="V41" s="116"/>
      <c r="W41" s="116"/>
      <c r="X41" s="116"/>
      <c r="Y41" s="116"/>
      <c r="Z41" s="141"/>
      <c r="AA41" s="141"/>
      <c r="AB41" s="141"/>
      <c r="AC41" s="141"/>
      <c r="AD41" s="141"/>
      <c r="AE41" s="688"/>
      <c r="AJ41" s="116"/>
      <c r="AK41" s="116"/>
      <c r="AL41" s="116"/>
      <c r="AM41" s="116"/>
      <c r="AN41" s="116"/>
      <c r="AO41" s="141"/>
      <c r="AP41" s="141"/>
      <c r="AQ41" s="141"/>
      <c r="AR41" s="141"/>
      <c r="AS41" s="141"/>
      <c r="AT41" s="691"/>
      <c r="AU41" s="42"/>
      <c r="AV41" s="42"/>
      <c r="AY41" s="116"/>
      <c r="AZ41" s="116"/>
      <c r="BA41" s="116"/>
      <c r="BB41" s="116"/>
      <c r="BC41" s="116"/>
      <c r="BD41" s="141"/>
      <c r="BE41" s="141"/>
      <c r="BF41" s="141"/>
      <c r="BG41" s="141"/>
      <c r="BH41" s="141"/>
    </row>
    <row r="42" spans="1:60" x14ac:dyDescent="0.2">
      <c r="A42" s="557" t="s">
        <v>1639</v>
      </c>
      <c r="B42" s="558"/>
      <c r="C42" s="558"/>
      <c r="D42" s="558"/>
      <c r="E42" s="558"/>
      <c r="F42" s="558"/>
      <c r="G42" s="141"/>
      <c r="H42" s="559"/>
      <c r="I42" s="560"/>
      <c r="J42" s="769"/>
      <c r="K42" s="141"/>
      <c r="L42" s="141"/>
      <c r="M42" s="141">
        <f>M44</f>
        <v>0.16</v>
      </c>
      <c r="N42" s="141"/>
      <c r="O42" s="141"/>
      <c r="P42" s="690"/>
      <c r="Q42" s="120">
        <f>SUM(Q43:Q54)</f>
        <v>1266.0309898003643</v>
      </c>
      <c r="R42" s="121" t="s">
        <v>1639</v>
      </c>
      <c r="S42" s="120">
        <f>'Fuel Share'!D43</f>
        <v>47.524844182978718</v>
      </c>
      <c r="T42" s="120"/>
      <c r="U42" s="120"/>
      <c r="V42" s="120"/>
      <c r="W42" s="120"/>
      <c r="X42" s="120"/>
      <c r="Y42" s="120"/>
      <c r="Z42" s="120"/>
      <c r="AA42" s="120"/>
      <c r="AB42" s="120"/>
      <c r="AC42" s="120"/>
      <c r="AD42" s="120"/>
      <c r="AE42" s="688"/>
      <c r="AF42" s="120">
        <f>SUM(AF43:AF54)</f>
        <v>1030.2573129529951</v>
      </c>
      <c r="AG42" s="121" t="s">
        <v>1639</v>
      </c>
      <c r="AH42" s="120">
        <f>'Fuel Share'!N43</f>
        <v>31.133695189501747</v>
      </c>
      <c r="AI42" s="120"/>
      <c r="AJ42" s="120"/>
      <c r="AK42" s="120"/>
      <c r="AL42" s="120"/>
      <c r="AM42" s="120"/>
      <c r="AN42" s="120"/>
      <c r="AO42" s="120"/>
      <c r="AP42" s="120"/>
      <c r="AQ42" s="120"/>
      <c r="AR42" s="120"/>
      <c r="AS42" s="120"/>
      <c r="AT42" s="691"/>
      <c r="AU42" s="120">
        <f>SUM(AU43:AU54)</f>
        <v>794.48363610562558</v>
      </c>
      <c r="AV42" s="121" t="s">
        <v>1639</v>
      </c>
      <c r="AW42" s="120">
        <f>'Fuel Share'!X43</f>
        <v>16.671603818267311</v>
      </c>
      <c r="AX42" s="120"/>
      <c r="AY42" s="120"/>
      <c r="AZ42" s="120"/>
      <c r="BA42" s="120"/>
      <c r="BB42" s="120"/>
      <c r="BC42" s="120"/>
      <c r="BD42" s="120"/>
      <c r="BE42" s="120"/>
      <c r="BF42" s="120"/>
      <c r="BG42" s="120"/>
      <c r="BH42" s="120"/>
    </row>
    <row r="43" spans="1:60" x14ac:dyDescent="0.2">
      <c r="A43" s="561" t="s">
        <v>381</v>
      </c>
      <c r="B43" s="562"/>
      <c r="C43" s="562"/>
      <c r="D43" s="562"/>
      <c r="E43" s="562"/>
      <c r="F43" s="562"/>
      <c r="G43" s="563"/>
      <c r="H43" s="564"/>
      <c r="I43" s="565"/>
      <c r="J43" s="770"/>
      <c r="K43" s="563"/>
      <c r="L43" s="563"/>
      <c r="M43" s="563"/>
      <c r="N43" s="563"/>
      <c r="O43" s="563"/>
      <c r="P43" s="690"/>
      <c r="Q43" s="42"/>
      <c r="U43" s="116"/>
      <c r="V43" s="116"/>
      <c r="W43" s="116"/>
      <c r="X43" s="116"/>
      <c r="Y43" s="116"/>
      <c r="Z43" s="141"/>
      <c r="AA43" s="141"/>
      <c r="AB43" s="141"/>
      <c r="AC43" s="141"/>
      <c r="AD43" s="141"/>
      <c r="AE43" s="688"/>
      <c r="AG43" s="115"/>
      <c r="AJ43" s="116"/>
      <c r="AK43" s="116"/>
      <c r="AL43" s="116"/>
      <c r="AM43" s="116"/>
      <c r="AN43" s="116"/>
      <c r="AO43" s="141"/>
      <c r="AP43" s="141"/>
      <c r="AQ43" s="141"/>
      <c r="AR43" s="141"/>
      <c r="AS43" s="141"/>
      <c r="AT43" s="691"/>
      <c r="AU43" s="42"/>
      <c r="AV43" s="115"/>
      <c r="AY43" s="116"/>
      <c r="AZ43" s="116"/>
      <c r="BA43" s="116"/>
      <c r="BB43" s="116"/>
      <c r="BC43" s="116"/>
      <c r="BD43" s="141"/>
      <c r="BE43" s="141"/>
      <c r="BF43" s="141"/>
      <c r="BG43" s="141"/>
      <c r="BH43" s="141"/>
    </row>
    <row r="44" spans="1:60" x14ac:dyDescent="0.2">
      <c r="A44" s="562" t="s">
        <v>66</v>
      </c>
      <c r="B44" s="562" t="s">
        <v>725</v>
      </c>
      <c r="C44" s="562" t="s">
        <v>726</v>
      </c>
      <c r="D44" s="562" t="s">
        <v>26</v>
      </c>
      <c r="E44" s="562" t="s">
        <v>56</v>
      </c>
      <c r="F44" s="562" t="s">
        <v>30</v>
      </c>
      <c r="G44" s="562">
        <v>2005</v>
      </c>
      <c r="H44" s="564">
        <v>20</v>
      </c>
      <c r="I44" s="565"/>
      <c r="J44" s="770">
        <v>0.81739997863769498</v>
      </c>
      <c r="K44" s="563">
        <v>1</v>
      </c>
      <c r="L44" s="563">
        <v>1</v>
      </c>
      <c r="M44" s="563">
        <v>0.16</v>
      </c>
      <c r="N44" s="563"/>
      <c r="O44" s="563">
        <v>0.45</v>
      </c>
      <c r="P44" s="690"/>
      <c r="U44" s="116"/>
      <c r="V44" s="116"/>
      <c r="W44" s="116"/>
      <c r="X44" s="116"/>
      <c r="Y44" s="116"/>
      <c r="Z44" s="141"/>
      <c r="AA44" s="141"/>
      <c r="AB44" s="141"/>
      <c r="AC44" s="141"/>
      <c r="AD44" s="141"/>
      <c r="AE44" s="688"/>
      <c r="AF44" s="30"/>
      <c r="AG44" s="115"/>
      <c r="AJ44" s="116"/>
      <c r="AK44" s="116"/>
      <c r="AL44" s="116"/>
      <c r="AM44" s="116"/>
      <c r="AN44" s="116"/>
      <c r="AO44" s="141"/>
      <c r="AP44" s="141"/>
      <c r="AQ44" s="141"/>
      <c r="AR44" s="141"/>
      <c r="AS44" s="141"/>
      <c r="AT44" s="691"/>
      <c r="AV44" s="115"/>
      <c r="AY44" s="116"/>
      <c r="AZ44" s="116"/>
      <c r="BA44" s="116"/>
      <c r="BB44" s="116"/>
      <c r="BC44" s="116"/>
      <c r="BD44" s="141"/>
      <c r="BE44" s="141"/>
      <c r="BF44" s="141"/>
      <c r="BG44" s="141"/>
      <c r="BH44" s="141"/>
    </row>
    <row r="45" spans="1:60" x14ac:dyDescent="0.2">
      <c r="A45" s="562" t="s">
        <v>66</v>
      </c>
      <c r="B45" s="562" t="s">
        <v>523</v>
      </c>
      <c r="C45" s="562" t="s">
        <v>524</v>
      </c>
      <c r="D45" s="562" t="s">
        <v>26</v>
      </c>
      <c r="E45" s="562" t="s">
        <v>56</v>
      </c>
      <c r="F45" s="562" t="s">
        <v>30</v>
      </c>
      <c r="G45" s="562">
        <v>2010</v>
      </c>
      <c r="H45" s="564">
        <v>20</v>
      </c>
      <c r="I45" s="565">
        <v>6.3922148385612205</v>
      </c>
      <c r="J45" s="770">
        <f>TechData_DMD!J21</f>
        <v>0.8</v>
      </c>
      <c r="K45" s="563">
        <v>1</v>
      </c>
      <c r="L45" s="563">
        <v>1</v>
      </c>
      <c r="M45" s="563">
        <v>0.16</v>
      </c>
      <c r="N45" s="563"/>
      <c r="O45" s="563">
        <v>0.45</v>
      </c>
      <c r="P45" s="690"/>
      <c r="Q45" s="42">
        <f>RECS!T9</f>
        <v>381.260924539477</v>
      </c>
      <c r="R45" s="115">
        <f>Q45/$Q$42</f>
        <v>0.30114659720896453</v>
      </c>
      <c r="S45" s="42">
        <f>S42*$R$45*$J$45/$M$45</f>
        <v>71.559725542951469</v>
      </c>
      <c r="T45" s="42">
        <f>S42*$R$45*$J$45</f>
        <v>11.449556086872235</v>
      </c>
      <c r="U45" s="116">
        <f>$S45*Z$5/$T$5</f>
        <v>20.966427570665196</v>
      </c>
      <c r="V45" s="116">
        <f>$S45*AA$5/$T$5</f>
        <v>9.9672876754136794</v>
      </c>
      <c r="W45" s="116">
        <f>$S45*AB$5/$T$5</f>
        <v>17.664816109534552</v>
      </c>
      <c r="X45" s="116">
        <f>$S45*AC$5/$T$5</f>
        <v>4.7566080652708713</v>
      </c>
      <c r="Y45" s="116">
        <f>$S45*AD$5/$T$5</f>
        <v>18.261296570428485</v>
      </c>
      <c r="Z45" s="141">
        <f>$T45*Z$5/$T$5</f>
        <v>3.3546284113064315</v>
      </c>
      <c r="AA45" s="141">
        <f>$T45*AA$5/$T$5</f>
        <v>1.5947660280661888</v>
      </c>
      <c r="AB45" s="141">
        <f>$T45*AB$5/$T$5</f>
        <v>2.8263705775255281</v>
      </c>
      <c r="AC45" s="141">
        <f>$T45*AC$5/$T$5</f>
        <v>0.76105729044333936</v>
      </c>
      <c r="AD45" s="141">
        <f>$T45*AD$5/$T$5</f>
        <v>2.9218074512685575</v>
      </c>
      <c r="AE45" s="688"/>
      <c r="AF45" s="42">
        <f>RECS!U9</f>
        <v>435.60329004029597</v>
      </c>
      <c r="AG45" s="115">
        <f>AF45/$AF$42</f>
        <v>0.42281018980757296</v>
      </c>
      <c r="AH45" s="42">
        <f>AH42*$AG$45*$J$45/$M$45</f>
        <v>65.818217862421776</v>
      </c>
      <c r="AI45" s="42">
        <f>AH42*$AG$45*$J$45</f>
        <v>10.530914857987485</v>
      </c>
      <c r="AJ45" s="116">
        <f>$AH45*AO$5/$AI$5</f>
        <v>19.394489767259255</v>
      </c>
      <c r="AK45" s="116">
        <f>$AH45*AP$5/$AI$5</f>
        <v>9.4022591970364324</v>
      </c>
      <c r="AL45" s="116">
        <f>$AH45*AQ$5/$AI$5</f>
        <v>17.231391193892698</v>
      </c>
      <c r="AM45" s="116">
        <f t="shared" ref="AM45:AN45" si="14">$AH45*AR$5/$AI$5</f>
        <v>4.1262920005419117</v>
      </c>
      <c r="AN45" s="116">
        <f t="shared" si="14"/>
        <v>16.387875878634521</v>
      </c>
      <c r="AO45" s="141">
        <f>$AI45*AO$5/$AI$5</f>
        <v>3.1031183627614807</v>
      </c>
      <c r="AP45" s="141">
        <f t="shared" ref="AP45:AR45" si="15">$AI45*AP$5/$AI$5</f>
        <v>1.5043614715258291</v>
      </c>
      <c r="AQ45" s="141">
        <f t="shared" si="15"/>
        <v>2.7570225910228321</v>
      </c>
      <c r="AR45" s="141">
        <f t="shared" si="15"/>
        <v>0.66020672008670578</v>
      </c>
      <c r="AS45" s="141">
        <f>$AI45*AS$5/$AI$5</f>
        <v>2.6220601405815236</v>
      </c>
      <c r="AT45" s="691"/>
      <c r="AU45" s="42">
        <f>RECS!V9</f>
        <v>489.94565554111489</v>
      </c>
      <c r="AV45" s="115">
        <f>AU45/$AU$42</f>
        <v>0.61668438879712462</v>
      </c>
      <c r="AW45" s="42">
        <f>AW42*$AV$45*$J$45/$M$45</f>
        <v>51.405589054679922</v>
      </c>
      <c r="AX45" s="42">
        <f>AW42*$AV$45*$J$45</f>
        <v>8.2248942487487877</v>
      </c>
      <c r="AY45" s="116">
        <f>$AW45*BD$5/$AX$5</f>
        <v>13.868938281526527</v>
      </c>
      <c r="AZ45" s="116">
        <f>$AW45*BE$5/$AX$5</f>
        <v>6.7698335898924045</v>
      </c>
      <c r="BA45" s="116">
        <f t="shared" ref="BA45:BB45" si="16">$AW45*BF$5/$AX$5</f>
        <v>11.838695506163868</v>
      </c>
      <c r="BB45" s="116">
        <f t="shared" si="16"/>
        <v>2.7964562776336614</v>
      </c>
      <c r="BC45" s="116">
        <f>$AW45*BH$5/$AX$5</f>
        <v>11.392402632557848</v>
      </c>
      <c r="BD45" s="141">
        <f>$AX45*BD$5/$AX$5</f>
        <v>2.2190301250442448</v>
      </c>
      <c r="BE45" s="141">
        <f t="shared" ref="BE45:BH45" si="17">$AX45*BE$5/$AX$5</f>
        <v>1.0831733743827847</v>
      </c>
      <c r="BF45" s="141">
        <f t="shared" si="17"/>
        <v>1.8941912809862189</v>
      </c>
      <c r="BG45" s="141">
        <f t="shared" si="17"/>
        <v>0.44743300442138584</v>
      </c>
      <c r="BH45" s="141">
        <f t="shared" si="17"/>
        <v>1.8227844212092559</v>
      </c>
    </row>
    <row r="46" spans="1:60" x14ac:dyDescent="0.2">
      <c r="A46" s="562" t="s">
        <v>66</v>
      </c>
      <c r="B46" s="562" t="s">
        <v>727</v>
      </c>
      <c r="C46" s="562" t="s">
        <v>728</v>
      </c>
      <c r="D46" s="562" t="s">
        <v>26</v>
      </c>
      <c r="E46" s="562" t="s">
        <v>56</v>
      </c>
      <c r="F46" s="562" t="s">
        <v>30</v>
      </c>
      <c r="G46" s="562">
        <v>2015</v>
      </c>
      <c r="H46" s="564">
        <v>20</v>
      </c>
      <c r="I46" s="565">
        <v>6.8839236722966968</v>
      </c>
      <c r="J46" s="770">
        <v>0.83</v>
      </c>
      <c r="K46" s="563">
        <v>1</v>
      </c>
      <c r="L46" s="563">
        <v>1</v>
      </c>
      <c r="M46" s="563">
        <v>0.16</v>
      </c>
      <c r="N46" s="563"/>
      <c r="O46" s="563">
        <v>0.45</v>
      </c>
      <c r="P46" s="690"/>
      <c r="U46" s="116"/>
      <c r="V46" s="116"/>
      <c r="W46" s="116"/>
      <c r="X46" s="116"/>
      <c r="Y46" s="116"/>
      <c r="Z46" s="141"/>
      <c r="AA46" s="141"/>
      <c r="AB46" s="141"/>
      <c r="AC46" s="141"/>
      <c r="AD46" s="141"/>
      <c r="AE46" s="688"/>
      <c r="AF46" s="30"/>
      <c r="AG46" s="115"/>
      <c r="AJ46" s="116"/>
      <c r="AK46" s="116"/>
      <c r="AL46" s="116"/>
      <c r="AM46" s="116"/>
      <c r="AN46" s="116"/>
      <c r="AO46" s="141"/>
      <c r="AP46" s="141"/>
      <c r="AQ46" s="141"/>
      <c r="AR46" s="141"/>
      <c r="AS46" s="141"/>
      <c r="AT46" s="691"/>
      <c r="AV46" s="115"/>
      <c r="AY46" s="116"/>
      <c r="AZ46" s="116"/>
      <c r="BA46" s="116"/>
      <c r="BB46" s="116"/>
      <c r="BC46" s="116"/>
      <c r="BD46" s="141"/>
      <c r="BE46" s="141"/>
      <c r="BF46" s="141"/>
      <c r="BG46" s="141"/>
      <c r="BH46" s="141"/>
    </row>
    <row r="47" spans="1:60" x14ac:dyDescent="0.2">
      <c r="A47" s="562" t="s">
        <v>66</v>
      </c>
      <c r="B47" s="562" t="s">
        <v>729</v>
      </c>
      <c r="C47" s="562" t="s">
        <v>730</v>
      </c>
      <c r="D47" s="562" t="s">
        <v>26</v>
      </c>
      <c r="E47" s="562" t="s">
        <v>56</v>
      </c>
      <c r="F47" s="562" t="s">
        <v>30</v>
      </c>
      <c r="G47" s="562">
        <v>2010</v>
      </c>
      <c r="H47" s="564">
        <v>20</v>
      </c>
      <c r="I47" s="565">
        <v>9.3424678409740913</v>
      </c>
      <c r="J47" s="770">
        <v>0.85</v>
      </c>
      <c r="K47" s="563">
        <v>1</v>
      </c>
      <c r="L47" s="563">
        <v>1</v>
      </c>
      <c r="M47" s="563">
        <v>0.16</v>
      </c>
      <c r="N47" s="563"/>
      <c r="O47" s="563">
        <v>0.45</v>
      </c>
      <c r="P47" s="690"/>
      <c r="Q47" s="42"/>
      <c r="U47" s="116"/>
      <c r="V47" s="116"/>
      <c r="W47" s="116"/>
      <c r="X47" s="116"/>
      <c r="Y47" s="116"/>
      <c r="Z47" s="141"/>
      <c r="AA47" s="141"/>
      <c r="AB47" s="141"/>
      <c r="AC47" s="141"/>
      <c r="AD47" s="141"/>
      <c r="AE47" s="688"/>
      <c r="AG47" s="115"/>
      <c r="AJ47" s="116"/>
      <c r="AK47" s="116"/>
      <c r="AL47" s="116"/>
      <c r="AM47" s="116"/>
      <c r="AN47" s="116"/>
      <c r="AO47" s="141"/>
      <c r="AP47" s="141"/>
      <c r="AQ47" s="141"/>
      <c r="AR47" s="141"/>
      <c r="AS47" s="141"/>
      <c r="AT47" s="691"/>
      <c r="AU47" s="42"/>
      <c r="AV47" s="115"/>
      <c r="AY47" s="116"/>
      <c r="AZ47" s="116"/>
      <c r="BA47" s="116"/>
      <c r="BB47" s="116"/>
      <c r="BC47" s="116"/>
      <c r="BD47" s="141"/>
      <c r="BE47" s="141"/>
      <c r="BF47" s="141"/>
      <c r="BG47" s="141"/>
      <c r="BH47" s="141"/>
    </row>
    <row r="48" spans="1:60" x14ac:dyDescent="0.2">
      <c r="A48" s="562" t="s">
        <v>66</v>
      </c>
      <c r="B48" s="562" t="s">
        <v>731</v>
      </c>
      <c r="C48" s="562" t="s">
        <v>732</v>
      </c>
      <c r="D48" s="562" t="s">
        <v>26</v>
      </c>
      <c r="E48" s="562" t="s">
        <v>56</v>
      </c>
      <c r="F48" s="562" t="s">
        <v>30</v>
      </c>
      <c r="G48" s="562">
        <v>2010</v>
      </c>
      <c r="H48" s="564">
        <v>20</v>
      </c>
      <c r="I48" s="565">
        <v>9.3424678409740913</v>
      </c>
      <c r="J48" s="770">
        <v>0.98</v>
      </c>
      <c r="K48" s="563">
        <v>1</v>
      </c>
      <c r="L48" s="563">
        <v>1</v>
      </c>
      <c r="M48" s="563">
        <v>0.16</v>
      </c>
      <c r="N48" s="563"/>
      <c r="O48" s="563">
        <v>0.45</v>
      </c>
      <c r="P48" s="690"/>
      <c r="Q48" s="42"/>
      <c r="U48" s="116"/>
      <c r="V48" s="116"/>
      <c r="W48" s="116"/>
      <c r="X48" s="116"/>
      <c r="Y48" s="116"/>
      <c r="Z48" s="141"/>
      <c r="AA48" s="141"/>
      <c r="AB48" s="141"/>
      <c r="AC48" s="141"/>
      <c r="AD48" s="141"/>
      <c r="AE48" s="688"/>
      <c r="AG48" s="115"/>
      <c r="AJ48" s="116"/>
      <c r="AK48" s="116"/>
      <c r="AL48" s="116"/>
      <c r="AM48" s="116"/>
      <c r="AN48" s="116"/>
      <c r="AO48" s="141"/>
      <c r="AP48" s="141"/>
      <c r="AQ48" s="141"/>
      <c r="AR48" s="141"/>
      <c r="AS48" s="141"/>
      <c r="AT48" s="691"/>
      <c r="AU48" s="42"/>
      <c r="AV48" s="115"/>
      <c r="AY48" s="116"/>
      <c r="AZ48" s="116"/>
      <c r="BA48" s="116"/>
      <c r="BB48" s="116"/>
      <c r="BC48" s="116"/>
      <c r="BD48" s="141"/>
      <c r="BE48" s="141"/>
      <c r="BF48" s="141"/>
      <c r="BG48" s="141"/>
      <c r="BH48" s="141"/>
    </row>
    <row r="49" spans="1:60" x14ac:dyDescent="0.2">
      <c r="A49" s="561" t="s">
        <v>382</v>
      </c>
      <c r="B49" s="562"/>
      <c r="C49" s="562"/>
      <c r="D49" s="562"/>
      <c r="E49" s="562"/>
      <c r="F49" s="562"/>
      <c r="G49" s="563"/>
      <c r="H49" s="564"/>
      <c r="I49" s="565"/>
      <c r="J49" s="770"/>
      <c r="K49" s="563"/>
      <c r="L49" s="563"/>
      <c r="M49" s="563"/>
      <c r="N49" s="563"/>
      <c r="O49" s="563"/>
      <c r="P49" s="690"/>
      <c r="Q49" s="42"/>
      <c r="U49" s="116"/>
      <c r="V49" s="116"/>
      <c r="W49" s="116"/>
      <c r="X49" s="116"/>
      <c r="Y49" s="116"/>
      <c r="Z49" s="141"/>
      <c r="AA49" s="141"/>
      <c r="AB49" s="141"/>
      <c r="AC49" s="141"/>
      <c r="AD49" s="141"/>
      <c r="AE49" s="688"/>
      <c r="AG49" s="115"/>
      <c r="AJ49" s="116"/>
      <c r="AK49" s="116"/>
      <c r="AL49" s="116"/>
      <c r="AM49" s="116"/>
      <c r="AN49" s="116"/>
      <c r="AO49" s="141"/>
      <c r="AP49" s="141"/>
      <c r="AQ49" s="141"/>
      <c r="AR49" s="141"/>
      <c r="AS49" s="141"/>
      <c r="AT49" s="691"/>
      <c r="AU49" s="42"/>
      <c r="AV49" s="115"/>
      <c r="AY49" s="116"/>
      <c r="AZ49" s="116"/>
      <c r="BA49" s="116"/>
      <c r="BB49" s="116"/>
      <c r="BC49" s="116"/>
      <c r="BD49" s="141"/>
      <c r="BE49" s="141"/>
      <c r="BF49" s="141"/>
      <c r="BG49" s="141"/>
      <c r="BH49" s="141"/>
    </row>
    <row r="50" spans="1:60" x14ac:dyDescent="0.2">
      <c r="A50" s="562" t="s">
        <v>66</v>
      </c>
      <c r="B50" s="562" t="s">
        <v>733</v>
      </c>
      <c r="C50" s="562" t="s">
        <v>734</v>
      </c>
      <c r="D50" s="562" t="s">
        <v>26</v>
      </c>
      <c r="E50" s="562" t="s">
        <v>56</v>
      </c>
      <c r="F50" s="562" t="s">
        <v>30</v>
      </c>
      <c r="G50" s="562">
        <v>2005</v>
      </c>
      <c r="H50" s="564">
        <v>20</v>
      </c>
      <c r="I50" s="565"/>
      <c r="J50" s="770">
        <v>0.8</v>
      </c>
      <c r="K50" s="563">
        <v>1</v>
      </c>
      <c r="L50" s="563">
        <v>1</v>
      </c>
      <c r="M50" s="563">
        <v>0.16</v>
      </c>
      <c r="N50" s="563"/>
      <c r="O50" s="563">
        <v>0.45</v>
      </c>
      <c r="P50" s="690"/>
      <c r="U50" s="116"/>
      <c r="V50" s="116"/>
      <c r="W50" s="116"/>
      <c r="X50" s="116"/>
      <c r="Y50" s="116"/>
      <c r="Z50" s="141"/>
      <c r="AA50" s="141"/>
      <c r="AB50" s="141"/>
      <c r="AC50" s="141"/>
      <c r="AD50" s="141"/>
      <c r="AE50" s="688"/>
      <c r="AF50" s="30"/>
      <c r="AG50" s="115"/>
      <c r="AJ50" s="116"/>
      <c r="AK50" s="116"/>
      <c r="AL50" s="116"/>
      <c r="AM50" s="116"/>
      <c r="AN50" s="116"/>
      <c r="AO50" s="141"/>
      <c r="AP50" s="141"/>
      <c r="AQ50" s="141"/>
      <c r="AR50" s="141"/>
      <c r="AS50" s="141"/>
      <c r="AT50" s="691"/>
      <c r="AV50" s="115"/>
      <c r="AY50" s="116"/>
      <c r="AZ50" s="116"/>
      <c r="BA50" s="116"/>
      <c r="BB50" s="116"/>
      <c r="BC50" s="116"/>
      <c r="BD50" s="141"/>
      <c r="BE50" s="141"/>
      <c r="BF50" s="141"/>
      <c r="BG50" s="141"/>
      <c r="BH50" s="141"/>
    </row>
    <row r="51" spans="1:60" x14ac:dyDescent="0.2">
      <c r="A51" s="562" t="s">
        <v>66</v>
      </c>
      <c r="B51" s="562" t="s">
        <v>526</v>
      </c>
      <c r="C51" s="562" t="s">
        <v>527</v>
      </c>
      <c r="D51" s="562" t="s">
        <v>26</v>
      </c>
      <c r="E51" s="562" t="s">
        <v>56</v>
      </c>
      <c r="F51" s="562" t="s">
        <v>30</v>
      </c>
      <c r="G51" s="562">
        <v>2010</v>
      </c>
      <c r="H51" s="564">
        <v>20</v>
      </c>
      <c r="I51" s="565">
        <v>9.0146619518171054</v>
      </c>
      <c r="J51" s="770">
        <v>0.8</v>
      </c>
      <c r="K51" s="563">
        <v>1</v>
      </c>
      <c r="L51" s="563">
        <v>1</v>
      </c>
      <c r="M51" s="563">
        <v>0.16</v>
      </c>
      <c r="N51" s="563"/>
      <c r="O51" s="563">
        <v>0.45</v>
      </c>
      <c r="P51" s="690"/>
      <c r="Q51" s="42">
        <f>RECS!T10</f>
        <v>884.77006526088735</v>
      </c>
      <c r="R51" s="115">
        <f>Q51/$Q$42</f>
        <v>0.69885340279103547</v>
      </c>
      <c r="S51" s="42">
        <f>S42*$R$51*$J$51/$M$51</f>
        <v>166.06449537194212</v>
      </c>
      <c r="T51" s="42">
        <f>S42*$R$51*$J$51</f>
        <v>26.57031925951074</v>
      </c>
      <c r="U51" s="116">
        <f>$S51*Z$5/$T$5</f>
        <v>48.655569705686787</v>
      </c>
      <c r="V51" s="116">
        <f>$S51*AA$5/$T$5</f>
        <v>23.130505119825557</v>
      </c>
      <c r="W51" s="116">
        <f>$S51*AB$5/$T$5</f>
        <v>40.993711907227322</v>
      </c>
      <c r="X51" s="116">
        <f>$S51*AC$5/$T$5</f>
        <v>11.038383840183991</v>
      </c>
      <c r="Y51" s="116">
        <f>$S51*AD$5/$T$5</f>
        <v>42.377929440008671</v>
      </c>
      <c r="Z51" s="141">
        <f>$T51*Z$5/$T$5</f>
        <v>7.7848911529098865</v>
      </c>
      <c r="AA51" s="141">
        <f>$T51*AA$5/$T$5</f>
        <v>3.7008808191720894</v>
      </c>
      <c r="AB51" s="141">
        <f>$T51*AB$5/$T$5</f>
        <v>6.5589939051563722</v>
      </c>
      <c r="AC51" s="141">
        <f>$T51*AC$5/$T$5</f>
        <v>1.7661414144294387</v>
      </c>
      <c r="AD51" s="141">
        <f>$T51*AD$5/$T$5</f>
        <v>6.7804687104013865</v>
      </c>
      <c r="AE51" s="688"/>
      <c r="AF51" s="42">
        <f>RECS!U10</f>
        <v>594.65402291269902</v>
      </c>
      <c r="AG51" s="115">
        <f>AF51/$AF$42</f>
        <v>0.57718981019242688</v>
      </c>
      <c r="AH51" s="42">
        <f>AH42*$AG$51*$J$51/$M$51</f>
        <v>89.850258085086935</v>
      </c>
      <c r="AI51" s="42">
        <f>AH42*$AG$51*$J$51</f>
        <v>14.376041293613909</v>
      </c>
      <c r="AJ51" s="116">
        <f>$AH51*AO$5/$AI$5</f>
        <v>26.475950999757178</v>
      </c>
      <c r="AK51" s="116">
        <f t="shared" ref="AK51:AM51" si="18">$AH51*AP$5/$AI$5</f>
        <v>12.835282432023016</v>
      </c>
      <c r="AL51" s="116">
        <f t="shared" si="18"/>
        <v>23.523045688848825</v>
      </c>
      <c r="AM51" s="116">
        <f t="shared" si="18"/>
        <v>5.6329146127609651</v>
      </c>
      <c r="AN51" s="116">
        <f>$AH51*AS$5/$AI$5</f>
        <v>22.371539749671122</v>
      </c>
      <c r="AO51" s="141">
        <f>$AI51*AO$5/$AI$5</f>
        <v>4.236152159961148</v>
      </c>
      <c r="AP51" s="141">
        <f t="shared" ref="AP51:AR51" si="19">$AI51*AP$5/$AI$5</f>
        <v>2.0536451891236824</v>
      </c>
      <c r="AQ51" s="141">
        <f t="shared" si="19"/>
        <v>3.7636873102158117</v>
      </c>
      <c r="AR51" s="141">
        <f t="shared" si="19"/>
        <v>0.90126633804175438</v>
      </c>
      <c r="AS51" s="141">
        <f>$AI51*AS$5/$AI$5</f>
        <v>3.5794463599473794</v>
      </c>
      <c r="AT51" s="691"/>
      <c r="AU51" s="42">
        <f>RECS!V10</f>
        <v>304.53798056451069</v>
      </c>
      <c r="AV51" s="115">
        <f>AU51/$AU$42</f>
        <v>0.38331561120287538</v>
      </c>
      <c r="AW51" s="42">
        <f>AW42*$AV$51*$J$51/$M$51</f>
        <v>31.952430036656626</v>
      </c>
      <c r="AX51" s="42">
        <f>AW42*$AV$51*$J$51</f>
        <v>5.1123888058650602</v>
      </c>
      <c r="AY51" s="116">
        <f>$AW51*BD$5/$AX$5</f>
        <v>8.6205855875284723</v>
      </c>
      <c r="AZ51" s="116">
        <f t="shared" ref="AZ51:BB51" si="20">$AW51*BE$5/$AX$5</f>
        <v>4.2079594479649698</v>
      </c>
      <c r="BA51" s="116">
        <f t="shared" si="20"/>
        <v>7.3586373941481824</v>
      </c>
      <c r="BB51" s="116">
        <f t="shared" si="20"/>
        <v>1.7382073662576598</v>
      </c>
      <c r="BC51" s="116">
        <f>$AW51*BH$5/$AX$5</f>
        <v>7.0812328923811405</v>
      </c>
      <c r="BD51" s="141">
        <f>$AX51*BD$5/$AX$5</f>
        <v>1.3792936940045557</v>
      </c>
      <c r="BE51" s="141">
        <f t="shared" ref="BE51:BH51" si="21">$AX51*BE$5/$AX$5</f>
        <v>0.67327351167439531</v>
      </c>
      <c r="BF51" s="141">
        <f t="shared" si="21"/>
        <v>1.1773819830637091</v>
      </c>
      <c r="BG51" s="141">
        <f t="shared" si="21"/>
        <v>0.27811317860122559</v>
      </c>
      <c r="BH51" s="141">
        <f t="shared" si="21"/>
        <v>1.1329972627809826</v>
      </c>
    </row>
    <row r="52" spans="1:60" x14ac:dyDescent="0.2">
      <c r="A52" s="562" t="s">
        <v>66</v>
      </c>
      <c r="B52" s="562" t="s">
        <v>735</v>
      </c>
      <c r="C52" s="562" t="s">
        <v>736</v>
      </c>
      <c r="D52" s="562" t="s">
        <v>26</v>
      </c>
      <c r="E52" s="562" t="s">
        <v>56</v>
      </c>
      <c r="F52" s="562" t="s">
        <v>30</v>
      </c>
      <c r="G52" s="562">
        <v>2015</v>
      </c>
      <c r="H52" s="564">
        <v>20</v>
      </c>
      <c r="I52" s="565">
        <v>9.5610051004120802</v>
      </c>
      <c r="J52" s="770">
        <v>0.85</v>
      </c>
      <c r="K52" s="563">
        <v>1</v>
      </c>
      <c r="L52" s="563">
        <v>1</v>
      </c>
      <c r="M52" s="563">
        <v>0.16</v>
      </c>
      <c r="N52" s="563"/>
      <c r="O52" s="563">
        <v>0.45</v>
      </c>
      <c r="P52" s="690"/>
      <c r="Q52" s="42"/>
      <c r="U52" s="116"/>
      <c r="V52" s="116"/>
      <c r="W52" s="116"/>
      <c r="X52" s="116"/>
      <c r="Y52" s="116"/>
      <c r="Z52" s="141"/>
      <c r="AA52" s="141"/>
      <c r="AB52" s="141"/>
      <c r="AC52" s="141"/>
      <c r="AD52" s="141"/>
      <c r="AE52" s="688"/>
      <c r="AJ52" s="116"/>
      <c r="AK52" s="116"/>
      <c r="AL52" s="116"/>
      <c r="AM52" s="116"/>
      <c r="AN52" s="116"/>
      <c r="AO52" s="141"/>
      <c r="AP52" s="141"/>
      <c r="AQ52" s="141"/>
      <c r="AR52" s="141"/>
      <c r="AS52" s="141"/>
      <c r="AT52" s="691"/>
      <c r="AU52" s="42"/>
      <c r="AV52" s="42"/>
      <c r="AY52" s="116"/>
      <c r="AZ52" s="116"/>
      <c r="BA52" s="116"/>
      <c r="BB52" s="116"/>
      <c r="BC52" s="116"/>
      <c r="BD52" s="141"/>
      <c r="BE52" s="141"/>
      <c r="BF52" s="141"/>
      <c r="BG52" s="141"/>
      <c r="BH52" s="141"/>
    </row>
    <row r="53" spans="1:60" x14ac:dyDescent="0.2">
      <c r="A53" s="562" t="s">
        <v>66</v>
      </c>
      <c r="B53" s="562" t="s">
        <v>737</v>
      </c>
      <c r="C53" s="562" t="s">
        <v>738</v>
      </c>
      <c r="D53" s="562" t="s">
        <v>26</v>
      </c>
      <c r="E53" s="562" t="s">
        <v>56</v>
      </c>
      <c r="F53" s="562" t="s">
        <v>30</v>
      </c>
      <c r="G53" s="562">
        <v>2010</v>
      </c>
      <c r="H53" s="564">
        <v>20</v>
      </c>
      <c r="I53" s="565">
        <v>11.60979190764324</v>
      </c>
      <c r="J53" s="770">
        <v>0.85</v>
      </c>
      <c r="K53" s="563">
        <v>1</v>
      </c>
      <c r="L53" s="563">
        <v>1</v>
      </c>
      <c r="M53" s="563">
        <v>0.16</v>
      </c>
      <c r="N53" s="563"/>
      <c r="O53" s="563">
        <v>0.45</v>
      </c>
      <c r="P53" s="690"/>
      <c r="Q53" s="42"/>
      <c r="U53" s="116"/>
      <c r="V53" s="116"/>
      <c r="W53" s="116"/>
      <c r="X53" s="116"/>
      <c r="Y53" s="116"/>
      <c r="Z53" s="141"/>
      <c r="AA53" s="141"/>
      <c r="AB53" s="141"/>
      <c r="AC53" s="141"/>
      <c r="AD53" s="141"/>
      <c r="AE53" s="688"/>
      <c r="AJ53" s="116"/>
      <c r="AK53" s="116"/>
      <c r="AL53" s="116"/>
      <c r="AM53" s="116"/>
      <c r="AN53" s="116"/>
      <c r="AO53" s="141"/>
      <c r="AP53" s="141"/>
      <c r="AQ53" s="141"/>
      <c r="AR53" s="141"/>
      <c r="AS53" s="141"/>
      <c r="AT53" s="691"/>
      <c r="AU53" s="42"/>
      <c r="AV53" s="42"/>
      <c r="AY53" s="116"/>
      <c r="AZ53" s="116"/>
      <c r="BA53" s="116"/>
      <c r="BB53" s="116"/>
      <c r="BC53" s="116"/>
      <c r="BD53" s="141"/>
      <c r="BE53" s="141"/>
      <c r="BF53" s="141"/>
      <c r="BG53" s="141"/>
      <c r="BH53" s="141"/>
    </row>
    <row r="54" spans="1:60" x14ac:dyDescent="0.2">
      <c r="A54" s="562" t="s">
        <v>66</v>
      </c>
      <c r="B54" s="562" t="s">
        <v>739</v>
      </c>
      <c r="C54" s="562" t="s">
        <v>740</v>
      </c>
      <c r="D54" s="562" t="s">
        <v>26</v>
      </c>
      <c r="E54" s="562" t="s">
        <v>56</v>
      </c>
      <c r="F54" s="562" t="s">
        <v>30</v>
      </c>
      <c r="G54" s="562">
        <v>2010</v>
      </c>
      <c r="H54" s="564">
        <v>20</v>
      </c>
      <c r="I54" s="565">
        <v>10.926862971899521</v>
      </c>
      <c r="J54" s="770">
        <v>0.98</v>
      </c>
      <c r="K54" s="563">
        <v>1</v>
      </c>
      <c r="L54" s="563">
        <v>1</v>
      </c>
      <c r="M54" s="563">
        <v>0.16</v>
      </c>
      <c r="N54" s="563"/>
      <c r="O54" s="563">
        <v>0.45</v>
      </c>
      <c r="P54" s="690"/>
      <c r="Q54" s="42"/>
      <c r="U54" s="116"/>
      <c r="V54" s="116"/>
      <c r="W54" s="116"/>
      <c r="X54" s="116"/>
      <c r="Y54" s="116"/>
      <c r="Z54" s="141"/>
      <c r="AA54" s="141"/>
      <c r="AB54" s="141"/>
      <c r="AC54" s="141"/>
      <c r="AD54" s="141"/>
      <c r="AE54" s="688"/>
      <c r="AJ54" s="116"/>
      <c r="AK54" s="116"/>
      <c r="AL54" s="116"/>
      <c r="AM54" s="116"/>
      <c r="AN54" s="116"/>
      <c r="AO54" s="141"/>
      <c r="AP54" s="141"/>
      <c r="AQ54" s="141"/>
      <c r="AR54" s="141"/>
      <c r="AS54" s="141"/>
      <c r="AT54" s="691"/>
      <c r="AU54" s="42"/>
      <c r="AV54" s="42"/>
      <c r="AY54" s="116"/>
      <c r="AZ54" s="116"/>
      <c r="BA54" s="116"/>
      <c r="BB54" s="116"/>
      <c r="BC54" s="116"/>
      <c r="BD54" s="141"/>
      <c r="BE54" s="141"/>
      <c r="BF54" s="141"/>
      <c r="BG54" s="141"/>
      <c r="BH54" s="141"/>
    </row>
    <row r="55" spans="1:60" x14ac:dyDescent="0.2">
      <c r="A55" s="557" t="s">
        <v>1640</v>
      </c>
      <c r="B55" s="558"/>
      <c r="C55" s="558"/>
      <c r="D55" s="558"/>
      <c r="E55" s="558"/>
      <c r="F55" s="558"/>
      <c r="G55" s="141"/>
      <c r="H55" s="559"/>
      <c r="I55" s="560"/>
      <c r="J55" s="769"/>
      <c r="K55" s="141"/>
      <c r="L55" s="141"/>
      <c r="M55" s="141">
        <f>M60</f>
        <v>0.15</v>
      </c>
      <c r="N55" s="141"/>
      <c r="O55" s="141"/>
      <c r="P55" s="690"/>
      <c r="Q55" s="120">
        <f>'Fuel Share'!D44</f>
        <v>5.235072826300315</v>
      </c>
      <c r="R55" s="121" t="s">
        <v>1640</v>
      </c>
      <c r="S55" s="120">
        <f>'Fuel Share'!D44</f>
        <v>5.235072826300315</v>
      </c>
      <c r="T55" s="120"/>
      <c r="U55" s="120"/>
      <c r="V55" s="120"/>
      <c r="W55" s="120"/>
      <c r="X55" s="120"/>
      <c r="Y55" s="120"/>
      <c r="Z55" s="120"/>
      <c r="AA55" s="120"/>
      <c r="AB55" s="120"/>
      <c r="AC55" s="120"/>
      <c r="AD55" s="120"/>
      <c r="AE55" s="691"/>
      <c r="AF55" s="120">
        <f>'Fuel Share'!N44</f>
        <v>5.2100849806060632</v>
      </c>
      <c r="AG55" s="121" t="s">
        <v>1640</v>
      </c>
      <c r="AH55" s="120">
        <f>'Fuel Share'!N44</f>
        <v>5.2100849806060632</v>
      </c>
      <c r="AI55" s="120"/>
      <c r="AJ55" s="120"/>
      <c r="AK55" s="120"/>
      <c r="AL55" s="120"/>
      <c r="AM55" s="120"/>
      <c r="AN55" s="120"/>
      <c r="AO55" s="120"/>
      <c r="AP55" s="120"/>
      <c r="AQ55" s="120"/>
      <c r="AR55" s="120"/>
      <c r="AS55" s="120"/>
      <c r="AT55" s="691"/>
      <c r="AU55" s="120">
        <f>'Fuel Share'!X44</f>
        <v>4.6904669644114865</v>
      </c>
      <c r="AV55" s="121" t="s">
        <v>1640</v>
      </c>
      <c r="AW55" s="120">
        <f>'Fuel Share'!X44</f>
        <v>4.6904669644114865</v>
      </c>
      <c r="AX55" s="120"/>
      <c r="AY55" s="120"/>
      <c r="AZ55" s="120"/>
      <c r="BA55" s="120"/>
      <c r="BB55" s="120"/>
      <c r="BC55" s="120"/>
      <c r="BD55" s="120"/>
      <c r="BE55" s="120"/>
      <c r="BF55" s="120"/>
      <c r="BG55" s="120"/>
      <c r="BH55" s="120"/>
    </row>
    <row r="56" spans="1:60" x14ac:dyDescent="0.2">
      <c r="A56" s="562" t="str">
        <f>TechData_DMD!A25</f>
        <v>R4</v>
      </c>
      <c r="B56" s="563" t="str">
        <f>TechData_DMD!B25</f>
        <v>RSHNUTIBOI</v>
      </c>
      <c r="C56" s="563" t="str">
        <f>TechData_DMD!C25</f>
        <v>RSH.NG.UTILITY.BOILER</v>
      </c>
      <c r="D56" s="563" t="str">
        <f>TechData_DMD!D25</f>
        <v>PJ</v>
      </c>
      <c r="E56" s="563" t="str">
        <f>TechData_DMD!E25</f>
        <v>RESSTNB</v>
      </c>
      <c r="F56" s="563" t="str">
        <f>TechData_DMD!F25</f>
        <v>RSH</v>
      </c>
      <c r="G56" s="566">
        <f>TechData_DMD!G25</f>
        <v>2010</v>
      </c>
      <c r="H56" s="564">
        <f>TechData_DMD!H25</f>
        <v>30</v>
      </c>
      <c r="I56" s="565">
        <f>TechData_DMD!I25</f>
        <v>2.5215837627460433</v>
      </c>
      <c r="J56" s="770">
        <f>TechData_DMD!J25</f>
        <v>0.78</v>
      </c>
      <c r="K56" s="563">
        <v>1</v>
      </c>
      <c r="L56" s="563">
        <v>1</v>
      </c>
      <c r="M56" s="563">
        <v>0.16</v>
      </c>
      <c r="N56" s="563"/>
      <c r="O56" s="563">
        <v>0.18</v>
      </c>
      <c r="P56" s="690"/>
      <c r="Q56" s="42">
        <f>Q55*R56</f>
        <v>2.2480743738450384</v>
      </c>
      <c r="R56" s="706">
        <f>DmdCalc!R11</f>
        <v>0.42942561611578911</v>
      </c>
      <c r="S56" s="42">
        <f>$S$55*R56/J56/M56</f>
        <v>18.013416457091651</v>
      </c>
      <c r="T56" s="42">
        <f>S56*R56*J56</f>
        <v>6.0336295191407645</v>
      </c>
      <c r="U56" s="116">
        <v>0</v>
      </c>
      <c r="V56" s="116">
        <v>0</v>
      </c>
      <c r="W56" s="116">
        <f>S56</f>
        <v>18.013416457091651</v>
      </c>
      <c r="X56" s="116">
        <v>0</v>
      </c>
      <c r="Y56" s="116">
        <v>0</v>
      </c>
      <c r="Z56" s="141">
        <v>0</v>
      </c>
      <c r="AA56" s="141">
        <v>0</v>
      </c>
      <c r="AB56" s="141">
        <f>T56</f>
        <v>6.0336295191407645</v>
      </c>
      <c r="AC56" s="141">
        <v>0</v>
      </c>
      <c r="AD56" s="141">
        <v>0</v>
      </c>
      <c r="AE56" s="688"/>
      <c r="AF56" s="42">
        <f>AF55*AG56</f>
        <v>2.237343952812378</v>
      </c>
      <c r="AG56" s="706">
        <f>DmdCalc!R11</f>
        <v>0.42942561611578911</v>
      </c>
      <c r="AH56" s="42">
        <f>$AH$55*$AG$56/J56/M56</f>
        <v>17.927435519329951</v>
      </c>
      <c r="AI56" s="42">
        <f>AH56*R56*J56</f>
        <v>6.00483003374619</v>
      </c>
      <c r="AJ56" s="116">
        <v>0</v>
      </c>
      <c r="AK56" s="116">
        <v>0</v>
      </c>
      <c r="AL56" s="116">
        <f>AH56</f>
        <v>17.927435519329951</v>
      </c>
      <c r="AM56" s="116">
        <v>0</v>
      </c>
      <c r="AN56" s="116">
        <v>0</v>
      </c>
      <c r="AO56" s="141">
        <v>0</v>
      </c>
      <c r="AP56" s="141">
        <v>0</v>
      </c>
      <c r="AQ56" s="141">
        <f>AI56</f>
        <v>6.00483003374619</v>
      </c>
      <c r="AR56" s="141">
        <v>0</v>
      </c>
      <c r="AS56" s="141">
        <v>0</v>
      </c>
      <c r="AT56" s="691"/>
      <c r="AU56" s="42">
        <f>AU55*AV56</f>
        <v>2.0142066660631577</v>
      </c>
      <c r="AV56" s="706">
        <f>DmdCalc!R11</f>
        <v>0.42942561611578911</v>
      </c>
      <c r="AW56" s="42">
        <f>$AW$55*AV56/J56/M56</f>
        <v>16.139476490890686</v>
      </c>
      <c r="AX56" s="42">
        <f>AW56*AV56*J56</f>
        <v>5.4059496159918812</v>
      </c>
      <c r="AY56" s="116">
        <v>0</v>
      </c>
      <c r="AZ56" s="116">
        <v>0</v>
      </c>
      <c r="BA56" s="116">
        <f>AW56</f>
        <v>16.139476490890686</v>
      </c>
      <c r="BB56" s="116">
        <v>0</v>
      </c>
      <c r="BC56" s="116">
        <v>0</v>
      </c>
      <c r="BD56" s="141">
        <v>0</v>
      </c>
      <c r="BE56" s="141">
        <v>0</v>
      </c>
      <c r="BF56" s="141">
        <f>AX56</f>
        <v>5.4059496159918812</v>
      </c>
      <c r="BG56" s="141">
        <v>0</v>
      </c>
      <c r="BH56" s="141">
        <v>0</v>
      </c>
    </row>
    <row r="57" spans="1:60" x14ac:dyDescent="0.2">
      <c r="A57" s="562" t="str">
        <f>TechData_DMD!A26</f>
        <v>R4</v>
      </c>
      <c r="B57" s="563" t="str">
        <f>TechData_DMD!B26</f>
        <v>RSHNUTICHP</v>
      </c>
      <c r="C57" s="563" t="str">
        <f>TechData_DMD!C26</f>
        <v>RSH.NG.UTILITY.CHP</v>
      </c>
      <c r="D57" s="563" t="str">
        <f>TechData_DMD!D26</f>
        <v>PJ</v>
      </c>
      <c r="E57" s="563" t="str">
        <f>TechData_DMD!E26</f>
        <v>RESSTNUC</v>
      </c>
      <c r="F57" s="563" t="str">
        <f>TechData_DMD!F26</f>
        <v>RSH</v>
      </c>
      <c r="G57" s="566">
        <f>TechData_DMD!G26</f>
        <v>2010</v>
      </c>
      <c r="H57" s="564">
        <f>TechData_DMD!H26</f>
        <v>30</v>
      </c>
      <c r="I57" s="565">
        <f>TechData_DMD!I26</f>
        <v>2.5215837627460433</v>
      </c>
      <c r="J57" s="770">
        <f>TechData_DMD!J26</f>
        <v>0.78</v>
      </c>
      <c r="K57" s="563">
        <v>1</v>
      </c>
      <c r="L57" s="563">
        <v>1</v>
      </c>
      <c r="M57" s="563">
        <v>0.16</v>
      </c>
      <c r="N57" s="563"/>
      <c r="O57" s="563">
        <v>0.18</v>
      </c>
      <c r="P57" s="690"/>
      <c r="Q57" s="42">
        <f>Q55*R57</f>
        <v>2.9826742395749481</v>
      </c>
      <c r="R57" s="706">
        <f>DmdCalc!R12</f>
        <v>0.56974837572275716</v>
      </c>
      <c r="S57" s="42">
        <f>$S$55*R57/J57/M57</f>
        <v>23.899633329927468</v>
      </c>
      <c r="T57" s="42">
        <f>S57*R57*J57</f>
        <v>10.621086270674603</v>
      </c>
      <c r="U57" s="116">
        <v>0</v>
      </c>
      <c r="V57" s="116">
        <v>0</v>
      </c>
      <c r="W57" s="116">
        <f t="shared" ref="W57:W58" si="22">S57</f>
        <v>23.899633329927468</v>
      </c>
      <c r="X57" s="116">
        <v>0</v>
      </c>
      <c r="Y57" s="116">
        <v>0</v>
      </c>
      <c r="Z57" s="141">
        <v>0</v>
      </c>
      <c r="AA57" s="141">
        <v>0</v>
      </c>
      <c r="AB57" s="141">
        <f t="shared" ref="AB57:AB58" si="23">T57</f>
        <v>10.621086270674603</v>
      </c>
      <c r="AC57" s="141">
        <v>0</v>
      </c>
      <c r="AD57" s="141">
        <v>0</v>
      </c>
      <c r="AE57" s="688"/>
      <c r="AF57" s="42">
        <f>AF55*AG57</f>
        <v>2.9684374550778374</v>
      </c>
      <c r="AG57" s="706">
        <f>DmdCalc!R12</f>
        <v>0.56974837572275716</v>
      </c>
      <c r="AH57" s="42">
        <f>$AH$55*$AG$57/J57/M57</f>
        <v>23.785556531072412</v>
      </c>
      <c r="AI57" s="42">
        <f>AH57*R57*J57</f>
        <v>10.570390115407454</v>
      </c>
      <c r="AJ57" s="116">
        <v>0</v>
      </c>
      <c r="AK57" s="116">
        <v>0</v>
      </c>
      <c r="AL57" s="116">
        <f>AH57</f>
        <v>23.785556531072412</v>
      </c>
      <c r="AM57" s="116">
        <v>0</v>
      </c>
      <c r="AN57" s="116">
        <v>0</v>
      </c>
      <c r="AO57" s="141">
        <v>0</v>
      </c>
      <c r="AP57" s="141">
        <v>0</v>
      </c>
      <c r="AQ57" s="141">
        <f t="shared" ref="AQ57:AQ58" si="24">AI57</f>
        <v>10.570390115407454</v>
      </c>
      <c r="AR57" s="141">
        <v>0</v>
      </c>
      <c r="AS57" s="141">
        <v>0</v>
      </c>
      <c r="AT57" s="691"/>
      <c r="AU57" s="42">
        <f>AU55*AV57</f>
        <v>2.6723859343546956</v>
      </c>
      <c r="AV57" s="706">
        <f>DmdCalc!R12</f>
        <v>0.56974837572275716</v>
      </c>
      <c r="AW57" s="42">
        <f>$AW$55*AV57/J57/M57</f>
        <v>21.413348832970318</v>
      </c>
      <c r="AX57" s="42">
        <f>AW57*AV57*J57</f>
        <v>9.5161721587683168</v>
      </c>
      <c r="AY57" s="116">
        <v>0</v>
      </c>
      <c r="AZ57" s="116">
        <v>0</v>
      </c>
      <c r="BA57" s="116">
        <f>AW57</f>
        <v>21.413348832970318</v>
      </c>
      <c r="BB57" s="116">
        <v>0</v>
      </c>
      <c r="BC57" s="116">
        <v>0</v>
      </c>
      <c r="BD57" s="141">
        <v>0</v>
      </c>
      <c r="BE57" s="141">
        <v>0</v>
      </c>
      <c r="BF57" s="141">
        <f>AX57</f>
        <v>9.5161721587683168</v>
      </c>
      <c r="BG57" s="141">
        <v>0</v>
      </c>
      <c r="BH57" s="141">
        <v>0</v>
      </c>
    </row>
    <row r="58" spans="1:60" x14ac:dyDescent="0.2">
      <c r="A58" s="562" t="str">
        <f>TechData_DMD!A27</f>
        <v>R4</v>
      </c>
      <c r="B58" s="563" t="str">
        <f>TechData_DMD!B27</f>
        <v>RSHBUTICHP</v>
      </c>
      <c r="C58" s="563" t="str">
        <f>TechData_DMD!C27</f>
        <v>RSH.DSL.UTILITY.CHP</v>
      </c>
      <c r="D58" s="563" t="str">
        <f>TechData_DMD!D27</f>
        <v>PJ</v>
      </c>
      <c r="E58" s="563" t="str">
        <f>TechData_DMD!E27</f>
        <v>RESSTBUC</v>
      </c>
      <c r="F58" s="563" t="str">
        <f>TechData_DMD!F27</f>
        <v>RSH</v>
      </c>
      <c r="G58" s="566">
        <f>TechData_DMD!G27</f>
        <v>2010</v>
      </c>
      <c r="H58" s="564">
        <f>TechData_DMD!H27</f>
        <v>30</v>
      </c>
      <c r="I58" s="565">
        <f>TechData_DMD!I27</f>
        <v>2.5215837627460433</v>
      </c>
      <c r="J58" s="770">
        <f>TechData_DMD!J27</f>
        <v>0.78</v>
      </c>
      <c r="K58" s="563">
        <v>1</v>
      </c>
      <c r="L58" s="563">
        <v>1</v>
      </c>
      <c r="M58" s="563">
        <v>0.16</v>
      </c>
      <c r="N58" s="563"/>
      <c r="O58" s="563">
        <v>0.18</v>
      </c>
      <c r="P58" s="690"/>
      <c r="Q58" s="42">
        <f>Q55*R58</f>
        <v>4.3242128803289374E-3</v>
      </c>
      <c r="R58" s="706">
        <f>DmdCalc!R13</f>
        <v>8.2600816145377432E-4</v>
      </c>
      <c r="S58" s="42">
        <f>$S$55*R58*J58/M58</f>
        <v>2.1080537791603571E-2</v>
      </c>
      <c r="T58" s="42">
        <f>S58*R58*J58</f>
        <v>1.3581903085685432E-5</v>
      </c>
      <c r="U58" s="116">
        <v>0</v>
      </c>
      <c r="V58" s="116">
        <v>0</v>
      </c>
      <c r="W58" s="116">
        <f t="shared" si="22"/>
        <v>2.1080537791603571E-2</v>
      </c>
      <c r="X58" s="116">
        <v>0</v>
      </c>
      <c r="Y58" s="116">
        <v>0</v>
      </c>
      <c r="Z58" s="141">
        <v>0</v>
      </c>
      <c r="AA58" s="141">
        <v>0</v>
      </c>
      <c r="AB58" s="141">
        <f t="shared" si="23"/>
        <v>1.3581903085685432E-5</v>
      </c>
      <c r="AC58" s="141">
        <v>0</v>
      </c>
      <c r="AD58" s="141">
        <v>0</v>
      </c>
      <c r="AE58" s="688"/>
      <c r="AF58" s="42">
        <f>AF55*AG58</f>
        <v>4.3035727158483375E-3</v>
      </c>
      <c r="AG58" s="706">
        <f>DmdCalc!R13</f>
        <v>8.2600816145377432E-4</v>
      </c>
      <c r="AH58" s="42">
        <f>$AH$55*$AG$58*J58/M58</f>
        <v>2.0979916989760646E-2</v>
      </c>
      <c r="AI58" s="42">
        <f>AH58*R58*J58</f>
        <v>1.3517074474928697E-5</v>
      </c>
      <c r="AJ58" s="116">
        <v>0</v>
      </c>
      <c r="AK58" s="116">
        <v>0</v>
      </c>
      <c r="AL58" s="116">
        <f t="shared" ref="AL58" si="25">AH58</f>
        <v>2.0979916989760646E-2</v>
      </c>
      <c r="AM58" s="116">
        <v>0</v>
      </c>
      <c r="AN58" s="116">
        <v>0</v>
      </c>
      <c r="AO58" s="141">
        <v>0</v>
      </c>
      <c r="AP58" s="141">
        <v>0</v>
      </c>
      <c r="AQ58" s="141">
        <f t="shared" si="24"/>
        <v>1.3517074474928697E-5</v>
      </c>
      <c r="AR58" s="141">
        <v>0</v>
      </c>
      <c r="AS58" s="141">
        <v>0</v>
      </c>
      <c r="AT58" s="691"/>
      <c r="AU58" s="42">
        <f>AU55*AV58</f>
        <v>3.8743639936331979E-3</v>
      </c>
      <c r="AV58" s="706">
        <f>DmdCalc!R13</f>
        <v>8.2600816145377432E-4</v>
      </c>
      <c r="AW58" s="42">
        <f>$AW$55*AV58/J58/M58</f>
        <v>3.1044583282317292E-2</v>
      </c>
      <c r="AX58" s="42">
        <f>AW58*AV58*J58</f>
        <v>2.0001601744897878E-5</v>
      </c>
      <c r="AY58" s="116">
        <v>0</v>
      </c>
      <c r="AZ58" s="116">
        <v>0</v>
      </c>
      <c r="BA58" s="116">
        <f t="shared" ref="BA58" si="26">AW58</f>
        <v>3.1044583282317292E-2</v>
      </c>
      <c r="BB58" s="116">
        <v>0</v>
      </c>
      <c r="BC58" s="116">
        <v>0</v>
      </c>
      <c r="BD58" s="141">
        <v>0</v>
      </c>
      <c r="BE58" s="141">
        <v>0</v>
      </c>
      <c r="BF58" s="141">
        <f t="shared" ref="BF58" si="27">AX58</f>
        <v>2.0001601744897878E-5</v>
      </c>
      <c r="BG58" s="141">
        <v>0</v>
      </c>
      <c r="BH58" s="141">
        <v>0</v>
      </c>
    </row>
    <row r="59" spans="1:60" x14ac:dyDescent="0.2">
      <c r="A59" s="570" t="s">
        <v>390</v>
      </c>
      <c r="B59" s="570"/>
      <c r="C59" s="570"/>
      <c r="D59" s="570"/>
      <c r="E59" s="570"/>
      <c r="F59" s="570"/>
      <c r="G59" s="572"/>
      <c r="H59" s="573"/>
      <c r="I59" s="574"/>
      <c r="J59" s="771"/>
      <c r="K59" s="572"/>
      <c r="L59" s="572"/>
      <c r="M59" s="572"/>
      <c r="N59" s="572"/>
      <c r="O59" s="572"/>
      <c r="P59" s="690"/>
      <c r="Q59" s="114"/>
      <c r="R59" s="117"/>
      <c r="S59" s="114"/>
      <c r="T59" s="139">
        <f>SUM(T61:T97)</f>
        <v>26.73781317925657</v>
      </c>
      <c r="U59" s="139"/>
      <c r="V59" s="139"/>
      <c r="W59" s="139"/>
      <c r="X59" s="139"/>
      <c r="Y59" s="139"/>
      <c r="Z59" s="148">
        <f>CommData_DMD!E7</f>
        <v>9.4272319831982347</v>
      </c>
      <c r="AA59" s="148">
        <f>CommData_DMD!E17</f>
        <v>4.7126374385079268</v>
      </c>
      <c r="AB59" s="148">
        <f>CommData_DMD!E27</f>
        <v>7.2268707069529157</v>
      </c>
      <c r="AC59" s="148">
        <f>CommData_DMD!E37</f>
        <v>1.7162586523850034</v>
      </c>
      <c r="AD59" s="148">
        <f>CommData_DMD!E47</f>
        <v>8.2274756098464561</v>
      </c>
      <c r="AE59" s="690"/>
      <c r="AF59" s="145"/>
      <c r="AG59" s="145"/>
      <c r="AH59" s="114"/>
      <c r="AI59" s="139">
        <f>SUM(AI61:AI97)</f>
        <v>25.758991976514512</v>
      </c>
      <c r="AJ59" s="139"/>
      <c r="AK59" s="139"/>
      <c r="AL59" s="139"/>
      <c r="AM59" s="139"/>
      <c r="AN59" s="139"/>
      <c r="AO59" s="148">
        <f>CommData_DMD!F7</f>
        <v>9.204185431130627</v>
      </c>
      <c r="AP59" s="148">
        <f>CommData_DMD!F17</f>
        <v>4.6812322639707036</v>
      </c>
      <c r="AQ59" s="148">
        <f>CommData_DMD!F27</f>
        <v>7.6093011065555238</v>
      </c>
      <c r="AR59" s="148">
        <f>CommData_DMD!F37</f>
        <v>1.6990831292414978</v>
      </c>
      <c r="AS59" s="148">
        <f>CommData_DMD!F47</f>
        <v>7.8913426578929222</v>
      </c>
      <c r="AT59" s="691"/>
      <c r="AU59" s="145"/>
      <c r="AV59" s="145"/>
      <c r="AW59" s="114"/>
      <c r="AX59" s="139">
        <f>SUM(AX61:AX97)</f>
        <v>23.852634942491591</v>
      </c>
      <c r="AY59" s="139"/>
      <c r="AZ59" s="139"/>
      <c r="BA59" s="139"/>
      <c r="BB59" s="139"/>
      <c r="BC59" s="139"/>
      <c r="BD59" s="148">
        <f>CommData_DMD!G7</f>
        <v>9.6137311281182765</v>
      </c>
      <c r="BE59" s="148">
        <f>CommData_DMD!G17</f>
        <v>4.9571109111086002</v>
      </c>
      <c r="BF59" s="148">
        <f>CommData_DMD!G27</f>
        <v>7.336496003973954</v>
      </c>
      <c r="BG59" s="148">
        <f>CommData_DMD!G37</f>
        <v>1.5939976522518144</v>
      </c>
      <c r="BH59" s="148">
        <f>CommData_DMD!G47</f>
        <v>7.7895634513932333</v>
      </c>
    </row>
    <row r="60" spans="1:60" x14ac:dyDescent="0.2">
      <c r="A60" s="558" t="s">
        <v>51</v>
      </c>
      <c r="B60" s="558"/>
      <c r="C60" s="558"/>
      <c r="D60" s="558"/>
      <c r="E60" s="558"/>
      <c r="F60" s="558"/>
      <c r="G60" s="141"/>
      <c r="H60" s="559"/>
      <c r="I60" s="560"/>
      <c r="J60" s="769"/>
      <c r="K60" s="141"/>
      <c r="L60" s="141"/>
      <c r="M60" s="141">
        <f>M62</f>
        <v>0.15</v>
      </c>
      <c r="N60" s="141"/>
      <c r="O60" s="141"/>
      <c r="P60" s="690"/>
      <c r="Q60" s="120">
        <f>SUM(Q61:Q92)</f>
        <v>675.85650380457298</v>
      </c>
      <c r="R60" s="121" t="s">
        <v>51</v>
      </c>
      <c r="S60" s="120">
        <f>'Fuel Share'!F41</f>
        <v>9.3429548342598547</v>
      </c>
      <c r="T60" s="120"/>
      <c r="U60" s="120"/>
      <c r="V60" s="120"/>
      <c r="W60" s="120"/>
      <c r="X60" s="120"/>
      <c r="Y60" s="120"/>
      <c r="Z60" s="149">
        <f>SUM(Z61:Z97)</f>
        <v>9.4272319831982347</v>
      </c>
      <c r="AA60" s="149">
        <f t="shared" ref="AA60:AD60" si="28">SUM(AA61:AA97)</f>
        <v>4.7126374385079268</v>
      </c>
      <c r="AB60" s="149">
        <f t="shared" si="28"/>
        <v>7.2268707069529166</v>
      </c>
      <c r="AC60" s="149">
        <f t="shared" si="28"/>
        <v>1.7162586523850036</v>
      </c>
      <c r="AD60" s="149">
        <f t="shared" si="28"/>
        <v>8.2274756098464561</v>
      </c>
      <c r="AE60" s="692"/>
      <c r="AF60" s="120">
        <f>SUM(AF61:AF92)</f>
        <v>838.19049582116554</v>
      </c>
      <c r="AG60" s="121" t="s">
        <v>51</v>
      </c>
      <c r="AH60" s="120">
        <f>'Fuel Share'!P41</f>
        <v>9.0320703075139654</v>
      </c>
      <c r="AI60" s="120"/>
      <c r="AJ60" s="120"/>
      <c r="AK60" s="120"/>
      <c r="AL60" s="120"/>
      <c r="AM60" s="120"/>
      <c r="AN60" s="120"/>
      <c r="AO60" s="149">
        <f>SUM(AO61:AO97)</f>
        <v>9.204185431130627</v>
      </c>
      <c r="AP60" s="149">
        <f t="shared" ref="AP60:AS60" si="29">SUM(AP61:AP97)</f>
        <v>4.6812322639707027</v>
      </c>
      <c r="AQ60" s="149">
        <f t="shared" si="29"/>
        <v>7.6093011065555229</v>
      </c>
      <c r="AR60" s="149">
        <f t="shared" si="29"/>
        <v>1.6990831292414981</v>
      </c>
      <c r="AS60" s="149">
        <f t="shared" si="29"/>
        <v>7.8913426578929222</v>
      </c>
      <c r="AT60" s="691"/>
      <c r="AU60" s="120">
        <f>SUM(AU61:AU92)</f>
        <v>1000.5244878377584</v>
      </c>
      <c r="AV60" s="121" t="s">
        <v>51</v>
      </c>
      <c r="AW60" s="120">
        <f>'Fuel Share'!Z41</f>
        <v>8.3832237024801746</v>
      </c>
      <c r="AX60" s="120"/>
      <c r="AY60" s="120"/>
      <c r="AZ60" s="120"/>
      <c r="BA60" s="120"/>
      <c r="BB60" s="120"/>
      <c r="BC60" s="120"/>
      <c r="BD60" s="149">
        <f>SUM(BD61:BD97)</f>
        <v>9.6137311281182765</v>
      </c>
      <c r="BE60" s="149">
        <f t="shared" ref="BE60:BH60" si="30">SUM(BE61:BE97)</f>
        <v>4.9571109111086011</v>
      </c>
      <c r="BF60" s="149">
        <f t="shared" si="30"/>
        <v>7.336496003973954</v>
      </c>
      <c r="BG60" s="149">
        <f t="shared" si="30"/>
        <v>1.5939976522518144</v>
      </c>
      <c r="BH60" s="149">
        <f t="shared" si="30"/>
        <v>7.7895634513932333</v>
      </c>
    </row>
    <row r="61" spans="1:60" x14ac:dyDescent="0.2">
      <c r="A61" s="561" t="s">
        <v>391</v>
      </c>
      <c r="B61" s="562"/>
      <c r="C61" s="562"/>
      <c r="D61" s="562"/>
      <c r="E61" s="562"/>
      <c r="F61" s="562"/>
      <c r="G61" s="563"/>
      <c r="H61" s="564"/>
      <c r="I61" s="565"/>
      <c r="J61" s="770"/>
      <c r="K61" s="563"/>
      <c r="L61" s="563"/>
      <c r="M61" s="563"/>
      <c r="N61" s="563"/>
      <c r="O61" s="563"/>
      <c r="P61" s="690"/>
      <c r="Q61" s="42"/>
      <c r="U61" s="116"/>
      <c r="V61" s="116"/>
      <c r="W61" s="116"/>
      <c r="X61" s="116"/>
      <c r="Y61" s="116"/>
      <c r="Z61" s="141"/>
      <c r="AA61" s="141"/>
      <c r="AB61" s="141"/>
      <c r="AC61" s="141"/>
      <c r="AD61" s="141"/>
      <c r="AE61" s="692"/>
      <c r="AG61" s="115"/>
      <c r="AJ61" s="116"/>
      <c r="AK61" s="116"/>
      <c r="AL61" s="116"/>
      <c r="AM61" s="116"/>
      <c r="AN61" s="116"/>
      <c r="AO61" s="141"/>
      <c r="AP61" s="141"/>
      <c r="AQ61" s="141"/>
      <c r="AR61" s="141"/>
      <c r="AS61" s="141"/>
      <c r="AT61" s="691"/>
      <c r="AU61" s="42"/>
      <c r="AV61" s="115"/>
      <c r="AY61" s="116"/>
      <c r="AZ61" s="116"/>
      <c r="BA61" s="116"/>
      <c r="BB61" s="116"/>
      <c r="BC61" s="116"/>
      <c r="BD61" s="141"/>
      <c r="BE61" s="141"/>
      <c r="BF61" s="141"/>
      <c r="BG61" s="141"/>
      <c r="BH61" s="141"/>
    </row>
    <row r="62" spans="1:60" x14ac:dyDescent="0.2">
      <c r="A62" s="562" t="s">
        <v>66</v>
      </c>
      <c r="B62" s="562" t="s">
        <v>773</v>
      </c>
      <c r="C62" s="562" t="s">
        <v>774</v>
      </c>
      <c r="D62" s="562" t="s">
        <v>26</v>
      </c>
      <c r="E62" s="562" t="s">
        <v>47</v>
      </c>
      <c r="F62" s="562" t="s">
        <v>24</v>
      </c>
      <c r="G62" s="562">
        <v>2005</v>
      </c>
      <c r="H62" s="564">
        <v>10</v>
      </c>
      <c r="I62" s="565"/>
      <c r="J62" s="770">
        <v>2.7435958263219513</v>
      </c>
      <c r="K62" s="563">
        <v>1</v>
      </c>
      <c r="L62" s="563">
        <v>1</v>
      </c>
      <c r="M62" s="563">
        <v>0.15</v>
      </c>
      <c r="N62" s="563"/>
      <c r="O62" s="563">
        <v>0.6</v>
      </c>
      <c r="P62" s="690"/>
      <c r="U62" s="116"/>
      <c r="V62" s="116"/>
      <c r="W62" s="116"/>
      <c r="X62" s="116"/>
      <c r="Y62" s="116"/>
      <c r="Z62" s="141"/>
      <c r="AA62" s="141"/>
      <c r="AB62" s="141"/>
      <c r="AC62" s="141"/>
      <c r="AD62" s="141"/>
      <c r="AE62" s="692"/>
      <c r="AF62" s="30"/>
      <c r="AG62" s="115"/>
      <c r="AJ62" s="116"/>
      <c r="AK62" s="116"/>
      <c r="AL62" s="116"/>
      <c r="AM62" s="116"/>
      <c r="AN62" s="116"/>
      <c r="AO62" s="141"/>
      <c r="AP62" s="141"/>
      <c r="AQ62" s="141"/>
      <c r="AR62" s="141"/>
      <c r="AS62" s="141"/>
      <c r="AT62" s="691"/>
      <c r="AV62" s="115"/>
      <c r="AY62" s="116"/>
      <c r="AZ62" s="116"/>
      <c r="BA62" s="116"/>
      <c r="BB62" s="116"/>
      <c r="BC62" s="116"/>
      <c r="BD62" s="141"/>
      <c r="BE62" s="141"/>
      <c r="BF62" s="141"/>
      <c r="BG62" s="141"/>
      <c r="BH62" s="141"/>
    </row>
    <row r="63" spans="1:60" x14ac:dyDescent="0.2">
      <c r="A63" s="562" t="s">
        <v>66</v>
      </c>
      <c r="B63" s="562" t="s">
        <v>538</v>
      </c>
      <c r="C63" s="562" t="s">
        <v>539</v>
      </c>
      <c r="D63" s="562" t="s">
        <v>26</v>
      </c>
      <c r="E63" s="562" t="s">
        <v>47</v>
      </c>
      <c r="F63" s="562" t="s">
        <v>24</v>
      </c>
      <c r="G63" s="562">
        <v>2010</v>
      </c>
      <c r="H63" s="564">
        <v>10</v>
      </c>
      <c r="I63" s="565">
        <v>2.7043985855451314</v>
      </c>
      <c r="J63" s="770">
        <v>2.74</v>
      </c>
      <c r="K63" s="563">
        <v>1</v>
      </c>
      <c r="L63" s="563">
        <v>1</v>
      </c>
      <c r="M63" s="563">
        <v>0.15</v>
      </c>
      <c r="N63" s="563"/>
      <c r="O63" s="563">
        <v>0.6</v>
      </c>
      <c r="P63" s="690"/>
      <c r="Q63" s="42">
        <f>RECS!T12</f>
        <v>226.98831732512878</v>
      </c>
      <c r="R63" s="115">
        <f>Q63/$Q$60</f>
        <v>0.33585282681656858</v>
      </c>
      <c r="S63" s="42">
        <f>S60*$R$63*$J$63/$M$63</f>
        <v>57.318202332144082</v>
      </c>
      <c r="T63" s="42">
        <f>S60*$R$63*$J$63</f>
        <v>8.597730349821612</v>
      </c>
      <c r="U63" s="116">
        <f>$S63*Z$59/$T$59</f>
        <v>20.209281388211142</v>
      </c>
      <c r="V63" s="116">
        <f t="shared" ref="V63:Y63" si="31">$S63*AA$59/$T$59</f>
        <v>10.10254295695341</v>
      </c>
      <c r="W63" s="116">
        <f t="shared" si="31"/>
        <v>15.492337934754387</v>
      </c>
      <c r="X63" s="116">
        <f t="shared" si="31"/>
        <v>3.6791662815572028</v>
      </c>
      <c r="Y63" s="116">
        <f t="shared" si="31"/>
        <v>17.637347846151414</v>
      </c>
      <c r="Z63" s="141">
        <f>$T63*Z59/$T$59</f>
        <v>3.0313922082316709</v>
      </c>
      <c r="AA63" s="141">
        <f t="shared" ref="AA63:AD63" si="32">$T63*AA59/$T$59</f>
        <v>1.5153814435430117</v>
      </c>
      <c r="AB63" s="141">
        <f t="shared" si="32"/>
        <v>2.3238506902131579</v>
      </c>
      <c r="AC63" s="141">
        <f t="shared" si="32"/>
        <v>0.55187494223358036</v>
      </c>
      <c r="AD63" s="141">
        <f t="shared" si="32"/>
        <v>2.6456021769227114</v>
      </c>
      <c r="AE63" s="692"/>
      <c r="AF63" s="42">
        <f>RECS!U12</f>
        <v>342.60337626426724</v>
      </c>
      <c r="AG63" s="115">
        <f>AF63/$AF$60</f>
        <v>0.40874166191615269</v>
      </c>
      <c r="AH63" s="517">
        <f>AH60*$AG$63*$J$63/$M$63</f>
        <v>67.436577285472111</v>
      </c>
      <c r="AI63" s="42">
        <f>AH60*$AG$63*$J$63</f>
        <v>10.115486592820817</v>
      </c>
      <c r="AJ63" s="116">
        <f>$AH63*AO$59/$AI$59</f>
        <v>24.096391766501288</v>
      </c>
      <c r="AK63" s="116">
        <f t="shared" ref="AK63:AM63" si="33">$AH63*AP$59/$AI$59</f>
        <v>12.255381796319108</v>
      </c>
      <c r="AL63" s="116">
        <f t="shared" si="33"/>
        <v>19.92101331560314</v>
      </c>
      <c r="AM63" s="116">
        <f t="shared" si="33"/>
        <v>4.4481690457454039</v>
      </c>
      <c r="AN63" s="116">
        <f>$AH63*AS$59/$AI$59</f>
        <v>20.659393019739859</v>
      </c>
      <c r="AO63" s="141">
        <f>$AI63*AO59/$AI$59</f>
        <v>3.6144587649751929</v>
      </c>
      <c r="AP63" s="141">
        <f t="shared" ref="AP63:AR63" si="34">$AI63*AP59/$AI$59</f>
        <v>1.8383072694478666</v>
      </c>
      <c r="AQ63" s="141">
        <f t="shared" si="34"/>
        <v>2.9881519973404709</v>
      </c>
      <c r="AR63" s="141">
        <f t="shared" si="34"/>
        <v>0.66722535686181061</v>
      </c>
      <c r="AS63" s="141">
        <f>$AI63*AS59/$AI$59</f>
        <v>3.0989089529609788</v>
      </c>
      <c r="AT63" s="691"/>
      <c r="AU63" s="42">
        <f>RECS!V12</f>
        <v>458.21843520340576</v>
      </c>
      <c r="AV63" s="115">
        <f>AU63/$AU$60</f>
        <v>0.45797823119118786</v>
      </c>
      <c r="AW63" s="42">
        <f>AW60*$AV$63*$J$63/$M$63</f>
        <v>70.131833723072262</v>
      </c>
      <c r="AX63" s="42">
        <f>AW60*$AV$63*$J$63</f>
        <v>10.519775058460839</v>
      </c>
      <c r="AY63" s="116">
        <f>$AW63*BD$59/$AX$59</f>
        <v>28.266419813201839</v>
      </c>
      <c r="AZ63" s="116">
        <f t="shared" ref="AZ63:BC63" si="35">$AW63*BE$59/$AX$59</f>
        <v>14.574963269377935</v>
      </c>
      <c r="BA63" s="116">
        <f t="shared" si="35"/>
        <v>21.570862887944728</v>
      </c>
      <c r="BB63" s="116">
        <f t="shared" si="35"/>
        <v>4.6866930455363134</v>
      </c>
      <c r="BC63" s="116">
        <f t="shared" si="35"/>
        <v>22.90297780792541</v>
      </c>
      <c r="BD63" s="141">
        <f>$AX63*BD59/$AX$59</f>
        <v>4.2399629719802761</v>
      </c>
      <c r="BE63" s="141">
        <f t="shared" ref="BE63:BH63" si="36">$AX63*BE59/$AX$59</f>
        <v>2.1862444904066902</v>
      </c>
      <c r="BF63" s="141">
        <f t="shared" si="36"/>
        <v>3.2356294331917086</v>
      </c>
      <c r="BG63" s="141">
        <f t="shared" si="36"/>
        <v>0.70300395683044703</v>
      </c>
      <c r="BH63" s="141">
        <f t="shared" si="36"/>
        <v>3.4354466711888114</v>
      </c>
    </row>
    <row r="64" spans="1:60" x14ac:dyDescent="0.2">
      <c r="A64" s="562" t="s">
        <v>66</v>
      </c>
      <c r="B64" s="562" t="s">
        <v>791</v>
      </c>
      <c r="C64" s="562" t="s">
        <v>792</v>
      </c>
      <c r="D64" s="562" t="s">
        <v>26</v>
      </c>
      <c r="E64" s="562" t="s">
        <v>47</v>
      </c>
      <c r="F64" s="562" t="s">
        <v>24</v>
      </c>
      <c r="G64" s="562">
        <v>2010</v>
      </c>
      <c r="H64" s="564">
        <v>10</v>
      </c>
      <c r="I64" s="565">
        <v>2.8519112356657748</v>
      </c>
      <c r="J64" s="770">
        <v>3.17</v>
      </c>
      <c r="K64" s="563">
        <v>1</v>
      </c>
      <c r="L64" s="563">
        <v>1</v>
      </c>
      <c r="M64" s="563">
        <v>0.15</v>
      </c>
      <c r="N64" s="563"/>
      <c r="O64" s="563">
        <v>0.6</v>
      </c>
      <c r="P64" s="690"/>
      <c r="Q64" s="42"/>
      <c r="U64" s="116"/>
      <c r="V64" s="116"/>
      <c r="W64" s="116"/>
      <c r="X64" s="116"/>
      <c r="Y64" s="116"/>
      <c r="Z64" s="141"/>
      <c r="AA64" s="141"/>
      <c r="AB64" s="141"/>
      <c r="AC64" s="141"/>
      <c r="AD64" s="141"/>
      <c r="AE64" s="692"/>
      <c r="AG64" s="115"/>
      <c r="AJ64" s="116"/>
      <c r="AK64" s="116"/>
      <c r="AL64" s="116"/>
      <c r="AM64" s="116"/>
      <c r="AN64" s="116"/>
      <c r="AO64" s="141"/>
      <c r="AP64" s="141"/>
      <c r="AQ64" s="141"/>
      <c r="AR64" s="141"/>
      <c r="AS64" s="141"/>
      <c r="AT64" s="691"/>
      <c r="AU64" s="42"/>
      <c r="AV64" s="115"/>
      <c r="AY64" s="116"/>
      <c r="AZ64" s="116"/>
      <c r="BA64" s="116"/>
      <c r="BB64" s="116"/>
      <c r="BC64" s="116"/>
      <c r="BD64" s="141"/>
      <c r="BE64" s="141"/>
      <c r="BF64" s="141"/>
      <c r="BG64" s="141"/>
      <c r="BH64" s="141"/>
    </row>
    <row r="65" spans="1:60" x14ac:dyDescent="0.2">
      <c r="A65" s="562" t="s">
        <v>66</v>
      </c>
      <c r="B65" s="562" t="s">
        <v>777</v>
      </c>
      <c r="C65" s="562" t="s">
        <v>778</v>
      </c>
      <c r="D65" s="562" t="s">
        <v>26</v>
      </c>
      <c r="E65" s="562" t="s">
        <v>47</v>
      </c>
      <c r="F65" s="562" t="s">
        <v>24</v>
      </c>
      <c r="G65" s="562">
        <v>2015</v>
      </c>
      <c r="H65" s="564">
        <v>10</v>
      </c>
      <c r="I65" s="565">
        <v>2.901082119039323</v>
      </c>
      <c r="J65" s="770">
        <v>3.22</v>
      </c>
      <c r="K65" s="563">
        <v>1</v>
      </c>
      <c r="L65" s="563">
        <v>1</v>
      </c>
      <c r="M65" s="563">
        <v>0.15</v>
      </c>
      <c r="N65" s="563"/>
      <c r="O65" s="563">
        <v>0.6</v>
      </c>
      <c r="P65" s="690"/>
      <c r="Q65" s="42"/>
      <c r="U65" s="116"/>
      <c r="V65" s="116"/>
      <c r="W65" s="116"/>
      <c r="X65" s="116"/>
      <c r="Y65" s="116"/>
      <c r="Z65" s="141"/>
      <c r="AA65" s="141"/>
      <c r="AB65" s="141"/>
      <c r="AC65" s="141"/>
      <c r="AD65" s="141"/>
      <c r="AE65" s="692"/>
      <c r="AG65" s="115"/>
      <c r="AJ65" s="116"/>
      <c r="AK65" s="116"/>
      <c r="AL65" s="116"/>
      <c r="AM65" s="116"/>
      <c r="AN65" s="116"/>
      <c r="AO65" s="141"/>
      <c r="AP65" s="141"/>
      <c r="AQ65" s="141"/>
      <c r="AR65" s="141"/>
      <c r="AS65" s="141"/>
      <c r="AT65" s="691"/>
      <c r="AU65" s="42"/>
      <c r="AV65" s="115"/>
      <c r="AY65" s="116"/>
      <c r="AZ65" s="116"/>
      <c r="BA65" s="116"/>
      <c r="BB65" s="116"/>
      <c r="BC65" s="116"/>
      <c r="BD65" s="141"/>
      <c r="BE65" s="141"/>
      <c r="BF65" s="141"/>
      <c r="BG65" s="141"/>
      <c r="BH65" s="141"/>
    </row>
    <row r="66" spans="1:60" x14ac:dyDescent="0.2">
      <c r="A66" s="562" t="s">
        <v>66</v>
      </c>
      <c r="B66" s="562" t="s">
        <v>801</v>
      </c>
      <c r="C66" s="562" t="s">
        <v>802</v>
      </c>
      <c r="D66" s="562" t="s">
        <v>26</v>
      </c>
      <c r="E66" s="562" t="s">
        <v>47</v>
      </c>
      <c r="F66" s="562" t="s">
        <v>24</v>
      </c>
      <c r="G66" s="562">
        <v>2030</v>
      </c>
      <c r="H66" s="564">
        <v>10</v>
      </c>
      <c r="I66" s="565">
        <v>2.901082119039323</v>
      </c>
      <c r="J66" s="770">
        <v>3.28</v>
      </c>
      <c r="K66" s="563">
        <v>1</v>
      </c>
      <c r="L66" s="563">
        <v>1</v>
      </c>
      <c r="M66" s="563">
        <v>0.15</v>
      </c>
      <c r="N66" s="563"/>
      <c r="O66" s="563">
        <v>0.6</v>
      </c>
      <c r="P66" s="690"/>
      <c r="Q66" s="42"/>
      <c r="U66" s="116"/>
      <c r="V66" s="116"/>
      <c r="W66" s="116"/>
      <c r="X66" s="116"/>
      <c r="Y66" s="116"/>
      <c r="Z66" s="141"/>
      <c r="AA66" s="141"/>
      <c r="AB66" s="141"/>
      <c r="AC66" s="141"/>
      <c r="AD66" s="141"/>
      <c r="AE66" s="692"/>
      <c r="AG66" s="115"/>
      <c r="AJ66" s="116"/>
      <c r="AK66" s="116"/>
      <c r="AL66" s="116"/>
      <c r="AM66" s="116"/>
      <c r="AN66" s="116"/>
      <c r="AO66" s="141"/>
      <c r="AP66" s="141"/>
      <c r="AQ66" s="141"/>
      <c r="AR66" s="141"/>
      <c r="AS66" s="141"/>
      <c r="AT66" s="691"/>
      <c r="AU66" s="42"/>
      <c r="AV66" s="115"/>
      <c r="AY66" s="116"/>
      <c r="AZ66" s="116"/>
      <c r="BA66" s="116"/>
      <c r="BB66" s="116"/>
      <c r="BC66" s="116"/>
      <c r="BD66" s="141"/>
      <c r="BE66" s="141"/>
      <c r="BF66" s="141"/>
      <c r="BG66" s="141"/>
      <c r="BH66" s="141"/>
    </row>
    <row r="67" spans="1:60" x14ac:dyDescent="0.2">
      <c r="A67" s="562" t="s">
        <v>66</v>
      </c>
      <c r="B67" s="562" t="s">
        <v>795</v>
      </c>
      <c r="C67" s="562" t="s">
        <v>796</v>
      </c>
      <c r="D67" s="562" t="s">
        <v>26</v>
      </c>
      <c r="E67" s="562" t="s">
        <v>47</v>
      </c>
      <c r="F67" s="562" t="s">
        <v>24</v>
      </c>
      <c r="G67" s="562">
        <v>2010</v>
      </c>
      <c r="H67" s="564">
        <v>10</v>
      </c>
      <c r="I67" s="565">
        <v>4.4745503869928545</v>
      </c>
      <c r="J67" s="770">
        <v>3.52</v>
      </c>
      <c r="K67" s="563">
        <v>1</v>
      </c>
      <c r="L67" s="563">
        <v>1</v>
      </c>
      <c r="M67" s="563">
        <v>0.15</v>
      </c>
      <c r="N67" s="563"/>
      <c r="O67" s="563">
        <v>0.6</v>
      </c>
      <c r="P67" s="690"/>
      <c r="Q67" s="42"/>
      <c r="U67" s="116"/>
      <c r="V67" s="116"/>
      <c r="W67" s="116"/>
      <c r="X67" s="116"/>
      <c r="Y67" s="116"/>
      <c r="Z67" s="141"/>
      <c r="AA67" s="141"/>
      <c r="AB67" s="141"/>
      <c r="AC67" s="141"/>
      <c r="AD67" s="141"/>
      <c r="AE67" s="688"/>
      <c r="AG67" s="115"/>
      <c r="AJ67" s="116"/>
      <c r="AK67" s="116"/>
      <c r="AL67" s="116"/>
      <c r="AM67" s="116"/>
      <c r="AN67" s="116"/>
      <c r="AO67" s="141"/>
      <c r="AP67" s="141"/>
      <c r="AQ67" s="141"/>
      <c r="AR67" s="141"/>
      <c r="AS67" s="141"/>
      <c r="AT67" s="691"/>
      <c r="AU67" s="42"/>
      <c r="AV67" s="115"/>
      <c r="AY67" s="116"/>
      <c r="AZ67" s="116"/>
      <c r="BA67" s="116"/>
      <c r="BB67" s="116"/>
      <c r="BC67" s="116"/>
      <c r="BD67" s="141"/>
      <c r="BE67" s="141"/>
      <c r="BF67" s="141"/>
      <c r="BG67" s="141"/>
      <c r="BH67" s="141"/>
    </row>
    <row r="68" spans="1:60" x14ac:dyDescent="0.2">
      <c r="A68" s="562" t="s">
        <v>66</v>
      </c>
      <c r="B68" s="562" t="s">
        <v>779</v>
      </c>
      <c r="C68" s="562" t="s">
        <v>1679</v>
      </c>
      <c r="D68" s="562" t="s">
        <v>26</v>
      </c>
      <c r="E68" s="562" t="s">
        <v>47</v>
      </c>
      <c r="F68" s="562" t="s">
        <v>24</v>
      </c>
      <c r="G68" s="562">
        <v>2020</v>
      </c>
      <c r="H68" s="564">
        <v>10</v>
      </c>
      <c r="I68" s="565">
        <v>5.0646009874754281</v>
      </c>
      <c r="J68" s="770">
        <v>3.81</v>
      </c>
      <c r="K68" s="563">
        <v>1</v>
      </c>
      <c r="L68" s="563">
        <v>1</v>
      </c>
      <c r="M68" s="563">
        <v>0.15</v>
      </c>
      <c r="N68" s="563"/>
      <c r="O68" s="563">
        <v>0.6</v>
      </c>
      <c r="P68" s="690"/>
      <c r="Q68" s="42"/>
      <c r="U68" s="116"/>
      <c r="V68" s="116"/>
      <c r="W68" s="116"/>
      <c r="X68" s="116"/>
      <c r="Y68" s="116"/>
      <c r="Z68" s="141"/>
      <c r="AA68" s="141"/>
      <c r="AB68" s="141"/>
      <c r="AC68" s="141"/>
      <c r="AD68" s="141"/>
      <c r="AE68" s="688"/>
      <c r="AG68" s="115"/>
      <c r="AJ68" s="116"/>
      <c r="AK68" s="116"/>
      <c r="AL68" s="116"/>
      <c r="AM68" s="116"/>
      <c r="AN68" s="116"/>
      <c r="AO68" s="141"/>
      <c r="AP68" s="141"/>
      <c r="AQ68" s="141"/>
      <c r="AR68" s="141"/>
      <c r="AS68" s="141"/>
      <c r="AT68" s="691"/>
      <c r="AU68" s="42"/>
      <c r="AV68" s="115"/>
      <c r="AY68" s="116"/>
      <c r="AZ68" s="116"/>
      <c r="BA68" s="116"/>
      <c r="BB68" s="116"/>
      <c r="BC68" s="116"/>
      <c r="BD68" s="141"/>
      <c r="BE68" s="141"/>
      <c r="BF68" s="141"/>
      <c r="BG68" s="141"/>
      <c r="BH68" s="141"/>
    </row>
    <row r="69" spans="1:60" x14ac:dyDescent="0.2">
      <c r="A69" s="561" t="s">
        <v>392</v>
      </c>
      <c r="B69" s="562"/>
      <c r="C69" s="562"/>
      <c r="D69" s="562"/>
      <c r="E69" s="562"/>
      <c r="F69" s="562"/>
      <c r="G69" s="563"/>
      <c r="H69" s="564"/>
      <c r="I69" s="565"/>
      <c r="J69" s="770"/>
      <c r="K69" s="563"/>
      <c r="L69" s="563"/>
      <c r="M69" s="563"/>
      <c r="N69" s="563"/>
      <c r="O69" s="563"/>
      <c r="P69" s="690"/>
      <c r="Q69" s="42"/>
      <c r="U69" s="116"/>
      <c r="V69" s="116"/>
      <c r="W69" s="116"/>
      <c r="X69" s="116"/>
      <c r="Y69" s="116"/>
      <c r="Z69" s="141"/>
      <c r="AA69" s="141"/>
      <c r="AB69" s="141"/>
      <c r="AC69" s="141"/>
      <c r="AD69" s="141"/>
      <c r="AE69" s="688"/>
      <c r="AG69" s="115"/>
      <c r="AJ69" s="116"/>
      <c r="AK69" s="116"/>
      <c r="AL69" s="116"/>
      <c r="AM69" s="116"/>
      <c r="AN69" s="116"/>
      <c r="AO69" s="141"/>
      <c r="AP69" s="141"/>
      <c r="AQ69" s="141"/>
      <c r="AR69" s="141"/>
      <c r="AS69" s="141"/>
      <c r="AT69" s="691"/>
      <c r="AU69" s="42"/>
      <c r="AV69" s="115"/>
      <c r="AY69" s="116"/>
      <c r="AZ69" s="116"/>
      <c r="BA69" s="116"/>
      <c r="BB69" s="116"/>
      <c r="BC69" s="116"/>
      <c r="BD69" s="141"/>
      <c r="BE69" s="141"/>
      <c r="BF69" s="141"/>
      <c r="BG69" s="141"/>
      <c r="BH69" s="141"/>
    </row>
    <row r="70" spans="1:60" x14ac:dyDescent="0.2">
      <c r="A70" s="562" t="s">
        <v>66</v>
      </c>
      <c r="B70" s="562" t="s">
        <v>811</v>
      </c>
      <c r="C70" s="562" t="s">
        <v>812</v>
      </c>
      <c r="D70" s="562" t="s">
        <v>26</v>
      </c>
      <c r="E70" s="562" t="s">
        <v>47</v>
      </c>
      <c r="F70" s="562" t="s">
        <v>24</v>
      </c>
      <c r="G70" s="562">
        <v>2005</v>
      </c>
      <c r="H70" s="564">
        <v>15</v>
      </c>
      <c r="I70" s="565"/>
      <c r="J70" s="770">
        <v>2.9175658769245518</v>
      </c>
      <c r="K70" s="563">
        <v>1</v>
      </c>
      <c r="L70" s="563">
        <v>1</v>
      </c>
      <c r="M70" s="563">
        <v>0.15</v>
      </c>
      <c r="N70" s="563"/>
      <c r="O70" s="563">
        <v>0.18</v>
      </c>
      <c r="P70" s="690"/>
      <c r="U70" s="116"/>
      <c r="V70" s="116"/>
      <c r="W70" s="116"/>
      <c r="X70" s="116"/>
      <c r="Y70" s="116"/>
      <c r="Z70" s="141"/>
      <c r="AA70" s="141"/>
      <c r="AB70" s="141"/>
      <c r="AC70" s="141"/>
      <c r="AD70" s="141"/>
      <c r="AE70" s="688"/>
      <c r="AF70" s="30"/>
      <c r="AG70" s="115"/>
      <c r="AJ70" s="116"/>
      <c r="AK70" s="116"/>
      <c r="AL70" s="116"/>
      <c r="AM70" s="116"/>
      <c r="AN70" s="116"/>
      <c r="AO70" s="141"/>
      <c r="AP70" s="141"/>
      <c r="AQ70" s="141"/>
      <c r="AR70" s="141"/>
      <c r="AS70" s="141"/>
      <c r="AT70" s="691"/>
      <c r="AV70" s="115"/>
      <c r="AY70" s="116"/>
      <c r="AZ70" s="116"/>
      <c r="BA70" s="116"/>
      <c r="BB70" s="116"/>
      <c r="BC70" s="116"/>
      <c r="BD70" s="141"/>
      <c r="BE70" s="141"/>
      <c r="BF70" s="141"/>
      <c r="BG70" s="141"/>
      <c r="BH70" s="141"/>
    </row>
    <row r="71" spans="1:60" x14ac:dyDescent="0.2">
      <c r="A71" s="562" t="s">
        <v>66</v>
      </c>
      <c r="B71" s="562" t="s">
        <v>541</v>
      </c>
      <c r="C71" s="562" t="s">
        <v>542</v>
      </c>
      <c r="D71" s="562" t="s">
        <v>26</v>
      </c>
      <c r="E71" s="562" t="s">
        <v>47</v>
      </c>
      <c r="F71" s="562" t="s">
        <v>24</v>
      </c>
      <c r="G71" s="562">
        <v>2010</v>
      </c>
      <c r="H71" s="564">
        <v>15</v>
      </c>
      <c r="I71" s="565">
        <v>8.7414903775196162</v>
      </c>
      <c r="J71" s="770">
        <v>2.92</v>
      </c>
      <c r="K71" s="563">
        <v>1</v>
      </c>
      <c r="L71" s="563">
        <v>1</v>
      </c>
      <c r="M71" s="563">
        <v>0.15</v>
      </c>
      <c r="N71" s="563"/>
      <c r="O71" s="563">
        <v>0.18</v>
      </c>
      <c r="P71" s="690"/>
      <c r="Q71" s="42">
        <f>RECS!T13</f>
        <v>429.69893399748923</v>
      </c>
      <c r="R71" s="115">
        <f>Q71/$Q$60</f>
        <v>0.63578427014995276</v>
      </c>
      <c r="S71" s="42">
        <f>S60*$R$71*$J$71/$M$71</f>
        <v>115.63401908936078</v>
      </c>
      <c r="T71" s="42">
        <f>S60*$R$71*$J$71</f>
        <v>17.345102863404115</v>
      </c>
      <c r="U71" s="116">
        <f>$S71*Z$59/$T$59</f>
        <v>40.770302185770866</v>
      </c>
      <c r="V71" s="116">
        <f t="shared" ref="V71" si="37">$S71*AA$59/$T$59</f>
        <v>20.380919107791211</v>
      </c>
      <c r="W71" s="116">
        <f t="shared" ref="W71" si="38">$S71*AB$59/$T$59</f>
        <v>31.254317609356978</v>
      </c>
      <c r="X71" s="116">
        <f t="shared" ref="X71" si="39">$S71*AC$59/$T$59</f>
        <v>7.4223678818331136</v>
      </c>
      <c r="Y71" s="116">
        <f t="shared" ref="Y71" si="40">$S71*AD$59/$T$59</f>
        <v>35.58167099710014</v>
      </c>
      <c r="Z71" s="141">
        <f>$T71*Z59/$T$59</f>
        <v>6.1155453278656289</v>
      </c>
      <c r="AA71" s="141">
        <f>$T71*AA59/$T$59</f>
        <v>3.0571378661686812</v>
      </c>
      <c r="AB71" s="141">
        <f>$T71*AB59/$T$59</f>
        <v>4.6881476414035461</v>
      </c>
      <c r="AC71" s="141">
        <f>$T71*AC59/$T$59</f>
        <v>1.1133551822749668</v>
      </c>
      <c r="AD71" s="141">
        <f>$T71*AD59/$T$59</f>
        <v>5.3372506495650196</v>
      </c>
      <c r="AE71" s="688"/>
      <c r="AF71" s="42">
        <f>RECS!U13</f>
        <v>437.73960080653586</v>
      </c>
      <c r="AG71" s="115">
        <f>AF71/$AF$60</f>
        <v>0.52224357468726423</v>
      </c>
      <c r="AH71" s="42">
        <f>AH60*$AG$71*$J$71/$M$71</f>
        <v>91.823111986203671</v>
      </c>
      <c r="AI71" s="42">
        <f>AH60*$AG$71*$J$71</f>
        <v>13.773466797930551</v>
      </c>
      <c r="AJ71" s="116">
        <f>$AH71*AO$59/$AI$59</f>
        <v>32.810171700626121</v>
      </c>
      <c r="AK71" s="116">
        <f t="shared" ref="AK71:AM71" si="41">$AH71*AP$59/$AI$59</f>
        <v>16.687194700783266</v>
      </c>
      <c r="AL71" s="116">
        <f t="shared" si="41"/>
        <v>27.124885487795193</v>
      </c>
      <c r="AM71" s="116">
        <f t="shared" si="41"/>
        <v>6.0567238264780139</v>
      </c>
      <c r="AN71" s="116">
        <f>$AH71*AS$59/$AI$59</f>
        <v>28.130279370320906</v>
      </c>
      <c r="AO71" s="141">
        <f>$AI71*AO59/$AI$59</f>
        <v>4.9215257550939189</v>
      </c>
      <c r="AP71" s="141">
        <f t="shared" ref="AP71:AR71" si="42">$AI71*AP59/$AI$59</f>
        <v>2.5030792051174897</v>
      </c>
      <c r="AQ71" s="141">
        <f t="shared" si="42"/>
        <v>4.0687328231692792</v>
      </c>
      <c r="AR71" s="141">
        <f t="shared" si="42"/>
        <v>0.90850857397170215</v>
      </c>
      <c r="AS71" s="141">
        <f>$AI71*AS59/$AI$59</f>
        <v>4.2195419055481365</v>
      </c>
      <c r="AT71" s="691"/>
      <c r="AU71" s="42">
        <f>RECS!V13</f>
        <v>445.78026761558249</v>
      </c>
      <c r="AV71" s="115">
        <f>AU71/$AU$60</f>
        <v>0.44554658385119772</v>
      </c>
      <c r="AW71" s="42">
        <f>AW60*$AV$71*$J$71/$M$71</f>
        <v>72.710271415448403</v>
      </c>
      <c r="AX71" s="42">
        <f>AW60*$AV$71*$J$71</f>
        <v>10.906540712317259</v>
      </c>
      <c r="AY71" s="116">
        <f>$AW71*BD$59/$AX$59</f>
        <v>29.305651192245477</v>
      </c>
      <c r="AZ71" s="116">
        <f t="shared" ref="AZ71:BC71" si="43">$AW71*BE$59/$AX$59</f>
        <v>15.110820278438265</v>
      </c>
      <c r="BA71" s="116">
        <f t="shared" si="43"/>
        <v>22.363928218975083</v>
      </c>
      <c r="BB71" s="116">
        <f t="shared" si="43"/>
        <v>4.859002043600233</v>
      </c>
      <c r="BC71" s="116">
        <f t="shared" si="43"/>
        <v>23.745019119447278</v>
      </c>
      <c r="BD71" s="141">
        <f>$AX71*BD59/$AX$59</f>
        <v>4.3958476788368213</v>
      </c>
      <c r="BE71" s="141">
        <f t="shared" ref="BE71:BH71" si="44">$AX71*BE59/$AX$59</f>
        <v>2.2666230417657394</v>
      </c>
      <c r="BF71" s="141">
        <f t="shared" si="44"/>
        <v>3.3545892328462621</v>
      </c>
      <c r="BG71" s="141">
        <f t="shared" si="44"/>
        <v>0.72885030654003491</v>
      </c>
      <c r="BH71" s="141">
        <f t="shared" si="44"/>
        <v>3.5617528679170909</v>
      </c>
    </row>
    <row r="72" spans="1:60" x14ac:dyDescent="0.2">
      <c r="A72" s="562" t="s">
        <v>1680</v>
      </c>
      <c r="B72" s="562" t="s">
        <v>813</v>
      </c>
      <c r="C72" s="562" t="s">
        <v>814</v>
      </c>
      <c r="D72" s="562" t="s">
        <v>26</v>
      </c>
      <c r="E72" s="562" t="s">
        <v>47</v>
      </c>
      <c r="F72" s="562" t="s">
        <v>24</v>
      </c>
      <c r="G72" s="562">
        <v>2015</v>
      </c>
      <c r="H72" s="564">
        <v>15</v>
      </c>
      <c r="I72" s="565">
        <v>9.6975908875608248</v>
      </c>
      <c r="J72" s="770">
        <v>4.0999999999999996</v>
      </c>
      <c r="K72" s="563">
        <v>1</v>
      </c>
      <c r="L72" s="563">
        <v>1</v>
      </c>
      <c r="M72" s="563">
        <v>0.15</v>
      </c>
      <c r="N72" s="563"/>
      <c r="O72" s="563">
        <v>0.18</v>
      </c>
      <c r="P72" s="690"/>
      <c r="Q72" s="42"/>
      <c r="U72" s="116"/>
      <c r="V72" s="116"/>
      <c r="W72" s="116"/>
      <c r="X72" s="116"/>
      <c r="Y72" s="116"/>
      <c r="Z72" s="141"/>
      <c r="AA72" s="141"/>
      <c r="AB72" s="141"/>
      <c r="AC72" s="141"/>
      <c r="AD72" s="141"/>
      <c r="AE72" s="688"/>
      <c r="AG72" s="115"/>
      <c r="AJ72" s="116"/>
      <c r="AK72" s="116"/>
      <c r="AL72" s="116"/>
      <c r="AM72" s="116"/>
      <c r="AN72" s="116"/>
      <c r="AO72" s="141"/>
      <c r="AP72" s="141"/>
      <c r="AQ72" s="141"/>
      <c r="AR72" s="141"/>
      <c r="AS72" s="141"/>
      <c r="AT72" s="691"/>
      <c r="AU72" s="42"/>
      <c r="AV72" s="115"/>
      <c r="AY72" s="116"/>
      <c r="AZ72" s="116"/>
      <c r="BA72" s="116"/>
      <c r="BB72" s="116"/>
      <c r="BC72" s="116"/>
      <c r="BD72" s="141"/>
      <c r="BE72" s="141"/>
      <c r="BF72" s="141"/>
      <c r="BG72" s="141"/>
      <c r="BH72" s="141"/>
    </row>
    <row r="73" spans="1:60" x14ac:dyDescent="0.2">
      <c r="A73" s="562" t="s">
        <v>66</v>
      </c>
      <c r="B73" s="562" t="s">
        <v>833</v>
      </c>
      <c r="C73" s="562" t="s">
        <v>834</v>
      </c>
      <c r="D73" s="562" t="s">
        <v>26</v>
      </c>
      <c r="E73" s="562" t="s">
        <v>47</v>
      </c>
      <c r="F73" s="562" t="s">
        <v>24</v>
      </c>
      <c r="G73" s="562">
        <v>2020</v>
      </c>
      <c r="H73" s="564">
        <v>15</v>
      </c>
      <c r="I73" s="565">
        <v>9.6975908875608248</v>
      </c>
      <c r="J73" s="770">
        <v>4.0999999999999996</v>
      </c>
      <c r="K73" s="563">
        <v>1</v>
      </c>
      <c r="L73" s="563">
        <v>1</v>
      </c>
      <c r="M73" s="563">
        <v>0.15</v>
      </c>
      <c r="N73" s="563"/>
      <c r="O73" s="563">
        <v>0.18</v>
      </c>
      <c r="P73" s="690"/>
      <c r="Q73" s="42"/>
      <c r="U73" s="116"/>
      <c r="V73" s="116"/>
      <c r="W73" s="116"/>
      <c r="X73" s="116"/>
      <c r="Y73" s="116"/>
      <c r="Z73" s="141"/>
      <c r="AA73" s="141"/>
      <c r="AB73" s="141"/>
      <c r="AC73" s="141"/>
      <c r="AD73" s="141"/>
      <c r="AE73" s="688"/>
      <c r="AG73" s="115"/>
      <c r="AJ73" s="116"/>
      <c r="AK73" s="116"/>
      <c r="AL73" s="116"/>
      <c r="AM73" s="116"/>
      <c r="AN73" s="116"/>
      <c r="AO73" s="141"/>
      <c r="AP73" s="141"/>
      <c r="AQ73" s="141"/>
      <c r="AR73" s="141"/>
      <c r="AS73" s="141"/>
      <c r="AT73" s="691"/>
      <c r="AU73" s="42"/>
      <c r="AV73" s="115"/>
      <c r="AY73" s="116"/>
      <c r="AZ73" s="116"/>
      <c r="BA73" s="116"/>
      <c r="BB73" s="116"/>
      <c r="BC73" s="116"/>
      <c r="BD73" s="141"/>
      <c r="BE73" s="141"/>
      <c r="BF73" s="141"/>
      <c r="BG73" s="141"/>
      <c r="BH73" s="141"/>
    </row>
    <row r="74" spans="1:60" x14ac:dyDescent="0.2">
      <c r="A74" s="562" t="s">
        <v>66</v>
      </c>
      <c r="B74" s="562" t="s">
        <v>831</v>
      </c>
      <c r="C74" s="562" t="s">
        <v>832</v>
      </c>
      <c r="D74" s="562" t="s">
        <v>26</v>
      </c>
      <c r="E74" s="562" t="s">
        <v>47</v>
      </c>
      <c r="F74" s="562" t="s">
        <v>24</v>
      </c>
      <c r="G74" s="562">
        <v>2010</v>
      </c>
      <c r="H74" s="564">
        <v>15</v>
      </c>
      <c r="I74" s="565">
        <v>10.517105610453291</v>
      </c>
      <c r="J74" s="770">
        <v>4.6900000000000004</v>
      </c>
      <c r="K74" s="563">
        <v>1</v>
      </c>
      <c r="L74" s="563">
        <v>1</v>
      </c>
      <c r="M74" s="563">
        <v>0.15</v>
      </c>
      <c r="N74" s="563"/>
      <c r="O74" s="563">
        <v>0.18</v>
      </c>
      <c r="P74" s="690"/>
      <c r="Q74" s="42"/>
      <c r="U74" s="116"/>
      <c r="V74" s="116"/>
      <c r="W74" s="116"/>
      <c r="X74" s="116"/>
      <c r="Y74" s="116"/>
      <c r="Z74" s="141"/>
      <c r="AA74" s="141"/>
      <c r="AB74" s="141"/>
      <c r="AC74" s="141"/>
      <c r="AD74" s="141"/>
      <c r="AE74" s="688"/>
      <c r="AG74" s="115"/>
      <c r="AJ74" s="116"/>
      <c r="AK74" s="116"/>
      <c r="AL74" s="116"/>
      <c r="AM74" s="116"/>
      <c r="AN74" s="116"/>
      <c r="AO74" s="141"/>
      <c r="AP74" s="141"/>
      <c r="AQ74" s="141"/>
      <c r="AR74" s="141"/>
      <c r="AS74" s="141"/>
      <c r="AT74" s="691"/>
      <c r="AU74" s="42"/>
      <c r="AV74" s="115"/>
      <c r="AY74" s="116"/>
      <c r="AZ74" s="116"/>
      <c r="BA74" s="116"/>
      <c r="BB74" s="116"/>
      <c r="BC74" s="116"/>
      <c r="BD74" s="141"/>
      <c r="BE74" s="141"/>
      <c r="BF74" s="141"/>
      <c r="BG74" s="141"/>
      <c r="BH74" s="141"/>
    </row>
    <row r="75" spans="1:60" x14ac:dyDescent="0.2">
      <c r="A75" s="562" t="s">
        <v>66</v>
      </c>
      <c r="B75" s="562" t="s">
        <v>817</v>
      </c>
      <c r="C75" s="562" t="s">
        <v>818</v>
      </c>
      <c r="D75" s="562" t="s">
        <v>26</v>
      </c>
      <c r="E75" s="562" t="s">
        <v>47</v>
      </c>
      <c r="F75" s="562" t="s">
        <v>24</v>
      </c>
      <c r="G75" s="562">
        <v>2020</v>
      </c>
      <c r="H75" s="564">
        <v>15</v>
      </c>
      <c r="I75" s="565">
        <v>10.107348249007059</v>
      </c>
      <c r="J75" s="770">
        <v>4.6900000000000004</v>
      </c>
      <c r="K75" s="563">
        <v>1</v>
      </c>
      <c r="L75" s="563">
        <v>1</v>
      </c>
      <c r="M75" s="563">
        <v>0.15</v>
      </c>
      <c r="N75" s="563"/>
      <c r="O75" s="563">
        <v>0.18</v>
      </c>
      <c r="P75" s="690"/>
      <c r="Q75" s="42"/>
      <c r="U75" s="116"/>
      <c r="V75" s="116"/>
      <c r="W75" s="116"/>
      <c r="X75" s="116"/>
      <c r="Y75" s="116"/>
      <c r="Z75" s="141"/>
      <c r="AA75" s="141"/>
      <c r="AB75" s="141"/>
      <c r="AC75" s="141"/>
      <c r="AD75" s="141"/>
      <c r="AE75" s="688"/>
      <c r="AG75" s="115"/>
      <c r="AJ75" s="116"/>
      <c r="AK75" s="116"/>
      <c r="AL75" s="116"/>
      <c r="AM75" s="116"/>
      <c r="AN75" s="116"/>
      <c r="AO75" s="141"/>
      <c r="AP75" s="141"/>
      <c r="AQ75" s="141"/>
      <c r="AR75" s="141"/>
      <c r="AS75" s="141"/>
      <c r="AT75" s="691"/>
      <c r="AU75" s="42"/>
      <c r="AV75" s="115"/>
      <c r="AY75" s="116"/>
      <c r="AZ75" s="116"/>
      <c r="BA75" s="116"/>
      <c r="BB75" s="116"/>
      <c r="BC75" s="116"/>
      <c r="BD75" s="141"/>
      <c r="BE75" s="141"/>
      <c r="BF75" s="141"/>
      <c r="BG75" s="141"/>
      <c r="BH75" s="141"/>
    </row>
    <row r="76" spans="1:60" x14ac:dyDescent="0.2">
      <c r="A76" s="562" t="s">
        <v>66</v>
      </c>
      <c r="B76" s="562" t="s">
        <v>835</v>
      </c>
      <c r="C76" s="562" t="s">
        <v>836</v>
      </c>
      <c r="D76" s="562" t="s">
        <v>26</v>
      </c>
      <c r="E76" s="562" t="s">
        <v>47</v>
      </c>
      <c r="F76" s="562" t="s">
        <v>24</v>
      </c>
      <c r="G76" s="562">
        <v>2010</v>
      </c>
      <c r="H76" s="564">
        <v>15</v>
      </c>
      <c r="I76" s="565">
        <v>12.292720843386961</v>
      </c>
      <c r="J76" s="770">
        <v>6.15</v>
      </c>
      <c r="K76" s="563">
        <v>1</v>
      </c>
      <c r="L76" s="563">
        <v>1</v>
      </c>
      <c r="M76" s="563">
        <v>0.15</v>
      </c>
      <c r="N76" s="563"/>
      <c r="O76" s="563">
        <v>0.18</v>
      </c>
      <c r="P76" s="690"/>
      <c r="Q76" s="42"/>
      <c r="U76" s="116"/>
      <c r="V76" s="116"/>
      <c r="W76" s="116"/>
      <c r="X76" s="116"/>
      <c r="Y76" s="116"/>
      <c r="Z76" s="141"/>
      <c r="AA76" s="141"/>
      <c r="AB76" s="141"/>
      <c r="AC76" s="141"/>
      <c r="AD76" s="141"/>
      <c r="AE76" s="688"/>
      <c r="AG76" s="115"/>
      <c r="AJ76" s="116"/>
      <c r="AK76" s="116"/>
      <c r="AL76" s="116"/>
      <c r="AM76" s="116"/>
      <c r="AN76" s="116"/>
      <c r="AO76" s="141"/>
      <c r="AP76" s="141"/>
      <c r="AQ76" s="141"/>
      <c r="AR76" s="141"/>
      <c r="AS76" s="141"/>
      <c r="AT76" s="691"/>
      <c r="AU76" s="42"/>
      <c r="AV76" s="115"/>
      <c r="AY76" s="116"/>
      <c r="AZ76" s="116"/>
      <c r="BA76" s="116"/>
      <c r="BB76" s="116"/>
      <c r="BC76" s="116"/>
      <c r="BD76" s="141"/>
      <c r="BE76" s="141"/>
      <c r="BF76" s="141"/>
      <c r="BG76" s="141"/>
      <c r="BH76" s="141"/>
    </row>
    <row r="77" spans="1:60" x14ac:dyDescent="0.2">
      <c r="A77" s="562" t="s">
        <v>66</v>
      </c>
      <c r="B77" s="562" t="s">
        <v>837</v>
      </c>
      <c r="C77" s="562" t="s">
        <v>838</v>
      </c>
      <c r="D77" s="562" t="s">
        <v>26</v>
      </c>
      <c r="E77" s="562" t="s">
        <v>47</v>
      </c>
      <c r="F77" s="562" t="s">
        <v>24</v>
      </c>
      <c r="G77" s="562">
        <v>2015</v>
      </c>
      <c r="H77" s="564">
        <v>15</v>
      </c>
      <c r="I77" s="565">
        <v>16.390294457849279</v>
      </c>
      <c r="J77" s="770">
        <v>7.03</v>
      </c>
      <c r="K77" s="563">
        <v>1</v>
      </c>
      <c r="L77" s="563">
        <v>1</v>
      </c>
      <c r="M77" s="563">
        <v>0.15</v>
      </c>
      <c r="N77" s="563"/>
      <c r="O77" s="563">
        <v>0.18</v>
      </c>
      <c r="P77" s="690"/>
      <c r="Q77" s="42"/>
      <c r="U77" s="116"/>
      <c r="V77" s="116"/>
      <c r="W77" s="116"/>
      <c r="X77" s="116"/>
      <c r="Y77" s="116"/>
      <c r="Z77" s="141"/>
      <c r="AA77" s="141"/>
      <c r="AB77" s="141"/>
      <c r="AC77" s="141"/>
      <c r="AD77" s="141"/>
      <c r="AE77" s="688"/>
      <c r="AG77" s="115"/>
      <c r="AJ77" s="116"/>
      <c r="AK77" s="116"/>
      <c r="AL77" s="116"/>
      <c r="AM77" s="116"/>
      <c r="AN77" s="116"/>
      <c r="AO77" s="141"/>
      <c r="AP77" s="141"/>
      <c r="AQ77" s="141"/>
      <c r="AR77" s="141"/>
      <c r="AS77" s="141"/>
      <c r="AT77" s="691"/>
      <c r="AU77" s="42"/>
      <c r="AV77" s="115"/>
      <c r="AY77" s="116"/>
      <c r="AZ77" s="116"/>
      <c r="BA77" s="116"/>
      <c r="BB77" s="116"/>
      <c r="BC77" s="116"/>
      <c r="BD77" s="141"/>
      <c r="BE77" s="141"/>
      <c r="BF77" s="141"/>
      <c r="BG77" s="141"/>
      <c r="BH77" s="141"/>
    </row>
    <row r="78" spans="1:60" x14ac:dyDescent="0.2">
      <c r="A78" s="562" t="s">
        <v>66</v>
      </c>
      <c r="B78" s="562" t="s">
        <v>1681</v>
      </c>
      <c r="C78" s="562" t="s">
        <v>1682</v>
      </c>
      <c r="D78" s="562" t="s">
        <v>26</v>
      </c>
      <c r="E78" s="562" t="s">
        <v>47</v>
      </c>
      <c r="F78" s="562" t="s">
        <v>24</v>
      </c>
      <c r="G78" s="562">
        <v>2020</v>
      </c>
      <c r="H78" s="564">
        <v>15</v>
      </c>
      <c r="I78" s="565">
        <v>15.707365522105562</v>
      </c>
      <c r="J78" s="770">
        <v>7.03</v>
      </c>
      <c r="K78" s="563">
        <v>1</v>
      </c>
      <c r="L78" s="563">
        <v>1</v>
      </c>
      <c r="M78" s="563">
        <v>0.15</v>
      </c>
      <c r="N78" s="563"/>
      <c r="O78" s="563">
        <v>0.18</v>
      </c>
      <c r="P78" s="690"/>
      <c r="Q78" s="42"/>
      <c r="U78" s="116"/>
      <c r="V78" s="116"/>
      <c r="W78" s="116"/>
      <c r="X78" s="116"/>
      <c r="Y78" s="116"/>
      <c r="Z78" s="141"/>
      <c r="AA78" s="141"/>
      <c r="AB78" s="141"/>
      <c r="AC78" s="141"/>
      <c r="AD78" s="141"/>
      <c r="AE78" s="688"/>
      <c r="AG78" s="115"/>
      <c r="AJ78" s="116"/>
      <c r="AK78" s="116"/>
      <c r="AL78" s="116"/>
      <c r="AM78" s="116"/>
      <c r="AN78" s="116"/>
      <c r="AO78" s="141"/>
      <c r="AP78" s="141"/>
      <c r="AQ78" s="141"/>
      <c r="AR78" s="141"/>
      <c r="AS78" s="141"/>
      <c r="AT78" s="691"/>
      <c r="AU78" s="42"/>
      <c r="AV78" s="115"/>
      <c r="AY78" s="116"/>
      <c r="AZ78" s="116"/>
      <c r="BA78" s="116"/>
      <c r="BB78" s="116"/>
      <c r="BC78" s="116"/>
      <c r="BD78" s="141"/>
      <c r="BE78" s="141"/>
      <c r="BF78" s="141"/>
      <c r="BG78" s="141"/>
      <c r="BH78" s="141"/>
    </row>
    <row r="79" spans="1:60" x14ac:dyDescent="0.2">
      <c r="A79" s="561" t="s">
        <v>376</v>
      </c>
      <c r="B79" s="562"/>
      <c r="C79" s="562"/>
      <c r="D79" s="562"/>
      <c r="E79" s="562"/>
      <c r="F79" s="562"/>
      <c r="G79" s="563"/>
      <c r="H79" s="564"/>
      <c r="I79" s="565"/>
      <c r="J79" s="770"/>
      <c r="K79" s="563"/>
      <c r="L79" s="563"/>
      <c r="M79" s="563"/>
      <c r="N79" s="563"/>
      <c r="O79" s="563"/>
      <c r="P79" s="690"/>
      <c r="Q79" s="42"/>
      <c r="U79" s="116"/>
      <c r="V79" s="116"/>
      <c r="W79" s="116"/>
      <c r="X79" s="116"/>
      <c r="Y79" s="116"/>
      <c r="Z79" s="141"/>
      <c r="AA79" s="141"/>
      <c r="AB79" s="141"/>
      <c r="AC79" s="141"/>
      <c r="AD79" s="141"/>
      <c r="AE79" s="688"/>
      <c r="AG79" s="115"/>
      <c r="AJ79" s="116"/>
      <c r="AK79" s="116"/>
      <c r="AL79" s="116"/>
      <c r="AM79" s="116"/>
      <c r="AN79" s="116"/>
      <c r="AO79" s="141"/>
      <c r="AP79" s="141"/>
      <c r="AQ79" s="141"/>
      <c r="AR79" s="141"/>
      <c r="AS79" s="141"/>
      <c r="AT79" s="691"/>
      <c r="AU79" s="42"/>
      <c r="AV79" s="115"/>
      <c r="AY79" s="116"/>
      <c r="AZ79" s="116"/>
      <c r="BA79" s="116"/>
      <c r="BB79" s="116"/>
      <c r="BC79" s="116"/>
      <c r="BD79" s="141"/>
      <c r="BE79" s="141"/>
      <c r="BF79" s="141"/>
      <c r="BG79" s="141"/>
      <c r="BH79" s="141"/>
    </row>
    <row r="80" spans="1:60" x14ac:dyDescent="0.2">
      <c r="A80" s="562" t="s">
        <v>66</v>
      </c>
      <c r="B80" s="562" t="s">
        <v>871</v>
      </c>
      <c r="C80" s="562" t="s">
        <v>872</v>
      </c>
      <c r="D80" s="562" t="s">
        <v>26</v>
      </c>
      <c r="E80" s="562" t="s">
        <v>47</v>
      </c>
      <c r="F80" s="562" t="s">
        <v>24</v>
      </c>
      <c r="G80" s="562">
        <v>2005</v>
      </c>
      <c r="H80" s="564">
        <v>15</v>
      </c>
      <c r="I80" s="565"/>
      <c r="J80" s="770">
        <v>2.9980069977321731</v>
      </c>
      <c r="K80" s="563">
        <v>1</v>
      </c>
      <c r="L80" s="563">
        <v>1</v>
      </c>
      <c r="M80" s="563">
        <v>0.15</v>
      </c>
      <c r="N80" s="563"/>
      <c r="O80" s="563">
        <v>0.45</v>
      </c>
      <c r="P80" s="690"/>
      <c r="U80" s="116"/>
      <c r="V80" s="116"/>
      <c r="W80" s="116"/>
      <c r="X80" s="116"/>
      <c r="Y80" s="116"/>
      <c r="Z80" s="141"/>
      <c r="AA80" s="141"/>
      <c r="AB80" s="141"/>
      <c r="AC80" s="141"/>
      <c r="AD80" s="141"/>
      <c r="AE80" s="688"/>
      <c r="AF80" s="30"/>
      <c r="AG80" s="115"/>
      <c r="AJ80" s="116"/>
      <c r="AK80" s="116"/>
      <c r="AL80" s="116"/>
      <c r="AM80" s="116"/>
      <c r="AN80" s="116"/>
      <c r="AO80" s="141"/>
      <c r="AP80" s="141"/>
      <c r="AQ80" s="141"/>
      <c r="AR80" s="141"/>
      <c r="AS80" s="141"/>
      <c r="AT80" s="691"/>
      <c r="AV80" s="115"/>
      <c r="AY80" s="116"/>
      <c r="AZ80" s="116"/>
      <c r="BA80" s="116"/>
      <c r="BB80" s="116"/>
      <c r="BC80" s="116"/>
      <c r="BD80" s="141"/>
      <c r="BE80" s="141"/>
      <c r="BF80" s="141"/>
      <c r="BG80" s="141"/>
      <c r="BH80" s="141"/>
    </row>
    <row r="81" spans="1:60" x14ac:dyDescent="0.2">
      <c r="A81" s="562" t="s">
        <v>66</v>
      </c>
      <c r="B81" s="562" t="s">
        <v>544</v>
      </c>
      <c r="C81" s="562" t="s">
        <v>545</v>
      </c>
      <c r="D81" s="562" t="s">
        <v>26</v>
      </c>
      <c r="E81" s="562" t="s">
        <v>47</v>
      </c>
      <c r="F81" s="562" t="s">
        <v>24</v>
      </c>
      <c r="G81" s="562">
        <v>2010</v>
      </c>
      <c r="H81" s="564">
        <v>15</v>
      </c>
      <c r="I81" s="565">
        <v>6.5561177831397135</v>
      </c>
      <c r="J81" s="770">
        <v>3</v>
      </c>
      <c r="K81" s="563">
        <v>1</v>
      </c>
      <c r="L81" s="563">
        <v>1</v>
      </c>
      <c r="M81" s="563">
        <v>0.15</v>
      </c>
      <c r="N81" s="563"/>
      <c r="O81" s="563">
        <v>0.45</v>
      </c>
      <c r="P81" s="690"/>
      <c r="Q81" s="42">
        <f>RECS!T14</f>
        <v>19.169252481954935</v>
      </c>
      <c r="R81" s="115">
        <f>Q81/$Q$60</f>
        <v>2.8362903033478559E-2</v>
      </c>
      <c r="S81" s="42">
        <f>S60*$R$81*$J$81/$M$81</f>
        <v>5.2998664402056397</v>
      </c>
      <c r="T81" s="42">
        <f>S60*$R$81*$J$81</f>
        <v>0.79497996603084586</v>
      </c>
      <c r="U81" s="116">
        <f>$S81*Z$59/$T$59</f>
        <v>1.8686296473395725</v>
      </c>
      <c r="V81" s="116">
        <f t="shared" ref="V81" si="45">$S81*AA$59/$T$59</f>
        <v>0.93412085864156247</v>
      </c>
      <c r="W81" s="116">
        <f t="shared" ref="W81" si="46">$S81*AB$59/$T$59</f>
        <v>1.432482502241416</v>
      </c>
      <c r="X81" s="116">
        <f t="shared" ref="X81" si="47">$S81*AC$59/$T$59</f>
        <v>0.34019018584304223</v>
      </c>
      <c r="Y81" s="116">
        <f t="shared" ref="Y81" si="48">$S81*AD$59/$T$59</f>
        <v>1.6308185557248354</v>
      </c>
      <c r="Z81" s="141">
        <f>$T81*Z59/$T$59</f>
        <v>0.28029444710093587</v>
      </c>
      <c r="AA81" s="141">
        <f>$T81*AA59/$T$59</f>
        <v>0.14011812879623434</v>
      </c>
      <c r="AB81" s="141">
        <f>$T81*AB59/$T$59</f>
        <v>0.2148723753362124</v>
      </c>
      <c r="AC81" s="141">
        <f>$T81*AC59/$T$59</f>
        <v>5.1028527876456328E-2</v>
      </c>
      <c r="AD81" s="141">
        <f>$T81*AD59/$T$59</f>
        <v>0.24462278335872525</v>
      </c>
      <c r="AE81" s="688"/>
      <c r="AF81" s="42">
        <f>RECS!U14</f>
        <v>57.847518750362546</v>
      </c>
      <c r="AG81" s="115">
        <f>AF81/$AF$60</f>
        <v>6.9014763396583259E-2</v>
      </c>
      <c r="AH81" s="42">
        <f>AH60*$AG$81*$J$81/$M$81</f>
        <v>12.466923905087626</v>
      </c>
      <c r="AI81" s="42">
        <f>AH60*$AG$81*$J$81</f>
        <v>1.8700385857631439</v>
      </c>
      <c r="AJ81" s="116">
        <f>$AH81*AO$59/$AI$59</f>
        <v>4.4546727404100999</v>
      </c>
      <c r="AK81" s="116">
        <f t="shared" ref="AK81:AM81" si="49">$AH81*AP$59/$AI$59</f>
        <v>2.2656385960356471</v>
      </c>
      <c r="AL81" s="116">
        <f t="shared" si="49"/>
        <v>3.6827752403051548</v>
      </c>
      <c r="AM81" s="116">
        <f t="shared" si="49"/>
        <v>0.82232798938656804</v>
      </c>
      <c r="AN81" s="116">
        <f>$AH81*AS$59/$AI$59</f>
        <v>3.8192786625587138</v>
      </c>
      <c r="AO81" s="141">
        <f>$AI81*AO59/$AI$59</f>
        <v>0.66820091106151491</v>
      </c>
      <c r="AP81" s="141">
        <f t="shared" ref="AP81:AS81" si="50">$AI81*AP59/$AI$59</f>
        <v>0.33984578940534704</v>
      </c>
      <c r="AQ81" s="141">
        <f t="shared" si="50"/>
        <v>0.5524162860457732</v>
      </c>
      <c r="AR81" s="141">
        <f t="shared" si="50"/>
        <v>0.12334919840798521</v>
      </c>
      <c r="AS81" s="141">
        <f t="shared" si="50"/>
        <v>0.57289179938380708</v>
      </c>
      <c r="AT81" s="691"/>
      <c r="AU81" s="42">
        <f>RECS!V14</f>
        <v>96.525785018770151</v>
      </c>
      <c r="AV81" s="115">
        <f>AU81/$AU$60</f>
        <v>9.6475184957614382E-2</v>
      </c>
      <c r="AW81" s="42">
        <f>AW60*$AV$81*$J$81/$M$81</f>
        <v>16.175461144756632</v>
      </c>
      <c r="AX81" s="42">
        <f>AW60*$AV$81*$J$81</f>
        <v>2.4263191717134949</v>
      </c>
      <c r="AY81" s="116">
        <f>$AW81*BD$59/$AX$59</f>
        <v>6.5194698486745324</v>
      </c>
      <c r="AZ81" s="116">
        <f t="shared" ref="AZ81:BC81" si="51">$AW81*BE$59/$AX$59</f>
        <v>3.3616225262411414</v>
      </c>
      <c r="BA81" s="116">
        <f t="shared" si="51"/>
        <v>4.9751822529065572</v>
      </c>
      <c r="BB81" s="116">
        <f t="shared" si="51"/>
        <v>1.080955925875551</v>
      </c>
      <c r="BC81" s="116">
        <f t="shared" si="51"/>
        <v>5.282426081915542</v>
      </c>
      <c r="BD81" s="141">
        <f>$AX81*BD59/$AX$59</f>
        <v>0.97792047730117992</v>
      </c>
      <c r="BE81" s="141">
        <f>$AX81*BE59/$AX$59</f>
        <v>0.50424337893617122</v>
      </c>
      <c r="BF81" s="141">
        <f t="shared" ref="BF81:BG81" si="52">$AX81*BF59/$AX$59</f>
        <v>0.74627733793598372</v>
      </c>
      <c r="BG81" s="141">
        <f t="shared" si="52"/>
        <v>0.16214338888133267</v>
      </c>
      <c r="BH81" s="141">
        <f>$AX81*BH59/$AX$59</f>
        <v>0.79236391228733138</v>
      </c>
    </row>
    <row r="82" spans="1:60" x14ac:dyDescent="0.2">
      <c r="A82" s="562" t="s">
        <v>66</v>
      </c>
      <c r="B82" s="562" t="s">
        <v>873</v>
      </c>
      <c r="C82" s="562" t="s">
        <v>874</v>
      </c>
      <c r="D82" s="562" t="s">
        <v>26</v>
      </c>
      <c r="E82" s="562" t="s">
        <v>47</v>
      </c>
      <c r="F82" s="562" t="s">
        <v>24</v>
      </c>
      <c r="G82" s="562">
        <v>2015</v>
      </c>
      <c r="H82" s="564">
        <v>15</v>
      </c>
      <c r="I82" s="565">
        <v>6.7609964638628277</v>
      </c>
      <c r="J82" s="770">
        <v>4.0999999999999996</v>
      </c>
      <c r="K82" s="563">
        <v>1</v>
      </c>
      <c r="L82" s="563">
        <v>1</v>
      </c>
      <c r="M82" s="563">
        <v>0.15</v>
      </c>
      <c r="N82" s="563"/>
      <c r="O82" s="563">
        <v>0.45</v>
      </c>
      <c r="P82" s="690"/>
      <c r="Q82" s="42"/>
      <c r="U82" s="116"/>
      <c r="V82" s="116"/>
      <c r="W82" s="116"/>
      <c r="X82" s="116"/>
      <c r="Y82" s="116"/>
      <c r="Z82" s="141"/>
      <c r="AA82" s="141"/>
      <c r="AB82" s="141"/>
      <c r="AC82" s="141"/>
      <c r="AD82" s="141"/>
      <c r="AE82" s="688"/>
      <c r="AG82" s="115"/>
      <c r="AJ82" s="116"/>
      <c r="AK82" s="116"/>
      <c r="AL82" s="116"/>
      <c r="AM82" s="116"/>
      <c r="AN82" s="116"/>
      <c r="AO82" s="141"/>
      <c r="AP82" s="141"/>
      <c r="AQ82" s="141"/>
      <c r="AR82" s="141"/>
      <c r="AS82" s="141"/>
      <c r="AT82" s="691"/>
      <c r="AU82" s="42"/>
      <c r="AV82" s="115"/>
      <c r="AY82" s="116"/>
      <c r="AZ82" s="116"/>
      <c r="BA82" s="116"/>
      <c r="BB82" s="116"/>
      <c r="BC82" s="116"/>
      <c r="BD82" s="141"/>
      <c r="BE82" s="141"/>
      <c r="BF82" s="141"/>
      <c r="BG82" s="141"/>
      <c r="BH82" s="141"/>
    </row>
    <row r="83" spans="1:60" x14ac:dyDescent="0.2">
      <c r="A83" s="562" t="s">
        <v>66</v>
      </c>
      <c r="B83" s="562" t="s">
        <v>889</v>
      </c>
      <c r="C83" s="562" t="s">
        <v>890</v>
      </c>
      <c r="D83" s="562" t="s">
        <v>26</v>
      </c>
      <c r="E83" s="562" t="s">
        <v>47</v>
      </c>
      <c r="F83" s="562" t="s">
        <v>24</v>
      </c>
      <c r="G83" s="562">
        <v>2010</v>
      </c>
      <c r="H83" s="564">
        <v>15</v>
      </c>
      <c r="I83" s="565">
        <v>9.4927122068377106</v>
      </c>
      <c r="J83" s="770">
        <v>4.4000000000000004</v>
      </c>
      <c r="K83" s="563">
        <v>1</v>
      </c>
      <c r="L83" s="563">
        <v>1</v>
      </c>
      <c r="M83" s="563">
        <v>0.15</v>
      </c>
      <c r="N83" s="563"/>
      <c r="O83" s="563">
        <v>0.45</v>
      </c>
      <c r="P83" s="690"/>
      <c r="Q83" s="42"/>
      <c r="U83" s="116"/>
      <c r="V83" s="116"/>
      <c r="W83" s="116"/>
      <c r="X83" s="116"/>
      <c r="Y83" s="116"/>
      <c r="Z83" s="141"/>
      <c r="AA83" s="141"/>
      <c r="AB83" s="141"/>
      <c r="AC83" s="141"/>
      <c r="AD83" s="141"/>
      <c r="AE83" s="692"/>
      <c r="AG83" s="115"/>
      <c r="AJ83" s="116"/>
      <c r="AK83" s="116"/>
      <c r="AL83" s="116"/>
      <c r="AM83" s="116"/>
      <c r="AN83" s="116"/>
      <c r="AO83" s="141"/>
      <c r="AP83" s="141"/>
      <c r="AQ83" s="141"/>
      <c r="AR83" s="141"/>
      <c r="AS83" s="141"/>
      <c r="AT83" s="691"/>
      <c r="AU83" s="42"/>
      <c r="AV83" s="115"/>
      <c r="AY83" s="116"/>
      <c r="AZ83" s="116"/>
      <c r="BA83" s="116"/>
      <c r="BB83" s="116"/>
      <c r="BC83" s="116"/>
      <c r="BD83" s="141"/>
      <c r="BE83" s="141"/>
      <c r="BF83" s="141"/>
      <c r="BG83" s="141"/>
      <c r="BH83" s="141"/>
    </row>
    <row r="84" spans="1:60" x14ac:dyDescent="0.2">
      <c r="A84" s="562" t="s">
        <v>66</v>
      </c>
      <c r="B84" s="562" t="s">
        <v>875</v>
      </c>
      <c r="C84" s="562" t="s">
        <v>876</v>
      </c>
      <c r="D84" s="562" t="s">
        <v>26</v>
      </c>
      <c r="E84" s="562" t="s">
        <v>47</v>
      </c>
      <c r="F84" s="562" t="s">
        <v>24</v>
      </c>
      <c r="G84" s="562">
        <v>2015</v>
      </c>
      <c r="H84" s="564">
        <v>15</v>
      </c>
      <c r="I84" s="565">
        <v>9.4927122068377106</v>
      </c>
      <c r="J84" s="770">
        <v>4.4000000000000004</v>
      </c>
      <c r="K84" s="563">
        <v>1</v>
      </c>
      <c r="L84" s="563">
        <v>1</v>
      </c>
      <c r="M84" s="563">
        <v>0.15</v>
      </c>
      <c r="N84" s="563"/>
      <c r="O84" s="563">
        <v>0.45</v>
      </c>
      <c r="P84" s="690"/>
      <c r="Q84" s="42"/>
      <c r="U84" s="116"/>
      <c r="V84" s="116"/>
      <c r="W84" s="116"/>
      <c r="X84" s="116"/>
      <c r="Y84" s="116"/>
      <c r="Z84" s="141"/>
      <c r="AA84" s="141"/>
      <c r="AB84" s="141"/>
      <c r="AC84" s="141"/>
      <c r="AD84" s="141"/>
      <c r="AE84" s="692"/>
      <c r="AG84" s="115"/>
      <c r="AJ84" s="116"/>
      <c r="AK84" s="116"/>
      <c r="AL84" s="116"/>
      <c r="AM84" s="116"/>
      <c r="AN84" s="116"/>
      <c r="AO84" s="141"/>
      <c r="AP84" s="141"/>
      <c r="AQ84" s="141"/>
      <c r="AR84" s="141"/>
      <c r="AS84" s="141"/>
      <c r="AT84" s="691"/>
      <c r="AU84" s="42"/>
      <c r="AV84" s="115"/>
      <c r="AY84" s="116"/>
      <c r="AZ84" s="116"/>
      <c r="BA84" s="116"/>
      <c r="BB84" s="116"/>
      <c r="BC84" s="116"/>
      <c r="BD84" s="141"/>
      <c r="BE84" s="141"/>
      <c r="BF84" s="141"/>
      <c r="BG84" s="141"/>
      <c r="BH84" s="141"/>
    </row>
    <row r="85" spans="1:60" x14ac:dyDescent="0.2">
      <c r="A85" s="562" t="s">
        <v>66</v>
      </c>
      <c r="B85" s="562" t="s">
        <v>891</v>
      </c>
      <c r="C85" s="562" t="s">
        <v>892</v>
      </c>
      <c r="D85" s="562" t="s">
        <v>26</v>
      </c>
      <c r="E85" s="562" t="s">
        <v>47</v>
      </c>
      <c r="F85" s="562" t="s">
        <v>24</v>
      </c>
      <c r="G85" s="562">
        <v>2010</v>
      </c>
      <c r="H85" s="564">
        <v>15</v>
      </c>
      <c r="I85" s="565">
        <v>9.8341766747095694</v>
      </c>
      <c r="J85" s="770">
        <v>4.6900000000000004</v>
      </c>
      <c r="K85" s="563">
        <v>1</v>
      </c>
      <c r="L85" s="563">
        <v>1</v>
      </c>
      <c r="M85" s="563">
        <v>0.15</v>
      </c>
      <c r="N85" s="563"/>
      <c r="O85" s="563">
        <v>0.45</v>
      </c>
      <c r="P85" s="690"/>
      <c r="Q85" s="42"/>
      <c r="U85" s="116"/>
      <c r="V85" s="116"/>
      <c r="W85" s="116"/>
      <c r="X85" s="116"/>
      <c r="Y85" s="116"/>
      <c r="Z85" s="141"/>
      <c r="AA85" s="141"/>
      <c r="AB85" s="141"/>
      <c r="AC85" s="141"/>
      <c r="AD85" s="141"/>
      <c r="AE85" s="692"/>
      <c r="AG85" s="115"/>
      <c r="AJ85" s="116"/>
      <c r="AK85" s="116"/>
      <c r="AL85" s="116"/>
      <c r="AM85" s="116"/>
      <c r="AN85" s="116"/>
      <c r="AO85" s="141"/>
      <c r="AP85" s="141"/>
      <c r="AQ85" s="141"/>
      <c r="AR85" s="141"/>
      <c r="AS85" s="141"/>
      <c r="AT85" s="691"/>
      <c r="AU85" s="42"/>
      <c r="AV85" s="115"/>
      <c r="AY85" s="116"/>
      <c r="AZ85" s="116"/>
      <c r="BA85" s="116"/>
      <c r="BB85" s="116"/>
      <c r="BC85" s="116"/>
      <c r="BD85" s="141"/>
      <c r="BE85" s="141"/>
      <c r="BF85" s="141"/>
      <c r="BG85" s="141"/>
      <c r="BH85" s="141"/>
    </row>
    <row r="86" spans="1:60" x14ac:dyDescent="0.2">
      <c r="A86" s="562" t="s">
        <v>66</v>
      </c>
      <c r="B86" s="562" t="s">
        <v>893</v>
      </c>
      <c r="C86" s="562" t="s">
        <v>894</v>
      </c>
      <c r="D86" s="562" t="s">
        <v>26</v>
      </c>
      <c r="E86" s="562" t="s">
        <v>47</v>
      </c>
      <c r="F86" s="562" t="s">
        <v>24</v>
      </c>
      <c r="G86" s="562">
        <v>2015</v>
      </c>
      <c r="H86" s="564">
        <v>15</v>
      </c>
      <c r="I86" s="565">
        <v>8.6049045903708734</v>
      </c>
      <c r="J86" s="770">
        <v>4.84</v>
      </c>
      <c r="K86" s="563">
        <v>1</v>
      </c>
      <c r="L86" s="563">
        <v>1</v>
      </c>
      <c r="M86" s="563">
        <v>0.15</v>
      </c>
      <c r="N86" s="563"/>
      <c r="O86" s="563">
        <v>0.45</v>
      </c>
      <c r="P86" s="690"/>
      <c r="Q86" s="42"/>
      <c r="U86" s="116"/>
      <c r="V86" s="116"/>
      <c r="W86" s="116"/>
      <c r="X86" s="116"/>
      <c r="Y86" s="116"/>
      <c r="Z86" s="141"/>
      <c r="AA86" s="141"/>
      <c r="AB86" s="141"/>
      <c r="AC86" s="141"/>
      <c r="AD86" s="141"/>
      <c r="AE86" s="692"/>
      <c r="AG86" s="115"/>
      <c r="AJ86" s="116"/>
      <c r="AK86" s="116"/>
      <c r="AL86" s="116"/>
      <c r="AM86" s="116"/>
      <c r="AN86" s="116"/>
      <c r="AO86" s="141"/>
      <c r="AP86" s="141"/>
      <c r="AQ86" s="141"/>
      <c r="AR86" s="141"/>
      <c r="AS86" s="141"/>
      <c r="AT86" s="691"/>
      <c r="AU86" s="42"/>
      <c r="AV86" s="115"/>
      <c r="AY86" s="116"/>
      <c r="AZ86" s="116"/>
      <c r="BA86" s="116"/>
      <c r="BB86" s="116"/>
      <c r="BC86" s="116"/>
      <c r="BD86" s="141"/>
      <c r="BE86" s="141"/>
      <c r="BF86" s="141"/>
      <c r="BG86" s="141"/>
      <c r="BH86" s="141"/>
    </row>
    <row r="87" spans="1:60" x14ac:dyDescent="0.2">
      <c r="A87" s="562" t="s">
        <v>66</v>
      </c>
      <c r="B87" s="562" t="s">
        <v>877</v>
      </c>
      <c r="C87" s="562" t="s">
        <v>878</v>
      </c>
      <c r="D87" s="562" t="s">
        <v>26</v>
      </c>
      <c r="E87" s="562" t="s">
        <v>47</v>
      </c>
      <c r="F87" s="562" t="s">
        <v>24</v>
      </c>
      <c r="G87" s="562">
        <v>2020</v>
      </c>
      <c r="H87" s="564">
        <v>15</v>
      </c>
      <c r="I87" s="565">
        <v>8.6049045903708734</v>
      </c>
      <c r="J87" s="770">
        <v>4.84</v>
      </c>
      <c r="K87" s="563">
        <v>1</v>
      </c>
      <c r="L87" s="563">
        <v>1</v>
      </c>
      <c r="M87" s="563">
        <v>0.15</v>
      </c>
      <c r="N87" s="563"/>
      <c r="O87" s="563">
        <v>0.45</v>
      </c>
      <c r="P87" s="690"/>
      <c r="Q87" s="42"/>
      <c r="U87" s="116"/>
      <c r="V87" s="116"/>
      <c r="W87" s="116"/>
      <c r="X87" s="116"/>
      <c r="Y87" s="116"/>
      <c r="Z87" s="141"/>
      <c r="AA87" s="141"/>
      <c r="AB87" s="141"/>
      <c r="AC87" s="141"/>
      <c r="AD87" s="141"/>
      <c r="AE87" s="692"/>
      <c r="AG87" s="115"/>
      <c r="AJ87" s="116"/>
      <c r="AK87" s="116"/>
      <c r="AL87" s="116"/>
      <c r="AM87" s="116"/>
      <c r="AN87" s="116"/>
      <c r="AO87" s="141"/>
      <c r="AP87" s="141"/>
      <c r="AQ87" s="141"/>
      <c r="AR87" s="141"/>
      <c r="AS87" s="141"/>
      <c r="AT87" s="691"/>
      <c r="AU87" s="42"/>
      <c r="AV87" s="115"/>
      <c r="AY87" s="116"/>
      <c r="AZ87" s="116"/>
      <c r="BA87" s="116"/>
      <c r="BB87" s="116"/>
      <c r="BC87" s="116"/>
      <c r="BD87" s="141"/>
      <c r="BE87" s="141"/>
      <c r="BF87" s="141"/>
      <c r="BG87" s="141"/>
      <c r="BH87" s="141"/>
    </row>
    <row r="88" spans="1:60" x14ac:dyDescent="0.2">
      <c r="A88" s="562" t="s">
        <v>66</v>
      </c>
      <c r="B88" s="562" t="s">
        <v>895</v>
      </c>
      <c r="C88" s="562" t="s">
        <v>896</v>
      </c>
      <c r="D88" s="562" t="s">
        <v>26</v>
      </c>
      <c r="E88" s="562" t="s">
        <v>47</v>
      </c>
      <c r="F88" s="562" t="s">
        <v>24</v>
      </c>
      <c r="G88" s="562">
        <v>2030</v>
      </c>
      <c r="H88" s="564">
        <v>15</v>
      </c>
      <c r="I88" s="565">
        <v>8.6049045903708734</v>
      </c>
      <c r="J88" s="770">
        <v>4.84</v>
      </c>
      <c r="K88" s="563">
        <v>1</v>
      </c>
      <c r="L88" s="563">
        <v>1</v>
      </c>
      <c r="M88" s="563">
        <v>0.15</v>
      </c>
      <c r="N88" s="563"/>
      <c r="O88" s="563">
        <v>0.45</v>
      </c>
      <c r="P88" s="690"/>
      <c r="Q88" s="42"/>
      <c r="U88" s="116"/>
      <c r="V88" s="116"/>
      <c r="W88" s="116"/>
      <c r="X88" s="116"/>
      <c r="Y88" s="116"/>
      <c r="Z88" s="141"/>
      <c r="AA88" s="141"/>
      <c r="AB88" s="141"/>
      <c r="AC88" s="141"/>
      <c r="AD88" s="141"/>
      <c r="AE88" s="692"/>
      <c r="AG88" s="115"/>
      <c r="AJ88" s="116"/>
      <c r="AK88" s="116"/>
      <c r="AL88" s="116"/>
      <c r="AM88" s="116"/>
      <c r="AN88" s="116"/>
      <c r="AO88" s="141"/>
      <c r="AP88" s="141"/>
      <c r="AQ88" s="141"/>
      <c r="AR88" s="141"/>
      <c r="AS88" s="141"/>
      <c r="AT88" s="691"/>
      <c r="AU88" s="42"/>
      <c r="AV88" s="115"/>
      <c r="AY88" s="116"/>
      <c r="AZ88" s="116"/>
      <c r="BA88" s="116"/>
      <c r="BB88" s="116"/>
      <c r="BC88" s="116"/>
      <c r="BD88" s="141"/>
      <c r="BE88" s="141"/>
      <c r="BF88" s="141"/>
      <c r="BG88" s="141"/>
      <c r="BH88" s="141"/>
    </row>
    <row r="89" spans="1:60" x14ac:dyDescent="0.2">
      <c r="A89" s="562" t="s">
        <v>66</v>
      </c>
      <c r="B89" s="562" t="s">
        <v>897</v>
      </c>
      <c r="C89" s="562" t="s">
        <v>898</v>
      </c>
      <c r="D89" s="562" t="s">
        <v>26</v>
      </c>
      <c r="E89" s="562" t="s">
        <v>47</v>
      </c>
      <c r="F89" s="562" t="s">
        <v>24</v>
      </c>
      <c r="G89" s="562">
        <v>2010</v>
      </c>
      <c r="H89" s="564">
        <v>15</v>
      </c>
      <c r="I89" s="565">
        <v>10.858570078325149</v>
      </c>
      <c r="J89" s="770">
        <v>6.45</v>
      </c>
      <c r="K89" s="563">
        <v>1</v>
      </c>
      <c r="L89" s="563">
        <v>1</v>
      </c>
      <c r="M89" s="563">
        <v>0.15</v>
      </c>
      <c r="N89" s="563"/>
      <c r="O89" s="563">
        <v>0.45</v>
      </c>
      <c r="P89" s="690"/>
      <c r="Q89" s="42"/>
      <c r="U89" s="116"/>
      <c r="V89" s="116"/>
      <c r="W89" s="116"/>
      <c r="X89" s="116"/>
      <c r="Y89" s="116"/>
      <c r="Z89" s="141"/>
      <c r="AA89" s="141"/>
      <c r="AB89" s="141"/>
      <c r="AC89" s="141"/>
      <c r="AD89" s="141"/>
      <c r="AE89" s="692"/>
      <c r="AG89" s="115"/>
      <c r="AJ89" s="116"/>
      <c r="AK89" s="116"/>
      <c r="AL89" s="116"/>
      <c r="AM89" s="116"/>
      <c r="AN89" s="116"/>
      <c r="AO89" s="141"/>
      <c r="AP89" s="141"/>
      <c r="AQ89" s="141"/>
      <c r="AR89" s="141"/>
      <c r="AS89" s="141"/>
      <c r="AT89" s="691"/>
      <c r="AU89" s="42"/>
      <c r="AV89" s="115"/>
      <c r="AY89" s="116"/>
      <c r="AZ89" s="116"/>
      <c r="BA89" s="116"/>
      <c r="BB89" s="116"/>
      <c r="BC89" s="116"/>
      <c r="BD89" s="141"/>
      <c r="BE89" s="141"/>
      <c r="BF89" s="141"/>
      <c r="BG89" s="141"/>
      <c r="BH89" s="141"/>
    </row>
    <row r="90" spans="1:60" x14ac:dyDescent="0.2">
      <c r="A90" s="562" t="s">
        <v>66</v>
      </c>
      <c r="B90" s="562" t="s">
        <v>899</v>
      </c>
      <c r="C90" s="562" t="s">
        <v>900</v>
      </c>
      <c r="D90" s="562" t="s">
        <v>26</v>
      </c>
      <c r="E90" s="562" t="s">
        <v>47</v>
      </c>
      <c r="F90" s="562" t="s">
        <v>24</v>
      </c>
      <c r="G90" s="562">
        <v>2020</v>
      </c>
      <c r="H90" s="564">
        <v>15</v>
      </c>
      <c r="I90" s="565">
        <v>10.995155865473894</v>
      </c>
      <c r="J90" s="770">
        <v>6.74</v>
      </c>
      <c r="K90" s="563">
        <v>1</v>
      </c>
      <c r="L90" s="563">
        <v>1</v>
      </c>
      <c r="M90" s="563">
        <v>0.15</v>
      </c>
      <c r="N90" s="563"/>
      <c r="O90" s="563">
        <v>0.45</v>
      </c>
      <c r="P90" s="690"/>
      <c r="Q90" s="42"/>
      <c r="U90" s="116"/>
      <c r="V90" s="116"/>
      <c r="W90" s="116"/>
      <c r="X90" s="116"/>
      <c r="Y90" s="116"/>
      <c r="Z90" s="141"/>
      <c r="AA90" s="141"/>
      <c r="AB90" s="141"/>
      <c r="AC90" s="141"/>
      <c r="AD90" s="141"/>
      <c r="AE90" s="692"/>
      <c r="AG90" s="115"/>
      <c r="AJ90" s="116"/>
      <c r="AK90" s="116"/>
      <c r="AL90" s="116"/>
      <c r="AM90" s="116"/>
      <c r="AN90" s="116"/>
      <c r="AO90" s="141"/>
      <c r="AP90" s="141"/>
      <c r="AQ90" s="141"/>
      <c r="AR90" s="141"/>
      <c r="AS90" s="141"/>
      <c r="AT90" s="691"/>
      <c r="AU90" s="42"/>
      <c r="AV90" s="115"/>
      <c r="AY90" s="116"/>
      <c r="AZ90" s="116"/>
      <c r="BA90" s="116"/>
      <c r="BB90" s="116"/>
      <c r="BC90" s="116"/>
      <c r="BD90" s="141"/>
      <c r="BE90" s="141"/>
      <c r="BF90" s="141"/>
      <c r="BG90" s="141"/>
      <c r="BH90" s="141"/>
    </row>
    <row r="91" spans="1:60" x14ac:dyDescent="0.2">
      <c r="A91" s="562" t="s">
        <v>66</v>
      </c>
      <c r="B91" s="562" t="s">
        <v>881</v>
      </c>
      <c r="C91" s="562" t="s">
        <v>882</v>
      </c>
      <c r="D91" s="562" t="s">
        <v>26</v>
      </c>
      <c r="E91" s="562" t="s">
        <v>47</v>
      </c>
      <c r="F91" s="562" t="s">
        <v>24</v>
      </c>
      <c r="G91" s="562">
        <v>2030</v>
      </c>
      <c r="H91" s="564">
        <v>15</v>
      </c>
      <c r="I91" s="565">
        <v>11.268327439771381</v>
      </c>
      <c r="J91" s="770">
        <v>7.03</v>
      </c>
      <c r="K91" s="563">
        <v>1</v>
      </c>
      <c r="L91" s="563">
        <v>1</v>
      </c>
      <c r="M91" s="563">
        <v>0.15</v>
      </c>
      <c r="N91" s="563"/>
      <c r="O91" s="563">
        <v>0.45</v>
      </c>
      <c r="P91" s="690"/>
      <c r="Q91" s="42"/>
      <c r="U91" s="116"/>
      <c r="V91" s="116"/>
      <c r="W91" s="116"/>
      <c r="X91" s="116"/>
      <c r="Y91" s="116"/>
      <c r="Z91" s="141"/>
      <c r="AA91" s="141"/>
      <c r="AB91" s="141"/>
      <c r="AC91" s="141"/>
      <c r="AD91" s="141"/>
      <c r="AE91" s="692"/>
      <c r="AG91" s="115"/>
      <c r="AJ91" s="116"/>
      <c r="AK91" s="116"/>
      <c r="AL91" s="116"/>
      <c r="AM91" s="116"/>
      <c r="AN91" s="116"/>
      <c r="AO91" s="141"/>
      <c r="AP91" s="141"/>
      <c r="AQ91" s="141"/>
      <c r="AR91" s="141"/>
      <c r="AS91" s="141"/>
      <c r="AT91" s="691"/>
      <c r="AU91" s="42"/>
      <c r="AV91" s="115"/>
      <c r="AY91" s="116"/>
      <c r="AZ91" s="116"/>
      <c r="BA91" s="116"/>
      <c r="BB91" s="116"/>
      <c r="BC91" s="116"/>
      <c r="BD91" s="141"/>
      <c r="BE91" s="141"/>
      <c r="BF91" s="141"/>
      <c r="BG91" s="141"/>
      <c r="BH91" s="141"/>
    </row>
    <row r="92" spans="1:60" x14ac:dyDescent="0.2">
      <c r="A92" s="562" t="s">
        <v>66</v>
      </c>
      <c r="B92" s="562" t="s">
        <v>901</v>
      </c>
      <c r="C92" s="562" t="s">
        <v>902</v>
      </c>
      <c r="D92" s="562" t="s">
        <v>26</v>
      </c>
      <c r="E92" s="562" t="s">
        <v>47</v>
      </c>
      <c r="F92" s="562" t="s">
        <v>24</v>
      </c>
      <c r="G92" s="562">
        <v>2035</v>
      </c>
      <c r="H92" s="564">
        <v>15</v>
      </c>
      <c r="I92" s="565">
        <v>11.268327439771381</v>
      </c>
      <c r="J92" s="770">
        <v>7.33</v>
      </c>
      <c r="K92" s="563">
        <v>1</v>
      </c>
      <c r="L92" s="563">
        <v>1</v>
      </c>
      <c r="M92" s="563">
        <v>0.15</v>
      </c>
      <c r="N92" s="563"/>
      <c r="O92" s="563">
        <v>0.45</v>
      </c>
      <c r="P92" s="690"/>
      <c r="Q92" s="42"/>
      <c r="U92" s="116"/>
      <c r="V92" s="116"/>
      <c r="W92" s="116"/>
      <c r="X92" s="116"/>
      <c r="Y92" s="116"/>
      <c r="Z92" s="141"/>
      <c r="AA92" s="141"/>
      <c r="AB92" s="141"/>
      <c r="AC92" s="141"/>
      <c r="AD92" s="141"/>
      <c r="AE92" s="692"/>
      <c r="AG92" s="115"/>
      <c r="AJ92" s="116"/>
      <c r="AK92" s="116"/>
      <c r="AL92" s="116"/>
      <c r="AM92" s="116"/>
      <c r="AN92" s="116"/>
      <c r="AO92" s="141"/>
      <c r="AP92" s="141"/>
      <c r="AQ92" s="141"/>
      <c r="AR92" s="141"/>
      <c r="AS92" s="141"/>
      <c r="AT92" s="691"/>
      <c r="AU92" s="42"/>
      <c r="AV92" s="115"/>
      <c r="AY92" s="116"/>
      <c r="AZ92" s="116"/>
      <c r="BA92" s="116"/>
      <c r="BB92" s="116"/>
      <c r="BC92" s="116"/>
      <c r="BD92" s="141"/>
      <c r="BE92" s="141"/>
      <c r="BF92" s="141"/>
      <c r="BG92" s="141"/>
      <c r="BH92" s="141"/>
    </row>
    <row r="93" spans="1:60" x14ac:dyDescent="0.2">
      <c r="A93" s="558" t="s">
        <v>1638</v>
      </c>
      <c r="B93" s="558"/>
      <c r="C93" s="558"/>
      <c r="D93" s="558"/>
      <c r="E93" s="558"/>
      <c r="F93" s="558"/>
      <c r="G93" s="141"/>
      <c r="H93" s="559"/>
      <c r="I93" s="560"/>
      <c r="J93" s="769"/>
      <c r="K93" s="141"/>
      <c r="L93" s="141"/>
      <c r="M93" s="141">
        <f>M95</f>
        <v>0.15</v>
      </c>
      <c r="N93" s="141"/>
      <c r="O93" s="141"/>
      <c r="P93" s="690"/>
      <c r="Q93" s="120">
        <f>SUM(Q94:Q97)</f>
        <v>1.7695813085182086</v>
      </c>
      <c r="R93" s="121" t="s">
        <v>1638</v>
      </c>
      <c r="S93" s="120">
        <f>'Fuel Share'!F42</f>
        <v>0</v>
      </c>
      <c r="T93" s="120"/>
      <c r="U93" s="120"/>
      <c r="V93" s="120"/>
      <c r="W93" s="120"/>
      <c r="X93" s="120"/>
      <c r="Y93" s="120"/>
      <c r="Z93" s="120"/>
      <c r="AA93" s="120"/>
      <c r="AB93" s="120"/>
      <c r="AC93" s="120"/>
      <c r="AD93" s="120"/>
      <c r="AE93" s="692"/>
      <c r="AF93" s="120">
        <f>SUM(AF94:AF97)</f>
        <v>4.6744018471996247</v>
      </c>
      <c r="AG93" s="121" t="s">
        <v>1638</v>
      </c>
      <c r="AH93" s="120">
        <f>'Fuel Share'!P42</f>
        <v>0</v>
      </c>
      <c r="AI93" s="120"/>
      <c r="AJ93" s="120"/>
      <c r="AK93" s="120"/>
      <c r="AL93" s="120"/>
      <c r="AM93" s="120"/>
      <c r="AN93" s="120"/>
      <c r="AO93" s="120"/>
      <c r="AP93" s="120"/>
      <c r="AQ93" s="120"/>
      <c r="AR93" s="120"/>
      <c r="AS93" s="120"/>
      <c r="AT93" s="691"/>
      <c r="AU93" s="120">
        <f>SUM(AU94:AU97)</f>
        <v>7.5792223858810415</v>
      </c>
      <c r="AV93" s="121" t="s">
        <v>1638</v>
      </c>
      <c r="AW93" s="120">
        <f>'Fuel Share'!Z42</f>
        <v>0</v>
      </c>
      <c r="AX93" s="120"/>
      <c r="AY93" s="120"/>
      <c r="AZ93" s="120"/>
      <c r="BA93" s="120"/>
      <c r="BB93" s="120"/>
      <c r="BC93" s="120"/>
      <c r="BD93" s="120"/>
      <c r="BE93" s="120"/>
      <c r="BF93" s="120"/>
      <c r="BG93" s="120"/>
      <c r="BH93" s="120"/>
    </row>
    <row r="94" spans="1:60" x14ac:dyDescent="0.2">
      <c r="A94" s="561" t="s">
        <v>389</v>
      </c>
      <c r="B94" s="562"/>
      <c r="C94" s="562"/>
      <c r="D94" s="562"/>
      <c r="E94" s="562"/>
      <c r="F94" s="562"/>
      <c r="G94" s="563"/>
      <c r="H94" s="564"/>
      <c r="I94" s="565"/>
      <c r="J94" s="770"/>
      <c r="K94" s="563"/>
      <c r="L94" s="563"/>
      <c r="M94" s="563"/>
      <c r="N94" s="563"/>
      <c r="O94" s="563"/>
      <c r="P94" s="690"/>
      <c r="Q94" s="42"/>
      <c r="U94" s="116"/>
      <c r="V94" s="116"/>
      <c r="W94" s="116"/>
      <c r="X94" s="116"/>
      <c r="Y94" s="116"/>
      <c r="Z94" s="141"/>
      <c r="AA94" s="141"/>
      <c r="AB94" s="141"/>
      <c r="AC94" s="141"/>
      <c r="AD94" s="141"/>
      <c r="AE94" s="692"/>
      <c r="AG94" s="115"/>
      <c r="AJ94" s="116"/>
      <c r="AK94" s="116"/>
      <c r="AL94" s="116"/>
      <c r="AM94" s="116"/>
      <c r="AN94" s="116"/>
      <c r="AO94" s="141"/>
      <c r="AP94" s="141"/>
      <c r="AQ94" s="141"/>
      <c r="AR94" s="141"/>
      <c r="AS94" s="141"/>
      <c r="AT94" s="691"/>
      <c r="AU94" s="42"/>
      <c r="AV94" s="115"/>
      <c r="AY94" s="116"/>
      <c r="AZ94" s="116"/>
      <c r="BA94" s="116"/>
      <c r="BB94" s="116"/>
      <c r="BC94" s="116"/>
      <c r="BD94" s="141"/>
      <c r="BE94" s="141"/>
      <c r="BF94" s="141"/>
      <c r="BG94" s="141"/>
      <c r="BH94" s="141"/>
    </row>
    <row r="95" spans="1:60" x14ac:dyDescent="0.2">
      <c r="A95" s="562" t="s">
        <v>66</v>
      </c>
      <c r="B95" s="562" t="s">
        <v>911</v>
      </c>
      <c r="C95" s="562" t="s">
        <v>912</v>
      </c>
      <c r="D95" s="562" t="s">
        <v>26</v>
      </c>
      <c r="E95" s="562" t="s">
        <v>52</v>
      </c>
      <c r="F95" s="562" t="s">
        <v>24</v>
      </c>
      <c r="G95" s="562">
        <v>2005</v>
      </c>
      <c r="H95" s="564">
        <v>15</v>
      </c>
      <c r="I95" s="565">
        <v>0</v>
      </c>
      <c r="J95" s="770">
        <v>0.67000001668930098</v>
      </c>
      <c r="K95" s="563">
        <v>1</v>
      </c>
      <c r="L95" s="563">
        <v>1</v>
      </c>
      <c r="M95" s="563">
        <v>0.15</v>
      </c>
      <c r="N95" s="563"/>
      <c r="O95" s="563">
        <v>0.18</v>
      </c>
      <c r="P95" s="690"/>
      <c r="U95" s="116"/>
      <c r="V95" s="116"/>
      <c r="W95" s="116"/>
      <c r="X95" s="116"/>
      <c r="Y95" s="116"/>
      <c r="Z95" s="141"/>
      <c r="AA95" s="141"/>
      <c r="AB95" s="141"/>
      <c r="AC95" s="141"/>
      <c r="AD95" s="141"/>
      <c r="AE95" s="692"/>
      <c r="AF95" s="30"/>
      <c r="AG95" s="115"/>
      <c r="AJ95" s="116"/>
      <c r="AK95" s="116"/>
      <c r="AL95" s="116"/>
      <c r="AM95" s="116"/>
      <c r="AN95" s="116"/>
      <c r="AO95" s="141"/>
      <c r="AP95" s="141"/>
      <c r="AQ95" s="141"/>
      <c r="AR95" s="141"/>
      <c r="AS95" s="141"/>
      <c r="AT95" s="691"/>
      <c r="AV95" s="115"/>
      <c r="AY95" s="116"/>
      <c r="AZ95" s="116"/>
      <c r="BA95" s="116"/>
      <c r="BB95" s="116"/>
      <c r="BC95" s="116"/>
      <c r="BD95" s="141"/>
      <c r="BE95" s="141"/>
      <c r="BF95" s="141"/>
      <c r="BG95" s="141"/>
      <c r="BH95" s="141"/>
    </row>
    <row r="96" spans="1:60" x14ac:dyDescent="0.2">
      <c r="A96" s="562" t="s">
        <v>66</v>
      </c>
      <c r="B96" s="562" t="s">
        <v>1683</v>
      </c>
      <c r="C96" s="562" t="s">
        <v>1684</v>
      </c>
      <c r="D96" s="562" t="s">
        <v>26</v>
      </c>
      <c r="E96" s="562" t="s">
        <v>52</v>
      </c>
      <c r="F96" s="562" t="s">
        <v>24</v>
      </c>
      <c r="G96" s="562">
        <v>2010</v>
      </c>
      <c r="H96" s="564">
        <v>15</v>
      </c>
      <c r="I96" s="565">
        <v>12.292720843386961</v>
      </c>
      <c r="J96" s="770">
        <v>0.6</v>
      </c>
      <c r="K96" s="563">
        <v>1</v>
      </c>
      <c r="L96" s="563">
        <v>1</v>
      </c>
      <c r="M96" s="563">
        <v>0.15</v>
      </c>
      <c r="N96" s="563"/>
      <c r="O96" s="563">
        <v>0.18</v>
      </c>
      <c r="P96" s="690"/>
      <c r="Q96" s="42">
        <f>RECS!T16</f>
        <v>1.7695813085182086</v>
      </c>
      <c r="R96" s="115">
        <v>1</v>
      </c>
      <c r="S96" s="42">
        <f>S93*$R$96*$J$96/$M$96</f>
        <v>0</v>
      </c>
      <c r="T96" s="42">
        <f>S93*$R$96*$J$96</f>
        <v>0</v>
      </c>
      <c r="U96" s="116">
        <f>$S96*Z$59/$T$59</f>
        <v>0</v>
      </c>
      <c r="V96" s="116">
        <f>$S96*AA$59/$T$59</f>
        <v>0</v>
      </c>
      <c r="W96" s="116">
        <f>$S96*AB$59/$T$59</f>
        <v>0</v>
      </c>
      <c r="X96" s="116">
        <f>$S96*AC$59/$T$59</f>
        <v>0</v>
      </c>
      <c r="Y96" s="116">
        <f>$S96*AD$59/$T$59</f>
        <v>0</v>
      </c>
      <c r="Z96" s="141">
        <f>$T96*Z59/$T$59</f>
        <v>0</v>
      </c>
      <c r="AA96" s="141">
        <f>$T96*AA59/$T$59</f>
        <v>0</v>
      </c>
      <c r="AB96" s="141">
        <f>$T96*AB59/$T$59</f>
        <v>0</v>
      </c>
      <c r="AC96" s="141">
        <f>$T96*AC59/$T$59</f>
        <v>0</v>
      </c>
      <c r="AD96" s="141">
        <f>$T96*AD59/$T$59</f>
        <v>0</v>
      </c>
      <c r="AE96" s="692"/>
      <c r="AF96" s="517">
        <f>RECS!U16</f>
        <v>4.6744018471996247</v>
      </c>
      <c r="AG96" s="115">
        <v>1</v>
      </c>
      <c r="AH96" s="42">
        <f>AH93*$AG$96*$J$96/$M$96</f>
        <v>0</v>
      </c>
      <c r="AI96" s="42">
        <f>AH93*$AG$96*$J$96</f>
        <v>0</v>
      </c>
      <c r="AJ96" s="116">
        <f>$AH96*AO$59/$AI$59</f>
        <v>0</v>
      </c>
      <c r="AK96" s="116">
        <f t="shared" ref="AK96:AN96" si="53">$AH96*AP$59/$AI$59</f>
        <v>0</v>
      </c>
      <c r="AL96" s="116">
        <f t="shared" si="53"/>
        <v>0</v>
      </c>
      <c r="AM96" s="116">
        <f t="shared" si="53"/>
        <v>0</v>
      </c>
      <c r="AN96" s="116">
        <f t="shared" si="53"/>
        <v>0</v>
      </c>
      <c r="AO96" s="141">
        <f>$AI96*AO59/$AI$59</f>
        <v>0</v>
      </c>
      <c r="AP96" s="141">
        <f t="shared" ref="AP96:AR96" si="54">$AI96*AP59/$AI$59</f>
        <v>0</v>
      </c>
      <c r="AQ96" s="141">
        <f t="shared" si="54"/>
        <v>0</v>
      </c>
      <c r="AR96" s="141">
        <f t="shared" si="54"/>
        <v>0</v>
      </c>
      <c r="AS96" s="141">
        <f>$AI96*AS59/$AI$59</f>
        <v>0</v>
      </c>
      <c r="AT96" s="691"/>
      <c r="AU96" s="517">
        <f>RECS!V16</f>
        <v>7.5792223858810415</v>
      </c>
      <c r="AV96" s="115">
        <v>1</v>
      </c>
      <c r="AW96" s="42">
        <f>AW93*$AV$96*$J$96/$M$96</f>
        <v>0</v>
      </c>
      <c r="AX96" s="42">
        <f>AW93*$AV$96*$J$96</f>
        <v>0</v>
      </c>
      <c r="AY96" s="116">
        <f>$AW96*BD$59/$AX$59</f>
        <v>0</v>
      </c>
      <c r="AZ96" s="116">
        <f t="shared" ref="AZ96:BC96" si="55">$AW96*BE$59/$AX$59</f>
        <v>0</v>
      </c>
      <c r="BA96" s="116">
        <f t="shared" si="55"/>
        <v>0</v>
      </c>
      <c r="BB96" s="116">
        <f t="shared" si="55"/>
        <v>0</v>
      </c>
      <c r="BC96" s="116">
        <f t="shared" si="55"/>
        <v>0</v>
      </c>
      <c r="BD96" s="141">
        <f>$AX96*BD59/$AX$59</f>
        <v>0</v>
      </c>
      <c r="BE96" s="141">
        <f t="shared" ref="BE96:BG96" si="56">$AX96*BE59/$AX$59</f>
        <v>0</v>
      </c>
      <c r="BF96" s="141">
        <f t="shared" si="56"/>
        <v>0</v>
      </c>
      <c r="BG96" s="141">
        <f t="shared" si="56"/>
        <v>0</v>
      </c>
      <c r="BH96" s="141">
        <f>$AX96*BH59/$AX$59</f>
        <v>0</v>
      </c>
    </row>
    <row r="97" spans="1:60" x14ac:dyDescent="0.2">
      <c r="A97" s="562" t="s">
        <v>66</v>
      </c>
      <c r="B97" s="562" t="s">
        <v>913</v>
      </c>
      <c r="C97" s="562" t="s">
        <v>914</v>
      </c>
      <c r="D97" s="562" t="s">
        <v>26</v>
      </c>
      <c r="E97" s="562" t="s">
        <v>52</v>
      </c>
      <c r="F97" s="562" t="s">
        <v>24</v>
      </c>
      <c r="G97" s="562">
        <v>2020</v>
      </c>
      <c r="H97" s="564">
        <v>15</v>
      </c>
      <c r="I97" s="565">
        <v>12.292720843386961</v>
      </c>
      <c r="J97" s="770">
        <v>0.7</v>
      </c>
      <c r="K97" s="563">
        <v>1</v>
      </c>
      <c r="L97" s="563">
        <v>1</v>
      </c>
      <c r="M97" s="563">
        <v>0.15</v>
      </c>
      <c r="N97" s="563"/>
      <c r="O97" s="563">
        <v>0.18</v>
      </c>
      <c r="P97" s="690"/>
      <c r="Q97" s="42"/>
      <c r="U97" s="116"/>
      <c r="V97" s="116"/>
      <c r="W97" s="116"/>
      <c r="X97" s="116"/>
      <c r="Y97" s="116"/>
      <c r="Z97" s="141"/>
      <c r="AA97" s="141"/>
      <c r="AB97" s="141"/>
      <c r="AC97" s="141"/>
      <c r="AD97" s="141"/>
      <c r="AE97" s="688"/>
      <c r="AG97" s="115"/>
      <c r="AJ97" s="116"/>
      <c r="AK97" s="116"/>
      <c r="AL97" s="116"/>
      <c r="AM97" s="116"/>
      <c r="AN97" s="116"/>
      <c r="AO97" s="141"/>
      <c r="AP97" s="141"/>
      <c r="AQ97" s="141"/>
      <c r="AR97" s="141"/>
      <c r="AS97" s="141"/>
      <c r="AT97" s="691"/>
      <c r="AU97" s="42"/>
      <c r="AV97" s="115"/>
      <c r="AY97" s="116"/>
      <c r="AZ97" s="116"/>
      <c r="BA97" s="116"/>
      <c r="BB97" s="116"/>
      <c r="BC97" s="116"/>
      <c r="BD97" s="141"/>
      <c r="BE97" s="141"/>
      <c r="BF97" s="141"/>
      <c r="BG97" s="141"/>
      <c r="BH97" s="141"/>
    </row>
    <row r="98" spans="1:60" x14ac:dyDescent="0.2">
      <c r="A98" s="570" t="s">
        <v>394</v>
      </c>
      <c r="B98" s="570"/>
      <c r="C98" s="570"/>
      <c r="D98" s="570"/>
      <c r="E98" s="570"/>
      <c r="F98" s="570"/>
      <c r="G98" s="572"/>
      <c r="H98" s="573"/>
      <c r="I98" s="574"/>
      <c r="J98" s="771"/>
      <c r="K98" s="572"/>
      <c r="L98" s="572"/>
      <c r="M98" s="572"/>
      <c r="N98" s="572"/>
      <c r="O98" s="572"/>
      <c r="P98" s="690"/>
      <c r="Q98" s="118"/>
      <c r="R98" s="119"/>
      <c r="S98" s="114"/>
      <c r="T98" s="125">
        <f>SUM(T100:T120)</f>
        <v>39.76920952462465</v>
      </c>
      <c r="U98" s="125"/>
      <c r="V98" s="125"/>
      <c r="W98" s="125"/>
      <c r="X98" s="125"/>
      <c r="Y98" s="125"/>
      <c r="Z98" s="125">
        <f>CommData_DMD!E15</f>
        <v>11.919111814710643</v>
      </c>
      <c r="AA98" s="125">
        <f>CommData_DMD!E25</f>
        <v>6.2118712781959662</v>
      </c>
      <c r="AB98" s="125">
        <f>CommData_DMD!E35</f>
        <v>9.4943477025640544</v>
      </c>
      <c r="AC98" s="125">
        <f>CommData_DMD!E45</f>
        <v>2.1249889778903914</v>
      </c>
      <c r="AD98" s="125">
        <f>CommData_DMD!E55</f>
        <v>10.01888975126359</v>
      </c>
      <c r="AE98" s="690"/>
      <c r="AF98" s="118"/>
      <c r="AG98" s="119"/>
      <c r="AH98" s="114"/>
      <c r="AI98" s="125">
        <f>SUM(AI100:AI120)</f>
        <v>40.88106566484521</v>
      </c>
      <c r="AJ98" s="125"/>
      <c r="AK98" s="125"/>
      <c r="AL98" s="125"/>
      <c r="AM98" s="125"/>
      <c r="AN98" s="125"/>
      <c r="AO98" s="125">
        <f>CommData_DMD!F15</f>
        <v>12.146867162606307</v>
      </c>
      <c r="AP98" s="125">
        <f>CommData_DMD!F25</f>
        <v>6.3854327222822453</v>
      </c>
      <c r="AQ98" s="125">
        <f>CommData_DMD!F35</f>
        <v>10.048059088916515</v>
      </c>
      <c r="AR98" s="125">
        <f>CommData_DMD!F45</f>
        <v>2.1806824639410505</v>
      </c>
      <c r="AS98" s="125">
        <f>CommData_DMD!F55</f>
        <v>10.120024227099092</v>
      </c>
      <c r="AT98" s="691"/>
      <c r="AU98" s="118"/>
      <c r="AV98" s="119"/>
      <c r="AW98" s="114"/>
      <c r="AX98" s="125">
        <f>SUM(AX100:AX120)</f>
        <v>38.686094344467975</v>
      </c>
      <c r="AY98" s="125"/>
      <c r="AZ98" s="125"/>
      <c r="BA98" s="125"/>
      <c r="BB98" s="125"/>
      <c r="BC98" s="125"/>
      <c r="BD98" s="125">
        <f>CommData_DMD!G15</f>
        <v>11.70838926008541</v>
      </c>
      <c r="BE98" s="125">
        <f>CommData_DMD!G25</f>
        <v>6.1973228463537726</v>
      </c>
      <c r="BF98" s="125">
        <f>CommData_DMD!G35</f>
        <v>9.3053712057086244</v>
      </c>
      <c r="BG98" s="125">
        <f>CommData_DMD!G45</f>
        <v>1.9920880051757162</v>
      </c>
      <c r="BH98" s="125">
        <f>CommData_DMD!G55</f>
        <v>9.4829230271444498</v>
      </c>
    </row>
    <row r="99" spans="1:60" x14ac:dyDescent="0.2">
      <c r="A99" s="558" t="s">
        <v>1638</v>
      </c>
      <c r="B99" s="558"/>
      <c r="C99" s="558"/>
      <c r="D99" s="558"/>
      <c r="E99" s="558"/>
      <c r="F99" s="558"/>
      <c r="G99" s="141"/>
      <c r="H99" s="559"/>
      <c r="I99" s="560"/>
      <c r="J99" s="769"/>
      <c r="K99" s="141"/>
      <c r="L99" s="141"/>
      <c r="M99" s="141">
        <f>M100</f>
        <v>0.1</v>
      </c>
      <c r="N99" s="141"/>
      <c r="O99" s="141"/>
      <c r="P99" s="690"/>
      <c r="Q99" s="120">
        <f>SUM(Q101:Q106)</f>
        <v>1190.0515261300607</v>
      </c>
      <c r="R99" s="121" t="s">
        <v>1638</v>
      </c>
      <c r="S99" s="120">
        <f>'Fuel Share'!E42</f>
        <v>51.433646089388837</v>
      </c>
      <c r="T99" s="120"/>
      <c r="U99" s="120"/>
      <c r="V99" s="120"/>
      <c r="W99" s="120"/>
      <c r="X99" s="120"/>
      <c r="Y99" s="120"/>
      <c r="Z99" s="120">
        <f>SUM(Z100:Z120)</f>
        <v>11.919111814710643</v>
      </c>
      <c r="AA99" s="120">
        <f t="shared" ref="AA99:AD99" si="57">SUM(AA100:AA120)</f>
        <v>6.2118712781959662</v>
      </c>
      <c r="AB99" s="120">
        <f t="shared" si="57"/>
        <v>9.4943477025640544</v>
      </c>
      <c r="AC99" s="120">
        <f t="shared" si="57"/>
        <v>2.1249889778903914</v>
      </c>
      <c r="AD99" s="120">
        <f t="shared" si="57"/>
        <v>10.01888975126359</v>
      </c>
      <c r="AE99" s="688"/>
      <c r="AF99" s="120">
        <f>SUM(AF101:AF106)</f>
        <v>1109.6771740329441</v>
      </c>
      <c r="AG99" s="121" t="s">
        <v>1638</v>
      </c>
      <c r="AH99" s="120">
        <f>'Fuel Share'!O42</f>
        <v>58.155753642524012</v>
      </c>
      <c r="AI99" s="120"/>
      <c r="AJ99" s="120"/>
      <c r="AK99" s="120"/>
      <c r="AL99" s="120"/>
      <c r="AM99" s="120"/>
      <c r="AN99" s="120"/>
      <c r="AO99" s="120">
        <f>SUM(AO100:AO120)</f>
        <v>12.146867162606309</v>
      </c>
      <c r="AP99" s="120">
        <f t="shared" ref="AP99:AR99" si="58">SUM(AP100:AP120)</f>
        <v>6.3854327222822462</v>
      </c>
      <c r="AQ99" s="120">
        <f t="shared" si="58"/>
        <v>10.048059088916517</v>
      </c>
      <c r="AR99" s="120">
        <f t="shared" si="58"/>
        <v>2.1806824639410509</v>
      </c>
      <c r="AS99" s="120">
        <f>SUM(AS100:AS120)</f>
        <v>10.120024227099092</v>
      </c>
      <c r="AT99" s="691"/>
      <c r="AU99" s="120">
        <f>SUM(AU101:AU106)</f>
        <v>1029.3028219358273</v>
      </c>
      <c r="AV99" s="121" t="s">
        <v>1638</v>
      </c>
      <c r="AW99" s="120">
        <f>'Fuel Share'!Y42</f>
        <v>58.790058902577456</v>
      </c>
      <c r="AX99" s="120"/>
      <c r="AY99" s="120"/>
      <c r="AZ99" s="120"/>
      <c r="BA99" s="120"/>
      <c r="BB99" s="120"/>
      <c r="BC99" s="120"/>
      <c r="BD99" s="120">
        <f>SUM(BD100:BD120)</f>
        <v>11.70838926008541</v>
      </c>
      <c r="BE99" s="120">
        <f t="shared" ref="BE99:BH99" si="59">SUM(BE100:BE120)</f>
        <v>6.1973228463537726</v>
      </c>
      <c r="BF99" s="120">
        <f t="shared" si="59"/>
        <v>9.3053712057086226</v>
      </c>
      <c r="BG99" s="120">
        <f t="shared" si="59"/>
        <v>1.9920880051757162</v>
      </c>
      <c r="BH99" s="120">
        <f t="shared" si="59"/>
        <v>9.482923027144448</v>
      </c>
    </row>
    <row r="100" spans="1:60" x14ac:dyDescent="0.2">
      <c r="A100" s="562" t="s">
        <v>66</v>
      </c>
      <c r="B100" s="562" t="s">
        <v>929</v>
      </c>
      <c r="C100" s="562" t="s">
        <v>930</v>
      </c>
      <c r="D100" s="562" t="s">
        <v>26</v>
      </c>
      <c r="E100" s="562" t="s">
        <v>52</v>
      </c>
      <c r="F100" s="562" t="s">
        <v>43</v>
      </c>
      <c r="G100" s="562">
        <v>2005</v>
      </c>
      <c r="H100" s="564">
        <v>10</v>
      </c>
      <c r="I100" s="565"/>
      <c r="J100" s="770">
        <v>0.57569998502731301</v>
      </c>
      <c r="K100" s="563">
        <v>1</v>
      </c>
      <c r="L100" s="563">
        <v>1</v>
      </c>
      <c r="M100" s="563">
        <v>0.1</v>
      </c>
      <c r="N100" s="563"/>
      <c r="O100" s="563">
        <v>0.18</v>
      </c>
      <c r="P100" s="690"/>
      <c r="U100" s="116"/>
      <c r="V100" s="116"/>
      <c r="W100" s="116"/>
      <c r="X100" s="116"/>
      <c r="Y100" s="116"/>
      <c r="Z100" s="141"/>
      <c r="AA100" s="141"/>
      <c r="AB100" s="141"/>
      <c r="AC100" s="141"/>
      <c r="AD100" s="141"/>
      <c r="AE100" s="688"/>
      <c r="AF100" s="30"/>
      <c r="AG100" s="115"/>
      <c r="AJ100" s="116"/>
      <c r="AK100" s="116"/>
      <c r="AL100" s="116"/>
      <c r="AM100" s="116"/>
      <c r="AN100" s="116"/>
      <c r="AO100" s="141"/>
      <c r="AP100" s="141"/>
      <c r="AQ100" s="141"/>
      <c r="AR100" s="141"/>
      <c r="AS100" s="141"/>
      <c r="AT100" s="691"/>
      <c r="AV100" s="115"/>
      <c r="AY100" s="116"/>
      <c r="AZ100" s="116"/>
      <c r="BA100" s="116"/>
      <c r="BB100" s="116"/>
      <c r="BC100" s="116"/>
      <c r="BD100" s="141"/>
      <c r="BE100" s="141"/>
      <c r="BF100" s="141"/>
      <c r="BG100" s="141"/>
      <c r="BH100" s="141"/>
    </row>
    <row r="101" spans="1:60" x14ac:dyDescent="0.2">
      <c r="A101" s="562" t="s">
        <v>66</v>
      </c>
      <c r="B101" s="562" t="s">
        <v>546</v>
      </c>
      <c r="C101" s="562" t="s">
        <v>547</v>
      </c>
      <c r="D101" s="562" t="s">
        <v>26</v>
      </c>
      <c r="E101" s="562" t="s">
        <v>52</v>
      </c>
      <c r="F101" s="562" t="s">
        <v>43</v>
      </c>
      <c r="G101" s="562">
        <v>2010</v>
      </c>
      <c r="H101" s="564">
        <v>10</v>
      </c>
      <c r="I101" s="565">
        <v>7.6212655484737528</v>
      </c>
      <c r="J101" s="770">
        <f>TechData_DMD!J43</f>
        <v>0.59</v>
      </c>
      <c r="K101" s="563">
        <v>1</v>
      </c>
      <c r="L101" s="563">
        <v>1</v>
      </c>
      <c r="M101" s="563">
        <v>0.1</v>
      </c>
      <c r="N101" s="563"/>
      <c r="O101" s="563">
        <v>0.18</v>
      </c>
      <c r="P101" s="690"/>
      <c r="Q101" s="42">
        <f>RECS!T18</f>
        <v>1190.0515261300607</v>
      </c>
      <c r="R101" s="115">
        <f>Q101/Q99</f>
        <v>1</v>
      </c>
      <c r="S101" s="42">
        <f>S99*$R$101*$J$101/M101</f>
        <v>303.45851192739411</v>
      </c>
      <c r="T101" s="42">
        <f>S99*$R$101*$J$101</f>
        <v>30.345851192739413</v>
      </c>
      <c r="U101" s="116">
        <f>$S101*Z$98/$T$98</f>
        <v>90.948650426374073</v>
      </c>
      <c r="V101" s="116">
        <f t="shared" ref="V101:Y101" si="60">$S101*AA$98/$T$98</f>
        <v>47.399614850244092</v>
      </c>
      <c r="W101" s="116">
        <f t="shared" si="60"/>
        <v>72.446514778157479</v>
      </c>
      <c r="X101" s="116">
        <f t="shared" si="60"/>
        <v>16.214704813115556</v>
      </c>
      <c r="Y101" s="116">
        <f t="shared" si="60"/>
        <v>76.449027059502868</v>
      </c>
      <c r="Z101" s="141">
        <f>$T101*Z98/$T$98</f>
        <v>9.0948650426374087</v>
      </c>
      <c r="AA101" s="141">
        <f t="shared" ref="AA101:AD101" si="61">$T101*AA98/$T$98</f>
        <v>4.7399614850244101</v>
      </c>
      <c r="AB101" s="141">
        <f t="shared" si="61"/>
        <v>7.2446514778157489</v>
      </c>
      <c r="AC101" s="141">
        <f t="shared" si="61"/>
        <v>1.6214704813115557</v>
      </c>
      <c r="AD101" s="141">
        <f t="shared" si="61"/>
        <v>7.6449027059502868</v>
      </c>
      <c r="AE101" s="688"/>
      <c r="AF101" s="42">
        <f>RECS!U18</f>
        <v>1109.6771740329441</v>
      </c>
      <c r="AG101" s="115">
        <f>AF101/AF99</f>
        <v>1</v>
      </c>
      <c r="AH101" s="42">
        <f>AH99*$AG$101*$J$101/M101</f>
        <v>343.11894649089157</v>
      </c>
      <c r="AI101" s="42">
        <f>AH99*$AG$101*$J$101</f>
        <v>34.311894649089162</v>
      </c>
      <c r="AJ101" s="116">
        <f>$AH101*AO$98/$AI$98</f>
        <v>101.94989284690563</v>
      </c>
      <c r="AK101" s="116">
        <f t="shared" ref="AK101:AN101" si="62">$AH101*AP$98/$AI$98</f>
        <v>53.593586980341883</v>
      </c>
      <c r="AL101" s="116">
        <f t="shared" si="62"/>
        <v>84.334382991195369</v>
      </c>
      <c r="AM101" s="116">
        <f t="shared" si="62"/>
        <v>18.302689949250567</v>
      </c>
      <c r="AN101" s="116">
        <f t="shared" si="62"/>
        <v>84.938393723198161</v>
      </c>
      <c r="AO101" s="141">
        <f>$AI101*AO98/$AI$98</f>
        <v>10.194989284690564</v>
      </c>
      <c r="AP101" s="141">
        <f t="shared" ref="AP101:AS101" si="63">$AI101*AP98/$AI$98</f>
        <v>5.359358698034189</v>
      </c>
      <c r="AQ101" s="141">
        <f t="shared" si="63"/>
        <v>8.4334382991195369</v>
      </c>
      <c r="AR101" s="141">
        <f t="shared" si="63"/>
        <v>1.830268994925057</v>
      </c>
      <c r="AS101" s="141">
        <f t="shared" si="63"/>
        <v>8.4938393723198153</v>
      </c>
      <c r="AT101" s="691"/>
      <c r="AU101" s="42">
        <f>RECS!V18</f>
        <v>1029.3028219358273</v>
      </c>
      <c r="AV101" s="115">
        <f>AU101/AU99</f>
        <v>1</v>
      </c>
      <c r="AW101" s="42">
        <f>AW99*$AV$101*$J$101/M101</f>
        <v>346.86134752520701</v>
      </c>
      <c r="AX101" s="42">
        <f>AW99*$AV$101*$J$101</f>
        <v>34.686134752520701</v>
      </c>
      <c r="AY101" s="116">
        <f>$AW101*BD$98/$AX$98</f>
        <v>104.97797063568468</v>
      </c>
      <c r="AZ101" s="116">
        <f t="shared" ref="AZ101:BC101" si="64">$AW101*BE$98/$AX$98</f>
        <v>55.56548909782645</v>
      </c>
      <c r="BA101" s="116">
        <f t="shared" si="64"/>
        <v>83.432397359489556</v>
      </c>
      <c r="BB101" s="116">
        <f t="shared" si="64"/>
        <v>17.861155062887832</v>
      </c>
      <c r="BC101" s="116">
        <f t="shared" si="64"/>
        <v>85.024335369318464</v>
      </c>
      <c r="BD101" s="141">
        <f>$AX101*BD98/$AX$98</f>
        <v>10.49779706356847</v>
      </c>
      <c r="BE101" s="141">
        <f t="shared" ref="BE101:BH101" si="65">$AX101*BE98/$AX$98</f>
        <v>5.5565489097826459</v>
      </c>
      <c r="BF101" s="141">
        <f t="shared" si="65"/>
        <v>8.3432397359489556</v>
      </c>
      <c r="BG101" s="141">
        <f t="shared" si="65"/>
        <v>1.7861155062887832</v>
      </c>
      <c r="BH101" s="141">
        <f t="shared" si="65"/>
        <v>8.5024335369318447</v>
      </c>
    </row>
    <row r="102" spans="1:60" x14ac:dyDescent="0.2">
      <c r="A102" s="562" t="s">
        <v>66</v>
      </c>
      <c r="B102" s="562" t="s">
        <v>931</v>
      </c>
      <c r="C102" s="562" t="s">
        <v>932</v>
      </c>
      <c r="D102" s="562" t="s">
        <v>26</v>
      </c>
      <c r="E102" s="562" t="s">
        <v>52</v>
      </c>
      <c r="F102" s="562" t="s">
        <v>43</v>
      </c>
      <c r="G102" s="562">
        <v>2015</v>
      </c>
      <c r="H102" s="564">
        <v>10</v>
      </c>
      <c r="I102" s="565">
        <v>7.7906270051065025</v>
      </c>
      <c r="J102" s="770">
        <v>0.62</v>
      </c>
      <c r="K102" s="563">
        <v>1</v>
      </c>
      <c r="L102" s="563">
        <v>1</v>
      </c>
      <c r="M102" s="563">
        <v>0.1</v>
      </c>
      <c r="N102" s="563"/>
      <c r="O102" s="563">
        <v>0.18</v>
      </c>
      <c r="P102" s="690"/>
      <c r="Q102" s="42"/>
      <c r="U102" s="116"/>
      <c r="V102" s="116"/>
      <c r="W102" s="116"/>
      <c r="X102" s="116"/>
      <c r="Y102" s="116"/>
      <c r="Z102" s="141"/>
      <c r="AA102" s="141"/>
      <c r="AB102" s="141"/>
      <c r="AC102" s="141"/>
      <c r="AD102" s="141"/>
      <c r="AE102" s="688"/>
      <c r="AG102" s="115"/>
      <c r="AJ102" s="116"/>
      <c r="AK102" s="116"/>
      <c r="AL102" s="116"/>
      <c r="AM102" s="116"/>
      <c r="AN102" s="116"/>
      <c r="AO102" s="141"/>
      <c r="AP102" s="141"/>
      <c r="AQ102" s="141"/>
      <c r="AR102" s="141"/>
      <c r="AS102" s="141"/>
      <c r="AT102" s="691"/>
      <c r="AU102" s="42"/>
      <c r="AV102" s="115"/>
      <c r="AY102" s="116"/>
      <c r="AZ102" s="116"/>
      <c r="BA102" s="116"/>
      <c r="BB102" s="116"/>
      <c r="BC102" s="116"/>
      <c r="BD102" s="141"/>
      <c r="BE102" s="141"/>
      <c r="BF102" s="141"/>
      <c r="BG102" s="141"/>
      <c r="BH102" s="141"/>
    </row>
    <row r="103" spans="1:60" x14ac:dyDescent="0.2">
      <c r="A103" s="562" t="s">
        <v>66</v>
      </c>
      <c r="B103" s="562" t="s">
        <v>947</v>
      </c>
      <c r="C103" s="562" t="s">
        <v>948</v>
      </c>
      <c r="D103" s="562" t="s">
        <v>26</v>
      </c>
      <c r="E103" s="562" t="s">
        <v>52</v>
      </c>
      <c r="F103" s="562" t="s">
        <v>43</v>
      </c>
      <c r="G103" s="562">
        <v>2010</v>
      </c>
      <c r="H103" s="564">
        <v>10</v>
      </c>
      <c r="I103" s="565">
        <v>10.585091039546878</v>
      </c>
      <c r="J103" s="770">
        <v>0.67</v>
      </c>
      <c r="K103" s="563">
        <v>1</v>
      </c>
      <c r="L103" s="563">
        <v>1</v>
      </c>
      <c r="M103" s="563">
        <v>0.1</v>
      </c>
      <c r="N103" s="563"/>
      <c r="O103" s="563">
        <v>0.18</v>
      </c>
      <c r="P103" s="690"/>
      <c r="Q103" s="42"/>
      <c r="U103" s="116"/>
      <c r="V103" s="116"/>
      <c r="W103" s="116"/>
      <c r="X103" s="116"/>
      <c r="Y103" s="116"/>
      <c r="Z103" s="141"/>
      <c r="AA103" s="141"/>
      <c r="AB103" s="141"/>
      <c r="AC103" s="141"/>
      <c r="AD103" s="141"/>
      <c r="AE103" s="688"/>
      <c r="AG103" s="115"/>
      <c r="AJ103" s="116"/>
      <c r="AK103" s="116"/>
      <c r="AL103" s="116"/>
      <c r="AM103" s="116"/>
      <c r="AN103" s="116"/>
      <c r="AO103" s="141"/>
      <c r="AP103" s="141"/>
      <c r="AQ103" s="141"/>
      <c r="AR103" s="141"/>
      <c r="AS103" s="141"/>
      <c r="AT103" s="691"/>
      <c r="AU103" s="42"/>
      <c r="AV103" s="115"/>
      <c r="AY103" s="116"/>
      <c r="AZ103" s="116"/>
      <c r="BA103" s="116"/>
      <c r="BB103" s="116"/>
      <c r="BC103" s="116"/>
      <c r="BD103" s="141"/>
      <c r="BE103" s="141"/>
      <c r="BF103" s="141"/>
      <c r="BG103" s="141"/>
      <c r="BH103" s="141"/>
    </row>
    <row r="104" spans="1:60" x14ac:dyDescent="0.2">
      <c r="A104" s="562" t="s">
        <v>66</v>
      </c>
      <c r="B104" s="562" t="s">
        <v>949</v>
      </c>
      <c r="C104" s="562" t="s">
        <v>950</v>
      </c>
      <c r="D104" s="562" t="s">
        <v>26</v>
      </c>
      <c r="E104" s="562" t="s">
        <v>52</v>
      </c>
      <c r="F104" s="562" t="s">
        <v>43</v>
      </c>
      <c r="G104" s="562">
        <v>2010</v>
      </c>
      <c r="H104" s="564">
        <v>10</v>
      </c>
      <c r="I104" s="565">
        <v>18.629760229602507</v>
      </c>
      <c r="J104" s="770">
        <v>0.82</v>
      </c>
      <c r="K104" s="563">
        <v>1</v>
      </c>
      <c r="L104" s="563">
        <v>1</v>
      </c>
      <c r="M104" s="563">
        <v>0.1</v>
      </c>
      <c r="N104" s="563"/>
      <c r="O104" s="563">
        <v>0.18</v>
      </c>
      <c r="P104" s="690"/>
      <c r="Q104" s="42"/>
      <c r="U104" s="116"/>
      <c r="V104" s="116"/>
      <c r="W104" s="116"/>
      <c r="X104" s="116"/>
      <c r="Y104" s="116"/>
      <c r="Z104" s="141"/>
      <c r="AA104" s="141"/>
      <c r="AB104" s="141"/>
      <c r="AC104" s="141"/>
      <c r="AD104" s="141"/>
      <c r="AE104" s="688"/>
      <c r="AG104" s="115"/>
      <c r="AJ104" s="116"/>
      <c r="AK104" s="116"/>
      <c r="AL104" s="116"/>
      <c r="AM104" s="116"/>
      <c r="AN104" s="116"/>
      <c r="AO104" s="141"/>
      <c r="AP104" s="141"/>
      <c r="AQ104" s="141"/>
      <c r="AR104" s="141"/>
      <c r="AS104" s="141"/>
      <c r="AT104" s="691"/>
      <c r="AU104" s="42"/>
      <c r="AV104" s="115"/>
      <c r="AY104" s="116"/>
      <c r="AZ104" s="116"/>
      <c r="BA104" s="116"/>
      <c r="BB104" s="116"/>
      <c r="BC104" s="116"/>
      <c r="BD104" s="141"/>
      <c r="BE104" s="141"/>
      <c r="BF104" s="141"/>
      <c r="BG104" s="141"/>
      <c r="BH104" s="141"/>
    </row>
    <row r="105" spans="1:60" x14ac:dyDescent="0.2">
      <c r="A105" s="562" t="s">
        <v>66</v>
      </c>
      <c r="B105" s="562" t="s">
        <v>935</v>
      </c>
      <c r="C105" s="562" t="s">
        <v>936</v>
      </c>
      <c r="D105" s="562" t="s">
        <v>26</v>
      </c>
      <c r="E105" s="562" t="s">
        <v>52</v>
      </c>
      <c r="F105" s="562" t="s">
        <v>43</v>
      </c>
      <c r="G105" s="562">
        <v>2020</v>
      </c>
      <c r="H105" s="564">
        <v>20</v>
      </c>
      <c r="I105" s="565">
        <v>17.782952946438755</v>
      </c>
      <c r="J105" s="770">
        <v>0.9</v>
      </c>
      <c r="K105" s="563">
        <v>1</v>
      </c>
      <c r="L105" s="563">
        <v>1</v>
      </c>
      <c r="M105" s="563">
        <v>0.1</v>
      </c>
      <c r="N105" s="563"/>
      <c r="O105" s="563">
        <v>0.18</v>
      </c>
      <c r="P105" s="690"/>
      <c r="Q105" s="42"/>
      <c r="U105" s="116"/>
      <c r="V105" s="116"/>
      <c r="W105" s="116"/>
      <c r="X105" s="116"/>
      <c r="Y105" s="116"/>
      <c r="Z105" s="141"/>
      <c r="AA105" s="141"/>
      <c r="AB105" s="141"/>
      <c r="AC105" s="141"/>
      <c r="AD105" s="141"/>
      <c r="AE105" s="688"/>
      <c r="AG105" s="115"/>
      <c r="AJ105" s="116"/>
      <c r="AK105" s="116"/>
      <c r="AL105" s="116"/>
      <c r="AM105" s="116"/>
      <c r="AN105" s="116"/>
      <c r="AO105" s="141"/>
      <c r="AP105" s="141"/>
      <c r="AQ105" s="141"/>
      <c r="AR105" s="141"/>
      <c r="AS105" s="141"/>
      <c r="AT105" s="691"/>
      <c r="AU105" s="42"/>
      <c r="AV105" s="115"/>
      <c r="AY105" s="116"/>
      <c r="AZ105" s="116"/>
      <c r="BA105" s="116"/>
      <c r="BB105" s="116"/>
      <c r="BC105" s="116"/>
      <c r="BD105" s="141"/>
      <c r="BE105" s="141"/>
      <c r="BF105" s="141"/>
      <c r="BG105" s="141"/>
      <c r="BH105" s="141"/>
    </row>
    <row r="106" spans="1:60" x14ac:dyDescent="0.2">
      <c r="A106" s="562" t="s">
        <v>66</v>
      </c>
      <c r="B106" s="562" t="s">
        <v>1685</v>
      </c>
      <c r="C106" s="562" t="s">
        <v>1686</v>
      </c>
      <c r="D106" s="562" t="s">
        <v>26</v>
      </c>
      <c r="E106" s="562" t="s">
        <v>52</v>
      </c>
      <c r="F106" s="562" t="s">
        <v>43</v>
      </c>
      <c r="G106" s="562">
        <v>2010</v>
      </c>
      <c r="H106" s="564">
        <v>20</v>
      </c>
      <c r="I106" s="565">
        <v>13.548916530620005</v>
      </c>
      <c r="J106" s="770">
        <v>0.85</v>
      </c>
      <c r="K106" s="563">
        <v>1</v>
      </c>
      <c r="L106" s="563">
        <v>1</v>
      </c>
      <c r="M106" s="563">
        <v>0.1</v>
      </c>
      <c r="N106" s="563"/>
      <c r="O106" s="563">
        <v>0.45</v>
      </c>
      <c r="P106" s="690"/>
      <c r="Q106" s="42"/>
      <c r="U106" s="116"/>
      <c r="V106" s="116"/>
      <c r="W106" s="116"/>
      <c r="X106" s="116"/>
      <c r="Y106" s="116"/>
      <c r="Z106" s="141"/>
      <c r="AA106" s="141"/>
      <c r="AB106" s="141"/>
      <c r="AC106" s="141"/>
      <c r="AD106" s="141"/>
      <c r="AE106" s="688"/>
      <c r="AG106" s="115"/>
      <c r="AJ106" s="116"/>
      <c r="AK106" s="116"/>
      <c r="AL106" s="116"/>
      <c r="AM106" s="116"/>
      <c r="AN106" s="116"/>
      <c r="AO106" s="141"/>
      <c r="AP106" s="141"/>
      <c r="AQ106" s="141"/>
      <c r="AR106" s="141"/>
      <c r="AS106" s="141"/>
      <c r="AT106" s="691"/>
      <c r="AU106" s="42"/>
      <c r="AV106" s="115"/>
      <c r="AY106" s="116"/>
      <c r="AZ106" s="116"/>
      <c r="BA106" s="116"/>
      <c r="BB106" s="116"/>
      <c r="BC106" s="116"/>
      <c r="BD106" s="141"/>
      <c r="BE106" s="141"/>
      <c r="BF106" s="141"/>
      <c r="BG106" s="141"/>
      <c r="BH106" s="141"/>
    </row>
    <row r="107" spans="1:60" x14ac:dyDescent="0.2">
      <c r="A107" s="558" t="s">
        <v>51</v>
      </c>
      <c r="B107" s="558"/>
      <c r="C107" s="558"/>
      <c r="D107" s="558"/>
      <c r="E107" s="558"/>
      <c r="F107" s="558"/>
      <c r="G107" s="141"/>
      <c r="H107" s="559"/>
      <c r="I107" s="560"/>
      <c r="J107" s="769"/>
      <c r="K107" s="141"/>
      <c r="L107" s="141"/>
      <c r="M107" s="141">
        <f>M108</f>
        <v>0.1</v>
      </c>
      <c r="N107" s="141"/>
      <c r="O107" s="141"/>
      <c r="P107" s="690"/>
      <c r="Q107" s="120">
        <f>SUM(Q109:Q115)</f>
        <v>303.49751415278604</v>
      </c>
      <c r="R107" s="121" t="s">
        <v>51</v>
      </c>
      <c r="S107" s="120">
        <f>'Fuel Share'!E41</f>
        <v>1.4115952652010977</v>
      </c>
      <c r="T107" s="120"/>
      <c r="U107" s="120"/>
      <c r="V107" s="120"/>
      <c r="W107" s="120"/>
      <c r="X107" s="120"/>
      <c r="Y107" s="120"/>
      <c r="Z107" s="120"/>
      <c r="AA107" s="120"/>
      <c r="AB107" s="120"/>
      <c r="AC107" s="120"/>
      <c r="AD107" s="120"/>
      <c r="AE107" s="688"/>
      <c r="AF107" s="120">
        <f>SUM(AF109:AF115)</f>
        <v>397.663374646958</v>
      </c>
      <c r="AG107" s="121" t="s">
        <v>51</v>
      </c>
      <c r="AH107" s="120">
        <f>'Fuel Share'!O41</f>
        <v>1.3646247795502864</v>
      </c>
      <c r="AI107" s="120"/>
      <c r="AJ107" s="120"/>
      <c r="AK107" s="120"/>
      <c r="AL107" s="120"/>
      <c r="AM107" s="120"/>
      <c r="AN107" s="120"/>
      <c r="AO107" s="120"/>
      <c r="AP107" s="120"/>
      <c r="AQ107" s="120"/>
      <c r="AR107" s="120"/>
      <c r="AS107" s="120"/>
      <c r="AT107" s="691"/>
      <c r="AU107" s="120">
        <f>SUM(AU109:AU115)</f>
        <v>491.82923514112997</v>
      </c>
      <c r="AV107" s="121" t="s">
        <v>51</v>
      </c>
      <c r="AW107" s="120">
        <f>'Fuel Share'!Y41</f>
        <v>1.2665927530923453</v>
      </c>
      <c r="AX107" s="120"/>
      <c r="AY107" s="120"/>
      <c r="AZ107" s="120"/>
      <c r="BA107" s="120"/>
      <c r="BB107" s="120"/>
      <c r="BC107" s="120"/>
      <c r="BD107" s="120"/>
      <c r="BE107" s="120"/>
      <c r="BF107" s="120"/>
      <c r="BG107" s="120"/>
      <c r="BH107" s="120"/>
    </row>
    <row r="108" spans="1:60" x14ac:dyDescent="0.2">
      <c r="A108" s="562" t="s">
        <v>66</v>
      </c>
      <c r="B108" s="562" t="s">
        <v>967</v>
      </c>
      <c r="C108" s="562" t="s">
        <v>968</v>
      </c>
      <c r="D108" s="562" t="s">
        <v>26</v>
      </c>
      <c r="E108" s="562" t="s">
        <v>47</v>
      </c>
      <c r="F108" s="562" t="s">
        <v>43</v>
      </c>
      <c r="G108" s="562">
        <v>2005</v>
      </c>
      <c r="H108" s="564">
        <v>15</v>
      </c>
      <c r="I108" s="565"/>
      <c r="J108" s="770">
        <v>0.88819998502731301</v>
      </c>
      <c r="K108" s="563">
        <v>1</v>
      </c>
      <c r="L108" s="563">
        <v>1</v>
      </c>
      <c r="M108" s="563">
        <v>0.1</v>
      </c>
      <c r="N108" s="563"/>
      <c r="O108" s="563">
        <v>0.18</v>
      </c>
      <c r="P108" s="690"/>
      <c r="U108" s="116"/>
      <c r="V108" s="116"/>
      <c r="W108" s="116"/>
      <c r="X108" s="116"/>
      <c r="Y108" s="116"/>
      <c r="Z108" s="141"/>
      <c r="AA108" s="141"/>
      <c r="AB108" s="141"/>
      <c r="AC108" s="141"/>
      <c r="AD108" s="141"/>
      <c r="AE108" s="688"/>
      <c r="AF108" s="30"/>
      <c r="AG108" s="115"/>
      <c r="AJ108" s="116"/>
      <c r="AK108" s="116"/>
      <c r="AL108" s="116"/>
      <c r="AM108" s="116"/>
      <c r="AN108" s="116"/>
      <c r="AO108" s="141"/>
      <c r="AP108" s="141"/>
      <c r="AQ108" s="141"/>
      <c r="AR108" s="141"/>
      <c r="AS108" s="141"/>
      <c r="AT108" s="691"/>
      <c r="AV108" s="115"/>
      <c r="AY108" s="116"/>
      <c r="AZ108" s="116"/>
      <c r="BA108" s="116"/>
      <c r="BB108" s="116"/>
      <c r="BC108" s="116"/>
      <c r="BD108" s="141"/>
      <c r="BE108" s="141"/>
      <c r="BF108" s="141"/>
      <c r="BG108" s="141"/>
      <c r="BH108" s="141"/>
    </row>
    <row r="109" spans="1:60" x14ac:dyDescent="0.2">
      <c r="A109" s="562" t="s">
        <v>66</v>
      </c>
      <c r="B109" s="562" t="s">
        <v>549</v>
      </c>
      <c r="C109" s="562" t="s">
        <v>550</v>
      </c>
      <c r="D109" s="562" t="s">
        <v>26</v>
      </c>
      <c r="E109" s="562" t="s">
        <v>47</v>
      </c>
      <c r="F109" s="562" t="s">
        <v>43</v>
      </c>
      <c r="G109" s="562">
        <v>2010</v>
      </c>
      <c r="H109" s="564">
        <v>15</v>
      </c>
      <c r="I109" s="565">
        <v>5.0808436989825019</v>
      </c>
      <c r="J109" s="770">
        <f>TechData_DMD!J45</f>
        <v>0.9</v>
      </c>
      <c r="K109" s="563">
        <v>1</v>
      </c>
      <c r="L109" s="563">
        <v>1</v>
      </c>
      <c r="M109" s="563">
        <v>0.1</v>
      </c>
      <c r="N109" s="563"/>
      <c r="O109" s="563">
        <v>0.18</v>
      </c>
      <c r="P109" s="690"/>
      <c r="Q109" s="42">
        <f>RECS!T19</f>
        <v>303.49751415278604</v>
      </c>
      <c r="R109" s="115">
        <f>Q109/Q107</f>
        <v>1</v>
      </c>
      <c r="S109" s="42">
        <f>S107*$R$109*$J$109/$M$109</f>
        <v>12.704357386809878</v>
      </c>
      <c r="T109" s="42">
        <f>S107*$R$109*$J$109</f>
        <v>1.2704357386809879</v>
      </c>
      <c r="U109" s="116">
        <f>$S109*Z$98/$T$98</f>
        <v>3.8075852660252552</v>
      </c>
      <c r="V109" s="116">
        <f t="shared" ref="V109" si="66">$S109*AA$98/$T$98</f>
        <v>1.9843953073846239</v>
      </c>
      <c r="W109" s="116">
        <f t="shared" ref="W109" si="67">$S109*AB$98/$T$98</f>
        <v>3.0329892851736151</v>
      </c>
      <c r="X109" s="116">
        <f t="shared" ref="X109" si="68">$S109*AC$98/$T$98</f>
        <v>0.67883218552371183</v>
      </c>
      <c r="Y109" s="116">
        <f t="shared" ref="Y109" si="69">$S109*AD$98/$T$98</f>
        <v>3.2005553427026707</v>
      </c>
      <c r="Z109" s="141">
        <f>$T109*Z98/$T$98</f>
        <v>0.38075852660252552</v>
      </c>
      <c r="AA109" s="141">
        <f t="shared" ref="AA109:AD109" si="70">$T109*AA98/$T$98</f>
        <v>0.19843953073846241</v>
      </c>
      <c r="AB109" s="141">
        <f t="shared" si="70"/>
        <v>0.30329892851736151</v>
      </c>
      <c r="AC109" s="141">
        <f t="shared" si="70"/>
        <v>6.7883218552371186E-2</v>
      </c>
      <c r="AD109" s="141">
        <f t="shared" si="70"/>
        <v>0.32005553427026712</v>
      </c>
      <c r="AE109" s="688"/>
      <c r="AF109" s="42">
        <f>RECS!U19</f>
        <v>397.663374646958</v>
      </c>
      <c r="AG109" s="115">
        <f>AF109/AF107</f>
        <v>1</v>
      </c>
      <c r="AH109" s="42">
        <f>AH107*$AG$109*$J$109/$M$109</f>
        <v>12.281623015952578</v>
      </c>
      <c r="AI109" s="42">
        <f>AH107*$AG$109*$J$109</f>
        <v>1.2281623015952579</v>
      </c>
      <c r="AJ109" s="116">
        <f>$AH109*AO$98/$AI$98</f>
        <v>3.6492014307804879</v>
      </c>
      <c r="AK109" s="116">
        <f t="shared" ref="AK109:AN109" si="71">$AH109*AP$98/$AI$98</f>
        <v>1.9183325144147827</v>
      </c>
      <c r="AL109" s="116">
        <f t="shared" si="71"/>
        <v>3.0186706673404871</v>
      </c>
      <c r="AM109" s="116">
        <f t="shared" si="71"/>
        <v>0.65512773466307805</v>
      </c>
      <c r="AN109" s="116">
        <f t="shared" si="71"/>
        <v>3.0402906687537428</v>
      </c>
      <c r="AO109" s="141">
        <f>$AI109*AO98/$AI$98</f>
        <v>0.36492014307804882</v>
      </c>
      <c r="AP109" s="141">
        <f t="shared" ref="AP109:AS109" si="72">$AI109*AP98/$AI$98</f>
        <v>0.19183325144147828</v>
      </c>
      <c r="AQ109" s="141">
        <f t="shared" si="72"/>
        <v>0.30186706673404873</v>
      </c>
      <c r="AR109" s="141">
        <f t="shared" si="72"/>
        <v>6.5512773466307808E-2</v>
      </c>
      <c r="AS109" s="141">
        <f t="shared" si="72"/>
        <v>0.30402906687537429</v>
      </c>
      <c r="AT109" s="691"/>
      <c r="AU109" s="42">
        <f>RECS!V19</f>
        <v>491.82923514112997</v>
      </c>
      <c r="AV109" s="115">
        <f>AU109/AU107</f>
        <v>1</v>
      </c>
      <c r="AW109" s="42">
        <f>AW107*$AV$109*$J$109/$M$109</f>
        <v>11.399334777831106</v>
      </c>
      <c r="AX109" s="42">
        <f>AW107*$AV$109*$J$109</f>
        <v>1.1399334777831107</v>
      </c>
      <c r="AY109" s="116">
        <f>$AW109*BD$98/$AX$98</f>
        <v>3.4500212840421156</v>
      </c>
      <c r="AZ109" s="116">
        <f t="shared" ref="AZ109:BC109" si="73">$AW109*BE$98/$AX$98</f>
        <v>1.8261176024348384</v>
      </c>
      <c r="BA109" s="116">
        <f t="shared" si="73"/>
        <v>2.7419423801573548</v>
      </c>
      <c r="BB109" s="116">
        <f t="shared" si="73"/>
        <v>0.58699329727367522</v>
      </c>
      <c r="BC109" s="116">
        <f t="shared" si="73"/>
        <v>2.7942602139231218</v>
      </c>
      <c r="BD109" s="141">
        <f>$AX109*BD98/$AX$98</f>
        <v>0.34500212840421157</v>
      </c>
      <c r="BE109" s="141">
        <f t="shared" ref="BE109:BH109" si="74">$AX109*BE98/$AX$98</f>
        <v>0.18261176024348386</v>
      </c>
      <c r="BF109" s="141">
        <f t="shared" si="74"/>
        <v>0.2741942380157355</v>
      </c>
      <c r="BG109" s="141">
        <f t="shared" si="74"/>
        <v>5.8699329727367515E-2</v>
      </c>
      <c r="BH109" s="141">
        <f t="shared" si="74"/>
        <v>0.27942602139231221</v>
      </c>
    </row>
    <row r="110" spans="1:60" x14ac:dyDescent="0.2">
      <c r="A110" s="562" t="s">
        <v>66</v>
      </c>
      <c r="B110" s="562" t="s">
        <v>985</v>
      </c>
      <c r="C110" s="562" t="s">
        <v>986</v>
      </c>
      <c r="D110" s="562" t="s">
        <v>26</v>
      </c>
      <c r="E110" s="562" t="s">
        <v>47</v>
      </c>
      <c r="F110" s="562" t="s">
        <v>43</v>
      </c>
      <c r="G110" s="562">
        <v>2010</v>
      </c>
      <c r="H110" s="564">
        <v>15</v>
      </c>
      <c r="I110" s="565">
        <v>5.292545519773439</v>
      </c>
      <c r="J110" s="770">
        <v>0.91</v>
      </c>
      <c r="K110" s="563">
        <v>1</v>
      </c>
      <c r="L110" s="563">
        <v>1</v>
      </c>
      <c r="M110" s="563">
        <v>0.1</v>
      </c>
      <c r="N110" s="563"/>
      <c r="O110" s="563">
        <v>0.18</v>
      </c>
      <c r="P110" s="690"/>
      <c r="Q110" s="42"/>
      <c r="U110" s="116"/>
      <c r="V110" s="116"/>
      <c r="W110" s="116"/>
      <c r="X110" s="116"/>
      <c r="Y110" s="116"/>
      <c r="Z110" s="141"/>
      <c r="AA110" s="141"/>
      <c r="AB110" s="141"/>
      <c r="AC110" s="141"/>
      <c r="AD110" s="141"/>
      <c r="AE110" s="688"/>
      <c r="AG110" s="115"/>
      <c r="AJ110" s="116"/>
      <c r="AK110" s="116"/>
      <c r="AL110" s="116"/>
      <c r="AM110" s="116"/>
      <c r="AN110" s="116"/>
      <c r="AO110" s="141"/>
      <c r="AP110" s="141"/>
      <c r="AQ110" s="141"/>
      <c r="AR110" s="141"/>
      <c r="AS110" s="141"/>
      <c r="AT110" s="691"/>
      <c r="AU110" s="42"/>
      <c r="AV110" s="42"/>
      <c r="AY110" s="116"/>
      <c r="AZ110" s="116"/>
      <c r="BA110" s="116"/>
      <c r="BB110" s="116"/>
      <c r="BC110" s="116"/>
      <c r="BD110" s="141"/>
      <c r="BE110" s="141"/>
      <c r="BF110" s="141"/>
      <c r="BG110" s="141"/>
      <c r="BH110" s="141"/>
    </row>
    <row r="111" spans="1:60" x14ac:dyDescent="0.2">
      <c r="A111" s="562" t="s">
        <v>66</v>
      </c>
      <c r="B111" s="562" t="s">
        <v>971</v>
      </c>
      <c r="C111" s="562" t="s">
        <v>972</v>
      </c>
      <c r="D111" s="562" t="s">
        <v>26</v>
      </c>
      <c r="E111" s="562" t="s">
        <v>47</v>
      </c>
      <c r="F111" s="562" t="s">
        <v>43</v>
      </c>
      <c r="G111" s="562">
        <v>2015</v>
      </c>
      <c r="H111" s="564">
        <v>15</v>
      </c>
      <c r="I111" s="565">
        <v>5.7159491613553151</v>
      </c>
      <c r="J111" s="770">
        <v>0.95</v>
      </c>
      <c r="K111" s="563">
        <v>1</v>
      </c>
      <c r="L111" s="563">
        <v>1</v>
      </c>
      <c r="M111" s="563">
        <v>0.1</v>
      </c>
      <c r="N111" s="563"/>
      <c r="O111" s="563">
        <v>0.18</v>
      </c>
      <c r="P111" s="690"/>
      <c r="Q111" s="42"/>
      <c r="U111" s="116"/>
      <c r="V111" s="116"/>
      <c r="W111" s="116"/>
      <c r="X111" s="116"/>
      <c r="Y111" s="116"/>
      <c r="Z111" s="141"/>
      <c r="AA111" s="141"/>
      <c r="AB111" s="141"/>
      <c r="AC111" s="141"/>
      <c r="AD111" s="141"/>
      <c r="AE111" s="688"/>
      <c r="AG111" s="115"/>
      <c r="AJ111" s="116"/>
      <c r="AK111" s="116"/>
      <c r="AL111" s="116"/>
      <c r="AM111" s="116"/>
      <c r="AN111" s="116"/>
      <c r="AO111" s="141"/>
      <c r="AP111" s="141"/>
      <c r="AQ111" s="141"/>
      <c r="AR111" s="141"/>
      <c r="AS111" s="141"/>
      <c r="AT111" s="691"/>
      <c r="AU111" s="42"/>
      <c r="AV111" s="42"/>
      <c r="AY111" s="116"/>
      <c r="AZ111" s="116"/>
      <c r="BA111" s="116"/>
      <c r="BB111" s="116"/>
      <c r="BC111" s="116"/>
      <c r="BD111" s="141"/>
      <c r="BE111" s="141"/>
      <c r="BF111" s="141"/>
      <c r="BG111" s="141"/>
      <c r="BH111" s="141"/>
    </row>
    <row r="112" spans="1:60" x14ac:dyDescent="0.2">
      <c r="A112" s="562" t="s">
        <v>66</v>
      </c>
      <c r="B112" s="562" t="s">
        <v>987</v>
      </c>
      <c r="C112" s="562" t="s">
        <v>988</v>
      </c>
      <c r="D112" s="562" t="s">
        <v>26</v>
      </c>
      <c r="E112" s="562" t="s">
        <v>47</v>
      </c>
      <c r="F112" s="562" t="s">
        <v>43</v>
      </c>
      <c r="G112" s="562">
        <v>2010</v>
      </c>
      <c r="H112" s="564">
        <v>15</v>
      </c>
      <c r="I112" s="565">
        <v>6.1393528029371884</v>
      </c>
      <c r="J112" s="770">
        <v>0.96</v>
      </c>
      <c r="K112" s="563">
        <v>1</v>
      </c>
      <c r="L112" s="563">
        <v>1</v>
      </c>
      <c r="M112" s="563">
        <v>0.1</v>
      </c>
      <c r="N112" s="563"/>
      <c r="O112" s="563">
        <v>0.18</v>
      </c>
      <c r="P112" s="690"/>
      <c r="Q112" s="42"/>
      <c r="U112" s="116"/>
      <c r="V112" s="116"/>
      <c r="W112" s="116"/>
      <c r="X112" s="116"/>
      <c r="Y112" s="116"/>
      <c r="Z112" s="141"/>
      <c r="AA112" s="141"/>
      <c r="AB112" s="141"/>
      <c r="AC112" s="141"/>
      <c r="AD112" s="141"/>
      <c r="AE112" s="688"/>
      <c r="AG112" s="115"/>
      <c r="AJ112" s="116"/>
      <c r="AK112" s="116"/>
      <c r="AL112" s="116"/>
      <c r="AM112" s="116"/>
      <c r="AN112" s="116"/>
      <c r="AO112" s="141"/>
      <c r="AP112" s="141"/>
      <c r="AQ112" s="141"/>
      <c r="AR112" s="141"/>
      <c r="AS112" s="141"/>
      <c r="AT112" s="691"/>
      <c r="AU112" s="42"/>
      <c r="AV112" s="42"/>
      <c r="AY112" s="116"/>
      <c r="AZ112" s="116"/>
      <c r="BA112" s="116"/>
      <c r="BB112" s="116"/>
      <c r="BC112" s="116"/>
      <c r="BD112" s="141"/>
      <c r="BE112" s="141"/>
      <c r="BF112" s="141"/>
      <c r="BG112" s="141"/>
      <c r="BH112" s="141"/>
    </row>
    <row r="113" spans="1:60" x14ac:dyDescent="0.2">
      <c r="A113" s="562" t="s">
        <v>66</v>
      </c>
      <c r="B113" s="562" t="s">
        <v>989</v>
      </c>
      <c r="C113" s="562" t="s">
        <v>990</v>
      </c>
      <c r="D113" s="562" t="s">
        <v>26</v>
      </c>
      <c r="E113" s="562" t="s">
        <v>47</v>
      </c>
      <c r="F113" s="562" t="s">
        <v>43</v>
      </c>
      <c r="G113" s="562">
        <v>2010</v>
      </c>
      <c r="H113" s="564">
        <v>15</v>
      </c>
      <c r="I113" s="565">
        <v>15.66593473852938</v>
      </c>
      <c r="J113" s="770">
        <v>2</v>
      </c>
      <c r="K113" s="563">
        <v>1</v>
      </c>
      <c r="L113" s="563">
        <v>1</v>
      </c>
      <c r="M113" s="563">
        <v>0.1</v>
      </c>
      <c r="N113" s="563"/>
      <c r="O113" s="563">
        <v>0.45</v>
      </c>
      <c r="P113" s="690"/>
      <c r="Q113" s="42"/>
      <c r="U113" s="116"/>
      <c r="V113" s="116"/>
      <c r="W113" s="116"/>
      <c r="X113" s="116"/>
      <c r="Y113" s="116"/>
      <c r="Z113" s="141"/>
      <c r="AA113" s="141"/>
      <c r="AB113" s="141"/>
      <c r="AC113" s="141"/>
      <c r="AD113" s="141"/>
      <c r="AE113" s="688"/>
      <c r="AG113" s="115"/>
      <c r="AJ113" s="116"/>
      <c r="AK113" s="116"/>
      <c r="AL113" s="116"/>
      <c r="AM113" s="116"/>
      <c r="AN113" s="116"/>
      <c r="AO113" s="141"/>
      <c r="AP113" s="141"/>
      <c r="AQ113" s="141"/>
      <c r="AR113" s="141"/>
      <c r="AS113" s="141"/>
      <c r="AT113" s="691"/>
      <c r="AU113" s="42"/>
      <c r="AV113" s="42"/>
      <c r="AY113" s="116"/>
      <c r="AZ113" s="116"/>
      <c r="BA113" s="116"/>
      <c r="BB113" s="116"/>
      <c r="BC113" s="116"/>
      <c r="BD113" s="141"/>
      <c r="BE113" s="141"/>
      <c r="BF113" s="141"/>
      <c r="BG113" s="141"/>
      <c r="BH113" s="141"/>
    </row>
    <row r="114" spans="1:60" x14ac:dyDescent="0.2">
      <c r="A114" s="562" t="s">
        <v>66</v>
      </c>
      <c r="B114" s="562" t="s">
        <v>1687</v>
      </c>
      <c r="C114" s="562" t="s">
        <v>1688</v>
      </c>
      <c r="D114" s="562" t="s">
        <v>26</v>
      </c>
      <c r="E114" s="562" t="s">
        <v>47</v>
      </c>
      <c r="F114" s="562" t="s">
        <v>43</v>
      </c>
      <c r="G114" s="562">
        <v>2020</v>
      </c>
      <c r="H114" s="564">
        <v>15</v>
      </c>
      <c r="I114" s="565">
        <v>15.242531096947506</v>
      </c>
      <c r="J114" s="770">
        <v>2</v>
      </c>
      <c r="K114" s="563">
        <v>1</v>
      </c>
      <c r="L114" s="563">
        <v>1</v>
      </c>
      <c r="M114" s="563">
        <v>0.1</v>
      </c>
      <c r="N114" s="563"/>
      <c r="O114" s="563">
        <v>0.45</v>
      </c>
      <c r="P114" s="690"/>
      <c r="Q114" s="42"/>
      <c r="U114" s="116"/>
      <c r="V114" s="116"/>
      <c r="W114" s="116"/>
      <c r="X114" s="116"/>
      <c r="Y114" s="116"/>
      <c r="Z114" s="141"/>
      <c r="AA114" s="141"/>
      <c r="AB114" s="141"/>
      <c r="AC114" s="141"/>
      <c r="AD114" s="141"/>
      <c r="AE114" s="688"/>
      <c r="AG114" s="115"/>
      <c r="AJ114" s="116"/>
      <c r="AK114" s="116"/>
      <c r="AL114" s="116"/>
      <c r="AM114" s="116"/>
      <c r="AN114" s="116"/>
      <c r="AO114" s="141"/>
      <c r="AP114" s="141"/>
      <c r="AQ114" s="141"/>
      <c r="AR114" s="141"/>
      <c r="AS114" s="141"/>
      <c r="AT114" s="691"/>
      <c r="AU114" s="42"/>
      <c r="AV114" s="42"/>
      <c r="AY114" s="116"/>
      <c r="AZ114" s="116"/>
      <c r="BA114" s="116"/>
      <c r="BB114" s="116"/>
      <c r="BC114" s="116"/>
      <c r="BD114" s="141"/>
      <c r="BE114" s="141"/>
      <c r="BF114" s="141"/>
      <c r="BG114" s="141"/>
      <c r="BH114" s="141"/>
    </row>
    <row r="115" spans="1:60" x14ac:dyDescent="0.2">
      <c r="A115" s="562" t="s">
        <v>66</v>
      </c>
      <c r="B115" s="562" t="s">
        <v>991</v>
      </c>
      <c r="C115" s="562" t="s">
        <v>992</v>
      </c>
      <c r="D115" s="562" t="s">
        <v>26</v>
      </c>
      <c r="E115" s="562" t="s">
        <v>47</v>
      </c>
      <c r="F115" s="562" t="s">
        <v>43</v>
      </c>
      <c r="G115" s="562">
        <v>2010</v>
      </c>
      <c r="H115" s="564">
        <v>15</v>
      </c>
      <c r="I115" s="565">
        <v>17.359549304856881</v>
      </c>
      <c r="J115" s="770">
        <v>2.35</v>
      </c>
      <c r="K115" s="563">
        <v>1</v>
      </c>
      <c r="L115" s="563">
        <v>1</v>
      </c>
      <c r="M115" s="563">
        <v>0.1</v>
      </c>
      <c r="N115" s="563"/>
      <c r="O115" s="563">
        <v>0.45</v>
      </c>
      <c r="P115" s="690"/>
      <c r="Q115" s="42"/>
      <c r="U115" s="116"/>
      <c r="V115" s="116"/>
      <c r="W115" s="116"/>
      <c r="X115" s="116"/>
      <c r="Y115" s="116"/>
      <c r="Z115" s="141"/>
      <c r="AA115" s="141"/>
      <c r="AB115" s="141"/>
      <c r="AC115" s="141"/>
      <c r="AD115" s="141"/>
      <c r="AE115" s="688"/>
      <c r="AG115" s="115"/>
      <c r="AJ115" s="116"/>
      <c r="AK115" s="116"/>
      <c r="AL115" s="116"/>
      <c r="AM115" s="116"/>
      <c r="AN115" s="116"/>
      <c r="AO115" s="141"/>
      <c r="AP115" s="141"/>
      <c r="AQ115" s="141"/>
      <c r="AR115" s="141"/>
      <c r="AS115" s="141"/>
      <c r="AT115" s="691"/>
      <c r="AU115" s="42"/>
      <c r="AV115" s="42"/>
      <c r="AY115" s="116"/>
      <c r="AZ115" s="116"/>
      <c r="BA115" s="116"/>
      <c r="BB115" s="116"/>
      <c r="BC115" s="116"/>
      <c r="BD115" s="141"/>
      <c r="BE115" s="141"/>
      <c r="BF115" s="141"/>
      <c r="BG115" s="141"/>
      <c r="BH115" s="141"/>
    </row>
    <row r="116" spans="1:60" x14ac:dyDescent="0.2">
      <c r="A116" s="558" t="s">
        <v>1639</v>
      </c>
      <c r="B116" s="558"/>
      <c r="C116" s="558"/>
      <c r="D116" s="558"/>
      <c r="E116" s="558"/>
      <c r="F116" s="558"/>
      <c r="G116" s="141"/>
      <c r="H116" s="559"/>
      <c r="I116" s="560"/>
      <c r="J116" s="769"/>
      <c r="K116" s="141"/>
      <c r="L116" s="141"/>
      <c r="M116" s="141"/>
      <c r="N116" s="141"/>
      <c r="O116" s="141"/>
      <c r="P116" s="690"/>
      <c r="Q116" s="120">
        <f>SUM(Q118:Q120)</f>
        <v>200.69874522636559</v>
      </c>
      <c r="R116" s="121" t="s">
        <v>1639</v>
      </c>
      <c r="S116" s="120">
        <f>'Fuel Share'!E43</f>
        <v>15.382872817366508</v>
      </c>
      <c r="T116" s="120"/>
      <c r="U116" s="120"/>
      <c r="V116" s="120"/>
      <c r="W116" s="120"/>
      <c r="X116" s="120"/>
      <c r="Y116" s="120"/>
      <c r="Z116" s="120"/>
      <c r="AA116" s="120"/>
      <c r="AB116" s="120"/>
      <c r="AC116" s="120"/>
      <c r="AD116" s="120"/>
      <c r="AE116" s="688"/>
      <c r="AF116" s="120">
        <f>SUM(AF118:AF120)</f>
        <v>184.56360457654222</v>
      </c>
      <c r="AG116" s="121" t="s">
        <v>1639</v>
      </c>
      <c r="AH116" s="120">
        <f>'Fuel Share'!O43</f>
        <v>10.077374932378858</v>
      </c>
      <c r="AI116" s="120"/>
      <c r="AJ116" s="120"/>
      <c r="AK116" s="120"/>
      <c r="AL116" s="120"/>
      <c r="AM116" s="120"/>
      <c r="AN116" s="120"/>
      <c r="AO116" s="120"/>
      <c r="AP116" s="120"/>
      <c r="AQ116" s="120"/>
      <c r="AR116" s="120"/>
      <c r="AS116" s="120"/>
      <c r="AT116" s="691"/>
      <c r="AU116" s="120">
        <f>SUM(AU118:AU120)</f>
        <v>168.42846392671882</v>
      </c>
      <c r="AV116" s="121" t="s">
        <v>1639</v>
      </c>
      <c r="AW116" s="120">
        <f>'Fuel Share'!Y43</f>
        <v>5.3962756871021886</v>
      </c>
      <c r="AX116" s="120"/>
      <c r="AY116" s="120"/>
      <c r="AZ116" s="120"/>
      <c r="BA116" s="120"/>
      <c r="BB116" s="120"/>
      <c r="BC116" s="120"/>
      <c r="BD116" s="120"/>
      <c r="BE116" s="120"/>
      <c r="BF116" s="120"/>
      <c r="BG116" s="120"/>
      <c r="BH116" s="120"/>
    </row>
    <row r="117" spans="1:60" x14ac:dyDescent="0.2">
      <c r="A117" s="562" t="s">
        <v>66</v>
      </c>
      <c r="B117" s="562" t="s">
        <v>1009</v>
      </c>
      <c r="C117" s="562" t="s">
        <v>1010</v>
      </c>
      <c r="D117" s="562" t="s">
        <v>26</v>
      </c>
      <c r="E117" s="562" t="s">
        <v>56</v>
      </c>
      <c r="F117" s="562" t="s">
        <v>43</v>
      </c>
      <c r="G117" s="562">
        <v>2005</v>
      </c>
      <c r="H117" s="564">
        <v>10</v>
      </c>
      <c r="I117" s="565"/>
      <c r="J117" s="770">
        <v>0.54500001668930098</v>
      </c>
      <c r="K117" s="563">
        <v>1</v>
      </c>
      <c r="L117" s="563">
        <v>1</v>
      </c>
      <c r="M117" s="563">
        <v>0.1</v>
      </c>
      <c r="N117" s="563"/>
      <c r="O117" s="563">
        <v>0.45</v>
      </c>
      <c r="P117" s="690"/>
      <c r="U117" s="116"/>
      <c r="V117" s="116"/>
      <c r="W117" s="116"/>
      <c r="X117" s="116"/>
      <c r="Y117" s="116"/>
      <c r="Z117" s="141"/>
      <c r="AA117" s="141"/>
      <c r="AB117" s="141"/>
      <c r="AC117" s="141"/>
      <c r="AD117" s="141"/>
      <c r="AE117" s="688"/>
      <c r="AF117" s="30"/>
      <c r="AG117" s="115"/>
      <c r="AJ117" s="116"/>
      <c r="AK117" s="116"/>
      <c r="AL117" s="116"/>
      <c r="AM117" s="116"/>
      <c r="AN117" s="116"/>
      <c r="AO117" s="141"/>
      <c r="AP117" s="141"/>
      <c r="AQ117" s="141"/>
      <c r="AR117" s="141"/>
      <c r="AS117" s="141"/>
      <c r="AT117" s="691"/>
      <c r="AV117" s="115"/>
      <c r="AY117" s="116"/>
      <c r="AZ117" s="116"/>
      <c r="BA117" s="116"/>
      <c r="BB117" s="116"/>
      <c r="BC117" s="116"/>
      <c r="BD117" s="141"/>
      <c r="BE117" s="141"/>
      <c r="BF117" s="141"/>
      <c r="BG117" s="141"/>
      <c r="BH117" s="141"/>
    </row>
    <row r="118" spans="1:60" x14ac:dyDescent="0.2">
      <c r="A118" s="562" t="s">
        <v>66</v>
      </c>
      <c r="B118" s="562" t="s">
        <v>552</v>
      </c>
      <c r="C118" s="562" t="s">
        <v>553</v>
      </c>
      <c r="D118" s="562" t="s">
        <v>26</v>
      </c>
      <c r="E118" s="562" t="s">
        <v>56</v>
      </c>
      <c r="F118" s="562" t="s">
        <v>43</v>
      </c>
      <c r="G118" s="562">
        <v>2010</v>
      </c>
      <c r="H118" s="564">
        <v>10</v>
      </c>
      <c r="I118" s="565">
        <v>16.089338380111254</v>
      </c>
      <c r="J118" s="770">
        <f>TechData_DMD!J47</f>
        <v>0.53</v>
      </c>
      <c r="K118" s="563">
        <v>1</v>
      </c>
      <c r="L118" s="563">
        <v>1</v>
      </c>
      <c r="M118" s="563">
        <v>0.1</v>
      </c>
      <c r="N118" s="563"/>
      <c r="O118" s="563">
        <v>0.45</v>
      </c>
      <c r="P118" s="690"/>
      <c r="Q118" s="42">
        <f>RECS!T20</f>
        <v>200.69874522636559</v>
      </c>
      <c r="R118" s="115">
        <f>Q118/Q116</f>
        <v>1</v>
      </c>
      <c r="S118" s="42">
        <f>S116*$R$118*$J$118/$M$118</f>
        <v>81.529225932042479</v>
      </c>
      <c r="T118" s="42">
        <f>S116*$R$118*$J$118</f>
        <v>8.1529225932042486</v>
      </c>
      <c r="U118" s="116">
        <f>$S118*Z$98/$T$98</f>
        <v>24.434882454707086</v>
      </c>
      <c r="V118" s="116">
        <f t="shared" ref="V118" si="75">$S118*AA$98/$T$98</f>
        <v>12.734702624330936</v>
      </c>
      <c r="W118" s="116">
        <f t="shared" ref="W118" si="76">$S118*AB$98/$T$98</f>
        <v>19.463972962309441</v>
      </c>
      <c r="X118" s="116">
        <f t="shared" ref="X118" si="77">$S118*AC$98/$T$98</f>
        <v>4.3563527802646433</v>
      </c>
      <c r="Y118" s="116">
        <f t="shared" ref="Y118" si="78">$S118*AD$98/$T$98</f>
        <v>20.539315110430358</v>
      </c>
      <c r="Z118" s="141">
        <f>$T118*Z98/$T$98</f>
        <v>2.443488245470709</v>
      </c>
      <c r="AA118" s="141">
        <f t="shared" ref="AA118:AD118" si="79">$T118*AA98/$T$98</f>
        <v>1.2734702624330938</v>
      </c>
      <c r="AB118" s="141">
        <f t="shared" si="79"/>
        <v>1.9463972962309442</v>
      </c>
      <c r="AC118" s="141">
        <f t="shared" si="79"/>
        <v>0.4356352780264644</v>
      </c>
      <c r="AD118" s="141">
        <f t="shared" si="79"/>
        <v>2.0539315110430363</v>
      </c>
      <c r="AE118" s="688"/>
      <c r="AF118" s="42">
        <f>RECS!U20</f>
        <v>184.56360457654222</v>
      </c>
      <c r="AG118" s="115">
        <f>AF118/AF116</f>
        <v>1</v>
      </c>
      <c r="AH118" s="42">
        <f>AH116*$AG$118*$J$118/$M$118</f>
        <v>53.410087141607946</v>
      </c>
      <c r="AI118" s="42">
        <f>AH116*$AG$118*$J$118</f>
        <v>5.3410087141607949</v>
      </c>
      <c r="AJ118" s="116">
        <f>$AH118*AO$98/$AI$98</f>
        <v>15.869577348376968</v>
      </c>
      <c r="AK118" s="116">
        <f t="shared" ref="AK118:AN118" si="80">$AH118*AP$98/$AI$98</f>
        <v>8.3424077280657869</v>
      </c>
      <c r="AL118" s="116">
        <f t="shared" si="80"/>
        <v>13.127537230629304</v>
      </c>
      <c r="AM118" s="116">
        <f t="shared" si="80"/>
        <v>2.8490069554968591</v>
      </c>
      <c r="AN118" s="116">
        <f t="shared" si="80"/>
        <v>13.221557879039031</v>
      </c>
      <c r="AO118" s="141">
        <f>$AI118*AO98/$AI$98</f>
        <v>1.5869577348376969</v>
      </c>
      <c r="AP118" s="141">
        <f t="shared" ref="AP118:AR118" si="81">$AI118*AP98/$AI$98</f>
        <v>0.83424077280657882</v>
      </c>
      <c r="AQ118" s="141">
        <f t="shared" si="81"/>
        <v>1.3127537230629305</v>
      </c>
      <c r="AR118" s="141">
        <f t="shared" si="81"/>
        <v>0.28490069554968589</v>
      </c>
      <c r="AS118" s="141">
        <f>$AI118*AS98/$AI$98</f>
        <v>1.322155787903903</v>
      </c>
      <c r="AT118" s="691"/>
      <c r="AU118" s="42">
        <f>RECS!V20</f>
        <v>168.42846392671882</v>
      </c>
      <c r="AV118" s="115">
        <f>AU118/AU116</f>
        <v>1</v>
      </c>
      <c r="AW118" s="42">
        <f>AW116*$AV$118*$J$118/$M$118</f>
        <v>28.600261141641603</v>
      </c>
      <c r="AX118" s="42">
        <f>AW116*$AV$118*$J$118</f>
        <v>2.8600261141641603</v>
      </c>
      <c r="AY118" s="116">
        <f>$AW118*BD$98/$AX$98</f>
        <v>8.6559006811272816</v>
      </c>
      <c r="AZ118" s="116">
        <f>$AW118*BE$98/$AX$98</f>
        <v>4.5816217632764262</v>
      </c>
      <c r="BA118" s="116">
        <f t="shared" ref="BA118:BC118" si="82">$AW118*BF$98/$AX$98</f>
        <v>6.8793723174393255</v>
      </c>
      <c r="BB118" s="116">
        <f t="shared" si="82"/>
        <v>1.4727316915956536</v>
      </c>
      <c r="BC118" s="116">
        <f t="shared" si="82"/>
        <v>7.0106346882029147</v>
      </c>
      <c r="BD118" s="141">
        <f>$AX118*BD98/$AX$98</f>
        <v>0.86559006811272809</v>
      </c>
      <c r="BE118" s="141">
        <f>$AX118*BE98/$AX$98</f>
        <v>0.45816217632764261</v>
      </c>
      <c r="BF118" s="141">
        <f t="shared" ref="BF118:BH118" si="83">$AX118*BF98/$AX$98</f>
        <v>0.68793723174393251</v>
      </c>
      <c r="BG118" s="141">
        <f t="shared" si="83"/>
        <v>0.14727316915956537</v>
      </c>
      <c r="BH118" s="141">
        <f t="shared" si="83"/>
        <v>0.70106346882029147</v>
      </c>
    </row>
    <row r="119" spans="1:60" x14ac:dyDescent="0.2">
      <c r="A119" s="562" t="s">
        <v>66</v>
      </c>
      <c r="B119" s="562" t="s">
        <v>1011</v>
      </c>
      <c r="C119" s="562" t="s">
        <v>1012</v>
      </c>
      <c r="D119" s="562" t="s">
        <v>26</v>
      </c>
      <c r="E119" s="562" t="s">
        <v>56</v>
      </c>
      <c r="F119" s="562" t="s">
        <v>43</v>
      </c>
      <c r="G119" s="562">
        <v>2010</v>
      </c>
      <c r="H119" s="564">
        <v>10</v>
      </c>
      <c r="I119" s="565">
        <v>17.782952946438755</v>
      </c>
      <c r="J119" s="770">
        <v>0.62</v>
      </c>
      <c r="K119" s="563">
        <v>1</v>
      </c>
      <c r="L119" s="563">
        <v>1</v>
      </c>
      <c r="M119" s="563">
        <v>0.1</v>
      </c>
      <c r="N119" s="563"/>
      <c r="O119" s="563">
        <v>0.45</v>
      </c>
      <c r="P119" s="690"/>
      <c r="Q119" s="42"/>
      <c r="U119" s="116"/>
      <c r="V119" s="116"/>
      <c r="W119" s="116"/>
      <c r="X119" s="116"/>
      <c r="Y119" s="116"/>
      <c r="Z119" s="141"/>
      <c r="AA119" s="141"/>
      <c r="AB119" s="141"/>
      <c r="AC119" s="141"/>
      <c r="AD119" s="141"/>
      <c r="AE119" s="688"/>
      <c r="AG119" s="115"/>
      <c r="AJ119" s="116"/>
      <c r="AK119" s="116"/>
      <c r="AL119" s="116"/>
      <c r="AM119" s="116"/>
      <c r="AN119" s="116"/>
      <c r="AO119" s="141"/>
      <c r="AP119" s="141"/>
      <c r="AQ119" s="141"/>
      <c r="AR119" s="141"/>
      <c r="AS119" s="141"/>
      <c r="AT119" s="691"/>
      <c r="AU119" s="42"/>
      <c r="AV119" s="115"/>
      <c r="AY119" s="116"/>
      <c r="AZ119" s="116"/>
      <c r="BA119" s="116"/>
      <c r="BB119" s="116"/>
      <c r="BC119" s="116"/>
      <c r="BD119" s="141"/>
      <c r="BE119" s="141"/>
      <c r="BF119" s="141"/>
      <c r="BG119" s="141"/>
      <c r="BH119" s="141"/>
    </row>
    <row r="120" spans="1:60" x14ac:dyDescent="0.2">
      <c r="A120" s="562" t="s">
        <v>66</v>
      </c>
      <c r="B120" s="562" t="s">
        <v>1013</v>
      </c>
      <c r="C120" s="562" t="s">
        <v>1014</v>
      </c>
      <c r="D120" s="562" t="s">
        <v>26</v>
      </c>
      <c r="E120" s="562" t="s">
        <v>56</v>
      </c>
      <c r="F120" s="562" t="s">
        <v>43</v>
      </c>
      <c r="G120" s="562">
        <v>2010</v>
      </c>
      <c r="H120" s="564">
        <v>10</v>
      </c>
      <c r="I120" s="565">
        <v>19.053163871184381</v>
      </c>
      <c r="J120" s="770">
        <v>0.68</v>
      </c>
      <c r="K120" s="563">
        <v>1</v>
      </c>
      <c r="L120" s="563">
        <v>1</v>
      </c>
      <c r="M120" s="563">
        <v>0.1</v>
      </c>
      <c r="N120" s="563"/>
      <c r="O120" s="563">
        <v>0.45</v>
      </c>
      <c r="P120" s="690"/>
      <c r="Q120" s="42"/>
      <c r="U120" s="116"/>
      <c r="V120" s="116"/>
      <c r="W120" s="116"/>
      <c r="X120" s="116"/>
      <c r="Y120" s="116"/>
      <c r="Z120" s="141"/>
      <c r="AA120" s="141"/>
      <c r="AB120" s="141"/>
      <c r="AC120" s="141"/>
      <c r="AD120" s="141"/>
      <c r="AE120" s="688"/>
      <c r="AG120" s="115"/>
      <c r="AJ120" s="116"/>
      <c r="AK120" s="116"/>
      <c r="AL120" s="116"/>
      <c r="AM120" s="116"/>
      <c r="AN120" s="116"/>
      <c r="AO120" s="141"/>
      <c r="AP120" s="141"/>
      <c r="AQ120" s="141"/>
      <c r="AR120" s="141"/>
      <c r="AS120" s="141"/>
      <c r="AT120" s="691"/>
      <c r="AU120" s="42"/>
      <c r="AV120" s="115"/>
      <c r="AY120" s="116"/>
      <c r="AZ120" s="116"/>
      <c r="BA120" s="116"/>
      <c r="BB120" s="116"/>
      <c r="BC120" s="116"/>
      <c r="BD120" s="141"/>
      <c r="BE120" s="141"/>
      <c r="BF120" s="141"/>
      <c r="BG120" s="141"/>
      <c r="BH120" s="141"/>
    </row>
    <row r="121" spans="1:60" x14ac:dyDescent="0.2">
      <c r="A121" s="557" t="s">
        <v>1640</v>
      </c>
      <c r="B121" s="558"/>
      <c r="C121" s="558"/>
      <c r="D121" s="558"/>
      <c r="E121" s="558"/>
      <c r="F121" s="558"/>
      <c r="G121" s="141"/>
      <c r="H121" s="559"/>
      <c r="I121" s="560"/>
      <c r="J121" s="769"/>
      <c r="K121" s="141"/>
      <c r="L121" s="141"/>
      <c r="M121" s="141">
        <f>M126</f>
        <v>0</v>
      </c>
      <c r="N121" s="141"/>
      <c r="O121" s="141"/>
      <c r="P121" s="690"/>
      <c r="Q121" s="120">
        <f>'Fuel Share'!E44</f>
        <v>2.2193506882529848</v>
      </c>
      <c r="R121" s="121" t="s">
        <v>1640</v>
      </c>
      <c r="S121" s="120">
        <f>'Fuel Share'!E44</f>
        <v>2.2193506882529848</v>
      </c>
      <c r="T121" s="120"/>
      <c r="U121" s="120"/>
      <c r="V121" s="120"/>
      <c r="W121" s="120"/>
      <c r="X121" s="120"/>
      <c r="Y121" s="120"/>
      <c r="Z121" s="120"/>
      <c r="AA121" s="120"/>
      <c r="AB121" s="120"/>
      <c r="AC121" s="120"/>
      <c r="AD121" s="120"/>
      <c r="AE121" s="691"/>
      <c r="AF121" s="120">
        <f>'Fuel Share'!O44</f>
        <v>2.2087573699975271</v>
      </c>
      <c r="AG121" s="121" t="s">
        <v>1640</v>
      </c>
      <c r="AH121" s="120">
        <f>'Fuel Share'!O44</f>
        <v>2.2087573699975271</v>
      </c>
      <c r="AI121" s="120"/>
      <c r="AJ121" s="120"/>
      <c r="AK121" s="120"/>
      <c r="AL121" s="120"/>
      <c r="AM121" s="120"/>
      <c r="AN121" s="120"/>
      <c r="AO121" s="120"/>
      <c r="AP121" s="120"/>
      <c r="AQ121" s="120"/>
      <c r="AR121" s="120"/>
      <c r="AS121" s="120"/>
      <c r="AT121" s="691"/>
      <c r="AU121" s="120">
        <f>'Fuel Share'!Y44</f>
        <v>1.9884711122636356</v>
      </c>
      <c r="AV121" s="121" t="s">
        <v>1640</v>
      </c>
      <c r="AW121" s="120">
        <f>'Fuel Share'!Y44</f>
        <v>1.9884711122636356</v>
      </c>
      <c r="AX121" s="120"/>
      <c r="AY121" s="120"/>
      <c r="AZ121" s="120"/>
      <c r="BA121" s="120"/>
      <c r="BB121" s="120"/>
      <c r="BC121" s="120"/>
      <c r="BD121" s="120"/>
      <c r="BE121" s="120"/>
      <c r="BF121" s="120"/>
      <c r="BG121" s="120"/>
      <c r="BH121" s="120"/>
    </row>
    <row r="122" spans="1:60" x14ac:dyDescent="0.2">
      <c r="A122" s="562" t="str">
        <f>TechData_DMD!A49</f>
        <v>R4</v>
      </c>
      <c r="B122" s="562" t="str">
        <f>TechData_DMD!B49</f>
        <v>RWHNUTIBOI</v>
      </c>
      <c r="C122" s="562" t="str">
        <f>TechData_DMD!C49</f>
        <v>RWH.NG.UTILITY.BOILER</v>
      </c>
      <c r="D122" s="562" t="str">
        <f>TechData_DMD!D49</f>
        <v>PJ</v>
      </c>
      <c r="E122" s="562" t="str">
        <f>TechData_DMD!E49</f>
        <v>RESSTNB</v>
      </c>
      <c r="F122" s="562" t="str">
        <f>TechData_DMD!F49</f>
        <v>RWH</v>
      </c>
      <c r="G122" s="562">
        <f>TechData_DMD!G49</f>
        <v>2010</v>
      </c>
      <c r="H122" s="564">
        <f>TechData_DMD!H49</f>
        <v>30</v>
      </c>
      <c r="I122" s="565">
        <f>TechData_DMD!I49</f>
        <v>2.5215837627460433</v>
      </c>
      <c r="J122" s="770">
        <f>TechData_DMD!J49</f>
        <v>0.78</v>
      </c>
      <c r="K122" s="575">
        <v>1</v>
      </c>
      <c r="L122" s="563">
        <v>1</v>
      </c>
      <c r="M122" s="563">
        <v>0.16</v>
      </c>
      <c r="N122" s="563"/>
      <c r="O122" s="563">
        <v>0.18</v>
      </c>
      <c r="P122" s="690"/>
      <c r="Q122" s="42">
        <f>Q121*R122</f>
        <v>0.95304603668003862</v>
      </c>
      <c r="R122" s="280">
        <f>DmdCalc!R11</f>
        <v>0.42942561611578911</v>
      </c>
      <c r="S122" s="42">
        <f>$S$121*R122*J122/M122</f>
        <v>4.6460994288151882</v>
      </c>
      <c r="T122" s="42">
        <f>S122*R122*J122</f>
        <v>1.556220205608259</v>
      </c>
      <c r="U122" s="116">
        <v>0</v>
      </c>
      <c r="V122" s="116">
        <v>0</v>
      </c>
      <c r="W122" s="116">
        <f>S122</f>
        <v>4.6460994288151882</v>
      </c>
      <c r="X122" s="116">
        <v>0</v>
      </c>
      <c r="Y122" s="116">
        <v>0</v>
      </c>
      <c r="Z122" s="141">
        <v>0</v>
      </c>
      <c r="AA122" s="141">
        <v>0</v>
      </c>
      <c r="AB122" s="141">
        <f>T122</f>
        <v>1.556220205608259</v>
      </c>
      <c r="AC122" s="141">
        <v>0</v>
      </c>
      <c r="AD122" s="141">
        <v>0</v>
      </c>
      <c r="AE122" s="688"/>
      <c r="AF122" s="42">
        <f>AF121*AG122</f>
        <v>0.94849699446147806</v>
      </c>
      <c r="AG122" s="706">
        <f>DmdCalc!R11</f>
        <v>0.42942561611578911</v>
      </c>
      <c r="AH122" s="42">
        <f>$AH$121*AG122*J122/M122</f>
        <v>4.6239228479997054</v>
      </c>
      <c r="AI122" s="42">
        <f>AH122*AG122*J122</f>
        <v>1.5487921159418354</v>
      </c>
      <c r="AJ122" s="116">
        <v>0</v>
      </c>
      <c r="AK122" s="116">
        <v>0</v>
      </c>
      <c r="AL122" s="116">
        <f>AH122</f>
        <v>4.6239228479997054</v>
      </c>
      <c r="AM122" s="116">
        <v>0</v>
      </c>
      <c r="AN122" s="116">
        <v>0</v>
      </c>
      <c r="AO122" s="141">
        <v>0</v>
      </c>
      <c r="AP122" s="141">
        <v>0</v>
      </c>
      <c r="AQ122" s="141">
        <f>AI122</f>
        <v>1.5487921159418354</v>
      </c>
      <c r="AR122" s="141">
        <v>0</v>
      </c>
      <c r="AS122" s="141">
        <v>0</v>
      </c>
      <c r="AT122" s="691"/>
      <c r="AU122" s="42">
        <f>AU121*AV122</f>
        <v>0.85390043251226022</v>
      </c>
      <c r="AV122" s="706">
        <f>DmdCalc!R11</f>
        <v>0.42942561611578911</v>
      </c>
      <c r="AW122" s="548">
        <f>$AW$121*AV122*J122/M122</f>
        <v>4.1627646084972687</v>
      </c>
      <c r="AX122" s="42">
        <f>AW122*AV122*J122</f>
        <v>1.3943262502641742</v>
      </c>
      <c r="AY122" s="116">
        <v>0</v>
      </c>
      <c r="AZ122" s="116">
        <v>0</v>
      </c>
      <c r="BA122" s="116">
        <f>AW122</f>
        <v>4.1627646084972687</v>
      </c>
      <c r="BB122" s="116">
        <v>0</v>
      </c>
      <c r="BC122" s="116">
        <v>0</v>
      </c>
      <c r="BD122" s="141">
        <v>0</v>
      </c>
      <c r="BE122" s="141">
        <v>0</v>
      </c>
      <c r="BF122" s="141">
        <f>AX122</f>
        <v>1.3943262502641742</v>
      </c>
      <c r="BG122" s="141">
        <v>0</v>
      </c>
      <c r="BH122" s="141">
        <v>0</v>
      </c>
    </row>
    <row r="123" spans="1:60" x14ac:dyDescent="0.2">
      <c r="A123" s="562" t="str">
        <f>TechData_DMD!A50</f>
        <v>R4</v>
      </c>
      <c r="B123" s="562" t="str">
        <f>TechData_DMD!B50</f>
        <v>RWHNUTICHP</v>
      </c>
      <c r="C123" s="562" t="str">
        <f>TechData_DMD!C50</f>
        <v>RWH.NG.UTILITY.CHP</v>
      </c>
      <c r="D123" s="562" t="str">
        <f>TechData_DMD!D50</f>
        <v>PJ</v>
      </c>
      <c r="E123" s="562" t="str">
        <f>TechData_DMD!E50</f>
        <v>RESSTNUC</v>
      </c>
      <c r="F123" s="562" t="str">
        <f>TechData_DMD!F50</f>
        <v>RWH</v>
      </c>
      <c r="G123" s="562">
        <f>TechData_DMD!G50</f>
        <v>2010</v>
      </c>
      <c r="H123" s="564">
        <f>TechData_DMD!H50</f>
        <v>30</v>
      </c>
      <c r="I123" s="565">
        <f>TechData_DMD!I50</f>
        <v>2.5215837627460433</v>
      </c>
      <c r="J123" s="770">
        <f>TechData_DMD!J50</f>
        <v>0.78</v>
      </c>
      <c r="K123" s="575">
        <v>1</v>
      </c>
      <c r="L123" s="563">
        <v>1</v>
      </c>
      <c r="M123" s="563">
        <v>0.16</v>
      </c>
      <c r="N123" s="563"/>
      <c r="O123" s="563">
        <v>0.18</v>
      </c>
      <c r="P123" s="690"/>
      <c r="Q123" s="42">
        <f t="shared" ref="Q123:Q124" si="84">Q122*R123</f>
        <v>0.54299643138746323</v>
      </c>
      <c r="R123" s="280">
        <f>DmdCalc!R12</f>
        <v>0.56974837572275716</v>
      </c>
      <c r="S123" s="42">
        <f>$S$121*R123*J123/M123</f>
        <v>6.1642983177326904</v>
      </c>
      <c r="T123" s="42">
        <f>S123*R123*J123</f>
        <v>2.7394371841190055</v>
      </c>
      <c r="U123" s="116">
        <v>0</v>
      </c>
      <c r="V123" s="116">
        <v>0</v>
      </c>
      <c r="W123" s="116">
        <f t="shared" ref="W123:W124" si="85">S123</f>
        <v>6.1642983177326904</v>
      </c>
      <c r="X123" s="116">
        <v>0</v>
      </c>
      <c r="Y123" s="116">
        <v>0</v>
      </c>
      <c r="Z123" s="141">
        <v>0</v>
      </c>
      <c r="AA123" s="141">
        <v>0</v>
      </c>
      <c r="AB123" s="141">
        <f t="shared" ref="AB123:AB124" si="86">T123</f>
        <v>2.7394371841190055</v>
      </c>
      <c r="AC123" s="141">
        <v>0</v>
      </c>
      <c r="AD123" s="141">
        <v>0</v>
      </c>
      <c r="AE123" s="688"/>
      <c r="AF123" s="42">
        <f t="shared" ref="AF123:AF124" si="87">AF122*AG123</f>
        <v>0.54040462197234407</v>
      </c>
      <c r="AG123" s="706">
        <f>DmdCalc!R12</f>
        <v>0.56974837572275716</v>
      </c>
      <c r="AH123" s="42">
        <f>$AH$121*AG123*J123/M123</f>
        <v>6.1348751291185799</v>
      </c>
      <c r="AI123" s="42">
        <f>AH123*AG123*J123</f>
        <v>2.7263614092602557</v>
      </c>
      <c r="AJ123" s="116">
        <v>0</v>
      </c>
      <c r="AK123" s="116">
        <v>0</v>
      </c>
      <c r="AL123" s="116">
        <f>AH123</f>
        <v>6.1348751291185799</v>
      </c>
      <c r="AM123" s="116">
        <v>0</v>
      </c>
      <c r="AN123" s="116">
        <v>0</v>
      </c>
      <c r="AO123" s="141">
        <v>0</v>
      </c>
      <c r="AP123" s="141">
        <v>0</v>
      </c>
      <c r="AQ123" s="141">
        <f t="shared" ref="AQ123:AQ124" si="88">AI123</f>
        <v>2.7263614092602557</v>
      </c>
      <c r="AR123" s="141">
        <v>0</v>
      </c>
      <c r="AS123" s="141">
        <v>0</v>
      </c>
      <c r="AT123" s="691"/>
      <c r="AU123" s="42">
        <f>AU122*AV123</f>
        <v>0.48650838445282008</v>
      </c>
      <c r="AV123" s="706">
        <f>DmdCalc!R12</f>
        <v>0.56974837572275716</v>
      </c>
      <c r="AW123" s="42">
        <f>$AW$121*AV123*J123/M123</f>
        <v>5.5230249086211751</v>
      </c>
      <c r="AX123" s="42">
        <f>AW123*AV123*J123</f>
        <v>2.4544528871953304</v>
      </c>
      <c r="AY123" s="116">
        <v>0</v>
      </c>
      <c r="AZ123" s="116">
        <v>0</v>
      </c>
      <c r="BA123" s="116">
        <f>AW123</f>
        <v>5.5230249086211751</v>
      </c>
      <c r="BB123" s="116">
        <v>0</v>
      </c>
      <c r="BC123" s="116">
        <v>0</v>
      </c>
      <c r="BD123" s="141">
        <v>0</v>
      </c>
      <c r="BE123" s="141">
        <v>0</v>
      </c>
      <c r="BF123" s="141">
        <f t="shared" ref="BF123:BF124" si="89">AX123</f>
        <v>2.4544528871953304</v>
      </c>
      <c r="BG123" s="141">
        <v>0</v>
      </c>
      <c r="BH123" s="141">
        <v>0</v>
      </c>
    </row>
    <row r="124" spans="1:60" x14ac:dyDescent="0.2">
      <c r="A124" s="562" t="str">
        <f>TechData_DMD!A51</f>
        <v>R4</v>
      </c>
      <c r="B124" s="562" t="str">
        <f>TechData_DMD!B51</f>
        <v>RWHBUTICHP</v>
      </c>
      <c r="C124" s="562" t="str">
        <f>TechData_DMD!C51</f>
        <v>RWH.DSL.UTILITY.CHP</v>
      </c>
      <c r="D124" s="562" t="str">
        <f>TechData_DMD!D51</f>
        <v>PJ</v>
      </c>
      <c r="E124" s="562" t="str">
        <f>TechData_DMD!E51</f>
        <v>RESSTBUC</v>
      </c>
      <c r="F124" s="562" t="str">
        <f>TechData_DMD!F51</f>
        <v>RWH</v>
      </c>
      <c r="G124" s="562">
        <f>TechData_DMD!G51</f>
        <v>2010</v>
      </c>
      <c r="H124" s="564">
        <f>TechData_DMD!H51</f>
        <v>30</v>
      </c>
      <c r="I124" s="565">
        <f>TechData_DMD!I51</f>
        <v>2.5215837627460433</v>
      </c>
      <c r="J124" s="770">
        <f>TechData_DMD!J51</f>
        <v>0.78</v>
      </c>
      <c r="K124" s="575">
        <v>1</v>
      </c>
      <c r="L124" s="563">
        <v>1</v>
      </c>
      <c r="M124" s="563">
        <v>0.16</v>
      </c>
      <c r="N124" s="563"/>
      <c r="O124" s="563">
        <v>0.18</v>
      </c>
      <c r="P124" s="690"/>
      <c r="Q124" s="42">
        <f t="shared" si="84"/>
        <v>4.4851948396631904E-4</v>
      </c>
      <c r="R124" s="280">
        <f>DmdCalc!R13</f>
        <v>8.2600816145377432E-4</v>
      </c>
      <c r="S124" s="42">
        <f>$S$121*R124*J124/M124</f>
        <v>8.936858685421956E-3</v>
      </c>
      <c r="T124" s="42">
        <f>S124*R124*J124</f>
        <v>5.7578962052957162E-6</v>
      </c>
      <c r="U124" s="116">
        <v>0</v>
      </c>
      <c r="V124" s="116">
        <v>0</v>
      </c>
      <c r="W124" s="116">
        <f t="shared" si="85"/>
        <v>8.936858685421956E-3</v>
      </c>
      <c r="X124" s="116">
        <v>0</v>
      </c>
      <c r="Y124" s="116">
        <v>0</v>
      </c>
      <c r="Z124" s="141">
        <v>0</v>
      </c>
      <c r="AA124" s="141">
        <v>0</v>
      </c>
      <c r="AB124" s="141">
        <f t="shared" si="86"/>
        <v>5.7578962052957162E-6</v>
      </c>
      <c r="AC124" s="141">
        <v>0</v>
      </c>
      <c r="AD124" s="141">
        <v>0</v>
      </c>
      <c r="AE124" s="688"/>
      <c r="AF124" s="42">
        <f t="shared" si="87"/>
        <v>4.4637862823649786E-4</v>
      </c>
      <c r="AG124" s="706">
        <f>DmdCalc!R13</f>
        <v>8.2600816145377432E-4</v>
      </c>
      <c r="AH124" s="42">
        <f>$AH$121*AG124*J124/M124</f>
        <v>8.8942016196595156E-3</v>
      </c>
      <c r="AI124" s="42">
        <f>AH124*AG124*J124</f>
        <v>5.7304128394142278E-6</v>
      </c>
      <c r="AJ124" s="116">
        <v>0</v>
      </c>
      <c r="AK124" s="116">
        <v>0</v>
      </c>
      <c r="AL124" s="116">
        <f t="shared" ref="AL124" si="90">AH124</f>
        <v>8.8942016196595156E-3</v>
      </c>
      <c r="AM124" s="116">
        <v>0</v>
      </c>
      <c r="AN124" s="116">
        <v>0</v>
      </c>
      <c r="AO124" s="141">
        <v>0</v>
      </c>
      <c r="AP124" s="141">
        <v>0</v>
      </c>
      <c r="AQ124" s="141">
        <f t="shared" si="88"/>
        <v>5.7304128394142278E-6</v>
      </c>
      <c r="AR124" s="141">
        <v>0</v>
      </c>
      <c r="AS124" s="141">
        <v>0</v>
      </c>
      <c r="AT124" s="691"/>
      <c r="AU124" s="42">
        <f>AU123*AV124</f>
        <v>4.0185989617371994E-4</v>
      </c>
      <c r="AV124" s="706">
        <f>DmdCalc!R13</f>
        <v>8.2600816145377432E-4</v>
      </c>
      <c r="AW124" s="42">
        <f>$AW$121*AV124*J124/M124</f>
        <v>8.0071551667810336E-3</v>
      </c>
      <c r="AX124" s="42">
        <f>AW124*AV124*J124</f>
        <v>5.158900903874555E-6</v>
      </c>
      <c r="AY124" s="116">
        <v>0</v>
      </c>
      <c r="AZ124" s="116">
        <v>0</v>
      </c>
      <c r="BA124" s="116">
        <f>AW124</f>
        <v>8.0071551667810336E-3</v>
      </c>
      <c r="BB124" s="116">
        <v>0</v>
      </c>
      <c r="BC124" s="116">
        <v>0</v>
      </c>
      <c r="BD124" s="141">
        <v>0</v>
      </c>
      <c r="BE124" s="141">
        <v>0</v>
      </c>
      <c r="BF124" s="141">
        <f t="shared" si="89"/>
        <v>5.158900903874555E-6</v>
      </c>
      <c r="BG124" s="141">
        <v>0</v>
      </c>
      <c r="BH124" s="141">
        <v>0</v>
      </c>
    </row>
    <row r="125" spans="1:60" x14ac:dyDescent="0.2">
      <c r="A125" s="570" t="s">
        <v>562</v>
      </c>
      <c r="B125" s="570"/>
      <c r="C125" s="570"/>
      <c r="D125" s="570"/>
      <c r="E125" s="570"/>
      <c r="F125" s="570"/>
      <c r="G125" s="572"/>
      <c r="H125" s="573"/>
      <c r="I125" s="574"/>
      <c r="J125" s="771"/>
      <c r="K125" s="572"/>
      <c r="L125" s="572"/>
      <c r="M125" s="572"/>
      <c r="N125" s="572"/>
      <c r="O125" s="572"/>
      <c r="P125" s="690"/>
      <c r="Q125" s="114"/>
      <c r="R125" s="117"/>
      <c r="S125" s="114">
        <f>Lighting!AA22</f>
        <v>9.4799044482925527</v>
      </c>
      <c r="T125" s="125">
        <f>SUM(Z125:AD125)</f>
        <v>9.479904448292551</v>
      </c>
      <c r="U125" s="125">
        <f t="shared" ref="U125:AD125" si="91">SUM(U127:U131)</f>
        <v>2.8411940408825158</v>
      </c>
      <c r="V125" s="125">
        <f t="shared" si="91"/>
        <v>1.4807421838728765</v>
      </c>
      <c r="W125" s="125">
        <f t="shared" si="91"/>
        <v>2.2631958264959415</v>
      </c>
      <c r="X125" s="125">
        <f t="shared" si="91"/>
        <v>0.50653992636193601</v>
      </c>
      <c r="Y125" s="125">
        <f t="shared" si="91"/>
        <v>2.3882324706792826</v>
      </c>
      <c r="Z125" s="146">
        <f>SUM(Z127:Z131)</f>
        <v>2.8411940408825158</v>
      </c>
      <c r="AA125" s="146">
        <f t="shared" si="91"/>
        <v>1.4807421838728765</v>
      </c>
      <c r="AB125" s="146">
        <f t="shared" si="91"/>
        <v>2.2631958264959415</v>
      </c>
      <c r="AC125" s="146">
        <f t="shared" si="91"/>
        <v>0.50653992636193601</v>
      </c>
      <c r="AD125" s="146">
        <f t="shared" si="91"/>
        <v>2.3882324706792826</v>
      </c>
      <c r="AE125" s="690"/>
      <c r="AF125" s="145"/>
      <c r="AG125" s="145"/>
      <c r="AH125" s="114">
        <f>Lighting!AB22</f>
        <v>9.1644629567853162</v>
      </c>
      <c r="AI125" s="125">
        <f>SUM(AO125:AS125)</f>
        <v>9.1644629567853144</v>
      </c>
      <c r="AJ125" s="125">
        <f>SUM(AJ127:AJ131)</f>
        <v>2.7230091080630574</v>
      </c>
      <c r="AK125" s="125">
        <f t="shared" ref="AK125:AS125" si="92">SUM(AK127:AK131)</f>
        <v>1.4314465803351757</v>
      </c>
      <c r="AL125" s="125">
        <f>SUM(AL127:AL131)</f>
        <v>2.2525113719614205</v>
      </c>
      <c r="AM125" s="125">
        <f t="shared" si="92"/>
        <v>0.48885182752181944</v>
      </c>
      <c r="AN125" s="125">
        <f t="shared" si="92"/>
        <v>2.2686440689038418</v>
      </c>
      <c r="AO125" s="146">
        <f>SUM(AO127:AO131)</f>
        <v>2.7230091080630574</v>
      </c>
      <c r="AP125" s="146">
        <f t="shared" si="92"/>
        <v>1.4314465803351757</v>
      </c>
      <c r="AQ125" s="146">
        <f t="shared" si="92"/>
        <v>2.2525113719614205</v>
      </c>
      <c r="AR125" s="146">
        <f t="shared" si="92"/>
        <v>0.48885182752181944</v>
      </c>
      <c r="AS125" s="146">
        <f t="shared" si="92"/>
        <v>2.2686440689038418</v>
      </c>
      <c r="AT125" s="691"/>
      <c r="AU125" s="145"/>
      <c r="AV125" s="145"/>
      <c r="AW125" s="114">
        <f>Lighting!AC22</f>
        <v>8.5061055177913776</v>
      </c>
      <c r="AX125" s="125">
        <f>SUM(BD125:BH125)</f>
        <v>8.5061055177913794</v>
      </c>
      <c r="AY125" s="125">
        <f t="shared" ref="AY125:BH125" si="93">SUM(AY127:AY131)</f>
        <v>2.5743822470903774</v>
      </c>
      <c r="AZ125" s="125">
        <f t="shared" si="93"/>
        <v>1.3626364447524684</v>
      </c>
      <c r="BA125" s="125">
        <f t="shared" si="93"/>
        <v>2.0460186198479295</v>
      </c>
      <c r="BB125" s="125">
        <f t="shared" si="93"/>
        <v>0.43801037711045809</v>
      </c>
      <c r="BC125" s="125">
        <f t="shared" si="93"/>
        <v>2.0850578289901454</v>
      </c>
      <c r="BD125" s="146">
        <f t="shared" si="93"/>
        <v>2.5743822470903774</v>
      </c>
      <c r="BE125" s="146">
        <f t="shared" si="93"/>
        <v>1.3626364447524684</v>
      </c>
      <c r="BF125" s="146">
        <f t="shared" si="93"/>
        <v>2.0460186198479295</v>
      </c>
      <c r="BG125" s="146">
        <f t="shared" si="93"/>
        <v>0.43801037711045809</v>
      </c>
      <c r="BH125" s="146">
        <f t="shared" si="93"/>
        <v>2.0850578289901454</v>
      </c>
    </row>
    <row r="126" spans="1:60" x14ac:dyDescent="0.2">
      <c r="A126" s="558" t="s">
        <v>51</v>
      </c>
      <c r="B126" s="558"/>
      <c r="C126" s="558"/>
      <c r="D126" s="558"/>
      <c r="E126" s="558"/>
      <c r="F126" s="558"/>
      <c r="G126" s="141"/>
      <c r="H126" s="559"/>
      <c r="I126" s="560"/>
      <c r="J126" s="769"/>
      <c r="K126" s="141"/>
      <c r="L126" s="141"/>
      <c r="M126" s="141"/>
      <c r="N126" s="141"/>
      <c r="O126" s="141"/>
      <c r="P126" s="690"/>
      <c r="Q126" s="120">
        <f>SUM(Q127:Q131)</f>
        <v>67.239449024324784</v>
      </c>
      <c r="R126" s="121" t="s">
        <v>51</v>
      </c>
      <c r="S126" s="120">
        <f>Lighting!AA22</f>
        <v>9.4799044482925527</v>
      </c>
      <c r="T126" s="120"/>
      <c r="U126" s="120">
        <f>CommData_DMD!E10/CommData_DMD!E60</f>
        <v>0.29970703358663603</v>
      </c>
      <c r="V126" s="120">
        <f>CommData_DMD!E20/CommData_DMD!E60</f>
        <v>0.15619800726362557</v>
      </c>
      <c r="W126" s="120">
        <f>CommData_DMD!E30/CommData_DMD!E60</f>
        <v>0.23873614326393039</v>
      </c>
      <c r="X126" s="120">
        <f>CommData_DMD!E40/CommData_DMD!E60</f>
        <v>5.343302025087078E-2</v>
      </c>
      <c r="Y126" s="120">
        <f>CommData_DMD!E50/CommData_DMD!E60</f>
        <v>0.25192579563493728</v>
      </c>
      <c r="Z126" s="147">
        <f>CommData_DMD!E10</f>
        <v>2.8411940408825158</v>
      </c>
      <c r="AA126" s="147">
        <f>CommData_DMD!E20</f>
        <v>1.4807421838728763</v>
      </c>
      <c r="AB126" s="147">
        <f>CommData_DMD!E30</f>
        <v>2.2631958264959415</v>
      </c>
      <c r="AC126" s="147">
        <f>CommData_DMD!E40</f>
        <v>0.5065399263619359</v>
      </c>
      <c r="AD126" s="147">
        <f>CommData_DMD!E50</f>
        <v>2.3882324706792821</v>
      </c>
      <c r="AE126" s="688"/>
      <c r="AF126" s="120">
        <f>SUM(AF127:AF131)</f>
        <v>67.239449024324784</v>
      </c>
      <c r="AG126" s="121" t="s">
        <v>51</v>
      </c>
      <c r="AH126" s="120">
        <f>Lighting!AB22</f>
        <v>9.1644629567853162</v>
      </c>
      <c r="AI126" s="120"/>
      <c r="AJ126" s="120">
        <f>CommData_DMD!F10/CommData_DMD!F60</f>
        <v>0.29712696978571529</v>
      </c>
      <c r="AK126" s="120">
        <f>CommData_DMD!F20/CommData_DMD!F60</f>
        <v>0.15619535886446473</v>
      </c>
      <c r="AL126" s="120">
        <f>CommData_DMD!F30/CommData_DMD!F60</f>
        <v>0.24578760180307935</v>
      </c>
      <c r="AM126" s="120">
        <f>CommData_DMD!F40/CommData_DMD!F60</f>
        <v>5.334211397077844E-2</v>
      </c>
      <c r="AN126" s="120">
        <f>CommData_DMD!F50/CommData_DMD!F60</f>
        <v>0.24754795557596213</v>
      </c>
      <c r="AO126" s="147">
        <f>CommData_DMD!F10</f>
        <v>2.7230091080630578</v>
      </c>
      <c r="AP126" s="147">
        <f>CommData_DMD!F20</f>
        <v>1.4314465803351759</v>
      </c>
      <c r="AQ126" s="147">
        <f>CommData_DMD!F30</f>
        <v>2.2525113719614205</v>
      </c>
      <c r="AR126" s="147">
        <f>CommData_DMD!F40</f>
        <v>0.48885182752181949</v>
      </c>
      <c r="AS126" s="147">
        <f>CommData_DMD!F50</f>
        <v>2.2686440689038418</v>
      </c>
      <c r="AT126" s="691"/>
      <c r="AU126" s="120">
        <f>SUM(AU127:AU131)</f>
        <v>67.239449024324784</v>
      </c>
      <c r="AV126" s="121" t="s">
        <v>51</v>
      </c>
      <c r="AW126" s="120">
        <f>Lighting!AC22</f>
        <v>8.5061055177913776</v>
      </c>
      <c r="AX126" s="120"/>
      <c r="AY126" s="120">
        <f>CommData_DMD!G10/CommData_DMD!G60</f>
        <v>0.30265110651470262</v>
      </c>
      <c r="AZ126" s="120">
        <f>CommData_DMD!G20/CommData_DMD!G60</f>
        <v>0.16019510243581822</v>
      </c>
      <c r="BA126" s="120">
        <f>CommData_DMD!G30/CommData_DMD!G60</f>
        <v>0.24053529733066151</v>
      </c>
      <c r="BB126" s="120">
        <f>CommData_DMD!G40/CommData_DMD!G60</f>
        <v>5.1493644911212923E-2</v>
      </c>
      <c r="BC126" s="120">
        <f>CommData_DMD!G50/CommData_DMD!G60</f>
        <v>0.24512484880760491</v>
      </c>
      <c r="BD126" s="147">
        <f>CommData_DMD!G10</f>
        <v>2.5743822470903774</v>
      </c>
      <c r="BE126" s="147">
        <f>CommData_DMD!G20</f>
        <v>1.3626364447524679</v>
      </c>
      <c r="BF126" s="147">
        <f>CommData_DMD!G30</f>
        <v>2.0460186198479291</v>
      </c>
      <c r="BG126" s="147">
        <f>CommData_DMD!G40</f>
        <v>0.43801037711045804</v>
      </c>
      <c r="BH126" s="147">
        <f>CommData_DMD!G50</f>
        <v>2.0850578289901449</v>
      </c>
    </row>
    <row r="127" spans="1:60" x14ac:dyDescent="0.2">
      <c r="A127" s="562"/>
      <c r="B127" s="562" t="str">
        <f>TechData_DMD!B57</f>
        <v>RLTGINC10</v>
      </c>
      <c r="C127" s="562" t="s">
        <v>564</v>
      </c>
      <c r="D127" s="562" t="s">
        <v>34</v>
      </c>
      <c r="E127" s="562" t="s">
        <v>47</v>
      </c>
      <c r="F127" s="562" t="s">
        <v>32</v>
      </c>
      <c r="G127" s="562">
        <v>2010</v>
      </c>
      <c r="H127" s="564">
        <v>1.1643835616438356</v>
      </c>
      <c r="I127" s="565">
        <v>0.29993805021193348</v>
      </c>
      <c r="J127" s="770">
        <f>TechData_DMD!J57</f>
        <v>0.45981100563498845</v>
      </c>
      <c r="K127" s="563">
        <v>1</v>
      </c>
      <c r="L127" s="563">
        <v>1</v>
      </c>
      <c r="M127" s="563">
        <v>1</v>
      </c>
      <c r="N127" s="563"/>
      <c r="O127" s="563">
        <v>0.18</v>
      </c>
      <c r="P127" s="690"/>
      <c r="Q127" s="42">
        <v>40.577382241806873</v>
      </c>
      <c r="R127" s="517">
        <f>Lighting!U21</f>
        <v>0.60306000000000004</v>
      </c>
      <c r="S127" s="42">
        <f>$S$126*R127</f>
        <v>5.7169511765873073</v>
      </c>
      <c r="U127" s="116">
        <f>S127*$U$126</f>
        <v>1.7134104782946105</v>
      </c>
      <c r="V127" s="116">
        <f>S127*$V$126</f>
        <v>0.89297638140637692</v>
      </c>
      <c r="W127" s="116">
        <f>S127*$W$126</f>
        <v>1.3648428751266428</v>
      </c>
      <c r="X127" s="116">
        <f>S127*$X$126</f>
        <v>0.30547396799182913</v>
      </c>
      <c r="Y127" s="116">
        <f>S127*$Y$126</f>
        <v>1.4402474737678481</v>
      </c>
      <c r="Z127" s="141">
        <f>U127</f>
        <v>1.7134104782946105</v>
      </c>
      <c r="AA127" s="141">
        <f t="shared" ref="Z127:AD131" si="94">V127</f>
        <v>0.89297638140637692</v>
      </c>
      <c r="AB127" s="141">
        <f t="shared" si="94"/>
        <v>1.3648428751266428</v>
      </c>
      <c r="AC127" s="141">
        <f t="shared" si="94"/>
        <v>0.30547396799182913</v>
      </c>
      <c r="AD127" s="141">
        <f t="shared" si="94"/>
        <v>1.4402474737678481</v>
      </c>
      <c r="AE127" s="688"/>
      <c r="AF127" s="42">
        <v>40.577382241806873</v>
      </c>
      <c r="AG127" s="517">
        <f>Lighting!U33</f>
        <v>0.31</v>
      </c>
      <c r="AH127" s="42">
        <f>$AH$126*AG127</f>
        <v>2.8409835166034481</v>
      </c>
      <c r="AJ127" s="116">
        <f>AH127*$AJ$126</f>
        <v>0.84413282349954788</v>
      </c>
      <c r="AK127" s="116">
        <f>AH127*$AK$126</f>
        <v>0.44374843990390456</v>
      </c>
      <c r="AL127" s="116">
        <f>AH127*$AL$126</f>
        <v>0.69827852530804035</v>
      </c>
      <c r="AM127" s="116">
        <f>AH127*$AM$126</f>
        <v>0.15154406653176405</v>
      </c>
      <c r="AN127" s="116">
        <f>AH127*$AN$126</f>
        <v>0.70327966136019104</v>
      </c>
      <c r="AO127" s="141">
        <f>AJ127</f>
        <v>0.84413282349954788</v>
      </c>
      <c r="AP127" s="141">
        <f>AK127</f>
        <v>0.44374843990390456</v>
      </c>
      <c r="AQ127" s="141">
        <f>AL127</f>
        <v>0.69827852530804035</v>
      </c>
      <c r="AR127" s="141">
        <f t="shared" ref="AR127:AR131" si="95">AM127</f>
        <v>0.15154406653176405</v>
      </c>
      <c r="AS127" s="141">
        <f>AN127</f>
        <v>0.70327966136019104</v>
      </c>
      <c r="AT127" s="691"/>
      <c r="AU127" s="42">
        <v>40.577382241806873</v>
      </c>
      <c r="AV127" s="517">
        <f>Lighting!U42</f>
        <v>0.15</v>
      </c>
      <c r="AW127" s="42">
        <f>$AW$126*AV127</f>
        <v>1.2759158276687066</v>
      </c>
      <c r="AY127" s="116">
        <f>$AW127*AY$126</f>
        <v>0.38615733706355665</v>
      </c>
      <c r="AZ127" s="116">
        <f t="shared" ref="AZ127:BC131" si="96">$AW127*AZ$126</f>
        <v>0.20439546671287023</v>
      </c>
      <c r="BA127" s="116">
        <f t="shared" si="96"/>
        <v>0.30690279297718942</v>
      </c>
      <c r="BB127" s="116">
        <f t="shared" si="96"/>
        <v>6.5701556566568717E-2</v>
      </c>
      <c r="BC127" s="116">
        <f t="shared" si="96"/>
        <v>0.31275867434852178</v>
      </c>
      <c r="BD127" s="141">
        <f>AY127</f>
        <v>0.38615733706355665</v>
      </c>
      <c r="BE127" s="141">
        <f t="shared" ref="BE127:BE131" si="97">AZ127</f>
        <v>0.20439546671287023</v>
      </c>
      <c r="BF127" s="141">
        <f>BA127</f>
        <v>0.30690279297718942</v>
      </c>
      <c r="BG127" s="141">
        <f t="shared" ref="BG127:BG131" si="98">BB127</f>
        <v>6.5701556566568717E-2</v>
      </c>
      <c r="BH127" s="141">
        <f t="shared" ref="BH127:BH131" si="99">BC127</f>
        <v>0.31275867434852178</v>
      </c>
    </row>
    <row r="128" spans="1:60" x14ac:dyDescent="0.2">
      <c r="A128" s="562"/>
      <c r="B128" s="563" t="str">
        <f>TechData_DMD!B58</f>
        <v>RLTGCFL10</v>
      </c>
      <c r="C128" s="562" t="s">
        <v>566</v>
      </c>
      <c r="D128" s="562" t="s">
        <v>34</v>
      </c>
      <c r="E128" s="562" t="s">
        <v>47</v>
      </c>
      <c r="F128" s="562" t="s">
        <v>32</v>
      </c>
      <c r="G128" s="562">
        <v>2010</v>
      </c>
      <c r="H128" s="564">
        <v>13.698630136986301</v>
      </c>
      <c r="I128" s="565">
        <v>2.7903327701534422</v>
      </c>
      <c r="J128" s="770">
        <f>TechData_DMD!J58</f>
        <v>2.1309861778393948</v>
      </c>
      <c r="K128" s="563">
        <v>1</v>
      </c>
      <c r="L128" s="563">
        <v>1</v>
      </c>
      <c r="M128" s="563">
        <v>1</v>
      </c>
      <c r="N128" s="563"/>
      <c r="O128" s="563">
        <v>0.28000000000000003</v>
      </c>
      <c r="P128" s="690"/>
      <c r="Q128" s="42">
        <v>7.8575864321274471</v>
      </c>
      <c r="R128" s="517">
        <f>Lighting!U22</f>
        <v>0.11700000000000001</v>
      </c>
      <c r="S128" s="42">
        <f t="shared" ref="S128:S131" si="100">$S$126*R128</f>
        <v>1.1091488204502287</v>
      </c>
      <c r="U128" s="116">
        <f>S128*$U$126</f>
        <v>0.33241970278325444</v>
      </c>
      <c r="V128" s="116">
        <f>S128*$V$126</f>
        <v>0.17324683551312656</v>
      </c>
      <c r="W128" s="116">
        <f>S128*$W$126</f>
        <v>0.2647939117000252</v>
      </c>
      <c r="X128" s="116">
        <f>S128*$X$126</f>
        <v>5.9265171384346504E-2</v>
      </c>
      <c r="Y128" s="116">
        <f>S128*$Y$126</f>
        <v>0.27942319906947605</v>
      </c>
      <c r="Z128" s="141">
        <f>U128</f>
        <v>0.33241970278325444</v>
      </c>
      <c r="AA128" s="141">
        <f t="shared" si="94"/>
        <v>0.17324683551312656</v>
      </c>
      <c r="AB128" s="141">
        <f t="shared" si="94"/>
        <v>0.2647939117000252</v>
      </c>
      <c r="AC128" s="141">
        <f t="shared" si="94"/>
        <v>5.9265171384346504E-2</v>
      </c>
      <c r="AD128" s="141">
        <f t="shared" si="94"/>
        <v>0.27942319906947605</v>
      </c>
      <c r="AE128" s="688"/>
      <c r="AF128" s="42">
        <v>7.8575864321274471</v>
      </c>
      <c r="AG128" s="517">
        <f>Lighting!U34</f>
        <v>0.32</v>
      </c>
      <c r="AH128" s="42">
        <f t="shared" ref="AH128:AH131" si="101">$AH$126*AG128</f>
        <v>2.9326281461713011</v>
      </c>
      <c r="AJ128" s="116">
        <f t="shared" ref="AJ128:AJ131" si="102">AH128*$AJ$126</f>
        <v>0.87136291458017845</v>
      </c>
      <c r="AK128" s="116">
        <f t="shared" ref="AK128:AK131" si="103">AH128*$AK$126</f>
        <v>0.45806290570725627</v>
      </c>
      <c r="AL128" s="116">
        <f t="shared" ref="AL128:AL131" si="104">AH128*$AL$126</f>
        <v>0.72080363902765454</v>
      </c>
      <c r="AM128" s="116">
        <f t="shared" ref="AM128:AM131" si="105">AH128*$AM$126</f>
        <v>0.15643258480698224</v>
      </c>
      <c r="AN128" s="116">
        <f t="shared" ref="AN128:AN131" si="106">AH128*$AN$126</f>
        <v>0.7259661020492294</v>
      </c>
      <c r="AO128" s="141">
        <f>AJ128</f>
        <v>0.87136291458017845</v>
      </c>
      <c r="AP128" s="141">
        <f t="shared" ref="AP128:AP131" si="107">AK128</f>
        <v>0.45806290570725627</v>
      </c>
      <c r="AQ128" s="141">
        <f t="shared" ref="AQ128:AQ131" si="108">AL128</f>
        <v>0.72080363902765454</v>
      </c>
      <c r="AR128" s="141">
        <f t="shared" si="95"/>
        <v>0.15643258480698224</v>
      </c>
      <c r="AS128" s="141">
        <f t="shared" ref="AS128:AS130" si="109">AN128</f>
        <v>0.7259661020492294</v>
      </c>
      <c r="AT128" s="691"/>
      <c r="AU128" s="42">
        <v>7.8575864321274471</v>
      </c>
      <c r="AV128" s="517">
        <f>Lighting!U43</f>
        <v>0.12</v>
      </c>
      <c r="AW128" s="42">
        <f t="shared" ref="AW128:AW131" si="110">$AW$126*AV128</f>
        <v>1.0207326621349653</v>
      </c>
      <c r="AY128" s="116">
        <f t="shared" ref="AY128:AY131" si="111">$AW128*AY$126</f>
        <v>0.30892586965084534</v>
      </c>
      <c r="AZ128" s="116">
        <f t="shared" si="96"/>
        <v>0.1635163733702962</v>
      </c>
      <c r="BA128" s="116">
        <f t="shared" si="96"/>
        <v>0.24552223438175153</v>
      </c>
      <c r="BB128" s="116">
        <f t="shared" si="96"/>
        <v>5.2561245253254972E-2</v>
      </c>
      <c r="BC128" s="116">
        <f t="shared" si="96"/>
        <v>0.25020693947881745</v>
      </c>
      <c r="BD128" s="141">
        <f>AY128</f>
        <v>0.30892586965084534</v>
      </c>
      <c r="BE128" s="141">
        <f t="shared" si="97"/>
        <v>0.1635163733702962</v>
      </c>
      <c r="BF128" s="141">
        <f t="shared" ref="BF128:BF131" si="112">BA128</f>
        <v>0.24552223438175153</v>
      </c>
      <c r="BG128" s="141">
        <f t="shared" si="98"/>
        <v>5.2561245253254972E-2</v>
      </c>
      <c r="BH128" s="141">
        <f t="shared" si="99"/>
        <v>0.25020693947881745</v>
      </c>
    </row>
    <row r="129" spans="1:60" x14ac:dyDescent="0.2">
      <c r="A129" s="562"/>
      <c r="B129" s="562" t="str">
        <f>TechData_DMD!B59</f>
        <v>RLTRINC10</v>
      </c>
      <c r="C129" s="562" t="s">
        <v>568</v>
      </c>
      <c r="D129" s="562" t="s">
        <v>34</v>
      </c>
      <c r="E129" s="562" t="s">
        <v>47</v>
      </c>
      <c r="F129" s="562" t="s">
        <v>32</v>
      </c>
      <c r="G129" s="562">
        <v>2010</v>
      </c>
      <c r="H129" s="564">
        <v>1.1643835616438356</v>
      </c>
      <c r="I129" s="565">
        <v>3.0084695339439387</v>
      </c>
      <c r="J129" s="770">
        <f>TechData_DMD!J59</f>
        <v>0.76793723125015889</v>
      </c>
      <c r="K129" s="563">
        <v>1</v>
      </c>
      <c r="L129" s="563">
        <v>1</v>
      </c>
      <c r="M129" s="563">
        <v>1</v>
      </c>
      <c r="N129" s="563"/>
      <c r="O129" s="563">
        <v>0.18</v>
      </c>
      <c r="P129" s="690"/>
      <c r="Q129" s="42">
        <v>3.3579429197125843</v>
      </c>
      <c r="R129" s="517">
        <f>Lighting!U24</f>
        <v>0.05</v>
      </c>
      <c r="S129" s="42">
        <f t="shared" si="100"/>
        <v>0.47399522241462766</v>
      </c>
      <c r="U129" s="116">
        <f>S129*$U$126</f>
        <v>0.14205970204412582</v>
      </c>
      <c r="V129" s="116">
        <f>S129*$V$126</f>
        <v>7.4037109193643827E-2</v>
      </c>
      <c r="W129" s="116">
        <f>S129*$W$126</f>
        <v>0.1131597913247971</v>
      </c>
      <c r="X129" s="116">
        <f>S129*$X$126</f>
        <v>2.53269963180968E-2</v>
      </c>
      <c r="Y129" s="116">
        <f>S129*$Y$126</f>
        <v>0.11941162353396413</v>
      </c>
      <c r="Z129" s="141">
        <f t="shared" si="94"/>
        <v>0.14205970204412582</v>
      </c>
      <c r="AA129" s="141">
        <f t="shared" si="94"/>
        <v>7.4037109193643827E-2</v>
      </c>
      <c r="AB129" s="141">
        <f t="shared" si="94"/>
        <v>0.1131597913247971</v>
      </c>
      <c r="AC129" s="141">
        <f t="shared" si="94"/>
        <v>2.53269963180968E-2</v>
      </c>
      <c r="AD129" s="141">
        <f t="shared" si="94"/>
        <v>0.11941162353396413</v>
      </c>
      <c r="AE129" s="688"/>
      <c r="AF129" s="42">
        <v>3.3579429197125843</v>
      </c>
      <c r="AG129" s="517">
        <f>Lighting!U35</f>
        <v>0.04</v>
      </c>
      <c r="AH129" s="42">
        <f t="shared" si="101"/>
        <v>0.36657851827141263</v>
      </c>
      <c r="AJ129" s="116">
        <f t="shared" si="102"/>
        <v>0.10892036432252231</v>
      </c>
      <c r="AK129" s="116">
        <f t="shared" si="103"/>
        <v>5.7257863213407034E-2</v>
      </c>
      <c r="AL129" s="116">
        <f t="shared" si="104"/>
        <v>9.0100454878456818E-2</v>
      </c>
      <c r="AM129" s="116">
        <f t="shared" si="105"/>
        <v>1.9554073100872781E-2</v>
      </c>
      <c r="AN129" s="116">
        <f t="shared" si="106"/>
        <v>9.0745762756153675E-2</v>
      </c>
      <c r="AO129" s="141">
        <f t="shared" ref="AO129" si="113">AJ129</f>
        <v>0.10892036432252231</v>
      </c>
      <c r="AP129" s="141">
        <f t="shared" si="107"/>
        <v>5.7257863213407034E-2</v>
      </c>
      <c r="AQ129" s="141">
        <f t="shared" si="108"/>
        <v>9.0100454878456818E-2</v>
      </c>
      <c r="AR129" s="141">
        <f t="shared" si="95"/>
        <v>1.9554073100872781E-2</v>
      </c>
      <c r="AS129" s="141">
        <f t="shared" si="109"/>
        <v>9.0745762756153675E-2</v>
      </c>
      <c r="AT129" s="691"/>
      <c r="AU129" s="42">
        <v>3.3579429197125843</v>
      </c>
      <c r="AV129" s="517">
        <f>Lighting!U44</f>
        <v>0.47</v>
      </c>
      <c r="AW129" s="42">
        <f t="shared" si="110"/>
        <v>3.9978695933619472</v>
      </c>
      <c r="AY129" s="116">
        <f t="shared" si="111"/>
        <v>1.2099596561324775</v>
      </c>
      <c r="AZ129" s="116">
        <f t="shared" si="96"/>
        <v>0.64043912903366007</v>
      </c>
      <c r="BA129" s="116">
        <f t="shared" si="96"/>
        <v>0.96162875132852677</v>
      </c>
      <c r="BB129" s="116">
        <f t="shared" si="96"/>
        <v>0.20586487724191532</v>
      </c>
      <c r="BC129" s="116">
        <f t="shared" si="96"/>
        <v>0.97997717962536823</v>
      </c>
      <c r="BD129" s="141">
        <f t="shared" ref="BD129" si="114">AY129</f>
        <v>1.2099596561324775</v>
      </c>
      <c r="BE129" s="141">
        <f t="shared" si="97"/>
        <v>0.64043912903366007</v>
      </c>
      <c r="BF129" s="141">
        <f t="shared" si="112"/>
        <v>0.96162875132852677</v>
      </c>
      <c r="BG129" s="141">
        <f t="shared" si="98"/>
        <v>0.20586487724191532</v>
      </c>
      <c r="BH129" s="141">
        <f t="shared" si="99"/>
        <v>0.97997717962536823</v>
      </c>
    </row>
    <row r="130" spans="1:60" x14ac:dyDescent="0.2">
      <c r="A130" s="562"/>
      <c r="B130" s="562" t="str">
        <f>TechData_DMD!C60</f>
        <v>RLT.LFL.10</v>
      </c>
      <c r="C130" s="562" t="s">
        <v>1165</v>
      </c>
      <c r="D130" s="562" t="s">
        <v>34</v>
      </c>
      <c r="E130" s="562" t="s">
        <v>47</v>
      </c>
      <c r="F130" s="562" t="s">
        <v>32</v>
      </c>
      <c r="G130" s="562">
        <v>2010</v>
      </c>
      <c r="H130" s="564">
        <v>32.876712328767127</v>
      </c>
      <c r="I130" s="565">
        <v>5.2625494264457418</v>
      </c>
      <c r="J130" s="770">
        <f>TechData_DMD!J60</f>
        <v>2.0009706521081223</v>
      </c>
      <c r="K130" s="563">
        <v>1</v>
      </c>
      <c r="L130" s="563">
        <v>1</v>
      </c>
      <c r="M130" s="563">
        <v>1</v>
      </c>
      <c r="N130" s="563"/>
      <c r="O130" s="563">
        <v>0.18</v>
      </c>
      <c r="P130" s="690"/>
      <c r="Q130" s="42">
        <v>12.088594510965303</v>
      </c>
      <c r="R130" s="517">
        <f>Lighting!U23</f>
        <v>0.18</v>
      </c>
      <c r="S130" s="42">
        <f t="shared" si="100"/>
        <v>1.7063828006926594</v>
      </c>
      <c r="U130" s="116">
        <f>S130*$U$126</f>
        <v>0.51141492735885286</v>
      </c>
      <c r="V130" s="116">
        <f>S130*$V$126</f>
        <v>0.26653359309711772</v>
      </c>
      <c r="W130" s="116">
        <f>S130*$W$126</f>
        <v>0.4073752487692695</v>
      </c>
      <c r="X130" s="116">
        <f>S130*$X$126</f>
        <v>9.1177186745148464E-2</v>
      </c>
      <c r="Y130" s="116">
        <f>S130*$Y$126</f>
        <v>0.42988184472227081</v>
      </c>
      <c r="Z130" s="141">
        <f>U130</f>
        <v>0.51141492735885286</v>
      </c>
      <c r="AA130" s="141">
        <f t="shared" si="94"/>
        <v>0.26653359309711772</v>
      </c>
      <c r="AB130" s="141">
        <f t="shared" si="94"/>
        <v>0.4073752487692695</v>
      </c>
      <c r="AC130" s="141">
        <f t="shared" si="94"/>
        <v>9.1177186745148464E-2</v>
      </c>
      <c r="AD130" s="141">
        <f t="shared" si="94"/>
        <v>0.42988184472227081</v>
      </c>
      <c r="AE130" s="688"/>
      <c r="AF130" s="42">
        <v>12.088594510965303</v>
      </c>
      <c r="AG130" s="517">
        <f>Lighting!U36</f>
        <v>0.16499999999999998</v>
      </c>
      <c r="AH130" s="42">
        <f t="shared" si="101"/>
        <v>1.512136387869577</v>
      </c>
      <c r="AJ130" s="116">
        <f t="shared" si="102"/>
        <v>0.44929650283040445</v>
      </c>
      <c r="AK130" s="116">
        <f t="shared" si="103"/>
        <v>0.23618868575530402</v>
      </c>
      <c r="AL130" s="116">
        <f t="shared" si="104"/>
        <v>0.37166437637363436</v>
      </c>
      <c r="AM130" s="116">
        <f t="shared" si="105"/>
        <v>8.0660551541100217E-2</v>
      </c>
      <c r="AN130" s="116">
        <f t="shared" si="106"/>
        <v>0.37432627136913388</v>
      </c>
      <c r="AO130" s="141">
        <f>AJ130</f>
        <v>0.44929650283040445</v>
      </c>
      <c r="AP130" s="141">
        <f t="shared" si="107"/>
        <v>0.23618868575530402</v>
      </c>
      <c r="AQ130" s="141">
        <f t="shared" si="108"/>
        <v>0.37166437637363436</v>
      </c>
      <c r="AR130" s="141">
        <f t="shared" si="95"/>
        <v>8.0660551541100217E-2</v>
      </c>
      <c r="AS130" s="141">
        <f t="shared" si="109"/>
        <v>0.37432627136913388</v>
      </c>
      <c r="AT130" s="691"/>
      <c r="AU130" s="42">
        <v>12.088594510965303</v>
      </c>
      <c r="AV130" s="517">
        <f>Lighting!U45</f>
        <v>0.13</v>
      </c>
      <c r="AW130" s="42">
        <f t="shared" si="110"/>
        <v>1.1057937173128791</v>
      </c>
      <c r="AY130" s="116">
        <f t="shared" si="111"/>
        <v>0.33466969212174913</v>
      </c>
      <c r="AZ130" s="116">
        <f t="shared" si="96"/>
        <v>0.17714273781782089</v>
      </c>
      <c r="BA130" s="116">
        <f t="shared" si="96"/>
        <v>0.26598242058023086</v>
      </c>
      <c r="BB130" s="116">
        <f t="shared" si="96"/>
        <v>5.6941349024359558E-2</v>
      </c>
      <c r="BC130" s="116">
        <f t="shared" si="96"/>
        <v>0.27105751776871889</v>
      </c>
      <c r="BD130" s="141">
        <f>AY130</f>
        <v>0.33466969212174913</v>
      </c>
      <c r="BE130" s="141">
        <f t="shared" si="97"/>
        <v>0.17714273781782089</v>
      </c>
      <c r="BF130" s="141">
        <f t="shared" si="112"/>
        <v>0.26598242058023086</v>
      </c>
      <c r="BG130" s="141">
        <f t="shared" si="98"/>
        <v>5.6941349024359558E-2</v>
      </c>
      <c r="BH130" s="141">
        <f t="shared" si="99"/>
        <v>0.27105751776871889</v>
      </c>
    </row>
    <row r="131" spans="1:60" x14ac:dyDescent="0.2">
      <c r="A131" s="562"/>
      <c r="B131" s="562" t="str">
        <f>TechData_DMD!B61</f>
        <v>RLTEXTBS</v>
      </c>
      <c r="C131" s="562" t="s">
        <v>1195</v>
      </c>
      <c r="D131" s="562" t="s">
        <v>34</v>
      </c>
      <c r="E131" s="562" t="s">
        <v>47</v>
      </c>
      <c r="F131" s="562" t="s">
        <v>32</v>
      </c>
      <c r="G131" s="562">
        <v>2010</v>
      </c>
      <c r="H131" s="564">
        <v>2.1465753424657534</v>
      </c>
      <c r="I131" s="565">
        <v>2.9175792156978977</v>
      </c>
      <c r="J131" s="770">
        <f>TechData_DMD!J61</f>
        <v>1.3102451539881022</v>
      </c>
      <c r="K131" s="563">
        <v>1</v>
      </c>
      <c r="L131" s="563">
        <v>1</v>
      </c>
      <c r="M131" s="563">
        <v>1</v>
      </c>
      <c r="N131" s="563"/>
      <c r="O131" s="563">
        <v>0.18</v>
      </c>
      <c r="P131" s="690"/>
      <c r="Q131" s="42">
        <v>3.3579429197125843</v>
      </c>
      <c r="R131" s="517">
        <f>Lighting!U25</f>
        <v>4.9939999999999998E-2</v>
      </c>
      <c r="S131" s="42">
        <f t="shared" si="100"/>
        <v>0.47342642814773006</v>
      </c>
      <c r="U131" s="116">
        <f>S131*$U$126</f>
        <v>0.14188923040167287</v>
      </c>
      <c r="V131" s="116">
        <f>S131*$V$126</f>
        <v>7.3948264662611451E-2</v>
      </c>
      <c r="W131" s="116">
        <f>S131*$W$126</f>
        <v>0.11302399957520733</v>
      </c>
      <c r="X131" s="116">
        <f>S131*$X$126</f>
        <v>2.5296603922515079E-2</v>
      </c>
      <c r="Y131" s="116">
        <f>S131*$Y$126</f>
        <v>0.11926832958572336</v>
      </c>
      <c r="Z131" s="141">
        <f t="shared" si="94"/>
        <v>0.14188923040167287</v>
      </c>
      <c r="AA131" s="141">
        <f t="shared" si="94"/>
        <v>7.3948264662611451E-2</v>
      </c>
      <c r="AB131" s="141">
        <f t="shared" si="94"/>
        <v>0.11302399957520733</v>
      </c>
      <c r="AC131" s="141">
        <f t="shared" si="94"/>
        <v>2.5296603922515079E-2</v>
      </c>
      <c r="AD131" s="141">
        <f t="shared" si="94"/>
        <v>0.11926832958572336</v>
      </c>
      <c r="AE131" s="688"/>
      <c r="AF131" s="42">
        <v>3.3579429197125843</v>
      </c>
      <c r="AG131" s="517">
        <f>Lighting!U37</f>
        <v>0.16499999999999998</v>
      </c>
      <c r="AH131" s="42">
        <f t="shared" si="101"/>
        <v>1.512136387869577</v>
      </c>
      <c r="AJ131" s="116">
        <f t="shared" si="102"/>
        <v>0.44929650283040445</v>
      </c>
      <c r="AK131" s="116">
        <f t="shared" si="103"/>
        <v>0.23618868575530402</v>
      </c>
      <c r="AL131" s="116">
        <f t="shared" si="104"/>
        <v>0.37166437637363436</v>
      </c>
      <c r="AM131" s="116">
        <f t="shared" si="105"/>
        <v>8.0660551541100217E-2</v>
      </c>
      <c r="AN131" s="116">
        <f t="shared" si="106"/>
        <v>0.37432627136913388</v>
      </c>
      <c r="AO131" s="141">
        <f t="shared" ref="AO131" si="115">AJ131</f>
        <v>0.44929650283040445</v>
      </c>
      <c r="AP131" s="141">
        <f t="shared" si="107"/>
        <v>0.23618868575530402</v>
      </c>
      <c r="AQ131" s="141">
        <f t="shared" si="108"/>
        <v>0.37166437637363436</v>
      </c>
      <c r="AR131" s="141">
        <f t="shared" si="95"/>
        <v>8.0660551541100217E-2</v>
      </c>
      <c r="AS131" s="141">
        <f>AN131</f>
        <v>0.37432627136913388</v>
      </c>
      <c r="AT131" s="691"/>
      <c r="AU131" s="42">
        <v>3.3579429197125843</v>
      </c>
      <c r="AV131" s="517">
        <f>Lighting!U46</f>
        <v>0.13</v>
      </c>
      <c r="AW131" s="42">
        <f t="shared" si="110"/>
        <v>1.1057937173128791</v>
      </c>
      <c r="AY131" s="116">
        <f t="shared" si="111"/>
        <v>0.33466969212174913</v>
      </c>
      <c r="AZ131" s="116">
        <f t="shared" si="96"/>
        <v>0.17714273781782089</v>
      </c>
      <c r="BA131" s="116">
        <f t="shared" si="96"/>
        <v>0.26598242058023086</v>
      </c>
      <c r="BB131" s="116">
        <f t="shared" si="96"/>
        <v>5.6941349024359558E-2</v>
      </c>
      <c r="BC131" s="116">
        <f t="shared" si="96"/>
        <v>0.27105751776871889</v>
      </c>
      <c r="BD131" s="141">
        <f t="shared" ref="BD131" si="116">AY131</f>
        <v>0.33466969212174913</v>
      </c>
      <c r="BE131" s="141">
        <f t="shared" si="97"/>
        <v>0.17714273781782089</v>
      </c>
      <c r="BF131" s="141">
        <f t="shared" si="112"/>
        <v>0.26598242058023086</v>
      </c>
      <c r="BG131" s="141">
        <f t="shared" si="98"/>
        <v>5.6941349024359558E-2</v>
      </c>
      <c r="BH131" s="141">
        <f t="shared" si="99"/>
        <v>0.27105751776871889</v>
      </c>
    </row>
    <row r="132" spans="1:60" x14ac:dyDescent="0.2">
      <c r="J132" s="772"/>
      <c r="P132" s="690"/>
      <c r="Q132" s="42"/>
      <c r="S132" s="42">
        <f>SUM(S127:S131)</f>
        <v>9.4799044482925527</v>
      </c>
      <c r="U132" s="116"/>
      <c r="V132" s="116"/>
      <c r="W132" s="116"/>
      <c r="X132" s="116"/>
      <c r="Y132" s="116"/>
      <c r="Z132" s="141"/>
      <c r="AA132" s="141"/>
      <c r="AB132" s="141"/>
      <c r="AC132" s="141"/>
      <c r="AD132" s="141"/>
      <c r="AE132" s="688"/>
      <c r="AH132" s="42">
        <f>SUM(AH127:AH131)</f>
        <v>9.1644629567853162</v>
      </c>
      <c r="AJ132" s="116"/>
      <c r="AK132" s="116"/>
      <c r="AL132" s="116"/>
      <c r="AM132" s="116"/>
      <c r="AN132" s="116"/>
      <c r="AO132" s="141"/>
      <c r="AP132" s="141"/>
      <c r="AQ132" s="141"/>
      <c r="AR132" s="141"/>
      <c r="AS132" s="141"/>
      <c r="AT132" s="691"/>
      <c r="AU132" s="42"/>
      <c r="AV132" s="42"/>
      <c r="AW132" s="42">
        <f>SUM(AW127:AW131)</f>
        <v>8.5061055177913776</v>
      </c>
      <c r="AY132" s="116"/>
      <c r="AZ132" s="116"/>
      <c r="BA132" s="116"/>
      <c r="BB132" s="116"/>
      <c r="BC132" s="116"/>
      <c r="BD132" s="141"/>
      <c r="BE132" s="141"/>
      <c r="BF132" s="141"/>
      <c r="BG132" s="141"/>
      <c r="BH132" s="141"/>
    </row>
    <row r="133" spans="1:60" x14ac:dyDescent="0.2">
      <c r="A133" s="570"/>
      <c r="B133" s="570" t="s">
        <v>574</v>
      </c>
      <c r="C133" s="570" t="s">
        <v>575</v>
      </c>
      <c r="D133" s="570" t="s">
        <v>26</v>
      </c>
      <c r="E133" s="570" t="s">
        <v>47</v>
      </c>
      <c r="F133" s="570" t="s">
        <v>35</v>
      </c>
      <c r="G133" s="572">
        <v>2010</v>
      </c>
      <c r="H133" s="573">
        <v>30</v>
      </c>
      <c r="I133" s="574"/>
      <c r="J133" s="771">
        <v>1</v>
      </c>
      <c r="K133" s="572">
        <v>1</v>
      </c>
      <c r="L133" s="572">
        <v>1</v>
      </c>
      <c r="M133" s="572">
        <v>1</v>
      </c>
      <c r="N133" s="572"/>
      <c r="O133" s="572">
        <v>0.18</v>
      </c>
      <c r="P133" s="690"/>
      <c r="Q133" s="114"/>
      <c r="R133" s="117"/>
      <c r="S133" s="114"/>
      <c r="T133" s="114"/>
      <c r="U133" s="114">
        <f>CommData_DMD!E11</f>
        <v>8.9321044496064914</v>
      </c>
      <c r="V133" s="114">
        <f>CommData_DMD!E21</f>
        <v>4.6551357137095497</v>
      </c>
      <c r="W133" s="114">
        <f>CommData_DMD!E31</f>
        <v>7.1150020805675549</v>
      </c>
      <c r="X133" s="114">
        <f>CommData_DMD!E41</f>
        <v>1.5924528437893761</v>
      </c>
      <c r="Y133" s="114">
        <f>CommData_DMD!E51</f>
        <v>7.5080904616508031</v>
      </c>
      <c r="Z133" s="114"/>
      <c r="AA133" s="114"/>
      <c r="AB133" s="114"/>
      <c r="AC133" s="114"/>
      <c r="AD133" s="114"/>
      <c r="AE133" s="690"/>
      <c r="AF133" s="114"/>
      <c r="AG133" s="114"/>
      <c r="AH133" s="114"/>
      <c r="AI133" s="114"/>
      <c r="AJ133" s="114">
        <f>CommData_DMD!F11</f>
        <v>8.5605563789280001</v>
      </c>
      <c r="AK133" s="114">
        <f>CommData_DMD!F21</f>
        <v>4.5001609131963249</v>
      </c>
      <c r="AL133" s="114">
        <f>CommData_DMD!F31</f>
        <v>7.0814124479989289</v>
      </c>
      <c r="AM133" s="114">
        <f>CommData_DMD!F41</f>
        <v>1.5368452562464261</v>
      </c>
      <c r="AN133" s="114">
        <f>CommData_DMD!F51</f>
        <v>7.13213018570712</v>
      </c>
      <c r="AO133" s="114"/>
      <c r="AP133" s="114"/>
      <c r="AQ133" s="114"/>
      <c r="AR133" s="114"/>
      <c r="AS133" s="114"/>
      <c r="AT133" s="691"/>
      <c r="AU133" s="114"/>
      <c r="AV133" s="114"/>
      <c r="AW133" s="114"/>
      <c r="AX133" s="114"/>
      <c r="AY133" s="114">
        <f>CommData_DMD!G11</f>
        <v>8.0933054178451833</v>
      </c>
      <c r="AZ133" s="114">
        <f>CommData_DMD!G21</f>
        <v>4.2838366110288382</v>
      </c>
      <c r="BA133" s="114">
        <f>CommData_DMD!G31</f>
        <v>6.432243541044758</v>
      </c>
      <c r="BB133" s="114">
        <f>CommData_DMD!G41</f>
        <v>1.3770106448438508</v>
      </c>
      <c r="BC133" s="114">
        <f>CommData_DMD!G51</f>
        <v>6.554974438220647</v>
      </c>
      <c r="BD133" s="114"/>
      <c r="BE133" s="114"/>
      <c r="BF133" s="114"/>
      <c r="BG133" s="114"/>
      <c r="BH133" s="114"/>
    </row>
    <row r="134" spans="1:60" x14ac:dyDescent="0.2">
      <c r="A134" s="570"/>
      <c r="B134" s="570" t="str">
        <f>Technologies!D67</f>
        <v>ROTHNGA</v>
      </c>
      <c r="C134" s="570" t="str">
        <f>Technologies!E67</f>
        <v>Residential Other - NGA</v>
      </c>
      <c r="D134" s="570" t="str">
        <f>Technologies!F67</f>
        <v>PJ</v>
      </c>
      <c r="E134" s="570" t="str">
        <f>TechData_DMD!E64</f>
        <v>RESNGAEA</v>
      </c>
      <c r="F134" s="570" t="str">
        <f>TechData_DMD!F64</f>
        <v>ROG</v>
      </c>
      <c r="G134" s="570">
        <f>TechData_DMD!G64</f>
        <v>2010</v>
      </c>
      <c r="H134" s="573">
        <f>TechData_DMD!H64</f>
        <v>45</v>
      </c>
      <c r="I134" s="574"/>
      <c r="J134" s="771">
        <f>TechData_DMD!J64</f>
        <v>1</v>
      </c>
      <c r="K134" s="570">
        <f>TechData_DMD!K64</f>
        <v>1</v>
      </c>
      <c r="L134" s="570">
        <v>1</v>
      </c>
      <c r="M134" s="570">
        <f>TechData_DMD!J64</f>
        <v>1</v>
      </c>
      <c r="N134" s="570">
        <f>TechData_DMD!L64</f>
        <v>1</v>
      </c>
      <c r="O134" s="570">
        <f>TechData_DMD!L64</f>
        <v>1</v>
      </c>
      <c r="P134" s="690"/>
      <c r="Q134" s="114"/>
      <c r="R134" s="114"/>
      <c r="S134" s="114"/>
      <c r="T134" s="114"/>
      <c r="U134" s="114">
        <f>CommData_DMD!E12</f>
        <v>0.80672192434477796</v>
      </c>
      <c r="V134" s="114">
        <f>CommData_DMD!E22</f>
        <v>0.42043843779897982</v>
      </c>
      <c r="W134" s="114">
        <f>CommData_DMD!E32</f>
        <v>0.64260647673073601</v>
      </c>
      <c r="X134" s="114">
        <f>CommData_DMD!E42</f>
        <v>0.14382575011498847</v>
      </c>
      <c r="Y134" s="114">
        <f>CommData_DMD!E52</f>
        <v>0.67810908611177856</v>
      </c>
      <c r="Z134" s="114"/>
      <c r="AA134" s="114"/>
      <c r="AB134" s="114"/>
      <c r="AC134" s="114"/>
      <c r="AD134" s="114"/>
      <c r="AE134" s="688"/>
      <c r="AF134" s="114"/>
      <c r="AG134" s="114"/>
      <c r="AH134" s="114"/>
      <c r="AI134" s="114"/>
      <c r="AJ134" s="114">
        <f>CommData_DMD!F12</f>
        <v>0.90430383912931001</v>
      </c>
      <c r="AK134" s="114">
        <f>CommData_DMD!F22</f>
        <v>0.47537947422673305</v>
      </c>
      <c r="AL134" s="114">
        <f>CommData_DMD!F32</f>
        <v>0.74805283438661596</v>
      </c>
      <c r="AM134" s="114">
        <f>CommData_DMD!F42</f>
        <v>0.16234634804722195</v>
      </c>
      <c r="AN134" s="114">
        <f>CommData_DMD!F52</f>
        <v>0.75341045869177992</v>
      </c>
      <c r="AO134" s="114"/>
      <c r="AP134" s="114"/>
      <c r="AQ134" s="114"/>
      <c r="AR134" s="114"/>
      <c r="AS134" s="114"/>
      <c r="AT134" s="691"/>
      <c r="AU134" s="114"/>
      <c r="AV134" s="114"/>
      <c r="AW134" s="114"/>
      <c r="AX134" s="114"/>
      <c r="AY134" s="114">
        <f>CommData_DMD!G12</f>
        <v>0.93116313532971973</v>
      </c>
      <c r="AZ134" s="114">
        <f>CommData_DMD!G22</f>
        <v>0.49287040634479085</v>
      </c>
      <c r="BA134" s="114">
        <f>CommData_DMD!G32</f>
        <v>0.7400521484926551</v>
      </c>
      <c r="BB134" s="114">
        <f>CommData_DMD!G42</f>
        <v>0.15842989770384652</v>
      </c>
      <c r="BC134" s="114">
        <f>CommData_DMD!G52</f>
        <v>0.75417276808080846</v>
      </c>
      <c r="BD134" s="114"/>
      <c r="BE134" s="114"/>
      <c r="BF134" s="114"/>
      <c r="BG134" s="114"/>
      <c r="BH134" s="114"/>
    </row>
    <row r="142" spans="1:60" x14ac:dyDescent="0.2">
      <c r="R142" s="115" t="s">
        <v>1689</v>
      </c>
    </row>
  </sheetData>
  <autoFilter ref="A4:BH131" xr:uid="{854094D1-CBD0-4442-B790-41662AF5FB7D}"/>
  <mergeCells count="6">
    <mergeCell ref="BD2:BH2"/>
    <mergeCell ref="U2:Y2"/>
    <mergeCell ref="Z2:AD2"/>
    <mergeCell ref="AJ2:AN2"/>
    <mergeCell ref="AO2:AS2"/>
    <mergeCell ref="AY2:BC2"/>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BCFDD-C62B-4833-818C-FEB3849E4B39}">
  <sheetPr>
    <tabColor theme="9"/>
  </sheetPr>
  <dimension ref="B2:N93"/>
  <sheetViews>
    <sheetView zoomScale="80" zoomScaleNormal="80" workbookViewId="0">
      <selection activeCell="N69" sqref="N69"/>
    </sheetView>
  </sheetViews>
  <sheetFormatPr defaultColWidth="9.140625" defaultRowHeight="12.75" x14ac:dyDescent="0.2"/>
  <cols>
    <col min="1" max="1" width="9.140625" style="15"/>
    <col min="2" max="2" width="16" style="15" bestFit="1" customWidth="1"/>
    <col min="3" max="3" width="27.7109375" style="15" bestFit="1" customWidth="1"/>
    <col min="4" max="4" width="33.42578125" style="15" bestFit="1" customWidth="1"/>
    <col min="5" max="5" width="27.7109375" style="15" bestFit="1" customWidth="1"/>
    <col min="6" max="6" width="22.42578125" style="15" bestFit="1" customWidth="1"/>
    <col min="7" max="7" width="30.5703125" style="15" bestFit="1" customWidth="1"/>
    <col min="8" max="8" width="23.7109375" style="15" bestFit="1" customWidth="1"/>
    <col min="9" max="9" width="26.28515625" style="15" bestFit="1" customWidth="1"/>
    <col min="10" max="10" width="22.42578125" style="15" bestFit="1" customWidth="1"/>
    <col min="11" max="11" width="26.28515625" style="15" bestFit="1" customWidth="1"/>
    <col min="12" max="12" width="22.42578125" style="15" bestFit="1" customWidth="1"/>
    <col min="13" max="13" width="26.28515625" style="15" bestFit="1" customWidth="1"/>
    <col min="14" max="14" width="20" style="15" bestFit="1" customWidth="1"/>
    <col min="15" max="15" width="30.5703125" style="15" bestFit="1" customWidth="1"/>
    <col min="16" max="16" width="18.7109375" style="15" bestFit="1" customWidth="1"/>
    <col min="17" max="17" width="13.7109375" style="15" customWidth="1"/>
    <col min="18" max="18" width="10.42578125" style="15" customWidth="1"/>
    <col min="19" max="16384" width="9.140625" style="15"/>
  </cols>
  <sheetData>
    <row r="2" spans="2:13" ht="15" x14ac:dyDescent="0.25">
      <c r="B2" s="421" t="s">
        <v>1690</v>
      </c>
      <c r="C2" s="421" t="s">
        <v>1691</v>
      </c>
      <c r="D2" s="421" t="s">
        <v>1692</v>
      </c>
      <c r="E2" s="421" t="s">
        <v>1693</v>
      </c>
      <c r="F2" s="421" t="s">
        <v>1694</v>
      </c>
      <c r="G2" s="421" t="s">
        <v>1695</v>
      </c>
      <c r="H2" s="421" t="s">
        <v>1696</v>
      </c>
      <c r="I2" s="421" t="s">
        <v>1697</v>
      </c>
      <c r="J2" s="421" t="s">
        <v>1698</v>
      </c>
      <c r="K2" s="421" t="s">
        <v>1699</v>
      </c>
      <c r="L2" s="421" t="s">
        <v>1700</v>
      </c>
      <c r="M2" s="421" t="s">
        <v>1701</v>
      </c>
    </row>
    <row r="3" spans="2:13" x14ac:dyDescent="0.2">
      <c r="B3" s="306" t="s">
        <v>1702</v>
      </c>
      <c r="C3" s="294" t="s">
        <v>1635</v>
      </c>
      <c r="D3" s="306" t="s">
        <v>1703</v>
      </c>
      <c r="E3" s="306" t="s">
        <v>1704</v>
      </c>
      <c r="F3" s="420">
        <v>146645995.87</v>
      </c>
      <c r="G3" s="420">
        <v>20439518.899999999</v>
      </c>
      <c r="H3" s="420">
        <v>141176974.44</v>
      </c>
      <c r="I3" s="420">
        <v>19677246.699999999</v>
      </c>
      <c r="J3" s="420">
        <v>160363033.90000001</v>
      </c>
      <c r="K3" s="420">
        <v>22351399.66</v>
      </c>
      <c r="L3" s="420">
        <v>97015873.569999993</v>
      </c>
      <c r="M3" s="420">
        <v>13522072.460000001</v>
      </c>
    </row>
    <row r="4" spans="2:13" x14ac:dyDescent="0.2">
      <c r="B4" s="306" t="s">
        <v>1702</v>
      </c>
      <c r="C4" s="306" t="s">
        <v>1635</v>
      </c>
      <c r="D4" s="306" t="s">
        <v>1705</v>
      </c>
      <c r="E4" s="306" t="s">
        <v>1704</v>
      </c>
      <c r="F4" s="420">
        <v>77860780.310000002</v>
      </c>
      <c r="G4" s="420">
        <v>11481350.66</v>
      </c>
      <c r="H4" s="420">
        <v>76167717.239999995</v>
      </c>
      <c r="I4" s="420">
        <v>11231691.58</v>
      </c>
      <c r="J4" s="420">
        <v>94126768.829999998</v>
      </c>
      <c r="K4" s="420">
        <v>13879933.33</v>
      </c>
      <c r="L4" s="420">
        <v>37052732.590000004</v>
      </c>
      <c r="M4" s="420">
        <v>5463795.9500000002</v>
      </c>
    </row>
    <row r="5" spans="2:13" x14ac:dyDescent="0.2">
      <c r="B5" s="306" t="s">
        <v>1702</v>
      </c>
      <c r="C5" s="306" t="s">
        <v>1635</v>
      </c>
      <c r="D5" s="306" t="s">
        <v>1706</v>
      </c>
      <c r="E5" s="306" t="s">
        <v>1704</v>
      </c>
      <c r="F5" s="420">
        <v>193846082.80000001</v>
      </c>
      <c r="G5" s="420">
        <v>29367681.539999999</v>
      </c>
      <c r="H5" s="420">
        <v>192084422.87</v>
      </c>
      <c r="I5" s="420">
        <v>29100790.059999999</v>
      </c>
      <c r="J5" s="420">
        <v>12693209.119999999</v>
      </c>
      <c r="K5" s="420">
        <v>1923021.18</v>
      </c>
      <c r="L5" s="420">
        <v>0</v>
      </c>
      <c r="M5" s="420">
        <v>0</v>
      </c>
    </row>
    <row r="6" spans="2:13" x14ac:dyDescent="0.2">
      <c r="B6" s="306" t="s">
        <v>1702</v>
      </c>
      <c r="C6" s="306" t="s">
        <v>1635</v>
      </c>
      <c r="D6" s="306" t="s">
        <v>1707</v>
      </c>
      <c r="E6" s="306" t="s">
        <v>1704</v>
      </c>
      <c r="F6" s="420">
        <v>719495.07</v>
      </c>
      <c r="G6" s="420">
        <v>93016.320000000007</v>
      </c>
      <c r="H6" s="420">
        <v>1433903.4</v>
      </c>
      <c r="I6" s="420">
        <v>185375.03</v>
      </c>
      <c r="J6" s="420">
        <v>8794187.2599999998</v>
      </c>
      <c r="K6" s="420">
        <v>1136912.53</v>
      </c>
      <c r="L6" s="420">
        <v>14509638.810000001</v>
      </c>
      <c r="M6" s="420">
        <v>1875806.11</v>
      </c>
    </row>
    <row r="7" spans="2:13" x14ac:dyDescent="0.2">
      <c r="B7" s="306" t="s">
        <v>1702</v>
      </c>
      <c r="C7" s="306" t="s">
        <v>1635</v>
      </c>
      <c r="D7" s="306" t="s">
        <v>138</v>
      </c>
      <c r="E7" s="306" t="s">
        <v>1708</v>
      </c>
      <c r="F7" s="420">
        <v>14168364733.940001</v>
      </c>
      <c r="G7" s="420">
        <v>123273274.2</v>
      </c>
      <c r="H7" s="420">
        <v>16246085145.17</v>
      </c>
      <c r="I7" s="420">
        <v>141350688.41</v>
      </c>
      <c r="J7" s="420">
        <v>15705500653.280001</v>
      </c>
      <c r="K7" s="420">
        <v>136647278.97999999</v>
      </c>
      <c r="L7" s="420">
        <v>14577247613.58</v>
      </c>
      <c r="M7" s="420">
        <v>126830800.59</v>
      </c>
    </row>
    <row r="8" spans="2:13" x14ac:dyDescent="0.2">
      <c r="B8" s="306" t="s">
        <v>1702</v>
      </c>
      <c r="C8" s="306" t="s">
        <v>1635</v>
      </c>
      <c r="D8" s="306" t="s">
        <v>1562</v>
      </c>
      <c r="E8" s="306" t="s">
        <v>1709</v>
      </c>
      <c r="F8" s="420">
        <v>164840051823.53</v>
      </c>
      <c r="G8" s="420">
        <v>177582187.83000001</v>
      </c>
      <c r="H8" s="420">
        <v>156854670084.42001</v>
      </c>
      <c r="I8" s="420">
        <v>168979536.08000001</v>
      </c>
      <c r="J8" s="420">
        <v>177354752086.89999</v>
      </c>
      <c r="K8" s="420">
        <v>191064274.41999999</v>
      </c>
      <c r="L8" s="420">
        <v>179289161755.73001</v>
      </c>
      <c r="M8" s="420">
        <v>193148213.96000001</v>
      </c>
    </row>
    <row r="9" spans="2:13" x14ac:dyDescent="0.2">
      <c r="B9" s="306" t="s">
        <v>1702</v>
      </c>
      <c r="C9" s="306" t="s">
        <v>1635</v>
      </c>
      <c r="D9" s="306" t="s">
        <v>1710</v>
      </c>
      <c r="E9" s="306" t="s">
        <v>1711</v>
      </c>
      <c r="F9" s="420">
        <v>1998982583.6700001</v>
      </c>
      <c r="G9" s="420">
        <v>6314357.9400000004</v>
      </c>
      <c r="H9" s="420">
        <v>2684576093.9200001</v>
      </c>
      <c r="I9" s="420">
        <v>8480001.0299999993</v>
      </c>
      <c r="J9" s="420">
        <v>2671762179.8800001</v>
      </c>
      <c r="K9" s="420">
        <v>8439524.6199999992</v>
      </c>
      <c r="L9" s="420">
        <v>2405299009.1599998</v>
      </c>
      <c r="M9" s="420">
        <v>7597824.5199999996</v>
      </c>
    </row>
    <row r="10" spans="2:13" x14ac:dyDescent="0.2">
      <c r="B10" s="306" t="s">
        <v>1702</v>
      </c>
      <c r="C10" s="294" t="s">
        <v>1712</v>
      </c>
      <c r="D10" s="306" t="s">
        <v>1703</v>
      </c>
      <c r="E10" s="306" t="s">
        <v>1704</v>
      </c>
      <c r="F10" s="420">
        <v>83099254.700000003</v>
      </c>
      <c r="G10" s="420">
        <v>11582374.119999999</v>
      </c>
      <c r="H10" s="420">
        <v>80000147.890000001</v>
      </c>
      <c r="I10" s="420">
        <v>11150420.609999999</v>
      </c>
      <c r="J10" s="420">
        <v>90872229.540000007</v>
      </c>
      <c r="K10" s="420">
        <v>12665771.35</v>
      </c>
      <c r="L10" s="420">
        <v>54975567.109999999</v>
      </c>
      <c r="M10" s="420">
        <v>7662494.54</v>
      </c>
    </row>
    <row r="11" spans="2:13" x14ac:dyDescent="0.2">
      <c r="B11" s="306" t="s">
        <v>1702</v>
      </c>
      <c r="C11" s="306" t="s">
        <v>1712</v>
      </c>
      <c r="D11" s="306" t="s">
        <v>1705</v>
      </c>
      <c r="E11" s="306" t="s">
        <v>1704</v>
      </c>
      <c r="F11" s="420">
        <v>13896492.65</v>
      </c>
      <c r="G11" s="420">
        <v>2049176.81</v>
      </c>
      <c r="H11" s="420">
        <v>13594316.91</v>
      </c>
      <c r="I11" s="420">
        <v>2004617.97</v>
      </c>
      <c r="J11" s="420">
        <v>16799625.510000002</v>
      </c>
      <c r="K11" s="420">
        <v>2477272.7799999998</v>
      </c>
      <c r="L11" s="420">
        <v>6613124.4000000004</v>
      </c>
      <c r="M11" s="420">
        <v>975171.32</v>
      </c>
    </row>
    <row r="12" spans="2:13" x14ac:dyDescent="0.2">
      <c r="B12" s="306" t="s">
        <v>1702</v>
      </c>
      <c r="C12" s="306" t="s">
        <v>1712</v>
      </c>
      <c r="D12" s="306" t="s">
        <v>1706</v>
      </c>
      <c r="E12" s="306" t="s">
        <v>1704</v>
      </c>
      <c r="F12" s="420">
        <v>23786850.489999998</v>
      </c>
      <c r="G12" s="420">
        <v>3603707.85</v>
      </c>
      <c r="H12" s="420">
        <v>23570677.219999999</v>
      </c>
      <c r="I12" s="420">
        <v>3570957.6</v>
      </c>
      <c r="J12" s="420">
        <v>1557583.54</v>
      </c>
      <c r="K12" s="420">
        <v>235973.91</v>
      </c>
      <c r="L12" s="420">
        <v>0</v>
      </c>
      <c r="M12" s="420">
        <v>0</v>
      </c>
    </row>
    <row r="13" spans="2:13" x14ac:dyDescent="0.2">
      <c r="B13" s="306" t="s">
        <v>1702</v>
      </c>
      <c r="C13" s="306" t="s">
        <v>1712</v>
      </c>
      <c r="D13" s="306" t="s">
        <v>1707</v>
      </c>
      <c r="E13" s="306" t="s">
        <v>1704</v>
      </c>
      <c r="F13" s="420">
        <v>181117.2</v>
      </c>
      <c r="G13" s="420">
        <v>23414.83</v>
      </c>
      <c r="H13" s="420">
        <v>360953.92</v>
      </c>
      <c r="I13" s="420">
        <v>46664.12</v>
      </c>
      <c r="J13" s="420">
        <v>2213744.88</v>
      </c>
      <c r="K13" s="420">
        <v>286192.94</v>
      </c>
      <c r="L13" s="420">
        <v>3652485.18</v>
      </c>
      <c r="M13" s="420">
        <v>472193.28000000003</v>
      </c>
    </row>
    <row r="14" spans="2:13" x14ac:dyDescent="0.2">
      <c r="B14" s="306" t="s">
        <v>1702</v>
      </c>
      <c r="C14" s="306" t="s">
        <v>1712</v>
      </c>
      <c r="D14" s="306" t="s">
        <v>138</v>
      </c>
      <c r="E14" s="306" t="s">
        <v>1708</v>
      </c>
      <c r="F14" s="420">
        <v>26226076079.279999</v>
      </c>
      <c r="G14" s="420">
        <v>228182597.53999999</v>
      </c>
      <c r="H14" s="420">
        <v>25179409288.110001</v>
      </c>
      <c r="I14" s="420">
        <v>219075968.44999999</v>
      </c>
      <c r="J14" s="420">
        <v>24309477657.299999</v>
      </c>
      <c r="K14" s="420">
        <v>211507041.31</v>
      </c>
      <c r="L14" s="420">
        <v>20264309990.41</v>
      </c>
      <c r="M14" s="420">
        <v>176311655.5</v>
      </c>
    </row>
    <row r="15" spans="2:13" x14ac:dyDescent="0.2">
      <c r="B15" s="306" t="s">
        <v>1702</v>
      </c>
      <c r="C15" s="306" t="s">
        <v>1712</v>
      </c>
      <c r="D15" s="306" t="s">
        <v>1562</v>
      </c>
      <c r="E15" s="306" t="s">
        <v>1709</v>
      </c>
      <c r="F15" s="420">
        <v>55128302373.379997</v>
      </c>
      <c r="G15" s="420">
        <v>59389720.149999999</v>
      </c>
      <c r="H15" s="420">
        <v>88813852860.940002</v>
      </c>
      <c r="I15" s="420">
        <v>95679163.689999998</v>
      </c>
      <c r="J15" s="420">
        <v>104250511239.56</v>
      </c>
      <c r="K15" s="420">
        <v>112309075.76000001</v>
      </c>
      <c r="L15" s="420">
        <v>110565351429.25</v>
      </c>
      <c r="M15" s="420">
        <v>119112053.09</v>
      </c>
    </row>
    <row r="16" spans="2:13" x14ac:dyDescent="0.2">
      <c r="B16" s="306" t="s">
        <v>1702</v>
      </c>
      <c r="C16" s="306" t="s">
        <v>1712</v>
      </c>
      <c r="D16" s="306" t="s">
        <v>1710</v>
      </c>
      <c r="E16" s="306" t="s">
        <v>1711</v>
      </c>
      <c r="F16" s="420">
        <v>7457786325.7200003</v>
      </c>
      <c r="G16" s="420">
        <v>23557550.059999999</v>
      </c>
      <c r="H16" s="420">
        <v>6065635918.1099997</v>
      </c>
      <c r="I16" s="420">
        <v>19160045.030000001</v>
      </c>
      <c r="J16" s="420">
        <v>5318470946.7799997</v>
      </c>
      <c r="K16" s="420">
        <v>16799910.870000001</v>
      </c>
      <c r="L16" s="420">
        <v>3936440178.23</v>
      </c>
      <c r="M16" s="420">
        <v>12434371.609999999</v>
      </c>
    </row>
    <row r="17" spans="2:13" x14ac:dyDescent="0.2">
      <c r="B17" s="306" t="s">
        <v>1702</v>
      </c>
      <c r="C17" s="306" t="s">
        <v>1713</v>
      </c>
      <c r="D17" s="306" t="s">
        <v>1703</v>
      </c>
      <c r="E17" s="306" t="s">
        <v>1704</v>
      </c>
      <c r="F17" s="420">
        <v>19157830.890000001</v>
      </c>
      <c r="G17" s="420">
        <v>2670218.4700000002</v>
      </c>
      <c r="H17" s="420">
        <v>18443358</v>
      </c>
      <c r="I17" s="420">
        <v>2570635.2400000002</v>
      </c>
      <c r="J17" s="420">
        <v>20949824.550000001</v>
      </c>
      <c r="K17" s="420">
        <v>2919986.55</v>
      </c>
      <c r="L17" s="420">
        <v>12674152.390000001</v>
      </c>
      <c r="M17" s="420">
        <v>1766523.36</v>
      </c>
    </row>
    <row r="18" spans="2:13" x14ac:dyDescent="0.2">
      <c r="B18" s="306" t="s">
        <v>1702</v>
      </c>
      <c r="C18" s="306" t="s">
        <v>1713</v>
      </c>
      <c r="D18" s="306" t="s">
        <v>1705</v>
      </c>
      <c r="E18" s="306" t="s">
        <v>1704</v>
      </c>
      <c r="F18" s="420">
        <v>2994049.18</v>
      </c>
      <c r="G18" s="420">
        <v>441502.49</v>
      </c>
      <c r="H18" s="420">
        <v>2928944.33</v>
      </c>
      <c r="I18" s="420">
        <v>431902.13</v>
      </c>
      <c r="J18" s="420">
        <v>3619539.56</v>
      </c>
      <c r="K18" s="420">
        <v>533737.30000000005</v>
      </c>
      <c r="L18" s="420">
        <v>1424821.37</v>
      </c>
      <c r="M18" s="420">
        <v>210104.16</v>
      </c>
    </row>
    <row r="19" spans="2:13" x14ac:dyDescent="0.2">
      <c r="B19" s="306" t="s">
        <v>1702</v>
      </c>
      <c r="C19" s="306" t="s">
        <v>1713</v>
      </c>
      <c r="D19" s="306" t="s">
        <v>1706</v>
      </c>
      <c r="E19" s="306" t="s">
        <v>1704</v>
      </c>
      <c r="F19" s="420">
        <v>1836775.17</v>
      </c>
      <c r="G19" s="420">
        <v>278271.44</v>
      </c>
      <c r="H19" s="420">
        <v>1820082.68</v>
      </c>
      <c r="I19" s="420">
        <v>275742.53000000003</v>
      </c>
      <c r="J19" s="420">
        <v>120273.63</v>
      </c>
      <c r="K19" s="420">
        <v>18221.45</v>
      </c>
      <c r="L19" s="420">
        <v>0</v>
      </c>
      <c r="M19" s="420">
        <v>0</v>
      </c>
    </row>
    <row r="20" spans="2:13" x14ac:dyDescent="0.2">
      <c r="B20" s="306" t="s">
        <v>1702</v>
      </c>
      <c r="C20" s="294" t="s">
        <v>1713</v>
      </c>
      <c r="D20" s="306" t="s">
        <v>1707</v>
      </c>
      <c r="E20" s="306" t="s">
        <v>1704</v>
      </c>
      <c r="F20" s="420">
        <v>32152.17</v>
      </c>
      <c r="G20" s="420">
        <v>4156.63</v>
      </c>
      <c r="H20" s="420">
        <v>64077.02</v>
      </c>
      <c r="I20" s="420">
        <v>8283.8799999999992</v>
      </c>
      <c r="J20" s="420">
        <v>392986.97</v>
      </c>
      <c r="K20" s="420">
        <v>50805.36</v>
      </c>
      <c r="L20" s="420">
        <v>648394.07999999996</v>
      </c>
      <c r="M20" s="420">
        <v>83824.39</v>
      </c>
    </row>
    <row r="21" spans="2:13" x14ac:dyDescent="0.2">
      <c r="B21" s="306" t="s">
        <v>1702</v>
      </c>
      <c r="C21" s="306" t="s">
        <v>1713</v>
      </c>
      <c r="D21" s="306" t="s">
        <v>138</v>
      </c>
      <c r="E21" s="306" t="s">
        <v>1708</v>
      </c>
      <c r="F21" s="420">
        <v>8779889925.8299999</v>
      </c>
      <c r="G21" s="420">
        <v>76390310.290000007</v>
      </c>
      <c r="H21" s="420">
        <v>8873552676.7099991</v>
      </c>
      <c r="I21" s="420">
        <v>77205232.420000002</v>
      </c>
      <c r="J21" s="420">
        <v>9025316596.5</v>
      </c>
      <c r="K21" s="420">
        <v>78525669.579999998</v>
      </c>
      <c r="L21" s="420">
        <v>7358075557.3599997</v>
      </c>
      <c r="M21" s="420">
        <v>64019672.189999998</v>
      </c>
    </row>
    <row r="22" spans="2:13" x14ac:dyDescent="0.2">
      <c r="B22" s="306" t="s">
        <v>1702</v>
      </c>
      <c r="C22" s="306" t="s">
        <v>1713</v>
      </c>
      <c r="D22" s="306" t="s">
        <v>1562</v>
      </c>
      <c r="E22" s="306" t="s">
        <v>1709</v>
      </c>
      <c r="F22" s="420">
        <v>16538490712.01</v>
      </c>
      <c r="G22" s="420">
        <v>17816916.039999999</v>
      </c>
      <c r="H22" s="420">
        <v>21058714673.400002</v>
      </c>
      <c r="I22" s="420">
        <v>22686553.32</v>
      </c>
      <c r="J22" s="420">
        <v>24884990545.43</v>
      </c>
      <c r="K22" s="420">
        <v>26808600.309999999</v>
      </c>
      <c r="L22" s="420">
        <v>25680997378.540001</v>
      </c>
      <c r="M22" s="420">
        <v>27666138.48</v>
      </c>
    </row>
    <row r="23" spans="2:13" x14ac:dyDescent="0.2">
      <c r="B23" s="306" t="s">
        <v>1702</v>
      </c>
      <c r="C23" s="306" t="s">
        <v>1713</v>
      </c>
      <c r="D23" s="306" t="s">
        <v>1710</v>
      </c>
      <c r="E23" s="306" t="s">
        <v>1711</v>
      </c>
      <c r="F23" s="420">
        <v>2237335897.71</v>
      </c>
      <c r="G23" s="420">
        <v>7067265.0199999996</v>
      </c>
      <c r="H23" s="420">
        <v>1819690775.4300001</v>
      </c>
      <c r="I23" s="420">
        <v>5748013.5099999998</v>
      </c>
      <c r="J23" s="420">
        <v>1595541286.1099999</v>
      </c>
      <c r="K23" s="420">
        <v>5039973.2699999996</v>
      </c>
      <c r="L23" s="420">
        <v>1180932055</v>
      </c>
      <c r="M23" s="420">
        <v>3730311.49</v>
      </c>
    </row>
    <row r="24" spans="2:13" x14ac:dyDescent="0.2">
      <c r="B24" s="306" t="s">
        <v>1702</v>
      </c>
      <c r="C24" s="306" t="s">
        <v>1714</v>
      </c>
      <c r="D24" s="306" t="s">
        <v>1715</v>
      </c>
      <c r="E24" s="306" t="s">
        <v>1716</v>
      </c>
      <c r="F24" s="420">
        <v>442833</v>
      </c>
      <c r="G24" s="420">
        <v>0</v>
      </c>
      <c r="H24" s="420">
        <v>877897.81</v>
      </c>
      <c r="I24" s="420">
        <v>0</v>
      </c>
      <c r="J24" s="420">
        <v>1008772.58</v>
      </c>
      <c r="K24" s="420">
        <v>0</v>
      </c>
      <c r="L24" s="420">
        <v>1038543.86</v>
      </c>
      <c r="M24" s="420">
        <v>0</v>
      </c>
    </row>
    <row r="25" spans="2:13" x14ac:dyDescent="0.2">
      <c r="B25" s="306" t="s">
        <v>1717</v>
      </c>
      <c r="C25" s="306" t="s">
        <v>1718</v>
      </c>
      <c r="D25" s="306" t="s">
        <v>1719</v>
      </c>
      <c r="E25" s="306" t="s">
        <v>1720</v>
      </c>
      <c r="F25" s="420">
        <v>0</v>
      </c>
      <c r="G25" s="420">
        <v>0</v>
      </c>
      <c r="H25" s="420">
        <v>0</v>
      </c>
      <c r="I25" s="420">
        <v>0</v>
      </c>
      <c r="J25" s="420">
        <v>0</v>
      </c>
      <c r="K25" s="420">
        <v>0</v>
      </c>
      <c r="L25" s="420">
        <v>0</v>
      </c>
      <c r="M25" s="420">
        <v>0</v>
      </c>
    </row>
    <row r="26" spans="2:13" x14ac:dyDescent="0.2">
      <c r="B26" s="306" t="s">
        <v>1717</v>
      </c>
      <c r="C26" s="306" t="s">
        <v>1718</v>
      </c>
      <c r="D26" s="306" t="s">
        <v>1721</v>
      </c>
      <c r="E26" s="306"/>
      <c r="F26" s="420">
        <v>91007294.349999994</v>
      </c>
      <c r="G26" s="420">
        <v>1027050.23</v>
      </c>
      <c r="H26" s="420">
        <v>151349440.19999999</v>
      </c>
      <c r="I26" s="420">
        <v>1726344.2</v>
      </c>
      <c r="J26" s="420">
        <v>206935151.69</v>
      </c>
      <c r="K26" s="420">
        <v>2385410.17</v>
      </c>
      <c r="L26" s="420">
        <v>149583613.43000001</v>
      </c>
      <c r="M26" s="420">
        <v>1719793.2</v>
      </c>
    </row>
    <row r="27" spans="2:13" x14ac:dyDescent="0.2">
      <c r="B27" s="306" t="s">
        <v>1717</v>
      </c>
      <c r="C27" s="306" t="s">
        <v>1718</v>
      </c>
      <c r="D27" s="306" t="s">
        <v>138</v>
      </c>
      <c r="E27" s="306" t="s">
        <v>1720</v>
      </c>
      <c r="F27" s="420">
        <v>0</v>
      </c>
      <c r="G27" s="420">
        <v>0</v>
      </c>
      <c r="H27" s="420">
        <v>909382.11</v>
      </c>
      <c r="I27" s="420">
        <v>2373.65</v>
      </c>
      <c r="J27" s="420">
        <v>1813721.5</v>
      </c>
      <c r="K27" s="420">
        <v>4734.1400000000003</v>
      </c>
      <c r="L27" s="420">
        <v>159102026.52000001</v>
      </c>
      <c r="M27" s="420">
        <v>415284.93</v>
      </c>
    </row>
    <row r="28" spans="2:13" x14ac:dyDescent="0.2">
      <c r="B28" s="306" t="s">
        <v>1717</v>
      </c>
      <c r="C28" s="306" t="s">
        <v>1718</v>
      </c>
      <c r="D28" s="306" t="s">
        <v>1722</v>
      </c>
      <c r="E28" s="306" t="s">
        <v>1720</v>
      </c>
      <c r="F28" s="420">
        <v>17241220767.810001</v>
      </c>
      <c r="G28" s="420">
        <v>171946107.41</v>
      </c>
      <c r="H28" s="420">
        <v>17519851145.209999</v>
      </c>
      <c r="I28" s="420">
        <v>169251777.53</v>
      </c>
      <c r="J28" s="420">
        <v>17213569780.41</v>
      </c>
      <c r="K28" s="420">
        <v>160863235.5</v>
      </c>
      <c r="L28" s="420">
        <v>14951063606.389999</v>
      </c>
      <c r="M28" s="420">
        <v>137922422.46000001</v>
      </c>
    </row>
    <row r="29" spans="2:13" x14ac:dyDescent="0.2">
      <c r="B29" s="306" t="s">
        <v>1717</v>
      </c>
      <c r="C29" s="306" t="s">
        <v>1718</v>
      </c>
      <c r="D29" s="306" t="s">
        <v>1723</v>
      </c>
      <c r="E29" s="306" t="s">
        <v>1720</v>
      </c>
      <c r="F29" s="420">
        <v>0</v>
      </c>
      <c r="G29" s="420">
        <v>0</v>
      </c>
      <c r="H29" s="420">
        <v>0</v>
      </c>
      <c r="I29" s="420">
        <v>0</v>
      </c>
      <c r="J29" s="420">
        <v>0</v>
      </c>
      <c r="K29" s="420">
        <v>0</v>
      </c>
      <c r="L29" s="420">
        <v>0</v>
      </c>
      <c r="M29" s="420">
        <v>0</v>
      </c>
    </row>
    <row r="30" spans="2:13" x14ac:dyDescent="0.2">
      <c r="B30" s="306" t="s">
        <v>1717</v>
      </c>
      <c r="C30" s="306" t="s">
        <v>1724</v>
      </c>
      <c r="D30" s="306" t="s">
        <v>1719</v>
      </c>
      <c r="E30" s="306" t="s">
        <v>1720</v>
      </c>
      <c r="F30" s="420">
        <v>0</v>
      </c>
      <c r="G30" s="420">
        <v>0</v>
      </c>
      <c r="H30" s="420">
        <v>1000274.46</v>
      </c>
      <c r="I30" s="420">
        <v>11235.05</v>
      </c>
      <c r="J30" s="420">
        <v>2186329.15</v>
      </c>
      <c r="K30" s="420">
        <v>20914.57</v>
      </c>
      <c r="L30" s="420">
        <v>1319045.8600000001</v>
      </c>
      <c r="M30" s="420">
        <v>12726.17</v>
      </c>
    </row>
    <row r="31" spans="2:13" x14ac:dyDescent="0.2">
      <c r="B31" s="306" t="s">
        <v>1717</v>
      </c>
      <c r="C31" s="306" t="s">
        <v>1724</v>
      </c>
      <c r="D31" s="306" t="s">
        <v>1721</v>
      </c>
      <c r="E31" s="306"/>
      <c r="F31" s="420">
        <v>121490182.95999999</v>
      </c>
      <c r="G31" s="420">
        <v>1542980.94</v>
      </c>
      <c r="H31" s="420">
        <v>134173331.36</v>
      </c>
      <c r="I31" s="420">
        <v>1802902.77</v>
      </c>
      <c r="J31" s="420">
        <v>158455606.87</v>
      </c>
      <c r="K31" s="420">
        <v>2246238.52</v>
      </c>
      <c r="L31" s="420">
        <v>222027267.41</v>
      </c>
      <c r="M31" s="420">
        <v>3147983.91</v>
      </c>
    </row>
    <row r="32" spans="2:13" x14ac:dyDescent="0.2">
      <c r="B32" s="306" t="s">
        <v>1717</v>
      </c>
      <c r="C32" s="306" t="s">
        <v>1724</v>
      </c>
      <c r="D32" s="306" t="s">
        <v>138</v>
      </c>
      <c r="E32" s="306" t="s">
        <v>1720</v>
      </c>
      <c r="F32" s="420">
        <v>0</v>
      </c>
      <c r="G32" s="420">
        <v>0</v>
      </c>
      <c r="H32" s="420">
        <v>0</v>
      </c>
      <c r="I32" s="420">
        <v>0</v>
      </c>
      <c r="J32" s="420">
        <v>0</v>
      </c>
      <c r="K32" s="420">
        <v>0</v>
      </c>
      <c r="L32" s="420">
        <v>2252897.2999999998</v>
      </c>
      <c r="M32" s="420">
        <v>18229.45</v>
      </c>
    </row>
    <row r="33" spans="2:13" x14ac:dyDescent="0.2">
      <c r="B33" s="306" t="s">
        <v>1717</v>
      </c>
      <c r="C33" s="306" t="s">
        <v>1724</v>
      </c>
      <c r="D33" s="306" t="s">
        <v>1722</v>
      </c>
      <c r="E33" s="306" t="s">
        <v>1720</v>
      </c>
      <c r="F33" s="420">
        <v>366138397.18000001</v>
      </c>
      <c r="G33" s="420">
        <v>4127988.42</v>
      </c>
      <c r="H33" s="420">
        <v>360312238.20999998</v>
      </c>
      <c r="I33" s="420">
        <v>3944807.84</v>
      </c>
      <c r="J33" s="420">
        <v>380207020.16000003</v>
      </c>
      <c r="K33" s="420">
        <v>4038660.85</v>
      </c>
      <c r="L33" s="420">
        <v>270466790.97000003</v>
      </c>
      <c r="M33" s="420">
        <v>2869851.89</v>
      </c>
    </row>
    <row r="34" spans="2:13" x14ac:dyDescent="0.2">
      <c r="B34" s="306" t="s">
        <v>1717</v>
      </c>
      <c r="C34" s="306" t="s">
        <v>1725</v>
      </c>
      <c r="D34" s="306" t="s">
        <v>1707</v>
      </c>
      <c r="E34" s="306" t="s">
        <v>1720</v>
      </c>
      <c r="F34" s="420">
        <v>0</v>
      </c>
      <c r="G34" s="420">
        <v>0</v>
      </c>
      <c r="H34" s="420">
        <v>0</v>
      </c>
      <c r="I34" s="420">
        <v>0</v>
      </c>
      <c r="J34" s="420">
        <v>0</v>
      </c>
      <c r="K34" s="420">
        <v>0</v>
      </c>
      <c r="L34" s="420">
        <v>0</v>
      </c>
      <c r="M34" s="420">
        <v>0</v>
      </c>
    </row>
    <row r="35" spans="2:13" x14ac:dyDescent="0.2">
      <c r="B35" s="306" t="s">
        <v>1717</v>
      </c>
      <c r="C35" s="306" t="s">
        <v>1725</v>
      </c>
      <c r="D35" s="306" t="s">
        <v>1719</v>
      </c>
      <c r="E35" s="306" t="s">
        <v>1720</v>
      </c>
      <c r="F35" s="420">
        <v>0</v>
      </c>
      <c r="G35" s="420">
        <v>0</v>
      </c>
      <c r="H35" s="420">
        <v>0</v>
      </c>
      <c r="I35" s="420">
        <v>0</v>
      </c>
      <c r="J35" s="420">
        <v>0</v>
      </c>
      <c r="K35" s="420">
        <v>0</v>
      </c>
      <c r="L35" s="420">
        <v>3252536.62</v>
      </c>
      <c r="M35" s="420">
        <v>119188.22</v>
      </c>
    </row>
    <row r="36" spans="2:13" x14ac:dyDescent="0.2">
      <c r="B36" s="306" t="s">
        <v>1717</v>
      </c>
      <c r="C36" s="306" t="s">
        <v>1725</v>
      </c>
      <c r="D36" s="306" t="s">
        <v>1721</v>
      </c>
      <c r="E36" s="306"/>
      <c r="F36" s="420">
        <v>593693069.88</v>
      </c>
      <c r="G36" s="420">
        <v>18831026.43</v>
      </c>
      <c r="H36" s="420">
        <v>594082417.63999999</v>
      </c>
      <c r="I36" s="420">
        <v>18796934.739999998</v>
      </c>
      <c r="J36" s="420">
        <v>581505836.88999999</v>
      </c>
      <c r="K36" s="420">
        <v>18354096.18</v>
      </c>
      <c r="L36" s="420">
        <v>535183019.85000002</v>
      </c>
      <c r="M36" s="420">
        <v>16884955.760000002</v>
      </c>
    </row>
    <row r="37" spans="2:13" x14ac:dyDescent="0.2">
      <c r="B37" s="306" t="s">
        <v>1717</v>
      </c>
      <c r="C37" s="306" t="s">
        <v>1725</v>
      </c>
      <c r="D37" s="306" t="s">
        <v>138</v>
      </c>
      <c r="E37" s="306" t="s">
        <v>1720</v>
      </c>
      <c r="F37" s="420">
        <v>0</v>
      </c>
      <c r="G37" s="420">
        <v>0</v>
      </c>
      <c r="H37" s="420">
        <v>0</v>
      </c>
      <c r="I37" s="420">
        <v>0</v>
      </c>
      <c r="J37" s="420">
        <v>0</v>
      </c>
      <c r="K37" s="420">
        <v>0</v>
      </c>
      <c r="L37" s="420">
        <v>1084192.45</v>
      </c>
      <c r="M37" s="420">
        <v>21111.33</v>
      </c>
    </row>
    <row r="38" spans="2:13" x14ac:dyDescent="0.2">
      <c r="B38" s="306" t="s">
        <v>1717</v>
      </c>
      <c r="C38" s="306" t="s">
        <v>1725</v>
      </c>
      <c r="D38" s="306" t="s">
        <v>1722</v>
      </c>
      <c r="E38" s="306" t="s">
        <v>1720</v>
      </c>
      <c r="F38" s="420">
        <v>0</v>
      </c>
      <c r="G38" s="420">
        <v>0</v>
      </c>
      <c r="H38" s="420">
        <v>0</v>
      </c>
      <c r="I38" s="420">
        <v>0</v>
      </c>
      <c r="J38" s="420">
        <v>0</v>
      </c>
      <c r="K38" s="420">
        <v>0</v>
      </c>
      <c r="L38" s="420">
        <v>58688461.590000004</v>
      </c>
      <c r="M38" s="420">
        <v>1387147.16</v>
      </c>
    </row>
    <row r="39" spans="2:13" x14ac:dyDescent="0.2">
      <c r="B39" s="306" t="s">
        <v>1717</v>
      </c>
      <c r="C39" s="306" t="s">
        <v>1726</v>
      </c>
      <c r="D39" s="306" t="s">
        <v>1719</v>
      </c>
      <c r="E39" s="306" t="s">
        <v>1720</v>
      </c>
      <c r="F39" s="420">
        <v>0</v>
      </c>
      <c r="G39" s="420">
        <v>0</v>
      </c>
      <c r="H39" s="420">
        <v>0</v>
      </c>
      <c r="I39" s="420">
        <v>0</v>
      </c>
      <c r="J39" s="420">
        <v>0</v>
      </c>
      <c r="K39" s="420">
        <v>0</v>
      </c>
      <c r="L39" s="420">
        <v>222492.62</v>
      </c>
      <c r="M39" s="420">
        <v>6465.13</v>
      </c>
    </row>
    <row r="40" spans="2:13" x14ac:dyDescent="0.2">
      <c r="B40" s="306" t="s">
        <v>1717</v>
      </c>
      <c r="C40" s="306" t="s">
        <v>1726</v>
      </c>
      <c r="D40" s="306" t="s">
        <v>1721</v>
      </c>
      <c r="E40" s="306"/>
      <c r="F40" s="420">
        <v>38600985.119999997</v>
      </c>
      <c r="G40" s="420">
        <v>941745.16</v>
      </c>
      <c r="H40" s="420">
        <v>39307734</v>
      </c>
      <c r="I40" s="420">
        <v>954557.87</v>
      </c>
      <c r="J40" s="420">
        <v>40020902.659999996</v>
      </c>
      <c r="K40" s="420">
        <v>967366.46</v>
      </c>
      <c r="L40" s="420">
        <v>39040620.799999997</v>
      </c>
      <c r="M40" s="420">
        <v>943329.75</v>
      </c>
    </row>
    <row r="41" spans="2:13" x14ac:dyDescent="0.2">
      <c r="B41" s="306" t="s">
        <v>1717</v>
      </c>
      <c r="C41" s="306" t="s">
        <v>1726</v>
      </c>
      <c r="D41" s="306" t="s">
        <v>1722</v>
      </c>
      <c r="E41" s="306" t="s">
        <v>1720</v>
      </c>
      <c r="F41" s="420">
        <v>0</v>
      </c>
      <c r="G41" s="420">
        <v>0</v>
      </c>
      <c r="H41" s="420">
        <v>0</v>
      </c>
      <c r="I41" s="420">
        <v>0</v>
      </c>
      <c r="J41" s="420">
        <v>0</v>
      </c>
      <c r="K41" s="420">
        <v>0</v>
      </c>
      <c r="L41" s="420">
        <v>1381971.18</v>
      </c>
      <c r="M41" s="420">
        <v>31114.82</v>
      </c>
    </row>
    <row r="42" spans="2:13" x14ac:dyDescent="0.2">
      <c r="B42" s="306" t="s">
        <v>1717</v>
      </c>
      <c r="C42" s="306" t="s">
        <v>1727</v>
      </c>
      <c r="D42" s="306" t="s">
        <v>1721</v>
      </c>
      <c r="E42" s="306"/>
      <c r="F42" s="420">
        <v>0</v>
      </c>
      <c r="G42" s="420">
        <v>0</v>
      </c>
      <c r="H42" s="420">
        <v>0</v>
      </c>
      <c r="I42" s="420">
        <v>0</v>
      </c>
      <c r="J42" s="420">
        <v>0</v>
      </c>
      <c r="K42" s="420">
        <v>0</v>
      </c>
      <c r="L42" s="420">
        <v>0</v>
      </c>
      <c r="M42" s="420">
        <v>0</v>
      </c>
    </row>
    <row r="43" spans="2:13" x14ac:dyDescent="0.2">
      <c r="B43" s="306" t="s">
        <v>1717</v>
      </c>
      <c r="C43" s="306" t="s">
        <v>1727</v>
      </c>
      <c r="D43" s="306" t="s">
        <v>138</v>
      </c>
      <c r="E43" s="306" t="s">
        <v>1720</v>
      </c>
      <c r="F43" s="420">
        <v>0</v>
      </c>
      <c r="G43" s="420">
        <v>0</v>
      </c>
      <c r="H43" s="420">
        <v>0</v>
      </c>
      <c r="I43" s="420">
        <v>0</v>
      </c>
      <c r="J43" s="420">
        <v>0</v>
      </c>
      <c r="K43" s="420">
        <v>0</v>
      </c>
      <c r="L43" s="420">
        <v>1335714.76</v>
      </c>
      <c r="M43" s="420">
        <v>3486.46</v>
      </c>
    </row>
    <row r="44" spans="2:13" x14ac:dyDescent="0.2">
      <c r="B44" s="306" t="s">
        <v>1717</v>
      </c>
      <c r="C44" s="306" t="s">
        <v>1727</v>
      </c>
      <c r="D44" s="306" t="s">
        <v>1722</v>
      </c>
      <c r="E44" s="306" t="s">
        <v>1720</v>
      </c>
      <c r="F44" s="420">
        <v>1985823083</v>
      </c>
      <c r="G44" s="420">
        <v>19787676.370000001</v>
      </c>
      <c r="H44" s="420">
        <v>1985823083</v>
      </c>
      <c r="I44" s="420">
        <v>18823076.210000001</v>
      </c>
      <c r="J44" s="420">
        <v>2239086423</v>
      </c>
      <c r="K44" s="420">
        <v>19602925.579999998</v>
      </c>
      <c r="L44" s="420">
        <v>1334379043.5999999</v>
      </c>
      <c r="M44" s="420">
        <v>11459431.85</v>
      </c>
    </row>
    <row r="45" spans="2:13" x14ac:dyDescent="0.2">
      <c r="B45" s="306" t="s">
        <v>1717</v>
      </c>
      <c r="C45" s="306" t="s">
        <v>1728</v>
      </c>
      <c r="D45" s="306" t="s">
        <v>1721</v>
      </c>
      <c r="E45" s="306"/>
      <c r="F45" s="420">
        <v>51309025</v>
      </c>
      <c r="G45" s="420">
        <v>650953.34</v>
      </c>
      <c r="H45" s="420">
        <v>58082186.93</v>
      </c>
      <c r="I45" s="420">
        <v>780302.92</v>
      </c>
      <c r="J45" s="420">
        <v>64855348.869999997</v>
      </c>
      <c r="K45" s="420">
        <v>919778.99</v>
      </c>
      <c r="L45" s="420">
        <v>38277048.259999998</v>
      </c>
      <c r="M45" s="420">
        <v>542845.35</v>
      </c>
    </row>
    <row r="46" spans="2:13" x14ac:dyDescent="0.2">
      <c r="B46" s="306" t="s">
        <v>1717</v>
      </c>
      <c r="C46" s="306" t="s">
        <v>1728</v>
      </c>
      <c r="D46" s="306" t="s">
        <v>138</v>
      </c>
      <c r="E46" s="306" t="s">
        <v>1720</v>
      </c>
      <c r="F46" s="420">
        <v>0</v>
      </c>
      <c r="G46" s="420">
        <v>0</v>
      </c>
      <c r="H46" s="420">
        <v>0</v>
      </c>
      <c r="I46" s="420">
        <v>0</v>
      </c>
      <c r="J46" s="420">
        <v>0</v>
      </c>
      <c r="K46" s="420">
        <v>0</v>
      </c>
      <c r="L46" s="420">
        <v>0</v>
      </c>
      <c r="M46" s="420">
        <v>0</v>
      </c>
    </row>
    <row r="47" spans="2:13" x14ac:dyDescent="0.2">
      <c r="B47" s="306" t="s">
        <v>1717</v>
      </c>
      <c r="C47" s="306" t="s">
        <v>1728</v>
      </c>
      <c r="D47" s="306" t="s">
        <v>1722</v>
      </c>
      <c r="E47" s="306" t="s">
        <v>1720</v>
      </c>
      <c r="F47" s="420">
        <v>0</v>
      </c>
      <c r="G47" s="420">
        <v>0</v>
      </c>
      <c r="H47" s="420">
        <v>0</v>
      </c>
      <c r="I47" s="420">
        <v>0</v>
      </c>
      <c r="J47" s="420">
        <v>0</v>
      </c>
      <c r="K47" s="420">
        <v>0</v>
      </c>
      <c r="L47" s="420">
        <v>33352434.649999999</v>
      </c>
      <c r="M47" s="420">
        <v>354104.15</v>
      </c>
    </row>
    <row r="48" spans="2:13" x14ac:dyDescent="0.2">
      <c r="B48" s="306" t="s">
        <v>1717</v>
      </c>
      <c r="C48" s="306" t="s">
        <v>1729</v>
      </c>
      <c r="D48" s="306" t="s">
        <v>1719</v>
      </c>
      <c r="E48" s="306" t="s">
        <v>1720</v>
      </c>
      <c r="F48" s="420">
        <v>6523813.1399999997</v>
      </c>
      <c r="G48" s="420">
        <v>247859.85</v>
      </c>
      <c r="H48" s="420">
        <v>37590231.829999998</v>
      </c>
      <c r="I48" s="420">
        <v>1413841.49</v>
      </c>
      <c r="J48" s="420">
        <v>40318337.229999997</v>
      </c>
      <c r="K48" s="420">
        <v>1353506.32</v>
      </c>
      <c r="L48" s="420">
        <v>21419168.25</v>
      </c>
      <c r="M48" s="420">
        <v>719051.96</v>
      </c>
    </row>
    <row r="49" spans="2:14" x14ac:dyDescent="0.2">
      <c r="B49" s="306" t="s">
        <v>1717</v>
      </c>
      <c r="C49" s="306" t="s">
        <v>1729</v>
      </c>
      <c r="D49" s="306" t="s">
        <v>1721</v>
      </c>
      <c r="E49" s="306"/>
      <c r="F49" s="420">
        <v>339477973.55000001</v>
      </c>
      <c r="G49" s="420">
        <v>9300446.9800000004</v>
      </c>
      <c r="H49" s="420">
        <v>266429810.18000001</v>
      </c>
      <c r="I49" s="420">
        <v>7259441.75</v>
      </c>
      <c r="J49" s="420">
        <v>250565731.63</v>
      </c>
      <c r="K49" s="420">
        <v>6790209.2199999997</v>
      </c>
      <c r="L49" s="420">
        <v>173681281.78</v>
      </c>
      <c r="M49" s="420">
        <v>4706678.09</v>
      </c>
    </row>
    <row r="50" spans="2:14" x14ac:dyDescent="0.2">
      <c r="B50" s="306" t="s">
        <v>1717</v>
      </c>
      <c r="C50" s="306" t="s">
        <v>1730</v>
      </c>
      <c r="D50" s="306" t="s">
        <v>1731</v>
      </c>
      <c r="E50" s="306" t="s">
        <v>1704</v>
      </c>
      <c r="F50" s="420">
        <v>1375601.3</v>
      </c>
      <c r="G50" s="420">
        <v>191731.31</v>
      </c>
      <c r="H50" s="420">
        <v>1337774.1299999999</v>
      </c>
      <c r="I50" s="420">
        <v>186458.96</v>
      </c>
      <c r="J50" s="420">
        <v>1440318.85</v>
      </c>
      <c r="K50" s="420">
        <v>200751.64</v>
      </c>
      <c r="L50" s="420">
        <v>1291342.3700000001</v>
      </c>
      <c r="M50" s="420">
        <v>179987.3</v>
      </c>
    </row>
    <row r="51" spans="2:14" x14ac:dyDescent="0.2">
      <c r="B51" s="306" t="s">
        <v>1717</v>
      </c>
      <c r="C51" s="306" t="s">
        <v>1730</v>
      </c>
      <c r="D51" s="306" t="s">
        <v>1732</v>
      </c>
      <c r="E51" s="306" t="s">
        <v>1708</v>
      </c>
      <c r="F51" s="420">
        <v>2223041707.6500001</v>
      </c>
      <c r="G51" s="420">
        <v>19341796.68</v>
      </c>
      <c r="H51" s="420">
        <v>2218898721.6199999</v>
      </c>
      <c r="I51" s="420">
        <v>19305750.219999999</v>
      </c>
      <c r="J51" s="420">
        <v>2163557443.1700001</v>
      </c>
      <c r="K51" s="420">
        <v>18824247.890000001</v>
      </c>
      <c r="L51" s="420">
        <v>1851196246.6199999</v>
      </c>
      <c r="M51" s="420">
        <v>16106518.060000001</v>
      </c>
    </row>
    <row r="52" spans="2:14" x14ac:dyDescent="0.2">
      <c r="B52" s="306" t="s">
        <v>1717</v>
      </c>
      <c r="C52" s="306" t="s">
        <v>1733</v>
      </c>
      <c r="D52" s="306" t="s">
        <v>1707</v>
      </c>
      <c r="E52" s="306" t="s">
        <v>1704</v>
      </c>
      <c r="F52" s="420">
        <v>0</v>
      </c>
      <c r="G52" s="420">
        <v>0</v>
      </c>
      <c r="H52" s="420">
        <v>0</v>
      </c>
      <c r="I52" s="420">
        <v>0</v>
      </c>
      <c r="J52" s="420">
        <v>55</v>
      </c>
      <c r="K52" s="420">
        <v>7.11</v>
      </c>
      <c r="L52" s="420">
        <v>300.10000000000002</v>
      </c>
      <c r="M52" s="420">
        <v>0.01</v>
      </c>
    </row>
    <row r="53" spans="2:14" x14ac:dyDescent="0.2">
      <c r="B53" s="306" t="s">
        <v>1717</v>
      </c>
      <c r="C53" s="306" t="s">
        <v>1733</v>
      </c>
      <c r="D53" s="306" t="s">
        <v>1734</v>
      </c>
      <c r="E53" s="306" t="s">
        <v>1704</v>
      </c>
      <c r="F53" s="420">
        <v>4820479.6100000003</v>
      </c>
      <c r="G53" s="420">
        <v>671878.45</v>
      </c>
      <c r="H53" s="420">
        <v>4979305.3</v>
      </c>
      <c r="I53" s="420">
        <v>694015.57</v>
      </c>
      <c r="J53" s="420">
        <v>5377481</v>
      </c>
      <c r="K53" s="420">
        <v>749513.3</v>
      </c>
      <c r="L53" s="420">
        <v>7946576.2000000002</v>
      </c>
      <c r="M53" s="420">
        <v>1247176.97</v>
      </c>
    </row>
    <row r="54" spans="2:14" x14ac:dyDescent="0.2">
      <c r="B54" s="306" t="s">
        <v>1717</v>
      </c>
      <c r="C54" s="306" t="s">
        <v>1735</v>
      </c>
      <c r="D54" s="306" t="s">
        <v>1736</v>
      </c>
      <c r="E54" s="306" t="s">
        <v>1704</v>
      </c>
      <c r="F54" s="420">
        <v>246497.04</v>
      </c>
      <c r="G54" s="420">
        <v>29875.439999999999</v>
      </c>
      <c r="H54" s="420">
        <v>226287.35999999999</v>
      </c>
      <c r="I54" s="420">
        <v>27426.03</v>
      </c>
      <c r="J54" s="420">
        <v>268598</v>
      </c>
      <c r="K54" s="420">
        <v>32554.080000000002</v>
      </c>
      <c r="L54" s="420">
        <v>190426.9</v>
      </c>
      <c r="M54" s="420">
        <v>20293.330000000002</v>
      </c>
    </row>
    <row r="55" spans="2:14" x14ac:dyDescent="0.2">
      <c r="B55" s="306" t="s">
        <v>1737</v>
      </c>
      <c r="C55" s="306" t="s">
        <v>1738</v>
      </c>
      <c r="D55" s="306" t="s">
        <v>1739</v>
      </c>
      <c r="E55" s="306" t="s">
        <v>1740</v>
      </c>
      <c r="F55" s="420">
        <v>7420036.1100000003</v>
      </c>
      <c r="G55" s="420">
        <v>0</v>
      </c>
      <c r="H55" s="420">
        <v>6163776.9400000004</v>
      </c>
      <c r="I55" s="420">
        <v>0</v>
      </c>
      <c r="J55" s="420">
        <v>6166621.3899999997</v>
      </c>
      <c r="K55" s="420">
        <v>0</v>
      </c>
      <c r="L55" s="420">
        <v>6423022.5</v>
      </c>
      <c r="M55" s="420">
        <v>0</v>
      </c>
    </row>
    <row r="56" spans="2:14" x14ac:dyDescent="0.2">
      <c r="B56" s="306" t="s">
        <v>1737</v>
      </c>
      <c r="C56" s="306" t="s">
        <v>1741</v>
      </c>
      <c r="D56" s="306" t="s">
        <v>1742</v>
      </c>
      <c r="E56" s="306" t="s">
        <v>1740</v>
      </c>
      <c r="F56" s="420">
        <v>26351</v>
      </c>
      <c r="G56" s="420">
        <v>0</v>
      </c>
      <c r="H56" s="420">
        <v>21730.67</v>
      </c>
      <c r="I56" s="420">
        <v>0</v>
      </c>
      <c r="J56" s="420">
        <v>36807.660000000003</v>
      </c>
      <c r="K56" s="420">
        <v>0</v>
      </c>
      <c r="L56" s="420">
        <v>44652.3</v>
      </c>
      <c r="M56" s="420">
        <v>0</v>
      </c>
    </row>
    <row r="57" spans="2:14" x14ac:dyDescent="0.2">
      <c r="B57" s="306" t="s">
        <v>1737</v>
      </c>
      <c r="C57" s="306" t="s">
        <v>1743</v>
      </c>
      <c r="D57" s="306" t="s">
        <v>1744</v>
      </c>
      <c r="E57" s="306" t="s">
        <v>1740</v>
      </c>
      <c r="F57" s="420">
        <v>6536.09</v>
      </c>
      <c r="G57" s="420">
        <v>0</v>
      </c>
      <c r="H57" s="420">
        <v>9217.0499999999993</v>
      </c>
      <c r="I57" s="420">
        <v>0</v>
      </c>
      <c r="J57" s="420">
        <v>6118.91</v>
      </c>
      <c r="K57" s="420">
        <v>0</v>
      </c>
      <c r="L57" s="420">
        <v>2645.06</v>
      </c>
      <c r="M57" s="420">
        <v>0</v>
      </c>
    </row>
    <row r="58" spans="2:14" x14ac:dyDescent="0.2">
      <c r="B58" s="306" t="s">
        <v>1737</v>
      </c>
      <c r="C58" s="306" t="s">
        <v>1743</v>
      </c>
      <c r="D58" s="306" t="s">
        <v>1745</v>
      </c>
      <c r="E58" s="306" t="s">
        <v>1740</v>
      </c>
      <c r="F58" s="420">
        <v>285.64</v>
      </c>
      <c r="G58" s="420">
        <v>0</v>
      </c>
      <c r="H58" s="420">
        <v>279.61</v>
      </c>
      <c r="I58" s="420">
        <v>0</v>
      </c>
      <c r="J58" s="420">
        <v>251.31</v>
      </c>
      <c r="K58" s="420">
        <v>0</v>
      </c>
      <c r="L58" s="420">
        <v>213.21</v>
      </c>
      <c r="M58" s="420">
        <v>0</v>
      </c>
    </row>
    <row r="61" spans="2:14" ht="15" x14ac:dyDescent="0.25">
      <c r="I61" s="30"/>
      <c r="J61" s="123"/>
    </row>
    <row r="63" spans="2:14" x14ac:dyDescent="0.2">
      <c r="B63" s="411" t="s">
        <v>1746</v>
      </c>
      <c r="C63" s="412"/>
      <c r="D63" s="412"/>
      <c r="E63" s="412"/>
      <c r="F63" s="412"/>
      <c r="G63" s="412"/>
      <c r="H63" s="412"/>
      <c r="I63" s="413"/>
    </row>
    <row r="64" spans="2:14" x14ac:dyDescent="0.2">
      <c r="B64" s="405" t="s">
        <v>1747</v>
      </c>
      <c r="C64" s="405" t="s">
        <v>1635</v>
      </c>
      <c r="D64" s="405" t="s">
        <v>1748</v>
      </c>
      <c r="E64" s="405" t="s">
        <v>1636</v>
      </c>
      <c r="F64" s="405" t="s">
        <v>1749</v>
      </c>
      <c r="G64" s="405" t="s">
        <v>1637</v>
      </c>
      <c r="H64" s="405" t="s">
        <v>1750</v>
      </c>
      <c r="I64" s="405" t="s">
        <v>1751</v>
      </c>
      <c r="K64" s="413" t="s">
        <v>1752</v>
      </c>
      <c r="L64" s="413">
        <v>2010</v>
      </c>
      <c r="M64" s="413">
        <v>2015</v>
      </c>
      <c r="N64" s="413">
        <v>2020</v>
      </c>
    </row>
    <row r="65" spans="2:14" x14ac:dyDescent="0.2">
      <c r="B65" s="416" t="s">
        <v>1703</v>
      </c>
      <c r="C65" s="417">
        <f>SUMIFS(GHG_INV[CY 2010 Consumed],GHG_INV[Category],"Residential",GHG_INV[Source],GHG_INV!$B65)</f>
        <v>141176974.44</v>
      </c>
      <c r="D65" s="417">
        <f>GHG_INV!$C65*gal_to_liter*FO2_l_to_gj*GJ_to_PJ</f>
        <v>20.555143814947733</v>
      </c>
      <c r="E65" s="417">
        <f>SUMIFS(GHG_INV[CY 2010 Consumed],GHG_INV[Category],"Commercial and Institutional",GHG_INV[Source],GHG_INV!$B65)</f>
        <v>80000147.890000001</v>
      </c>
      <c r="F65" s="417">
        <f>GHG_INV!$E65*gal_to_liter*FO2_l_to_gj*GJ_to_PJ</f>
        <v>11.64789479034282</v>
      </c>
      <c r="G65" s="417">
        <f>SUMIFS(GHG_INV[CY 2010 Consumed],GHG_INV[Category],"Manufacturing and Construction",GHG_INV[Source],GHG_INV!$B65)</f>
        <v>18443358</v>
      </c>
      <c r="H65" s="417">
        <f>GHG_INV!$G65*gal_to_liter*FO2_l_to_gj*GJ_to_PJ</f>
        <v>2.6853237054013102</v>
      </c>
      <c r="I65" s="417">
        <f>SUM(D65,F65,H65)</f>
        <v>34.888362310691861</v>
      </c>
      <c r="K65" s="284" t="s">
        <v>1703</v>
      </c>
      <c r="L65" s="518">
        <f>I65/SUM($I$65:$I$67)</f>
        <v>0.41740681333637802</v>
      </c>
      <c r="M65" s="519">
        <f>I75/SUM($I$75:$I$77)</f>
        <v>0.6655041396007696</v>
      </c>
      <c r="N65" s="419">
        <f>I85/SUM($I$85:$I$87)</f>
        <v>0.77537220328521772</v>
      </c>
    </row>
    <row r="66" spans="2:14" x14ac:dyDescent="0.2">
      <c r="B66" s="404" t="s">
        <v>1705</v>
      </c>
      <c r="C66" s="418">
        <f>SUMIFS(GHG_INV[CY 2010 Consumed],GHG_INV[Category],"Residential",GHG_INV[Source],GHG_INV!$B66)</f>
        <v>76167717.239999995</v>
      </c>
      <c r="D66" s="418">
        <f>GHG_INV!$C66*gal_to_liter*FO4_l_to_gj*GJ_to_PJ</f>
        <v>11.732672618023399</v>
      </c>
      <c r="E66" s="418">
        <f>SUMIFS(GHG_INV[CY 2010 Consumed],GHG_INV[Category],"Commercial and Institutional",GHG_INV[Source],GHG_INV!$B66)</f>
        <v>13594316.91</v>
      </c>
      <c r="F66" s="418">
        <f>GHG_INV!$E66*gal_to_liter*FO4_l_to_gj*GJ_to_PJ</f>
        <v>2.0940324267316779</v>
      </c>
      <c r="G66" s="418">
        <f>SUMIFS(GHG_INV[CY 2010 Consumed],GHG_INV[Category],"Manufacturing and Construction",GHG_INV[Source],GHG_INV!$B66)</f>
        <v>2928944.33</v>
      </c>
      <c r="H66" s="418">
        <f>GHG_INV!$G66*gal_to_liter*FO4_l_to_gj*GJ_to_PJ</f>
        <v>0.45116679592780567</v>
      </c>
      <c r="I66" s="419">
        <f t="shared" ref="I66:I91" si="0">SUM(D66,F66,H66)</f>
        <v>14.277871840682883</v>
      </c>
      <c r="K66" s="284" t="s">
        <v>1705</v>
      </c>
      <c r="L66" s="518">
        <f t="shared" ref="L66" si="1">I66/SUM($I$65:$I$67)</f>
        <v>0.17082145998060358</v>
      </c>
      <c r="M66" s="519">
        <f t="shared" ref="M66" si="2">I76/SUM($I$75:$I$77)</f>
        <v>0.29630260777934136</v>
      </c>
      <c r="N66" s="419">
        <f t="shared" ref="N66:N67" si="3">I86/SUM($I$85:$I$87)</f>
        <v>0.22462779671478222</v>
      </c>
    </row>
    <row r="67" spans="2:14" x14ac:dyDescent="0.2">
      <c r="B67" s="416" t="s">
        <v>1706</v>
      </c>
      <c r="C67" s="417">
        <f>SUMIFS(GHG_INV[CY 2010 Consumed],GHG_INV[Category],"Residential",GHG_INV[Source],GHG_INV!$B67)</f>
        <v>192084422.87</v>
      </c>
      <c r="D67" s="417">
        <f>GHG_INV!$C67*gal_to_liter*FO6_l_to_gj*GJ_to_PJ</f>
        <v>30.399050307497909</v>
      </c>
      <c r="E67" s="417">
        <f>SUMIFS(GHG_INV[CY 2010 Consumed],GHG_INV[Category],"Commercial and Institutional",GHG_INV[Source],GHG_INV!$B67)</f>
        <v>23570677.219999999</v>
      </c>
      <c r="F67" s="417">
        <f>GHG_INV!$E67*gal_to_liter*FO6_l_to_gj*GJ_to_PJ</f>
        <v>3.730267097595465</v>
      </c>
      <c r="G67" s="417">
        <f>SUMIFS(GHG_INV[CY 2010 Consumed],GHG_INV[Category],"Manufacturing and Construction",GHG_INV[Source],GHG_INV!$B67)</f>
        <v>1820082.68</v>
      </c>
      <c r="H67" s="417">
        <f>GHG_INV!$G67*gal_to_liter*FO6_l_to_gj*GJ_to_PJ</f>
        <v>0.28804410126776053</v>
      </c>
      <c r="I67" s="417">
        <f t="shared" si="0"/>
        <v>34.417361506361132</v>
      </c>
      <c r="K67" s="284" t="s">
        <v>1706</v>
      </c>
      <c r="L67" s="518">
        <f>I67/SUM($I$65:$I$67)</f>
        <v>0.41177172668301826</v>
      </c>
      <c r="M67" s="519">
        <f>I77/SUM($I$75:$I$77)</f>
        <v>3.8193252619889012E-2</v>
      </c>
      <c r="N67" s="419">
        <f t="shared" si="3"/>
        <v>0</v>
      </c>
    </row>
    <row r="68" spans="2:14" ht="15" x14ac:dyDescent="0.25">
      <c r="B68" s="404" t="s">
        <v>1707</v>
      </c>
      <c r="C68" s="418">
        <f>SUMIFS(GHG_INV[CY 2010 Consumed],GHG_INV[Category],"Residential",GHG_INV[Source],GHG_INV!$B68)</f>
        <v>1433903.4</v>
      </c>
      <c r="D68" s="418">
        <f>GHG_INV!$C68*gal_to_liter*FO4_l_to_gj*GJ_to_PJ</f>
        <v>0.22087466669193628</v>
      </c>
      <c r="E68" s="418">
        <f>SUMIFS(GHG_INV[CY 2010 Consumed],GHG_INV[Category],"Commercial and Institutional",GHG_INV[Source],GHG_INV!$B68)</f>
        <v>360953.92</v>
      </c>
      <c r="F68" s="418">
        <f>GHG_INV!$E68*gal_to_liter*FO4_l_to_gj*GJ_to_PJ</f>
        <v>5.5600381986086259E-2</v>
      </c>
      <c r="G68" s="418">
        <f>SUMIFS(GHG_INV[CY 2010 Consumed],GHG_INV[Category],"Manufacturing and Construction",GHG_INV[Source],GHG_INV!$B68)</f>
        <v>64077.02</v>
      </c>
      <c r="H68" s="418">
        <f>GHG_INV!$G68*gal_to_liter*FO4_l_to_gj*GJ_to_PJ</f>
        <v>9.8702537668245542E-3</v>
      </c>
      <c r="I68" s="419">
        <f t="shared" si="0"/>
        <v>0.28634530244484707</v>
      </c>
      <c r="K68" s="408"/>
      <c r="L68" s="30"/>
      <c r="M68" s="42"/>
    </row>
    <row r="69" spans="2:14" x14ac:dyDescent="0.2">
      <c r="B69" s="416" t="s">
        <v>138</v>
      </c>
      <c r="C69" s="417">
        <f>SUMIFS(GHG_INV[CY 2010 Consumed],GHG_INV[Category],"Residential",GHG_INV[Source],GHG_INV!$B69)</f>
        <v>16246085145.17</v>
      </c>
      <c r="D69" s="417">
        <f>GHG_INV!$C69*kwh_to_gj*GJ_to_PJ</f>
        <v>58.483486279862078</v>
      </c>
      <c r="E69" s="417">
        <f>SUMIFS(GHG_INV[CY 2010 Consumed],GHG_INV[Category],"Commercial and Institutional",GHG_INV[Source],GHG_INV!$B69)</f>
        <v>25179409288.110001</v>
      </c>
      <c r="F69" s="417">
        <f>GHG_INV!$E69*kwh_to_gj*GJ_to_PJ</f>
        <v>90.64212236226119</v>
      </c>
      <c r="G69" s="417">
        <f>SUMIFS(GHG_INV[CY 2010 Consumed],GHG_INV[Category],"Manufacturing and Construction",GHG_INV[Source],GHG_INV!$B69)</f>
        <v>8873552676.7099991</v>
      </c>
      <c r="H69" s="417">
        <f>GHG_INV!$G69*kwh_to_gj*GJ_to_PJ</f>
        <v>31.943467708359858</v>
      </c>
      <c r="I69" s="417">
        <f>SUM(D69,F69,H69)</f>
        <v>181.06907635048313</v>
      </c>
    </row>
    <row r="70" spans="2:14" x14ac:dyDescent="0.2">
      <c r="B70" s="404" t="s">
        <v>1562</v>
      </c>
      <c r="C70" s="418">
        <f>SUMIFS(GHG_INV[CY 2010 Consumed],GHG_INV[Category],"Residential",GHG_INV[Source],GHG_INV!$B70)</f>
        <v>156854670084.42001</v>
      </c>
      <c r="D70" s="418">
        <f>GHG_INV!$C70*scf_to_gj*GJ_to_PJ</f>
        <v>169.7932106162001</v>
      </c>
      <c r="E70" s="418">
        <f>SUMIFS(GHG_INV[CY 2010 Consumed],GHG_INV[Category],"Commercial and Institutional",GHG_INV[Source],GHG_INV!$B70)</f>
        <v>88813852860.940002</v>
      </c>
      <c r="F70" s="418">
        <f>GHG_INV!$E70*scf_to_gj*GJ_to_PJ</f>
        <v>96.139880415021523</v>
      </c>
      <c r="G70" s="418">
        <f>SUMIFS(GHG_INV[CY 2010 Consumed],GHG_INV[Category],"Manufacturing and Construction",GHG_INV[Source],GHG_INV!$B70)</f>
        <v>21058714673.400002</v>
      </c>
      <c r="H70" s="418">
        <f>GHG_INV!$G70*scf_to_gj*GJ_to_PJ</f>
        <v>22.795794182746675</v>
      </c>
      <c r="I70" s="419">
        <f>SUM(D70,F70,H70)</f>
        <v>288.72888521396828</v>
      </c>
    </row>
    <row r="71" spans="2:14" x14ac:dyDescent="0.2">
      <c r="B71" s="416" t="s">
        <v>1710</v>
      </c>
      <c r="C71" s="417">
        <f>SUMIFS(GHG_INV[CY 2010 Consumed],GHG_INV[Category],"Residential",GHG_INV[Source],GHG_INV!$B71)</f>
        <v>2684576093.9200001</v>
      </c>
      <c r="D71" s="417">
        <f>GHG_INV!$C71*kgs_to_pj</f>
        <v>7.4544235145532998</v>
      </c>
      <c r="E71" s="417">
        <f>SUMIFS(GHG_INV[CY 2010 Consumed],GHG_INV[Category],"Commercial and Institutional",GHG_INV[Source],GHG_INV!$B71)</f>
        <v>6065635918.1099997</v>
      </c>
      <c r="F71" s="417">
        <f>GHG_INV!$E71*kgs_to_gj*GJ_to_PJ</f>
        <v>16.843709003389389</v>
      </c>
      <c r="G71" s="417">
        <f>SUMIFS(GHG_INV[CY 2010 Consumed],GHG_INV[Category],"Manufacturing and Construction",GHG_INV[Source],GHG_INV!$B71)</f>
        <v>1819690775.4300001</v>
      </c>
      <c r="H71" s="417">
        <f>GHG_INV!$G71*kgs_to_gj*GJ_to_PJ</f>
        <v>5.0531127010084864</v>
      </c>
      <c r="I71" s="417">
        <f t="shared" si="0"/>
        <v>29.351245218951178</v>
      </c>
    </row>
    <row r="72" spans="2:14" ht="15" x14ac:dyDescent="0.25">
      <c r="B72" s="14"/>
      <c r="C72" s="14"/>
      <c r="D72" s="14"/>
      <c r="E72" s="14"/>
      <c r="F72" s="14"/>
      <c r="G72" s="14"/>
      <c r="H72" s="14"/>
      <c r="I72" s="313"/>
      <c r="J72" s="407"/>
    </row>
    <row r="73" spans="2:14" ht="15" x14ac:dyDescent="0.25">
      <c r="B73" s="411" t="s">
        <v>1753</v>
      </c>
      <c r="C73" s="414"/>
      <c r="D73" s="414"/>
      <c r="E73" s="414"/>
      <c r="F73" s="414"/>
      <c r="G73" s="414"/>
      <c r="H73" s="414"/>
      <c r="I73" s="415"/>
      <c r="J73" s="407"/>
    </row>
    <row r="74" spans="2:14" x14ac:dyDescent="0.2">
      <c r="B74" s="405" t="s">
        <v>1747</v>
      </c>
      <c r="C74" s="405" t="s">
        <v>1635</v>
      </c>
      <c r="D74" s="405" t="s">
        <v>1748</v>
      </c>
      <c r="E74" s="405" t="s">
        <v>1636</v>
      </c>
      <c r="F74" s="405" t="s">
        <v>1749</v>
      </c>
      <c r="G74" s="405" t="s">
        <v>1637</v>
      </c>
      <c r="H74" s="405" t="s">
        <v>1750</v>
      </c>
      <c r="I74" s="405" t="s">
        <v>1751</v>
      </c>
      <c r="L74" s="406"/>
      <c r="M74" s="406"/>
    </row>
    <row r="75" spans="2:14" x14ac:dyDescent="0.2">
      <c r="B75" s="416" t="s">
        <v>1703</v>
      </c>
      <c r="C75" s="417">
        <f>SUMIFS(GHG_INV[CY 2015 Consumed],GHG_INV[Category],"Residential",GHG_INV[Source],GHG_INV!$B75)</f>
        <v>160363033.90000001</v>
      </c>
      <c r="D75" s="417">
        <f>GHG_INV!$C75*gal_to_liter*FO2_l_to_gj*GJ_to_PJ</f>
        <v>23.348603676279769</v>
      </c>
      <c r="E75" s="417">
        <f>SUMIFS(GHG_INV[CY 2015 Consumed],GHG_INV[Category],"Commercial and Institutional",GHG_INV[Source],GHG_INV!$B75)</f>
        <v>90872229.540000007</v>
      </c>
      <c r="F75" s="417">
        <f>GHG_INV!$E75*gal_to_liter*FO2_l_to_gj*GJ_to_PJ</f>
        <v>13.230852654187551</v>
      </c>
      <c r="G75" s="417">
        <f>SUMIFS(GHG_INV[CY 2015 Consumed],GHG_INV[Category],"Manufacturing and Construction",GHG_INV[Source],GHG_INV!$B75)</f>
        <v>20949824.550000001</v>
      </c>
      <c r="H75" s="417">
        <f>GHG_INV!$G75*gal_to_liter*FO2_l_to_gj*GJ_to_PJ</f>
        <v>3.0502612641425348</v>
      </c>
      <c r="I75" s="417">
        <f t="shared" si="0"/>
        <v>39.629717594609858</v>
      </c>
      <c r="L75" s="406"/>
      <c r="M75" s="406"/>
    </row>
    <row r="76" spans="2:14" x14ac:dyDescent="0.2">
      <c r="B76" s="404" t="s">
        <v>1705</v>
      </c>
      <c r="C76" s="418">
        <f>SUMIFS(GHG_INV[CY 2015 Consumed],GHG_INV[Category],"Residential",GHG_INV[Source],GHG_INV!$B76)</f>
        <v>94126768.829999998</v>
      </c>
      <c r="D76" s="418">
        <f>GHG_INV!$C76*gal_to_liter*FO4_l_to_gj*GJ_to_PJ</f>
        <v>14.499037168135031</v>
      </c>
      <c r="E76" s="418">
        <f>SUMIFS(GHG_INV[CY 2015 Consumed],GHG_INV[Category],"Commercial and Institutional",GHG_INV[Source],GHG_INV!$B76)</f>
        <v>16799625.510000002</v>
      </c>
      <c r="F76" s="418">
        <f>GHG_INV!$E76*gal_to_liter*FO4_l_to_gj*GJ_to_PJ</f>
        <v>2.5877696399008476</v>
      </c>
      <c r="G76" s="418">
        <f>SUMIFS(GHG_INV[CY 2015 Consumed],GHG_INV[Category],"Manufacturing and Construction",GHG_INV[Source],GHG_INV!$B76)</f>
        <v>3619539.56</v>
      </c>
      <c r="H76" s="418">
        <f>GHG_INV!$G76*gal_to_liter*FO4_l_to_gj*GJ_to_PJ</f>
        <v>0.55754424872224861</v>
      </c>
      <c r="I76" s="419">
        <f t="shared" si="0"/>
        <v>17.644351056758126</v>
      </c>
      <c r="L76" s="406"/>
      <c r="M76" s="406"/>
    </row>
    <row r="77" spans="2:14" x14ac:dyDescent="0.2">
      <c r="B77" s="416" t="s">
        <v>1706</v>
      </c>
      <c r="C77" s="417">
        <f>SUMIFS(GHG_INV[CY 2015 Consumed],GHG_INV[Category],"Residential",GHG_INV[Source],GHG_INV!$B77)</f>
        <v>12693209.119999999</v>
      </c>
      <c r="D77" s="417">
        <f>GHG_INV!$C77*gal_to_liter*FO6_l_to_gj*GJ_to_PJ</f>
        <v>2.0088120464802954</v>
      </c>
      <c r="E77" s="417">
        <f>SUMIFS(GHG_INV[CY 2015 Consumed],GHG_INV[Category],"Commercial and Institutional",GHG_INV[Source],GHG_INV!$B77)</f>
        <v>1557583.54</v>
      </c>
      <c r="F77" s="417">
        <f>GHG_INV!$E77*gal_to_liter*FO6_l_to_gj*GJ_to_PJ</f>
        <v>0.24650130230828687</v>
      </c>
      <c r="G77" s="417">
        <f>SUMIFS(GHG_INV[CY 2015 Consumed],GHG_INV[Category],"Manufacturing and Construction",GHG_INV[Source],GHG_INV!$B77)</f>
        <v>120273.63</v>
      </c>
      <c r="H77" s="417">
        <f>GHG_INV!$G77*gal_to_liter*FO6_l_to_gj*GJ_to_PJ</f>
        <v>1.9034360383870672E-2</v>
      </c>
      <c r="I77" s="417">
        <f t="shared" si="0"/>
        <v>2.2743477091724529</v>
      </c>
      <c r="L77" s="406"/>
      <c r="M77" s="406"/>
    </row>
    <row r="78" spans="2:14" x14ac:dyDescent="0.2">
      <c r="B78" s="404" t="s">
        <v>1707</v>
      </c>
      <c r="C78" s="418">
        <f>SUMIFS(GHG_INV[CY 2015 Consumed],GHG_INV[Category],"Residential",GHG_INV[Source],GHG_INV!$B78)</f>
        <v>8794187.2599999998</v>
      </c>
      <c r="D78" s="418">
        <f>GHG_INV!$C78*gal_to_liter*FO4_l_to_gj*GJ_to_PJ</f>
        <v>1.3546332199777005</v>
      </c>
      <c r="E78" s="418">
        <f>SUMIFS(GHG_INV[CY 2015 Consumed],GHG_INV[Category],"Commercial and Institutional",GHG_INV[Source],GHG_INV!$B78)</f>
        <v>2213744.88</v>
      </c>
      <c r="F78" s="418">
        <f>GHG_INV!$E78*gal_to_liter*FO4_l_to_gj*GJ_to_PJ</f>
        <v>0.34099937451224444</v>
      </c>
      <c r="G78" s="418">
        <f>SUMIFS(GHG_INV[CY 2015 Consumed],GHG_INV[Category],"Manufacturing and Construction",GHG_INV[Source],GHG_INV!$B78)</f>
        <v>392986.97</v>
      </c>
      <c r="H78" s="418">
        <f>GHG_INV!$G78*gal_to_liter*FO4_l_to_gj*GJ_to_PJ</f>
        <v>6.0534667825617804E-2</v>
      </c>
      <c r="I78" s="419">
        <f t="shared" si="0"/>
        <v>1.7561672623155626</v>
      </c>
      <c r="L78" s="406"/>
      <c r="M78" s="406"/>
    </row>
    <row r="79" spans="2:14" x14ac:dyDescent="0.2">
      <c r="B79" s="416" t="s">
        <v>138</v>
      </c>
      <c r="C79" s="417">
        <f>SUMIFS(GHG_INV[CY 2015 Consumed],GHG_INV[Category],"Residential",GHG_INV[Source],GHG_INV!$B79)</f>
        <v>15705500653.280001</v>
      </c>
      <c r="D79" s="417">
        <f>GHG_INV!$C79*kwh_to_gj*GJ_to_PJ</f>
        <v>56.537462642040978</v>
      </c>
      <c r="E79" s="417">
        <f>SUMIFS(GHG_INV[CY 2015 Consumed],GHG_INV[Category],"Commercial and Institutional",GHG_INV[Source],GHG_INV!$B79)</f>
        <v>24309477657.299999</v>
      </c>
      <c r="F79" s="417">
        <f>GHG_INV!$E79*kwh_to_gj*GJ_to_PJ</f>
        <v>87.510498088457567</v>
      </c>
      <c r="G79" s="417">
        <f>SUMIFS(GHG_INV[CY 2015 Consumed],GHG_INV[Category],"Manufacturing and Construction",GHG_INV[Source],GHG_INV!$B79)</f>
        <v>9025316596.5</v>
      </c>
      <c r="H79" s="417">
        <f>GHG_INV!$G79*kwh_to_gj*GJ_to_PJ</f>
        <v>32.489795210740049</v>
      </c>
      <c r="I79" s="419">
        <f t="shared" si="0"/>
        <v>176.5377559412386</v>
      </c>
      <c r="J79" s="14"/>
      <c r="L79" s="406"/>
      <c r="M79" s="406"/>
    </row>
    <row r="80" spans="2:14" x14ac:dyDescent="0.2">
      <c r="B80" s="404" t="s">
        <v>1562</v>
      </c>
      <c r="C80" s="418">
        <f>SUMIFS(GHG_INV[CY 2015 Consumed],GHG_INV[Category],"Residential",GHG_INV[Source],GHG_INV!$B80)</f>
        <v>177354752086.89999</v>
      </c>
      <c r="D80" s="418">
        <f>GHG_INV!$C80*scf_to_gj*GJ_to_PJ</f>
        <v>191.98429194787536</v>
      </c>
      <c r="E80" s="418">
        <f>SUMIFS(GHG_INV[CY 2015 Consumed],GHG_INV[Category],"Commercial and Institutional",GHG_INV[Source],GHG_INV!$B80)</f>
        <v>104250511239.56</v>
      </c>
      <c r="F80" s="418">
        <f>GHG_INV!$E80*scf_to_gj*GJ_to_PJ</f>
        <v>112.84986925934918</v>
      </c>
      <c r="G80" s="418">
        <f>SUMIFS(GHG_INV[CY 2015 Consumed],GHG_INV[Category],"Manufacturing and Construction",GHG_INV[Source],GHG_INV!$B80)</f>
        <v>24884990545.43</v>
      </c>
      <c r="H80" s="418">
        <f>GHG_INV!$G80*scf_to_gj*GJ_to_PJ</f>
        <v>26.937689764597152</v>
      </c>
      <c r="I80" s="419">
        <f t="shared" si="0"/>
        <v>331.77185097182172</v>
      </c>
      <c r="L80" s="406"/>
      <c r="M80" s="406"/>
    </row>
    <row r="81" spans="2:13" x14ac:dyDescent="0.2">
      <c r="B81" s="416" t="s">
        <v>1710</v>
      </c>
      <c r="C81" s="417">
        <f>SUMIFS(GHG_INV[CY 2015 Consumed],GHG_INV[Category],"Residential",GHG_INV[Source],GHG_INV!$B81)</f>
        <v>2671762179.8800001</v>
      </c>
      <c r="D81" s="417">
        <f>GHG_INV!$C81*kgs_to_pj</f>
        <v>7.4188423506035894</v>
      </c>
      <c r="E81" s="417">
        <f>SUMIFS(GHG_INV[CY 2015 Consumed],GHG_INV[Category],"Commercial and Institutional",GHG_INV[Source],GHG_INV!$B81)</f>
        <v>5318470946.7799997</v>
      </c>
      <c r="F81" s="417">
        <f>GHG_INV!$E81*kgs_to_gj*GJ_to_PJ</f>
        <v>14.768901097917594</v>
      </c>
      <c r="G81" s="417">
        <f>SUMIFS(GHG_INV[CY 2015 Consumed],GHG_INV[Category],"Manufacturing and Construction",GHG_INV[Source],GHG_INV!$B81)</f>
        <v>1595541286.1099999</v>
      </c>
      <c r="H81" s="417">
        <f>GHG_INV!$G81*kgs_to_gj*GJ_to_PJ</f>
        <v>4.430670335140138</v>
      </c>
      <c r="I81" s="419">
        <f t="shared" si="0"/>
        <v>26.618413783661321</v>
      </c>
      <c r="L81" s="406"/>
      <c r="M81" s="406"/>
    </row>
    <row r="82" spans="2:13" x14ac:dyDescent="0.2">
      <c r="B82" s="14"/>
      <c r="C82" s="14"/>
      <c r="D82" s="14"/>
      <c r="E82" s="14"/>
      <c r="F82" s="14"/>
      <c r="G82" s="14"/>
      <c r="H82" s="14"/>
      <c r="I82" s="313"/>
      <c r="L82" s="406"/>
      <c r="M82" s="406"/>
    </row>
    <row r="83" spans="2:13" x14ac:dyDescent="0.2">
      <c r="B83" s="411" t="s">
        <v>1754</v>
      </c>
      <c r="C83" s="414"/>
      <c r="D83" s="414"/>
      <c r="E83" s="414"/>
      <c r="F83" s="414"/>
      <c r="G83" s="414"/>
      <c r="H83" s="414"/>
      <c r="I83" s="415"/>
      <c r="L83" s="406"/>
      <c r="M83" s="406"/>
    </row>
    <row r="84" spans="2:13" x14ac:dyDescent="0.2">
      <c r="B84" s="405" t="s">
        <v>1747</v>
      </c>
      <c r="C84" s="405" t="s">
        <v>1635</v>
      </c>
      <c r="D84" s="405" t="s">
        <v>1748</v>
      </c>
      <c r="E84" s="405" t="s">
        <v>1636</v>
      </c>
      <c r="F84" s="405" t="s">
        <v>1749</v>
      </c>
      <c r="G84" s="405" t="s">
        <v>1637</v>
      </c>
      <c r="H84" s="405" t="s">
        <v>1750</v>
      </c>
      <c r="I84" s="405" t="s">
        <v>1751</v>
      </c>
      <c r="L84" s="406"/>
      <c r="M84" s="406"/>
    </row>
    <row r="85" spans="2:13" x14ac:dyDescent="0.2">
      <c r="B85" s="416" t="s">
        <v>1703</v>
      </c>
      <c r="C85" s="417">
        <f>SUMIFS(GHG_INV[CY 2020 Consumed],GHG_INV[Category],"Residential",GHG_INV[Source],GHG_INV!$B85)</f>
        <v>97015873.569999993</v>
      </c>
      <c r="D85" s="417">
        <f>GHG_INV!$C85*gal_to_liter*FO2_l_to_gj*GJ_to_PJ</f>
        <v>14.125357491718015</v>
      </c>
      <c r="E85" s="417">
        <f>SUMIFS(GHG_INV[CY 2020 Consumed],GHG_INV[Category],"Commercial and Institutional",GHG_INV[Source],GHG_INV!$B85)</f>
        <v>54975567.109999999</v>
      </c>
      <c r="F85" s="417">
        <f>GHG_INV!$E85*gal_to_liter*FO2_l_to_gj*GJ_to_PJ</f>
        <v>8.0043554746572507</v>
      </c>
      <c r="G85" s="417">
        <f>SUMIFS(GHG_INV[CY 2020 Consumed],GHG_INV[Category],"Manufacturing and Construction",GHG_INV[Source],GHG_INV!$B85)</f>
        <v>12674152.390000001</v>
      </c>
      <c r="H85" s="417">
        <f>GHG_INV!$G85*gal_to_liter*FO2_l_to_gj*GJ_to_PJ</f>
        <v>1.8453365086084468</v>
      </c>
      <c r="I85" s="419">
        <f t="shared" si="0"/>
        <v>23.975049474983713</v>
      </c>
      <c r="L85" s="406"/>
      <c r="M85" s="406"/>
    </row>
    <row r="86" spans="2:13" x14ac:dyDescent="0.2">
      <c r="B86" s="404" t="s">
        <v>1705</v>
      </c>
      <c r="C86" s="418">
        <f>SUMIFS(GHG_INV[CY 2020 Consumed],GHG_INV[Category],"Residential",GHG_INV[Source],GHG_INV!$B86)</f>
        <v>37052732.590000004</v>
      </c>
      <c r="D86" s="418">
        <f>GHG_INV!$C86*gal_to_liter*FO4_l_to_gj*GJ_to_PJ</f>
        <v>5.7075043973266943</v>
      </c>
      <c r="E86" s="418">
        <f>SUMIFS(GHG_INV[CY 2020 Consumed],GHG_INV[Category],"Commercial and Institutional",GHG_INV[Source],GHG_INV!$B86)</f>
        <v>6613124.4000000004</v>
      </c>
      <c r="F86" s="418">
        <f>GHG_INV!$E86*gal_to_liter*FO4_l_to_gj*GJ_to_PJ</f>
        <v>1.0186680969180431</v>
      </c>
      <c r="G86" s="418">
        <f>SUMIFS(GHG_INV[CY 2020 Consumed],GHG_INV[Category],"Manufacturing and Construction",GHG_INV[Source],GHG_INV!$B86)</f>
        <v>1424821.37</v>
      </c>
      <c r="H86" s="418">
        <f>GHG_INV!$G86*gal_to_liter*FO4_l_to_gj*GJ_to_PJ</f>
        <v>0.21947569494172212</v>
      </c>
      <c r="I86" s="419">
        <f t="shared" si="0"/>
        <v>6.9456481891864597</v>
      </c>
    </row>
    <row r="87" spans="2:13" x14ac:dyDescent="0.2">
      <c r="B87" s="416" t="s">
        <v>1706</v>
      </c>
      <c r="C87" s="417">
        <f>SUMIFS(GHG_INV[CY 2020 Consumed],GHG_INV[Category],"Residential",GHG_INV[Source],GHG_INV!$B87)</f>
        <v>0</v>
      </c>
      <c r="D87" s="417">
        <f>GHG_INV!$C87*gal_to_liter*FO6_l_to_gj*GJ_to_PJ</f>
        <v>0</v>
      </c>
      <c r="E87" s="417">
        <f>SUMIFS(GHG_INV[CY 2020 Consumed],GHG_INV[Category],"Commercial and Institutional",GHG_INV[Source],GHG_INV!$B87)</f>
        <v>0</v>
      </c>
      <c r="F87" s="417">
        <f>GHG_INV!$E87*gal_to_liter*FO6_l_to_gj*GJ_to_PJ</f>
        <v>0</v>
      </c>
      <c r="G87" s="417">
        <f>SUMIFS(GHG_INV[CY 2020 Consumed],GHG_INV[Category],"Manufacturing and Construction",GHG_INV[Source],GHG_INV!$B87)</f>
        <v>0</v>
      </c>
      <c r="H87" s="417">
        <f>GHG_INV!$G87*gal_to_liter*FO6_l_to_gj*GJ_to_PJ</f>
        <v>0</v>
      </c>
      <c r="I87" s="419">
        <f t="shared" si="0"/>
        <v>0</v>
      </c>
      <c r="J87" s="14"/>
    </row>
    <row r="88" spans="2:13" x14ac:dyDescent="0.2">
      <c r="B88" s="404" t="s">
        <v>1707</v>
      </c>
      <c r="C88" s="418">
        <f>SUMIFS(GHG_INV[CY 2020 Consumed],GHG_INV[Category],"Residential",GHG_INV[Source],GHG_INV!$B88)</f>
        <v>14509638.810000001</v>
      </c>
      <c r="D88" s="418">
        <f>GHG_INV!$C88*gal_to_liter*FO4_l_to_gj*GJ_to_PJ</f>
        <v>2.2350261781784839</v>
      </c>
      <c r="E88" s="418">
        <f>SUMIFS(GHG_INV[CY 2020 Consumed],GHG_INV[Category],"Commercial and Institutional",GHG_INV[Source],GHG_INV!$B88)</f>
        <v>3652485.18</v>
      </c>
      <c r="F88" s="418">
        <f>GHG_INV!$E88*gal_to_liter*FO4_l_to_gj*GJ_to_PJ</f>
        <v>0.56261910441786878</v>
      </c>
      <c r="G88" s="418">
        <f>SUMIFS(GHG_INV[CY 2020 Consumed],GHG_INV[Category],"Manufacturing and Construction",GHG_INV[Source],GHG_INV!$B88)</f>
        <v>648394.07999999996</v>
      </c>
      <c r="H88" s="418">
        <f>GHG_INV!$G88*gal_to_liter*FO4_l_to_gj*GJ_to_PJ</f>
        <v>9.9876899869980565E-2</v>
      </c>
      <c r="I88" s="419">
        <f t="shared" si="0"/>
        <v>2.8975221824663331</v>
      </c>
      <c r="J88" s="14"/>
    </row>
    <row r="89" spans="2:13" x14ac:dyDescent="0.2">
      <c r="B89" s="416" t="s">
        <v>138</v>
      </c>
      <c r="C89" s="417">
        <f>SUMIFS(GHG_INV[CY 2020 Consumed],GHG_INV[Category],"Residential",GHG_INV[Source],GHG_INV!$B89)</f>
        <v>14577247613.58</v>
      </c>
      <c r="D89" s="417">
        <f>GHG_INV!$C89*kwh_to_gj*GJ_to_PJ</f>
        <v>52.475919779382473</v>
      </c>
      <c r="E89" s="417">
        <f>SUMIFS(GHG_INV[CY 2020 Consumed],GHG_INV[Category],"Commercial and Institutional",GHG_INV[Source],GHG_INV!$B89)</f>
        <v>20264309990.41</v>
      </c>
      <c r="F89" s="417">
        <f>GHG_INV!$E89*kwh_to_gj*GJ_to_PJ</f>
        <v>72.948497112078499</v>
      </c>
      <c r="G89" s="417">
        <f>SUMIFS(GHG_INV[CY 2020 Consumed],GHG_INV[Category],"Manufacturing and Construction",GHG_INV[Source],GHG_INV!$B89)</f>
        <v>7358075557.3599997</v>
      </c>
      <c r="H89" s="417">
        <f>GHG_INV!$G89*kwh_to_gj*GJ_to_PJ</f>
        <v>26.487975845244723</v>
      </c>
      <c r="I89" s="419">
        <f t="shared" si="0"/>
        <v>151.9123927367057</v>
      </c>
      <c r="J89" s="14"/>
    </row>
    <row r="90" spans="2:13" x14ac:dyDescent="0.2">
      <c r="B90" s="404" t="s">
        <v>1562</v>
      </c>
      <c r="C90" s="418">
        <f>SUMIFS(GHG_INV[CY 2020 Consumed],GHG_INV[Category],"Residential",GHG_INV[Source],GHG_INV!$B90)</f>
        <v>179289161755.73001</v>
      </c>
      <c r="D90" s="418">
        <f>GHG_INV!$C90*scf_to_gj*GJ_to_PJ</f>
        <v>194.07826612244665</v>
      </c>
      <c r="E90" s="418">
        <f>SUMIFS(GHG_INV[CY 2020 Consumed],GHG_INV[Category],"Commercial and Institutional",GHG_INV[Source],GHG_INV!$B90)</f>
        <v>110565351429.25</v>
      </c>
      <c r="F90" s="418">
        <f>GHG_INV!$E90*scf_to_gj*GJ_to_PJ</f>
        <v>119.68560446416397</v>
      </c>
      <c r="G90" s="418">
        <f>SUMIFS(GHG_INV[CY 2020 Consumed],GHG_INV[Category],"Manufacturing and Construction",GHG_INV[Source],GHG_INV!$B90)</f>
        <v>25680997378.540001</v>
      </c>
      <c r="H90" s="418">
        <f>GHG_INV!$G90*scf_to_gj*GJ_to_PJ</f>
        <v>27.799357165341032</v>
      </c>
      <c r="I90" s="419">
        <f t="shared" si="0"/>
        <v>341.56322775195162</v>
      </c>
    </row>
    <row r="91" spans="2:13" x14ac:dyDescent="0.2">
      <c r="B91" s="416" t="s">
        <v>1710</v>
      </c>
      <c r="C91" s="417">
        <f>SUMIFS(GHG_INV[CY 2020 Consumed],GHG_INV[Category],"Residential",GHG_INV[Source],GHG_INV!$B91)</f>
        <v>2405299009.1599998</v>
      </c>
      <c r="D91" s="417">
        <f>GHG_INV!$C91*kgs_to_pj</f>
        <v>6.6789380766751218</v>
      </c>
      <c r="E91" s="417">
        <f>SUMIFS(GHG_INV[CY 2020 Consumed],GHG_INV[Category],"Commercial and Institutional",GHG_INV[Source],GHG_INV!$B91)</f>
        <v>3936440178.23</v>
      </c>
      <c r="F91" s="417">
        <f>GHG_INV!$E91*kgs_to_gj*GJ_to_PJ</f>
        <v>10.931129689698919</v>
      </c>
      <c r="G91" s="417">
        <f>SUMIFS(GHG_INV[CY 2020 Consumed],GHG_INV[Category],"Manufacturing and Construction",GHG_INV[Source],GHG_INV!$B91)</f>
        <v>1180932055</v>
      </c>
      <c r="H91" s="417">
        <f>GHG_INV!$G91*kgs_to_gj*GJ_to_PJ</f>
        <v>3.2793389111611209</v>
      </c>
      <c r="I91" s="419">
        <f t="shared" si="0"/>
        <v>20.889406677535163</v>
      </c>
    </row>
    <row r="92" spans="2:13" x14ac:dyDescent="0.2">
      <c r="B92" s="14"/>
      <c r="D92" s="409"/>
      <c r="F92" s="409"/>
      <c r="G92" s="410"/>
      <c r="H92" s="410"/>
    </row>
    <row r="93" spans="2:13" x14ac:dyDescent="0.2">
      <c r="B93" s="14"/>
      <c r="C93" s="14"/>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sheetPr>
  <dimension ref="A1:BA94"/>
  <sheetViews>
    <sheetView zoomScaleNormal="100" workbookViewId="0">
      <selection activeCell="E57" sqref="E57"/>
    </sheetView>
  </sheetViews>
  <sheetFormatPr defaultColWidth="9.140625" defaultRowHeight="12.75" x14ac:dyDescent="0.2"/>
  <cols>
    <col min="1" max="1" width="5.5703125" style="14" bestFit="1" customWidth="1"/>
    <col min="2" max="2" width="50.42578125" style="14" bestFit="1" customWidth="1"/>
    <col min="3" max="3" width="13.85546875" style="14" bestFit="1" customWidth="1"/>
    <col min="4" max="4" width="13" style="14" customWidth="1"/>
    <col min="5" max="7" width="15" style="14" bestFit="1" customWidth="1"/>
    <col min="8" max="9" width="12.85546875" style="14" bestFit="1" customWidth="1"/>
    <col min="10" max="10" width="15" style="14" bestFit="1" customWidth="1"/>
    <col min="11" max="11" width="13.28515625" style="14" bestFit="1" customWidth="1"/>
    <col min="12" max="12" width="12.85546875" style="14" bestFit="1" customWidth="1"/>
    <col min="13" max="13" width="12.140625" style="14" customWidth="1"/>
    <col min="14" max="15" width="14" style="14" bestFit="1" customWidth="1"/>
    <col min="16" max="16" width="12.85546875" style="14" bestFit="1" customWidth="1"/>
    <col min="17" max="17" width="14" style="14" bestFit="1" customWidth="1"/>
    <col min="18" max="18" width="12" style="14" customWidth="1"/>
    <col min="19" max="19" width="10.7109375" style="14" customWidth="1"/>
    <col min="20" max="20" width="12.140625" style="14" customWidth="1"/>
    <col min="21" max="21" width="11.140625" style="14" customWidth="1"/>
    <col min="22" max="22" width="14.28515625" style="14" customWidth="1"/>
    <col min="23" max="23" width="12.85546875" style="14" customWidth="1"/>
    <col min="24" max="25" width="12.140625" style="14" customWidth="1"/>
    <col min="26" max="26" width="12" style="14" customWidth="1"/>
    <col min="27" max="27" width="11.140625" style="14" customWidth="1"/>
    <col min="28" max="28" width="13.28515625" style="14" customWidth="1"/>
    <col min="29" max="29" width="13.28515625" style="14" bestFit="1" customWidth="1"/>
    <col min="30" max="31" width="12.140625" style="14" bestFit="1" customWidth="1"/>
    <col min="32" max="32" width="10.85546875" style="14" bestFit="1" customWidth="1"/>
    <col min="33" max="33" width="9.5703125" style="14" bestFit="1" customWidth="1"/>
    <col min="34" max="34" width="12" style="14" customWidth="1"/>
    <col min="35" max="35" width="11.140625" style="14" bestFit="1" customWidth="1"/>
    <col min="36" max="36" width="13.28515625" style="14" bestFit="1" customWidth="1"/>
    <col min="37" max="37" width="12.140625" style="14" bestFit="1" customWidth="1"/>
    <col min="38" max="39" width="11.140625" style="14" bestFit="1" customWidth="1"/>
    <col min="40" max="40" width="10.85546875" style="14" bestFit="1" customWidth="1"/>
    <col min="41" max="41" width="9.42578125" style="14" bestFit="1" customWidth="1"/>
    <col min="42" max="42" width="12" style="14" customWidth="1"/>
    <col min="43" max="43" width="9.42578125" style="14" bestFit="1" customWidth="1"/>
    <col min="44" max="44" width="15" style="14" bestFit="1" customWidth="1"/>
    <col min="45" max="45" width="16.140625" style="14" bestFit="1" customWidth="1"/>
    <col min="46" max="47" width="15" style="14" customWidth="1"/>
    <col min="48" max="48" width="13.85546875" style="14" bestFit="1" customWidth="1"/>
    <col min="49" max="49" width="15" style="14" bestFit="1" customWidth="1"/>
    <col min="50" max="51" width="13.85546875" style="14" bestFit="1" customWidth="1"/>
    <col min="52" max="52" width="15" style="14" bestFit="1" customWidth="1"/>
    <col min="53" max="53" width="16.140625" style="14" bestFit="1" customWidth="1"/>
    <col min="54" max="16384" width="9.140625" style="14"/>
  </cols>
  <sheetData>
    <row r="1" spans="1:53" x14ac:dyDescent="0.2">
      <c r="A1" s="292"/>
      <c r="B1" s="292"/>
      <c r="C1" s="910" t="s">
        <v>1755</v>
      </c>
      <c r="D1" s="911"/>
      <c r="E1" s="912"/>
      <c r="F1" s="913" t="s">
        <v>1756</v>
      </c>
      <c r="G1" s="914"/>
      <c r="H1" s="914"/>
      <c r="I1" s="914"/>
      <c r="J1" s="914"/>
      <c r="K1" s="914"/>
      <c r="L1" s="914"/>
      <c r="M1" s="898" t="s">
        <v>1757</v>
      </c>
      <c r="N1" s="899"/>
      <c r="O1" s="899"/>
      <c r="P1" s="899"/>
      <c r="Q1" s="899"/>
      <c r="R1" s="899"/>
      <c r="S1" s="899"/>
      <c r="T1" s="900"/>
      <c r="U1" s="898" t="s">
        <v>138</v>
      </c>
      <c r="V1" s="899"/>
      <c r="W1" s="899"/>
      <c r="X1" s="899"/>
      <c r="Y1" s="899"/>
      <c r="Z1" s="899"/>
      <c r="AA1" s="899"/>
      <c r="AB1" s="900"/>
      <c r="AC1" s="898" t="s">
        <v>1483</v>
      </c>
      <c r="AD1" s="899"/>
      <c r="AE1" s="899"/>
      <c r="AF1" s="899"/>
      <c r="AG1" s="899"/>
      <c r="AH1" s="899"/>
      <c r="AI1" s="899"/>
      <c r="AJ1" s="900"/>
      <c r="AK1" s="898" t="s">
        <v>1710</v>
      </c>
      <c r="AL1" s="899"/>
      <c r="AM1" s="899"/>
      <c r="AN1" s="899"/>
      <c r="AO1" s="899"/>
      <c r="AP1" s="899"/>
      <c r="AQ1" s="899"/>
      <c r="AR1" s="900"/>
      <c r="AS1" s="904" t="s">
        <v>1758</v>
      </c>
      <c r="AT1" s="904"/>
      <c r="AU1" s="904"/>
      <c r="AV1" s="904"/>
      <c r="AW1" s="904"/>
      <c r="AX1" s="904"/>
      <c r="AY1" s="904"/>
      <c r="AZ1" s="904"/>
      <c r="BA1" s="51"/>
    </row>
    <row r="2" spans="1:53" ht="51" x14ac:dyDescent="0.2">
      <c r="A2" s="293"/>
      <c r="B2" s="293" t="s">
        <v>1759</v>
      </c>
      <c r="C2" s="52" t="s">
        <v>1760</v>
      </c>
      <c r="D2" s="53" t="s">
        <v>1761</v>
      </c>
      <c r="E2" s="54" t="s">
        <v>1762</v>
      </c>
      <c r="F2" s="55" t="s">
        <v>1703</v>
      </c>
      <c r="G2" s="56" t="s">
        <v>1705</v>
      </c>
      <c r="H2" s="56" t="s">
        <v>1706</v>
      </c>
      <c r="I2" s="56" t="s">
        <v>1707</v>
      </c>
      <c r="J2" s="56" t="s">
        <v>138</v>
      </c>
      <c r="K2" s="56" t="s">
        <v>1562</v>
      </c>
      <c r="L2" s="56" t="s">
        <v>1710</v>
      </c>
      <c r="M2" s="132" t="s">
        <v>1763</v>
      </c>
      <c r="N2" s="131" t="s">
        <v>1764</v>
      </c>
      <c r="O2" s="131" t="s">
        <v>1765</v>
      </c>
      <c r="P2" s="131" t="s">
        <v>1766</v>
      </c>
      <c r="Q2" s="131" t="s">
        <v>1767</v>
      </c>
      <c r="R2" s="131" t="s">
        <v>1768</v>
      </c>
      <c r="S2" s="131" t="s">
        <v>1769</v>
      </c>
      <c r="T2" s="133" t="s">
        <v>1770</v>
      </c>
      <c r="U2" s="132" t="s">
        <v>1771</v>
      </c>
      <c r="V2" s="131" t="s">
        <v>1772</v>
      </c>
      <c r="W2" s="131" t="s">
        <v>1773</v>
      </c>
      <c r="X2" s="131" t="s">
        <v>1774</v>
      </c>
      <c r="Y2" s="131" t="s">
        <v>1775</v>
      </c>
      <c r="Z2" s="131" t="s">
        <v>1776</v>
      </c>
      <c r="AA2" s="131" t="s">
        <v>1777</v>
      </c>
      <c r="AB2" s="133" t="s">
        <v>1778</v>
      </c>
      <c r="AC2" s="132" t="s">
        <v>1779</v>
      </c>
      <c r="AD2" s="131" t="s">
        <v>1780</v>
      </c>
      <c r="AE2" s="131" t="s">
        <v>1781</v>
      </c>
      <c r="AF2" s="131" t="s">
        <v>1782</v>
      </c>
      <c r="AG2" s="131" t="s">
        <v>1783</v>
      </c>
      <c r="AH2" s="131" t="s">
        <v>1784</v>
      </c>
      <c r="AI2" s="131" t="s">
        <v>1785</v>
      </c>
      <c r="AJ2" s="133" t="s">
        <v>1786</v>
      </c>
      <c r="AK2" s="132" t="s">
        <v>1787</v>
      </c>
      <c r="AL2" s="131" t="s">
        <v>1788</v>
      </c>
      <c r="AM2" s="131" t="s">
        <v>1789</v>
      </c>
      <c r="AN2" s="131" t="s">
        <v>1790</v>
      </c>
      <c r="AO2" s="131" t="s">
        <v>1791</v>
      </c>
      <c r="AP2" s="131" t="s">
        <v>1792</v>
      </c>
      <c r="AQ2" s="131" t="s">
        <v>1793</v>
      </c>
      <c r="AR2" s="133" t="s">
        <v>1794</v>
      </c>
      <c r="AS2" s="134" t="s">
        <v>1467</v>
      </c>
      <c r="AT2" s="135" t="s">
        <v>1645</v>
      </c>
      <c r="AU2" s="135" t="s">
        <v>1468</v>
      </c>
      <c r="AV2" s="135" t="s">
        <v>1795</v>
      </c>
      <c r="AW2" s="135" t="s">
        <v>1796</v>
      </c>
      <c r="AX2" s="135" t="s">
        <v>1797</v>
      </c>
      <c r="AY2" s="135" t="s">
        <v>1798</v>
      </c>
      <c r="AZ2" s="136" t="s">
        <v>1799</v>
      </c>
      <c r="BA2" s="51"/>
    </row>
    <row r="3" spans="1:53" x14ac:dyDescent="0.2">
      <c r="A3" s="905" t="s">
        <v>1800</v>
      </c>
      <c r="B3" s="150" t="s">
        <v>1801</v>
      </c>
      <c r="C3" s="57">
        <v>34397279.617698602</v>
      </c>
      <c r="D3" s="58">
        <f>C3/C$30</f>
        <v>6.2632292502352305E-2</v>
      </c>
      <c r="E3" s="59">
        <v>55.38356966714651</v>
      </c>
      <c r="F3" s="151">
        <v>3139269.7531758077</v>
      </c>
      <c r="G3" s="152">
        <v>373088.3616361348</v>
      </c>
      <c r="H3" s="152">
        <v>93126.849293603183</v>
      </c>
      <c r="I3" s="152">
        <v>61486.808703047362</v>
      </c>
      <c r="J3" s="152">
        <v>8619051.6034933645</v>
      </c>
      <c r="K3" s="152">
        <v>22111256.241396647</v>
      </c>
      <c r="L3" s="153">
        <v>0</v>
      </c>
      <c r="M3" s="154">
        <v>3060305.6636657752</v>
      </c>
      <c r="N3" s="155">
        <v>606666.10914281721</v>
      </c>
      <c r="O3" s="155">
        <v>0</v>
      </c>
      <c r="P3" s="155">
        <v>0</v>
      </c>
      <c r="Q3" s="155">
        <v>0</v>
      </c>
      <c r="R3" s="155">
        <v>0</v>
      </c>
      <c r="S3" s="155">
        <v>0</v>
      </c>
      <c r="T3" s="156">
        <v>0</v>
      </c>
      <c r="U3" s="154">
        <v>172381.0320698673</v>
      </c>
      <c r="V3" s="155">
        <v>258571.54810480092</v>
      </c>
      <c r="W3" s="155">
        <v>1465238.7725938722</v>
      </c>
      <c r="X3" s="155">
        <v>0</v>
      </c>
      <c r="Y3" s="155">
        <v>1637619.8046637392</v>
      </c>
      <c r="Z3" s="155">
        <v>0</v>
      </c>
      <c r="AA3" s="155">
        <v>0</v>
      </c>
      <c r="AB3" s="156">
        <v>5085240.446061085</v>
      </c>
      <c r="AC3" s="154">
        <v>15829244.599615162</v>
      </c>
      <c r="AD3" s="155">
        <v>6282011.6417814801</v>
      </c>
      <c r="AE3" s="155">
        <v>0</v>
      </c>
      <c r="AF3" s="155">
        <v>0</v>
      </c>
      <c r="AG3" s="155">
        <v>0</v>
      </c>
      <c r="AH3" s="155">
        <v>0</v>
      </c>
      <c r="AI3" s="155">
        <v>0</v>
      </c>
      <c r="AJ3" s="156">
        <v>0</v>
      </c>
      <c r="AK3" s="154">
        <v>0</v>
      </c>
      <c r="AL3" s="155">
        <v>0</v>
      </c>
      <c r="AM3" s="155">
        <v>0</v>
      </c>
      <c r="AN3" s="155">
        <v>0</v>
      </c>
      <c r="AO3" s="155">
        <v>0</v>
      </c>
      <c r="AP3" s="155">
        <v>0</v>
      </c>
      <c r="AQ3" s="155">
        <v>0</v>
      </c>
      <c r="AR3" s="157"/>
      <c r="AS3" s="62">
        <f t="shared" ref="AS3:AZ28" si="0">M3+U3+AC3+AK3</f>
        <v>19061931.295350805</v>
      </c>
      <c r="AT3" s="62">
        <f t="shared" si="0"/>
        <v>7147249.2990290979</v>
      </c>
      <c r="AU3" s="62">
        <f t="shared" si="0"/>
        <v>1465238.7725938722</v>
      </c>
      <c r="AV3" s="62">
        <f t="shared" si="0"/>
        <v>0</v>
      </c>
      <c r="AW3" s="62">
        <f t="shared" si="0"/>
        <v>1637619.8046637392</v>
      </c>
      <c r="AX3" s="62">
        <f t="shared" si="0"/>
        <v>0</v>
      </c>
      <c r="AY3" s="62">
        <f t="shared" si="0"/>
        <v>0</v>
      </c>
      <c r="AZ3" s="62">
        <f t="shared" si="0"/>
        <v>5085240.446061085</v>
      </c>
      <c r="BA3" s="158">
        <f>SUM(AS3:AZ3)</f>
        <v>34397279.617698595</v>
      </c>
    </row>
    <row r="4" spans="1:53" ht="19.5" customHeight="1" thickBot="1" x14ac:dyDescent="0.25">
      <c r="A4" s="906"/>
      <c r="B4" s="159" t="s">
        <v>1802</v>
      </c>
      <c r="C4" s="57">
        <v>44962795.526013903</v>
      </c>
      <c r="D4" s="58">
        <f t="shared" ref="D4:D28" si="1">C4/C$30</f>
        <v>8.1870513959475061E-2</v>
      </c>
      <c r="E4" s="59">
        <v>55.383569667146503</v>
      </c>
      <c r="F4" s="160">
        <v>4103532.1857376532</v>
      </c>
      <c r="G4" s="161">
        <v>487686.69801287673</v>
      </c>
      <c r="H4" s="161">
        <v>121731.82092620224</v>
      </c>
      <c r="I4" s="161">
        <v>80373.181774519093</v>
      </c>
      <c r="J4" s="161">
        <v>11266491.396506637</v>
      </c>
      <c r="K4" s="161">
        <v>28902980.243056018</v>
      </c>
      <c r="L4" s="162">
        <v>0</v>
      </c>
      <c r="M4" s="163">
        <v>3920530.1320734117</v>
      </c>
      <c r="N4" s="164">
        <v>872793.75437784009</v>
      </c>
      <c r="O4" s="164">
        <v>0</v>
      </c>
      <c r="P4" s="164">
        <v>0</v>
      </c>
      <c r="Q4" s="164">
        <v>0</v>
      </c>
      <c r="R4" s="164">
        <v>0</v>
      </c>
      <c r="S4" s="164">
        <v>0</v>
      </c>
      <c r="T4" s="165">
        <v>0</v>
      </c>
      <c r="U4" s="163">
        <v>225329.82793013274</v>
      </c>
      <c r="V4" s="164">
        <v>337994.74189519911</v>
      </c>
      <c r="W4" s="164">
        <v>1915303.5374061286</v>
      </c>
      <c r="X4" s="164">
        <v>0</v>
      </c>
      <c r="Y4" s="164">
        <v>2140633.3653362612</v>
      </c>
      <c r="Z4" s="164">
        <v>0</v>
      </c>
      <c r="AA4" s="164">
        <v>0</v>
      </c>
      <c r="AB4" s="165">
        <v>6647229.9239389161</v>
      </c>
      <c r="AC4" s="163">
        <v>20685590.124127481</v>
      </c>
      <c r="AD4" s="164">
        <v>8217390.1189285321</v>
      </c>
      <c r="AE4" s="164">
        <v>0</v>
      </c>
      <c r="AF4" s="164">
        <v>0</v>
      </c>
      <c r="AG4" s="164">
        <v>0</v>
      </c>
      <c r="AH4" s="164">
        <v>0</v>
      </c>
      <c r="AI4" s="164">
        <v>0</v>
      </c>
      <c r="AJ4" s="165">
        <v>0</v>
      </c>
      <c r="AK4" s="163">
        <v>0</v>
      </c>
      <c r="AL4" s="164">
        <v>0</v>
      </c>
      <c r="AM4" s="164">
        <v>0</v>
      </c>
      <c r="AN4" s="164">
        <v>0</v>
      </c>
      <c r="AO4" s="164">
        <v>0</v>
      </c>
      <c r="AP4" s="164">
        <v>0</v>
      </c>
      <c r="AQ4" s="164">
        <v>0</v>
      </c>
      <c r="AR4" s="165">
        <v>0</v>
      </c>
      <c r="AS4" s="166">
        <f t="shared" si="0"/>
        <v>24831450.084131025</v>
      </c>
      <c r="AT4" s="166">
        <f t="shared" si="0"/>
        <v>9428178.615201572</v>
      </c>
      <c r="AU4" s="166">
        <f t="shared" si="0"/>
        <v>1915303.5374061286</v>
      </c>
      <c r="AV4" s="166">
        <f t="shared" si="0"/>
        <v>0</v>
      </c>
      <c r="AW4" s="166">
        <f t="shared" si="0"/>
        <v>2140633.3653362612</v>
      </c>
      <c r="AX4" s="166">
        <f t="shared" si="0"/>
        <v>0</v>
      </c>
      <c r="AY4" s="166">
        <f t="shared" si="0"/>
        <v>0</v>
      </c>
      <c r="AZ4" s="166">
        <f t="shared" si="0"/>
        <v>6647229.9239389161</v>
      </c>
      <c r="BA4" s="167">
        <f t="shared" ref="BA4:BA31" si="2">SUM(AS4:AZ4)</f>
        <v>44962795.526013903</v>
      </c>
    </row>
    <row r="5" spans="1:53" s="173" customFormat="1" x14ac:dyDescent="0.2">
      <c r="A5" s="901" t="s">
        <v>1455</v>
      </c>
      <c r="B5" s="168" t="s">
        <v>1803</v>
      </c>
      <c r="C5" s="169">
        <v>0</v>
      </c>
      <c r="D5" s="170">
        <f t="shared" si="1"/>
        <v>0</v>
      </c>
      <c r="E5" s="171">
        <v>0</v>
      </c>
      <c r="F5" s="160">
        <v>0</v>
      </c>
      <c r="G5" s="161">
        <v>0</v>
      </c>
      <c r="H5" s="161">
        <v>0</v>
      </c>
      <c r="I5" s="161">
        <v>0</v>
      </c>
      <c r="J5" s="161">
        <v>0</v>
      </c>
      <c r="K5" s="161">
        <v>0</v>
      </c>
      <c r="L5" s="161">
        <v>0</v>
      </c>
      <c r="M5" s="163">
        <v>0</v>
      </c>
      <c r="N5" s="164">
        <v>0</v>
      </c>
      <c r="O5" s="164">
        <v>0</v>
      </c>
      <c r="P5" s="164">
        <v>0</v>
      </c>
      <c r="Q5" s="164">
        <v>0</v>
      </c>
      <c r="R5" s="164">
        <v>0</v>
      </c>
      <c r="S5" s="164">
        <v>0</v>
      </c>
      <c r="T5" s="165">
        <v>0</v>
      </c>
      <c r="U5" s="163">
        <v>0</v>
      </c>
      <c r="V5" s="164">
        <v>0</v>
      </c>
      <c r="W5" s="164">
        <v>0</v>
      </c>
      <c r="X5" s="164">
        <v>0</v>
      </c>
      <c r="Y5" s="164">
        <v>0</v>
      </c>
      <c r="Z5" s="164">
        <v>0</v>
      </c>
      <c r="AA5" s="164">
        <v>0</v>
      </c>
      <c r="AB5" s="165">
        <v>0</v>
      </c>
      <c r="AC5" s="163">
        <v>0</v>
      </c>
      <c r="AD5" s="164">
        <v>0</v>
      </c>
      <c r="AE5" s="164">
        <v>0</v>
      </c>
      <c r="AF5" s="164">
        <v>0</v>
      </c>
      <c r="AG5" s="164">
        <v>0</v>
      </c>
      <c r="AH5" s="164">
        <v>0</v>
      </c>
      <c r="AI5" s="164">
        <v>0</v>
      </c>
      <c r="AJ5" s="165">
        <v>0</v>
      </c>
      <c r="AK5" s="163">
        <v>0</v>
      </c>
      <c r="AL5" s="164">
        <v>0</v>
      </c>
      <c r="AM5" s="164">
        <v>0</v>
      </c>
      <c r="AN5" s="164">
        <v>0</v>
      </c>
      <c r="AO5" s="164">
        <v>0</v>
      </c>
      <c r="AP5" s="164">
        <v>0</v>
      </c>
      <c r="AQ5" s="164">
        <v>0</v>
      </c>
      <c r="AR5" s="165">
        <v>0</v>
      </c>
      <c r="AS5" s="172">
        <f t="shared" si="0"/>
        <v>0</v>
      </c>
      <c r="AT5" s="172">
        <f t="shared" si="0"/>
        <v>0</v>
      </c>
      <c r="AU5" s="172">
        <f t="shared" si="0"/>
        <v>0</v>
      </c>
      <c r="AV5" s="172">
        <f t="shared" si="0"/>
        <v>0</v>
      </c>
      <c r="AW5" s="172">
        <f t="shared" si="0"/>
        <v>0</v>
      </c>
      <c r="AX5" s="172">
        <f t="shared" si="0"/>
        <v>0</v>
      </c>
      <c r="AY5" s="172">
        <f t="shared" si="0"/>
        <v>0</v>
      </c>
      <c r="AZ5" s="172">
        <f t="shared" si="0"/>
        <v>0</v>
      </c>
      <c r="BA5" s="167">
        <f t="shared" si="2"/>
        <v>0</v>
      </c>
    </row>
    <row r="6" spans="1:53" x14ac:dyDescent="0.2">
      <c r="A6" s="902"/>
      <c r="B6" s="159" t="s">
        <v>1804</v>
      </c>
      <c r="C6" s="174">
        <v>15347555.11749785</v>
      </c>
      <c r="D6" s="58">
        <f t="shared" si="1"/>
        <v>2.794559837285799E-2</v>
      </c>
      <c r="E6" s="59">
        <v>92.325096950615716</v>
      </c>
      <c r="F6" s="175">
        <v>894733.86049749935</v>
      </c>
      <c r="G6" s="138">
        <v>727824.03106786753</v>
      </c>
      <c r="H6" s="138">
        <v>618523.40654032386</v>
      </c>
      <c r="I6" s="138">
        <v>73567.567150399409</v>
      </c>
      <c r="J6" s="138">
        <v>2526671.94755285</v>
      </c>
      <c r="K6" s="138">
        <v>10033937.678923406</v>
      </c>
      <c r="L6" s="138">
        <v>472296.62576550397</v>
      </c>
      <c r="M6" s="64">
        <v>1674553.9025025198</v>
      </c>
      <c r="N6" s="65">
        <v>640094.96275357017</v>
      </c>
      <c r="O6" s="65">
        <v>0</v>
      </c>
      <c r="P6" s="65">
        <v>0</v>
      </c>
      <c r="Q6" s="65">
        <v>0</v>
      </c>
      <c r="R6" s="65">
        <v>0</v>
      </c>
      <c r="S6" s="65">
        <v>0</v>
      </c>
      <c r="T6" s="66">
        <v>0</v>
      </c>
      <c r="U6" s="64">
        <v>101687.83633791166</v>
      </c>
      <c r="V6" s="65">
        <v>15651.09262169853</v>
      </c>
      <c r="W6" s="65">
        <v>510031.84203062457</v>
      </c>
      <c r="X6" s="65">
        <v>219597.21043935098</v>
      </c>
      <c r="Y6" s="65">
        <v>560848.0719143491</v>
      </c>
      <c r="Z6" s="65">
        <v>220104.12692545314</v>
      </c>
      <c r="AA6" s="65">
        <v>80459.316654335707</v>
      </c>
      <c r="AB6" s="66">
        <v>818292.45062912616</v>
      </c>
      <c r="AC6" s="64">
        <v>6621879.412535945</v>
      </c>
      <c r="AD6" s="65">
        <v>2990361.2979181465</v>
      </c>
      <c r="AE6" s="65">
        <v>146714.12176358575</v>
      </c>
      <c r="AF6" s="65">
        <v>0</v>
      </c>
      <c r="AG6" s="65">
        <v>0</v>
      </c>
      <c r="AH6" s="65">
        <v>0</v>
      </c>
      <c r="AI6" s="65">
        <v>59878.807191540611</v>
      </c>
      <c r="AJ6" s="66">
        <v>215104.03951418691</v>
      </c>
      <c r="AK6" s="64">
        <v>335837.66814836051</v>
      </c>
      <c r="AL6" s="65">
        <v>136458.95761714349</v>
      </c>
      <c r="AM6" s="65">
        <v>0</v>
      </c>
      <c r="AN6" s="65">
        <v>0</v>
      </c>
      <c r="AO6" s="65">
        <v>0</v>
      </c>
      <c r="AP6" s="65">
        <v>0</v>
      </c>
      <c r="AQ6" s="65">
        <v>0</v>
      </c>
      <c r="AR6" s="66">
        <v>0</v>
      </c>
      <c r="AS6" s="67">
        <f t="shared" si="0"/>
        <v>8733958.8195247371</v>
      </c>
      <c r="AT6" s="67">
        <f t="shared" si="0"/>
        <v>3782566.3109105588</v>
      </c>
      <c r="AU6" s="67">
        <f t="shared" si="0"/>
        <v>656745.96379421034</v>
      </c>
      <c r="AV6" s="67">
        <f t="shared" si="0"/>
        <v>219597.21043935098</v>
      </c>
      <c r="AW6" s="67">
        <f t="shared" si="0"/>
        <v>560848.0719143491</v>
      </c>
      <c r="AX6" s="67">
        <f t="shared" si="0"/>
        <v>220104.12692545314</v>
      </c>
      <c r="AY6" s="67">
        <f t="shared" si="0"/>
        <v>140338.12384587631</v>
      </c>
      <c r="AZ6" s="67">
        <f t="shared" si="0"/>
        <v>1033396.4901433131</v>
      </c>
      <c r="BA6" s="63">
        <f t="shared" si="2"/>
        <v>15347555.11749785</v>
      </c>
    </row>
    <row r="7" spans="1:53" x14ac:dyDescent="0.2">
      <c r="A7" s="902"/>
      <c r="B7" s="159" t="s">
        <v>1805</v>
      </c>
      <c r="C7" s="174">
        <v>9775689.723280102</v>
      </c>
      <c r="D7" s="58">
        <f t="shared" si="1"/>
        <v>1.7800066312386009E-2</v>
      </c>
      <c r="E7" s="59">
        <v>92.325096950615688</v>
      </c>
      <c r="F7" s="60">
        <v>569904.49216005963</v>
      </c>
      <c r="G7" s="61">
        <v>463590.57494145189</v>
      </c>
      <c r="H7" s="61">
        <v>393971.08286197303</v>
      </c>
      <c r="I7" s="61">
        <v>46859.171031022634</v>
      </c>
      <c r="J7" s="61">
        <v>1609374.3141949642</v>
      </c>
      <c r="K7" s="61">
        <v>6391158.7676953841</v>
      </c>
      <c r="L7" s="61">
        <v>300831.32039524679</v>
      </c>
      <c r="M7" s="64">
        <v>1087319.1817228743</v>
      </c>
      <c r="N7" s="65">
        <v>387006.139271633</v>
      </c>
      <c r="O7" s="65">
        <v>0</v>
      </c>
      <c r="P7" s="65">
        <v>0</v>
      </c>
      <c r="Q7" s="65">
        <v>0</v>
      </c>
      <c r="R7" s="65">
        <v>0</v>
      </c>
      <c r="S7" s="65">
        <v>0</v>
      </c>
      <c r="T7" s="66">
        <v>0</v>
      </c>
      <c r="U7" s="64">
        <v>52744.268481620151</v>
      </c>
      <c r="V7" s="65">
        <v>7833.6524910942162</v>
      </c>
      <c r="W7" s="65">
        <v>189737.63971004327</v>
      </c>
      <c r="X7" s="65">
        <v>112144.01593266016</v>
      </c>
      <c r="Y7" s="65">
        <v>490099.47150866076</v>
      </c>
      <c r="Z7" s="65">
        <v>69103.167302520902</v>
      </c>
      <c r="AA7" s="65">
        <v>44811.899700335183</v>
      </c>
      <c r="AB7" s="66">
        <v>642900.19906802976</v>
      </c>
      <c r="AC7" s="64">
        <v>4162711.5007776478</v>
      </c>
      <c r="AD7" s="65">
        <v>2001773.4880817742</v>
      </c>
      <c r="AE7" s="65">
        <v>0</v>
      </c>
      <c r="AF7" s="65">
        <v>0</v>
      </c>
      <c r="AG7" s="65">
        <v>0</v>
      </c>
      <c r="AH7" s="65">
        <v>0</v>
      </c>
      <c r="AI7" s="65">
        <v>0</v>
      </c>
      <c r="AJ7" s="66">
        <v>226673.7788359616</v>
      </c>
      <c r="AK7" s="64">
        <v>300831.32039524679</v>
      </c>
      <c r="AL7" s="65">
        <v>0</v>
      </c>
      <c r="AM7" s="65">
        <v>0</v>
      </c>
      <c r="AN7" s="65">
        <v>0</v>
      </c>
      <c r="AO7" s="65">
        <v>0</v>
      </c>
      <c r="AP7" s="65">
        <v>0</v>
      </c>
      <c r="AQ7" s="65">
        <v>0</v>
      </c>
      <c r="AR7" s="66">
        <v>0</v>
      </c>
      <c r="AS7" s="62">
        <f t="shared" si="0"/>
        <v>5603606.2713773893</v>
      </c>
      <c r="AT7" s="62">
        <f t="shared" si="0"/>
        <v>2396613.2798445015</v>
      </c>
      <c r="AU7" s="62">
        <f t="shared" si="0"/>
        <v>189737.63971004327</v>
      </c>
      <c r="AV7" s="62">
        <f t="shared" si="0"/>
        <v>112144.01593266016</v>
      </c>
      <c r="AW7" s="62">
        <f t="shared" si="0"/>
        <v>490099.47150866076</v>
      </c>
      <c r="AX7" s="62">
        <f t="shared" si="0"/>
        <v>69103.167302520902</v>
      </c>
      <c r="AY7" s="62">
        <f t="shared" si="0"/>
        <v>44811.899700335183</v>
      </c>
      <c r="AZ7" s="62">
        <f t="shared" si="0"/>
        <v>869573.97790399136</v>
      </c>
      <c r="BA7" s="63">
        <f t="shared" si="2"/>
        <v>9775689.723280102</v>
      </c>
    </row>
    <row r="8" spans="1:53" x14ac:dyDescent="0.2">
      <c r="A8" s="902"/>
      <c r="B8" s="159" t="s">
        <v>1806</v>
      </c>
      <c r="C8" s="174">
        <v>29488103.896492932</v>
      </c>
      <c r="D8" s="58">
        <f t="shared" si="1"/>
        <v>5.3693419046853971E-2</v>
      </c>
      <c r="E8" s="59">
        <v>92.325096950615702</v>
      </c>
      <c r="F8" s="60">
        <v>1719101.5009276555</v>
      </c>
      <c r="G8" s="61">
        <v>1398408.4423990396</v>
      </c>
      <c r="H8" s="61">
        <v>1188403.1257642661</v>
      </c>
      <c r="I8" s="61">
        <v>141349.42321007777</v>
      </c>
      <c r="J8" s="61">
        <v>4854634.1310641011</v>
      </c>
      <c r="K8" s="61">
        <v>19278757.724068489</v>
      </c>
      <c r="L8" s="61">
        <v>907449.5490593029</v>
      </c>
      <c r="M8" s="64">
        <v>3367038.5104097067</v>
      </c>
      <c r="N8" s="65">
        <v>961497.24186536227</v>
      </c>
      <c r="O8" s="65">
        <v>118726.74002596918</v>
      </c>
      <c r="P8" s="65">
        <v>0</v>
      </c>
      <c r="Q8" s="65">
        <v>0</v>
      </c>
      <c r="R8" s="65">
        <v>0</v>
      </c>
      <c r="S8" s="65">
        <v>0</v>
      </c>
      <c r="T8" s="66">
        <v>0</v>
      </c>
      <c r="U8" s="64">
        <v>458100.47299010138</v>
      </c>
      <c r="V8" s="65">
        <v>90534.00245193622</v>
      </c>
      <c r="W8" s="65">
        <v>997559.45935597096</v>
      </c>
      <c r="X8" s="65">
        <v>343545.64152403577</v>
      </c>
      <c r="Y8" s="65">
        <v>1044313.7465681074</v>
      </c>
      <c r="Z8" s="65">
        <v>411164.98442470666</v>
      </c>
      <c r="AA8" s="65">
        <v>157665.95797598618</v>
      </c>
      <c r="AB8" s="66">
        <v>1351749.8657732559</v>
      </c>
      <c r="AC8" s="64">
        <v>11716275.511208959</v>
      </c>
      <c r="AD8" s="65">
        <v>6415268.9985720925</v>
      </c>
      <c r="AE8" s="65">
        <v>525550.57127979188</v>
      </c>
      <c r="AF8" s="65">
        <v>0</v>
      </c>
      <c r="AG8" s="65">
        <v>0</v>
      </c>
      <c r="AH8" s="65">
        <v>0</v>
      </c>
      <c r="AI8" s="65">
        <v>91338.902922091656</v>
      </c>
      <c r="AJ8" s="66">
        <v>530323.74008555943</v>
      </c>
      <c r="AK8" s="64">
        <v>515834.88510496251</v>
      </c>
      <c r="AL8" s="65">
        <v>251675.41333271962</v>
      </c>
      <c r="AM8" s="65">
        <v>139939.25062162083</v>
      </c>
      <c r="AN8" s="65">
        <v>0</v>
      </c>
      <c r="AO8" s="65">
        <v>0</v>
      </c>
      <c r="AP8" s="65">
        <v>0</v>
      </c>
      <c r="AQ8" s="65">
        <v>0</v>
      </c>
      <c r="AR8" s="66">
        <v>0</v>
      </c>
      <c r="AS8" s="62">
        <f t="shared" si="0"/>
        <v>16057249.379713729</v>
      </c>
      <c r="AT8" s="62">
        <f t="shared" si="0"/>
        <v>7718975.6562221106</v>
      </c>
      <c r="AU8" s="62">
        <f t="shared" si="0"/>
        <v>1781776.0212833527</v>
      </c>
      <c r="AV8" s="62">
        <f t="shared" si="0"/>
        <v>343545.64152403577</v>
      </c>
      <c r="AW8" s="62">
        <f t="shared" si="0"/>
        <v>1044313.7465681074</v>
      </c>
      <c r="AX8" s="62">
        <f t="shared" si="0"/>
        <v>411164.98442470666</v>
      </c>
      <c r="AY8" s="62">
        <f t="shared" si="0"/>
        <v>249004.86089807784</v>
      </c>
      <c r="AZ8" s="62">
        <f t="shared" si="0"/>
        <v>1882073.6058588154</v>
      </c>
      <c r="BA8" s="63">
        <f t="shared" si="2"/>
        <v>29488103.896492932</v>
      </c>
    </row>
    <row r="9" spans="1:53" x14ac:dyDescent="0.2">
      <c r="A9" s="902"/>
      <c r="B9" s="159" t="s">
        <v>1807</v>
      </c>
      <c r="C9" s="174">
        <v>23935005.240082145</v>
      </c>
      <c r="D9" s="58">
        <f t="shared" si="1"/>
        <v>4.3582058404142476E-2</v>
      </c>
      <c r="E9" s="59">
        <v>92.325096950615716</v>
      </c>
      <c r="F9" s="60">
        <v>1395366.1984292641</v>
      </c>
      <c r="G9" s="61">
        <v>1135064.9575192549</v>
      </c>
      <c r="H9" s="61">
        <v>964607.12232774834</v>
      </c>
      <c r="I9" s="61">
        <v>114730.98430103433</v>
      </c>
      <c r="J9" s="61">
        <v>3940426.0705796089</v>
      </c>
      <c r="K9" s="61">
        <v>15648248.14669528</v>
      </c>
      <c r="L9" s="61">
        <v>736561.7602299538</v>
      </c>
      <c r="M9" s="64">
        <v>2624514.1567053339</v>
      </c>
      <c r="N9" s="65">
        <v>934770.82703948882</v>
      </c>
      <c r="O9" s="65">
        <v>50484.27883247898</v>
      </c>
      <c r="P9" s="65">
        <v>0</v>
      </c>
      <c r="Q9" s="65">
        <v>0</v>
      </c>
      <c r="R9" s="65">
        <v>0</v>
      </c>
      <c r="S9" s="65">
        <v>0</v>
      </c>
      <c r="T9" s="66">
        <v>0</v>
      </c>
      <c r="U9" s="64">
        <v>169716.87899562062</v>
      </c>
      <c r="V9" s="65">
        <v>48736.791878293101</v>
      </c>
      <c r="W9" s="65">
        <v>531778.82693040872</v>
      </c>
      <c r="X9" s="65">
        <v>192001.24017173125</v>
      </c>
      <c r="Y9" s="65">
        <v>1294596.4116856148</v>
      </c>
      <c r="Z9" s="65">
        <v>357113.48479489156</v>
      </c>
      <c r="AA9" s="65">
        <v>143757.11261244744</v>
      </c>
      <c r="AB9" s="66">
        <v>1202725.3235106007</v>
      </c>
      <c r="AC9" s="64">
        <v>10789896.878575906</v>
      </c>
      <c r="AD9" s="65">
        <v>4659798.3434358919</v>
      </c>
      <c r="AE9" s="65">
        <v>16694.191843506916</v>
      </c>
      <c r="AF9" s="65">
        <v>0</v>
      </c>
      <c r="AG9" s="65">
        <v>0</v>
      </c>
      <c r="AH9" s="65">
        <v>0</v>
      </c>
      <c r="AI9" s="65">
        <v>19414.921934670536</v>
      </c>
      <c r="AJ9" s="66">
        <v>162443.81090530622</v>
      </c>
      <c r="AK9" s="64">
        <v>504583.62257053575</v>
      </c>
      <c r="AL9" s="65">
        <v>231978.13765941796</v>
      </c>
      <c r="AM9" s="65">
        <v>0</v>
      </c>
      <c r="AN9" s="65">
        <v>0</v>
      </c>
      <c r="AO9" s="65">
        <v>0</v>
      </c>
      <c r="AP9" s="65">
        <v>0</v>
      </c>
      <c r="AQ9" s="65">
        <v>0</v>
      </c>
      <c r="AR9" s="66">
        <v>0</v>
      </c>
      <c r="AS9" s="62">
        <f t="shared" si="0"/>
        <v>14088711.536847396</v>
      </c>
      <c r="AT9" s="62">
        <f t="shared" si="0"/>
        <v>5875284.1000130922</v>
      </c>
      <c r="AU9" s="62">
        <f t="shared" si="0"/>
        <v>598957.29760639463</v>
      </c>
      <c r="AV9" s="62">
        <f t="shared" si="0"/>
        <v>192001.24017173125</v>
      </c>
      <c r="AW9" s="62">
        <f t="shared" si="0"/>
        <v>1294596.4116856148</v>
      </c>
      <c r="AX9" s="62">
        <f t="shared" si="0"/>
        <v>357113.48479489156</v>
      </c>
      <c r="AY9" s="62">
        <f t="shared" si="0"/>
        <v>163172.03454711798</v>
      </c>
      <c r="AZ9" s="62">
        <f t="shared" si="0"/>
        <v>1365169.1344159069</v>
      </c>
      <c r="BA9" s="63">
        <f t="shared" si="2"/>
        <v>23935005.240082145</v>
      </c>
    </row>
    <row r="10" spans="1:53" x14ac:dyDescent="0.2">
      <c r="A10" s="902"/>
      <c r="B10" s="159" t="s">
        <v>1808</v>
      </c>
      <c r="C10" s="174">
        <v>16610568.537238672</v>
      </c>
      <c r="D10" s="58">
        <f t="shared" si="1"/>
        <v>3.0245356575215973E-2</v>
      </c>
      <c r="E10" s="59">
        <v>92.325096950615716</v>
      </c>
      <c r="F10" s="60">
        <v>968365.18902203196</v>
      </c>
      <c r="G10" s="61">
        <v>787719.66339568584</v>
      </c>
      <c r="H10" s="61">
        <v>669424.24103177851</v>
      </c>
      <c r="I10" s="61">
        <v>79621.744760923422</v>
      </c>
      <c r="J10" s="61">
        <v>2734602.171787953</v>
      </c>
      <c r="K10" s="61">
        <v>10859671.670057589</v>
      </c>
      <c r="L10" s="61">
        <v>511163.85718271171</v>
      </c>
      <c r="M10" s="64">
        <v>1879371.1136497634</v>
      </c>
      <c r="N10" s="65">
        <v>625745.11848823749</v>
      </c>
      <c r="O10" s="65">
        <v>0</v>
      </c>
      <c r="P10" s="65">
        <v>0</v>
      </c>
      <c r="Q10" s="65">
        <v>0</v>
      </c>
      <c r="R10" s="65">
        <v>0</v>
      </c>
      <c r="S10" s="65">
        <v>0</v>
      </c>
      <c r="T10" s="66">
        <v>14.606072418693502</v>
      </c>
      <c r="U10" s="64">
        <v>56223.717307023922</v>
      </c>
      <c r="V10" s="65">
        <v>127817.40295091413</v>
      </c>
      <c r="W10" s="65">
        <v>373327.47584755335</v>
      </c>
      <c r="X10" s="65">
        <v>78583.143372521707</v>
      </c>
      <c r="Y10" s="65">
        <v>796593.03951106395</v>
      </c>
      <c r="Z10" s="65">
        <v>315192.95581559453</v>
      </c>
      <c r="AA10" s="65">
        <v>84312.192576945221</v>
      </c>
      <c r="AB10" s="66">
        <v>902552.2444063361</v>
      </c>
      <c r="AC10" s="64">
        <v>7049694.2243986726</v>
      </c>
      <c r="AD10" s="65">
        <v>3316152.785815795</v>
      </c>
      <c r="AE10" s="65">
        <v>0</v>
      </c>
      <c r="AF10" s="65">
        <v>0</v>
      </c>
      <c r="AG10" s="65">
        <v>0</v>
      </c>
      <c r="AH10" s="65">
        <v>0</v>
      </c>
      <c r="AI10" s="65">
        <v>90424.789541529521</v>
      </c>
      <c r="AJ10" s="66">
        <v>403399.87030159082</v>
      </c>
      <c r="AK10" s="64">
        <v>342864.0435004913</v>
      </c>
      <c r="AL10" s="65">
        <v>168299.81368222041</v>
      </c>
      <c r="AM10" s="65">
        <v>0</v>
      </c>
      <c r="AN10" s="65">
        <v>0</v>
      </c>
      <c r="AO10" s="65">
        <v>0</v>
      </c>
      <c r="AP10" s="65">
        <v>0</v>
      </c>
      <c r="AQ10" s="65">
        <v>0</v>
      </c>
      <c r="AR10" s="66">
        <v>0</v>
      </c>
      <c r="AS10" s="62">
        <f t="shared" si="0"/>
        <v>9328153.0988559499</v>
      </c>
      <c r="AT10" s="62">
        <f t="shared" si="0"/>
        <v>4238015.1209371667</v>
      </c>
      <c r="AU10" s="62">
        <f t="shared" si="0"/>
        <v>373327.47584755335</v>
      </c>
      <c r="AV10" s="62">
        <f t="shared" si="0"/>
        <v>78583.143372521707</v>
      </c>
      <c r="AW10" s="62">
        <f t="shared" si="0"/>
        <v>796593.03951106395</v>
      </c>
      <c r="AX10" s="62">
        <f t="shared" si="0"/>
        <v>315192.95581559453</v>
      </c>
      <c r="AY10" s="62">
        <f t="shared" si="0"/>
        <v>174736.98211847473</v>
      </c>
      <c r="AZ10" s="62">
        <f t="shared" si="0"/>
        <v>1305966.7207803456</v>
      </c>
      <c r="BA10" s="63">
        <f t="shared" si="2"/>
        <v>16610568.537238669</v>
      </c>
    </row>
    <row r="11" spans="1:53" x14ac:dyDescent="0.2">
      <c r="A11" s="902"/>
      <c r="B11" s="159" t="s">
        <v>1809</v>
      </c>
      <c r="C11" s="174">
        <v>78375533.713674605</v>
      </c>
      <c r="D11" s="58">
        <f t="shared" si="1"/>
        <v>0.14271010402976964</v>
      </c>
      <c r="E11" s="59">
        <v>92.325096950615702</v>
      </c>
      <c r="F11" s="60">
        <v>4569147.5489954576</v>
      </c>
      <c r="G11" s="61">
        <v>3716787.2307913341</v>
      </c>
      <c r="H11" s="61">
        <v>3158620.4923759447</v>
      </c>
      <c r="I11" s="61">
        <v>375688.32920205069</v>
      </c>
      <c r="J11" s="61">
        <v>12902984.279434174</v>
      </c>
      <c r="K11" s="61">
        <v>51240423.299654685</v>
      </c>
      <c r="L11" s="61">
        <v>2411882.5332209594</v>
      </c>
      <c r="M11" s="64">
        <v>8652265.4779239111</v>
      </c>
      <c r="N11" s="65">
        <v>3167978.1234408752</v>
      </c>
      <c r="O11" s="65">
        <v>0</v>
      </c>
      <c r="P11" s="65">
        <v>0</v>
      </c>
      <c r="Q11" s="65">
        <v>0</v>
      </c>
      <c r="R11" s="65">
        <v>0</v>
      </c>
      <c r="S11" s="65">
        <v>0</v>
      </c>
      <c r="T11" s="66">
        <v>0</v>
      </c>
      <c r="U11" s="64">
        <v>895064.58898701216</v>
      </c>
      <c r="V11" s="65">
        <v>210870.66491157387</v>
      </c>
      <c r="W11" s="65">
        <v>1757502.0345002031</v>
      </c>
      <c r="X11" s="65">
        <v>203770.52842316352</v>
      </c>
      <c r="Y11" s="65">
        <v>4372867.9796338566</v>
      </c>
      <c r="Z11" s="65">
        <v>1094017.3979818092</v>
      </c>
      <c r="AA11" s="65">
        <v>290102.83154979203</v>
      </c>
      <c r="AB11" s="66">
        <v>4078788.2534467643</v>
      </c>
      <c r="AC11" s="64">
        <v>35329320.871670403</v>
      </c>
      <c r="AD11" s="65">
        <v>15261320.868300993</v>
      </c>
      <c r="AE11" s="65">
        <v>135.73654066432192</v>
      </c>
      <c r="AF11" s="65">
        <v>0</v>
      </c>
      <c r="AG11" s="65">
        <v>0</v>
      </c>
      <c r="AH11" s="65">
        <v>0</v>
      </c>
      <c r="AI11" s="65">
        <v>63110.874252552305</v>
      </c>
      <c r="AJ11" s="66">
        <v>586534.94889008068</v>
      </c>
      <c r="AK11" s="64">
        <v>1631033.893329449</v>
      </c>
      <c r="AL11" s="65">
        <v>780848.63989151036</v>
      </c>
      <c r="AM11" s="65">
        <v>0</v>
      </c>
      <c r="AN11" s="65">
        <v>0</v>
      </c>
      <c r="AO11" s="65">
        <v>0</v>
      </c>
      <c r="AP11" s="65">
        <v>0</v>
      </c>
      <c r="AQ11" s="65">
        <v>0</v>
      </c>
      <c r="AR11" s="66">
        <v>0</v>
      </c>
      <c r="AS11" s="62">
        <f t="shared" si="0"/>
        <v>46507684.831910774</v>
      </c>
      <c r="AT11" s="62">
        <f t="shared" si="0"/>
        <v>19421018.29654495</v>
      </c>
      <c r="AU11" s="62">
        <f t="shared" si="0"/>
        <v>1757637.7710408673</v>
      </c>
      <c r="AV11" s="62">
        <f t="shared" si="0"/>
        <v>203770.52842316352</v>
      </c>
      <c r="AW11" s="62">
        <f t="shared" si="0"/>
        <v>4372867.9796338566</v>
      </c>
      <c r="AX11" s="62">
        <f t="shared" si="0"/>
        <v>1094017.3979818092</v>
      </c>
      <c r="AY11" s="62">
        <f t="shared" si="0"/>
        <v>353213.70580234431</v>
      </c>
      <c r="AZ11" s="62">
        <f t="shared" si="0"/>
        <v>4665323.202336845</v>
      </c>
      <c r="BA11" s="63">
        <f t="shared" si="2"/>
        <v>78375533.71367462</v>
      </c>
    </row>
    <row r="12" spans="1:53" s="36" customFormat="1" ht="13.5" thickBot="1" x14ac:dyDescent="0.25">
      <c r="A12" s="903"/>
      <c r="B12" s="176" t="s">
        <v>1810</v>
      </c>
      <c r="C12" s="177">
        <v>19991192.019257538</v>
      </c>
      <c r="D12" s="68">
        <f t="shared" si="1"/>
        <v>3.6400965423340717E-2</v>
      </c>
      <c r="E12" s="69">
        <v>92.325096950615702</v>
      </c>
      <c r="F12" s="70">
        <v>1165449.2376407394</v>
      </c>
      <c r="G12" s="71">
        <v>948038.29339040269</v>
      </c>
      <c r="H12" s="71">
        <v>805667.09771613497</v>
      </c>
      <c r="I12" s="71">
        <v>95826.556740395681</v>
      </c>
      <c r="J12" s="71">
        <v>3291155.0853863554</v>
      </c>
      <c r="K12" s="71">
        <v>13069858.574407509</v>
      </c>
      <c r="L12" s="71">
        <v>615197.17397600214</v>
      </c>
      <c r="M12" s="72">
        <v>2005770.7505679845</v>
      </c>
      <c r="N12" s="73">
        <v>1009210.4349196877</v>
      </c>
      <c r="O12" s="73">
        <v>0</v>
      </c>
      <c r="P12" s="73">
        <v>0</v>
      </c>
      <c r="Q12" s="73">
        <v>0</v>
      </c>
      <c r="R12" s="73">
        <v>0</v>
      </c>
      <c r="S12" s="73">
        <v>0</v>
      </c>
      <c r="T12" s="74">
        <v>0</v>
      </c>
      <c r="U12" s="72">
        <v>647923.36680807953</v>
      </c>
      <c r="V12" s="73">
        <v>150950.34049636943</v>
      </c>
      <c r="W12" s="73">
        <v>526039.41975393961</v>
      </c>
      <c r="X12" s="73">
        <v>134887.83931300163</v>
      </c>
      <c r="Y12" s="73">
        <v>744069.70160692558</v>
      </c>
      <c r="Z12" s="73">
        <v>203339.30652170378</v>
      </c>
      <c r="AA12" s="73">
        <v>87693.058411811988</v>
      </c>
      <c r="AB12" s="74">
        <v>796252.05247452366</v>
      </c>
      <c r="AC12" s="72">
        <v>6954956.5113566583</v>
      </c>
      <c r="AD12" s="73">
        <v>5049265.2735583549</v>
      </c>
      <c r="AE12" s="73">
        <v>678159.06604041741</v>
      </c>
      <c r="AF12" s="73">
        <v>0</v>
      </c>
      <c r="AG12" s="73">
        <v>0</v>
      </c>
      <c r="AH12" s="73">
        <v>0</v>
      </c>
      <c r="AI12" s="73">
        <v>17382.150455331401</v>
      </c>
      <c r="AJ12" s="74">
        <v>370095.57299674809</v>
      </c>
      <c r="AK12" s="72">
        <v>408924.59011785145</v>
      </c>
      <c r="AL12" s="73">
        <v>203791.36496143378</v>
      </c>
      <c r="AM12" s="73">
        <v>2481.2188967169814</v>
      </c>
      <c r="AN12" s="73">
        <v>0</v>
      </c>
      <c r="AO12" s="73">
        <v>0</v>
      </c>
      <c r="AP12" s="73">
        <v>0</v>
      </c>
      <c r="AQ12" s="73">
        <v>0</v>
      </c>
      <c r="AR12" s="74">
        <v>0</v>
      </c>
      <c r="AS12" s="75">
        <f t="shared" si="0"/>
        <v>10017575.218850574</v>
      </c>
      <c r="AT12" s="75">
        <f t="shared" si="0"/>
        <v>6413217.4139358457</v>
      </c>
      <c r="AU12" s="75">
        <f t="shared" si="0"/>
        <v>1206679.7046910741</v>
      </c>
      <c r="AV12" s="75">
        <f t="shared" si="0"/>
        <v>134887.83931300163</v>
      </c>
      <c r="AW12" s="75">
        <f t="shared" si="0"/>
        <v>744069.70160692558</v>
      </c>
      <c r="AX12" s="75">
        <f t="shared" si="0"/>
        <v>203339.30652170378</v>
      </c>
      <c r="AY12" s="75">
        <f t="shared" si="0"/>
        <v>105075.20886714339</v>
      </c>
      <c r="AZ12" s="75">
        <f t="shared" si="0"/>
        <v>1166347.6254712718</v>
      </c>
      <c r="BA12" s="76">
        <f t="shared" si="2"/>
        <v>19991192.019257538</v>
      </c>
    </row>
    <row r="13" spans="1:53" x14ac:dyDescent="0.2">
      <c r="A13" s="905" t="s">
        <v>1636</v>
      </c>
      <c r="B13" s="77" t="s">
        <v>1811</v>
      </c>
      <c r="C13" s="57">
        <v>4442987.8062184351</v>
      </c>
      <c r="D13" s="58">
        <f t="shared" si="1"/>
        <v>8.0900151103890094E-3</v>
      </c>
      <c r="E13" s="59">
        <v>141.604614679127</v>
      </c>
      <c r="F13" s="60">
        <v>169259.17517266417</v>
      </c>
      <c r="G13" s="61">
        <v>39183.843101471008</v>
      </c>
      <c r="H13" s="61">
        <v>21859.0988477215</v>
      </c>
      <c r="I13" s="61">
        <v>4909.2263456678638</v>
      </c>
      <c r="J13" s="61">
        <v>1858111.8173282866</v>
      </c>
      <c r="K13" s="61">
        <v>2144566.6444759206</v>
      </c>
      <c r="L13" s="78">
        <v>205098.00094670246</v>
      </c>
      <c r="M13" s="64">
        <v>137934.02680676509</v>
      </c>
      <c r="N13" s="65">
        <v>97277.31666075949</v>
      </c>
      <c r="O13" s="65">
        <v>0</v>
      </c>
      <c r="P13" s="65">
        <v>0</v>
      </c>
      <c r="Q13" s="65">
        <v>0</v>
      </c>
      <c r="R13" s="65">
        <v>0</v>
      </c>
      <c r="S13" s="65">
        <v>0</v>
      </c>
      <c r="T13" s="66">
        <v>0</v>
      </c>
      <c r="U13" s="64">
        <v>140576.72146277488</v>
      </c>
      <c r="V13" s="65">
        <v>12443.728007353993</v>
      </c>
      <c r="W13" s="65">
        <v>373753.5530040476</v>
      </c>
      <c r="X13" s="65">
        <v>359660.22444605251</v>
      </c>
      <c r="Y13" s="65">
        <v>401941.42184487538</v>
      </c>
      <c r="Z13" s="65">
        <v>70590.525001990201</v>
      </c>
      <c r="AA13" s="65">
        <v>116825.66934066512</v>
      </c>
      <c r="AB13" s="66">
        <v>382319.97422052693</v>
      </c>
      <c r="AC13" s="64">
        <v>1100353.0825032438</v>
      </c>
      <c r="AD13" s="65">
        <v>1010626.7032852992</v>
      </c>
      <c r="AE13" s="65">
        <v>0</v>
      </c>
      <c r="AF13" s="65">
        <v>0</v>
      </c>
      <c r="AG13" s="65">
        <v>0</v>
      </c>
      <c r="AH13" s="65">
        <v>0</v>
      </c>
      <c r="AI13" s="65">
        <v>17302.888919636429</v>
      </c>
      <c r="AJ13" s="66">
        <v>16283.96976774107</v>
      </c>
      <c r="AK13" s="64">
        <v>132025.25969283318</v>
      </c>
      <c r="AL13" s="65">
        <v>54804.647697949513</v>
      </c>
      <c r="AM13" s="65">
        <v>0</v>
      </c>
      <c r="AN13" s="65">
        <v>0</v>
      </c>
      <c r="AO13" s="65">
        <v>0</v>
      </c>
      <c r="AP13" s="65">
        <v>0</v>
      </c>
      <c r="AQ13" s="65">
        <v>18268.093555919786</v>
      </c>
      <c r="AR13" s="66">
        <v>0</v>
      </c>
      <c r="AS13" s="67">
        <f t="shared" si="0"/>
        <v>1510889.0904656169</v>
      </c>
      <c r="AT13" s="67">
        <f t="shared" si="0"/>
        <v>1175152.3956513624</v>
      </c>
      <c r="AU13" s="67">
        <f t="shared" si="0"/>
        <v>373753.5530040476</v>
      </c>
      <c r="AV13" s="67">
        <f t="shared" si="0"/>
        <v>359660.22444605251</v>
      </c>
      <c r="AW13" s="67">
        <f t="shared" si="0"/>
        <v>401941.42184487538</v>
      </c>
      <c r="AX13" s="67">
        <f t="shared" si="0"/>
        <v>70590.525001990201</v>
      </c>
      <c r="AY13" s="67">
        <f>S13+AA13+AI13+AQ13</f>
        <v>152396.65181622133</v>
      </c>
      <c r="AZ13" s="67">
        <f t="shared" si="0"/>
        <v>398603.94398826797</v>
      </c>
      <c r="BA13" s="63">
        <f t="shared" si="2"/>
        <v>4442987.8062184351</v>
      </c>
    </row>
    <row r="14" spans="1:53" x14ac:dyDescent="0.2">
      <c r="A14" s="907"/>
      <c r="B14" s="77" t="s">
        <v>1812</v>
      </c>
      <c r="C14" s="57">
        <v>8169233.5181015972</v>
      </c>
      <c r="D14" s="58">
        <f t="shared" si="1"/>
        <v>1.4874950255150236E-2</v>
      </c>
      <c r="E14" s="59">
        <v>141.604614679127</v>
      </c>
      <c r="F14" s="60">
        <v>311213.48681882425</v>
      </c>
      <c r="G14" s="61">
        <v>72046.554794625859</v>
      </c>
      <c r="H14" s="61">
        <v>40191.89130619981</v>
      </c>
      <c r="I14" s="61">
        <v>9026.4970691224134</v>
      </c>
      <c r="J14" s="61">
        <v>3416473.3284331309</v>
      </c>
      <c r="K14" s="61">
        <v>3943172.1350517781</v>
      </c>
      <c r="L14" s="78">
        <v>377109.6246279144</v>
      </c>
      <c r="M14" s="64">
        <v>432478.42998877232</v>
      </c>
      <c r="N14" s="65">
        <v>0</v>
      </c>
      <c r="O14" s="65">
        <v>0</v>
      </c>
      <c r="P14" s="65">
        <v>0</v>
      </c>
      <c r="Q14" s="65">
        <v>0</v>
      </c>
      <c r="R14" s="65">
        <v>0</v>
      </c>
      <c r="S14" s="65">
        <v>0</v>
      </c>
      <c r="T14" s="66">
        <v>0</v>
      </c>
      <c r="U14" s="64">
        <v>104084.03433983016</v>
      </c>
      <c r="V14" s="65">
        <v>26391.464520370548</v>
      </c>
      <c r="W14" s="65">
        <v>614021.9580951453</v>
      </c>
      <c r="X14" s="65">
        <v>462107.20497227821</v>
      </c>
      <c r="Y14" s="65">
        <v>833042.08265726699</v>
      </c>
      <c r="Z14" s="65">
        <v>152820.74599377968</v>
      </c>
      <c r="AA14" s="65">
        <v>150115.93636314021</v>
      </c>
      <c r="AB14" s="66">
        <v>1073889.9014913195</v>
      </c>
      <c r="AC14" s="64">
        <v>3519474.5995497908</v>
      </c>
      <c r="AD14" s="65">
        <v>402798.30001233454</v>
      </c>
      <c r="AE14" s="65">
        <v>0</v>
      </c>
      <c r="AF14" s="65">
        <v>0</v>
      </c>
      <c r="AG14" s="65">
        <v>0</v>
      </c>
      <c r="AH14" s="65">
        <v>0</v>
      </c>
      <c r="AI14" s="65">
        <v>20899.235489652616</v>
      </c>
      <c r="AJ14" s="66">
        <v>0</v>
      </c>
      <c r="AK14" s="64">
        <v>186238.18526236436</v>
      </c>
      <c r="AL14" s="65">
        <v>190871.43936555003</v>
      </c>
      <c r="AM14" s="65">
        <v>0</v>
      </c>
      <c r="AN14" s="65">
        <v>0</v>
      </c>
      <c r="AO14" s="65">
        <v>0</v>
      </c>
      <c r="AP14" s="65">
        <v>0</v>
      </c>
      <c r="AQ14" s="65">
        <v>0</v>
      </c>
      <c r="AR14" s="66">
        <v>0</v>
      </c>
      <c r="AS14" s="62">
        <f t="shared" si="0"/>
        <v>4242275.2491407581</v>
      </c>
      <c r="AT14" s="62">
        <f t="shared" si="0"/>
        <v>620061.20389825513</v>
      </c>
      <c r="AU14" s="62">
        <f t="shared" si="0"/>
        <v>614021.9580951453</v>
      </c>
      <c r="AV14" s="62">
        <f t="shared" si="0"/>
        <v>462107.20497227821</v>
      </c>
      <c r="AW14" s="62">
        <f t="shared" si="0"/>
        <v>833042.08265726699</v>
      </c>
      <c r="AX14" s="62">
        <f t="shared" si="0"/>
        <v>152820.74599377968</v>
      </c>
      <c r="AY14" s="62">
        <f t="shared" si="0"/>
        <v>171015.17185279282</v>
      </c>
      <c r="AZ14" s="62">
        <f t="shared" si="0"/>
        <v>1073889.9014913195</v>
      </c>
      <c r="BA14" s="63">
        <f t="shared" si="2"/>
        <v>8169233.5181015963</v>
      </c>
    </row>
    <row r="15" spans="1:53" x14ac:dyDescent="0.2">
      <c r="A15" s="907"/>
      <c r="B15" s="77" t="s">
        <v>1813</v>
      </c>
      <c r="C15" s="57">
        <v>5880425.3125215936</v>
      </c>
      <c r="D15" s="58">
        <f t="shared" si="1"/>
        <v>1.070737344073522E-2</v>
      </c>
      <c r="E15" s="59">
        <v>141.60461467912702</v>
      </c>
      <c r="F15" s="60">
        <v>224019.50702381178</v>
      </c>
      <c r="G15" s="61">
        <v>51860.971235003315</v>
      </c>
      <c r="H15" s="61">
        <v>28931.161592013952</v>
      </c>
      <c r="I15" s="61">
        <v>6497.5057612264591</v>
      </c>
      <c r="J15" s="61">
        <v>2459265.755539543</v>
      </c>
      <c r="K15" s="61">
        <v>2838397.1621338488</v>
      </c>
      <c r="L15" s="78">
        <v>271453.24923614523</v>
      </c>
      <c r="M15" s="64">
        <v>216126.20932023617</v>
      </c>
      <c r="N15" s="65">
        <v>95182.936291819351</v>
      </c>
      <c r="O15" s="65">
        <v>0</v>
      </c>
      <c r="P15" s="65">
        <v>0</v>
      </c>
      <c r="Q15" s="65">
        <v>0</v>
      </c>
      <c r="R15" s="65">
        <v>0</v>
      </c>
      <c r="S15" s="65">
        <v>0</v>
      </c>
      <c r="T15" s="66">
        <v>0</v>
      </c>
      <c r="U15" s="64">
        <v>85249.57085675378</v>
      </c>
      <c r="V15" s="65">
        <v>11895.311941975517</v>
      </c>
      <c r="W15" s="65">
        <v>358786.66264350328</v>
      </c>
      <c r="X15" s="65">
        <v>316930.84850593837</v>
      </c>
      <c r="Y15" s="65">
        <v>581493.72094460123</v>
      </c>
      <c r="Z15" s="65">
        <v>142879.84662692071</v>
      </c>
      <c r="AA15" s="65">
        <v>74215.264505747691</v>
      </c>
      <c r="AB15" s="66">
        <v>887814.52951410215</v>
      </c>
      <c r="AC15" s="64">
        <v>1596893.548270162</v>
      </c>
      <c r="AD15" s="65">
        <v>570827.27466090699</v>
      </c>
      <c r="AE15" s="65">
        <v>622123.38334269868</v>
      </c>
      <c r="AF15" s="65">
        <v>0</v>
      </c>
      <c r="AG15" s="65">
        <v>0</v>
      </c>
      <c r="AH15" s="65">
        <v>0</v>
      </c>
      <c r="AI15" s="65">
        <v>973.69799759660907</v>
      </c>
      <c r="AJ15" s="66">
        <v>47579.25786248425</v>
      </c>
      <c r="AK15" s="64">
        <v>158181.08845915002</v>
      </c>
      <c r="AL15" s="65">
        <v>24894.61496090658</v>
      </c>
      <c r="AM15" s="65">
        <v>88377.545816088648</v>
      </c>
      <c r="AN15" s="65">
        <v>0</v>
      </c>
      <c r="AO15" s="65">
        <v>0</v>
      </c>
      <c r="AP15" s="65">
        <v>0</v>
      </c>
      <c r="AQ15" s="65">
        <v>0</v>
      </c>
      <c r="AR15" s="66">
        <v>0</v>
      </c>
      <c r="AS15" s="62">
        <f t="shared" si="0"/>
        <v>2056450.4169063019</v>
      </c>
      <c r="AT15" s="62">
        <f t="shared" si="0"/>
        <v>702800.13785560848</v>
      </c>
      <c r="AU15" s="62">
        <f t="shared" si="0"/>
        <v>1069287.5918022906</v>
      </c>
      <c r="AV15" s="62">
        <f t="shared" si="0"/>
        <v>316930.84850593837</v>
      </c>
      <c r="AW15" s="62">
        <f t="shared" si="0"/>
        <v>581493.72094460123</v>
      </c>
      <c r="AX15" s="62">
        <f t="shared" si="0"/>
        <v>142879.84662692071</v>
      </c>
      <c r="AY15" s="62">
        <f t="shared" si="0"/>
        <v>75188.962503344301</v>
      </c>
      <c r="AZ15" s="62">
        <f t="shared" si="0"/>
        <v>935393.78737658635</v>
      </c>
      <c r="BA15" s="63">
        <f t="shared" si="2"/>
        <v>5880425.3125215927</v>
      </c>
    </row>
    <row r="16" spans="1:53" x14ac:dyDescent="0.2">
      <c r="A16" s="907"/>
      <c r="B16" s="77" t="s">
        <v>1814</v>
      </c>
      <c r="C16" s="57">
        <v>8936194.1313820612</v>
      </c>
      <c r="D16" s="58">
        <f t="shared" si="1"/>
        <v>1.6271470619628393E-2</v>
      </c>
      <c r="E16" s="59">
        <v>141.604614679127</v>
      </c>
      <c r="F16" s="60">
        <v>340431.46500280255</v>
      </c>
      <c r="G16" s="61">
        <v>78810.576134888834</v>
      </c>
      <c r="H16" s="61">
        <v>43965.268274406262</v>
      </c>
      <c r="I16" s="61">
        <v>9873.9410444437653</v>
      </c>
      <c r="J16" s="61">
        <v>3737225.6332148821</v>
      </c>
      <c r="K16" s="61">
        <v>4313373.0495278444</v>
      </c>
      <c r="L16" s="78">
        <v>412514.19818279095</v>
      </c>
      <c r="M16" s="64">
        <v>395618.39019616606</v>
      </c>
      <c r="N16" s="65">
        <v>77462.860260375324</v>
      </c>
      <c r="O16" s="65">
        <v>0</v>
      </c>
      <c r="P16" s="65">
        <v>0</v>
      </c>
      <c r="Q16" s="65">
        <v>0</v>
      </c>
      <c r="R16" s="65">
        <v>0</v>
      </c>
      <c r="S16" s="65">
        <v>0</v>
      </c>
      <c r="T16" s="66">
        <v>0</v>
      </c>
      <c r="U16" s="64">
        <v>97028.533506760898</v>
      </c>
      <c r="V16" s="65">
        <v>30831.703077630831</v>
      </c>
      <c r="W16" s="65">
        <v>509509.23251453118</v>
      </c>
      <c r="X16" s="65">
        <v>213033.68001914676</v>
      </c>
      <c r="Y16" s="65">
        <v>828961.98933947331</v>
      </c>
      <c r="Z16" s="65">
        <v>52957.669691063398</v>
      </c>
      <c r="AA16" s="65">
        <v>89973.057853865161</v>
      </c>
      <c r="AB16" s="66">
        <v>1914929.7672124102</v>
      </c>
      <c r="AC16" s="64">
        <v>3197591.1269872924</v>
      </c>
      <c r="AD16" s="65">
        <v>528926.294971711</v>
      </c>
      <c r="AE16" s="65">
        <v>244655.98685666162</v>
      </c>
      <c r="AF16" s="65">
        <v>0</v>
      </c>
      <c r="AG16" s="65">
        <v>0</v>
      </c>
      <c r="AH16" s="65">
        <v>0</v>
      </c>
      <c r="AI16" s="65">
        <v>107566.57105345896</v>
      </c>
      <c r="AJ16" s="66">
        <v>234633.06965872055</v>
      </c>
      <c r="AK16" s="64">
        <v>192682.22125335669</v>
      </c>
      <c r="AL16" s="65">
        <v>5875.6933925839576</v>
      </c>
      <c r="AM16" s="65">
        <v>213956.2835368503</v>
      </c>
      <c r="AN16" s="65">
        <v>0</v>
      </c>
      <c r="AO16" s="65">
        <v>0</v>
      </c>
      <c r="AP16" s="65">
        <v>0</v>
      </c>
      <c r="AQ16" s="65">
        <v>0</v>
      </c>
      <c r="AR16" s="66">
        <v>0</v>
      </c>
      <c r="AS16" s="62">
        <f t="shared" si="0"/>
        <v>3882920.2719435762</v>
      </c>
      <c r="AT16" s="62">
        <f t="shared" si="0"/>
        <v>643096.55170230113</v>
      </c>
      <c r="AU16" s="62">
        <f t="shared" si="0"/>
        <v>968121.5029080431</v>
      </c>
      <c r="AV16" s="62">
        <f t="shared" si="0"/>
        <v>213033.68001914676</v>
      </c>
      <c r="AW16" s="62">
        <f t="shared" si="0"/>
        <v>828961.98933947331</v>
      </c>
      <c r="AX16" s="62">
        <f t="shared" si="0"/>
        <v>52957.669691063398</v>
      </c>
      <c r="AY16" s="62">
        <f t="shared" si="0"/>
        <v>197539.62890732411</v>
      </c>
      <c r="AZ16" s="62">
        <f t="shared" si="0"/>
        <v>2149562.8368711309</v>
      </c>
      <c r="BA16" s="63">
        <f t="shared" si="2"/>
        <v>8936194.1313820593</v>
      </c>
    </row>
    <row r="17" spans="1:53" x14ac:dyDescent="0.2">
      <c r="A17" s="907"/>
      <c r="B17" s="77" t="s">
        <v>1815</v>
      </c>
      <c r="C17" s="57">
        <v>24011211.693687584</v>
      </c>
      <c r="D17" s="58">
        <f t="shared" si="1"/>
        <v>4.3720818938284452E-2</v>
      </c>
      <c r="E17" s="59">
        <v>141.60461467912702</v>
      </c>
      <c r="F17" s="60">
        <v>914726.3200861417</v>
      </c>
      <c r="G17" s="61">
        <v>211761.0024418339</v>
      </c>
      <c r="H17" s="61">
        <v>118132.99355251009</v>
      </c>
      <c r="I17" s="61">
        <v>26530.901766842278</v>
      </c>
      <c r="J17" s="61">
        <v>10041782.274074188</v>
      </c>
      <c r="K17" s="61">
        <v>11589868.335821612</v>
      </c>
      <c r="L17" s="78">
        <v>1108409.8659444519</v>
      </c>
      <c r="M17" s="64">
        <v>1131949.9174419632</v>
      </c>
      <c r="N17" s="65">
        <v>139098.57423374013</v>
      </c>
      <c r="O17" s="65">
        <v>0</v>
      </c>
      <c r="P17" s="65">
        <v>0</v>
      </c>
      <c r="Q17" s="65">
        <v>0</v>
      </c>
      <c r="R17" s="65">
        <v>0</v>
      </c>
      <c r="S17" s="65">
        <v>0</v>
      </c>
      <c r="T17" s="66">
        <v>102.726171624389</v>
      </c>
      <c r="U17" s="64">
        <v>153017.35659252276</v>
      </c>
      <c r="V17" s="65">
        <v>120172.06843548569</v>
      </c>
      <c r="W17" s="65">
        <v>2012264.5992783674</v>
      </c>
      <c r="X17" s="65">
        <v>994494.46517966921</v>
      </c>
      <c r="Y17" s="65">
        <v>2503680.4403422363</v>
      </c>
      <c r="Z17" s="65">
        <v>839592.88373312552</v>
      </c>
      <c r="AA17" s="65">
        <v>352019.11322522914</v>
      </c>
      <c r="AB17" s="66">
        <v>3066541.3472875524</v>
      </c>
      <c r="AC17" s="64">
        <v>7344800.4364121938</v>
      </c>
      <c r="AD17" s="65">
        <v>2260162.9561243011</v>
      </c>
      <c r="AE17" s="65">
        <v>749953.92732611531</v>
      </c>
      <c r="AF17" s="65">
        <v>0</v>
      </c>
      <c r="AG17" s="65">
        <v>0</v>
      </c>
      <c r="AH17" s="65">
        <v>0</v>
      </c>
      <c r="AI17" s="65">
        <v>596568.05628693546</v>
      </c>
      <c r="AJ17" s="66">
        <v>638382.95967206685</v>
      </c>
      <c r="AK17" s="64">
        <v>999014.47815479594</v>
      </c>
      <c r="AL17" s="65">
        <v>104814.57861344973</v>
      </c>
      <c r="AM17" s="65">
        <v>0</v>
      </c>
      <c r="AN17" s="65">
        <v>0</v>
      </c>
      <c r="AO17" s="65">
        <v>0</v>
      </c>
      <c r="AP17" s="65">
        <v>0</v>
      </c>
      <c r="AQ17" s="65">
        <v>4558.5028501050792</v>
      </c>
      <c r="AR17" s="66">
        <v>22.30632610119752</v>
      </c>
      <c r="AS17" s="62">
        <f t="shared" si="0"/>
        <v>9628782.1886014752</v>
      </c>
      <c r="AT17" s="62">
        <f t="shared" si="0"/>
        <v>2624248.1774069769</v>
      </c>
      <c r="AU17" s="62">
        <f t="shared" si="0"/>
        <v>2762218.5266044829</v>
      </c>
      <c r="AV17" s="62">
        <f t="shared" si="0"/>
        <v>994494.46517966921</v>
      </c>
      <c r="AW17" s="62">
        <f t="shared" si="0"/>
        <v>2503680.4403422363</v>
      </c>
      <c r="AX17" s="62">
        <f t="shared" si="0"/>
        <v>839592.88373312552</v>
      </c>
      <c r="AY17" s="62">
        <f t="shared" si="0"/>
        <v>953145.6723622696</v>
      </c>
      <c r="AZ17" s="62">
        <f t="shared" si="0"/>
        <v>3705049.3394573447</v>
      </c>
      <c r="BA17" s="63">
        <f t="shared" si="2"/>
        <v>24011211.693687581</v>
      </c>
    </row>
    <row r="18" spans="1:53" x14ac:dyDescent="0.2">
      <c r="A18" s="907"/>
      <c r="B18" s="77" t="s">
        <v>1816</v>
      </c>
      <c r="C18" s="57">
        <v>23497676.752764527</v>
      </c>
      <c r="D18" s="58">
        <f t="shared" si="1"/>
        <v>4.2785748752864276E-2</v>
      </c>
      <c r="E18" s="59">
        <v>141.604614679127</v>
      </c>
      <c r="F18" s="60">
        <v>895162.79564852675</v>
      </c>
      <c r="G18" s="61">
        <v>207232.00676822683</v>
      </c>
      <c r="H18" s="61">
        <v>115606.44801041231</v>
      </c>
      <c r="I18" s="61">
        <v>25963.477463342733</v>
      </c>
      <c r="J18" s="61">
        <v>9827015.6836719811</v>
      </c>
      <c r="K18" s="61">
        <v>11341992.36741695</v>
      </c>
      <c r="L18" s="78">
        <v>1084703.9737850837</v>
      </c>
      <c r="M18" s="64">
        <v>1158807.005191087</v>
      </c>
      <c r="N18" s="65">
        <v>85157.722699421298</v>
      </c>
      <c r="O18" s="65">
        <v>0</v>
      </c>
      <c r="P18" s="65">
        <v>0</v>
      </c>
      <c r="Q18" s="65">
        <v>0</v>
      </c>
      <c r="R18" s="65">
        <v>0</v>
      </c>
      <c r="S18" s="65">
        <v>0</v>
      </c>
      <c r="T18" s="66">
        <v>0</v>
      </c>
      <c r="U18" s="64">
        <v>291635.70589098346</v>
      </c>
      <c r="V18" s="65">
        <v>164970.00243939218</v>
      </c>
      <c r="W18" s="65">
        <v>1759308.9043014972</v>
      </c>
      <c r="X18" s="65">
        <v>1019206.0227526488</v>
      </c>
      <c r="Y18" s="65">
        <v>2460315.9204310863</v>
      </c>
      <c r="Z18" s="65">
        <v>245311.52104428606</v>
      </c>
      <c r="AA18" s="65">
        <v>422349.8673212463</v>
      </c>
      <c r="AB18" s="66">
        <v>3463917.7394908406</v>
      </c>
      <c r="AC18" s="64">
        <v>8039578.3763451269</v>
      </c>
      <c r="AD18" s="65">
        <v>2185836.3867615601</v>
      </c>
      <c r="AE18" s="65">
        <v>582131.69165127375</v>
      </c>
      <c r="AF18" s="65">
        <v>0</v>
      </c>
      <c r="AG18" s="65">
        <v>0</v>
      </c>
      <c r="AH18" s="65">
        <v>0</v>
      </c>
      <c r="AI18" s="65">
        <v>157972.42303074256</v>
      </c>
      <c r="AJ18" s="66">
        <v>376473.48962824699</v>
      </c>
      <c r="AK18" s="64">
        <v>1084703.9737850837</v>
      </c>
      <c r="AL18" s="65">
        <v>0</v>
      </c>
      <c r="AM18" s="65">
        <v>0</v>
      </c>
      <c r="AN18" s="65">
        <v>0</v>
      </c>
      <c r="AO18" s="65">
        <v>0</v>
      </c>
      <c r="AP18" s="65">
        <v>0</v>
      </c>
      <c r="AQ18" s="65">
        <v>0</v>
      </c>
      <c r="AR18" s="66">
        <v>0</v>
      </c>
      <c r="AS18" s="62">
        <f t="shared" si="0"/>
        <v>10574725.061212281</v>
      </c>
      <c r="AT18" s="62">
        <f t="shared" si="0"/>
        <v>2435964.1119003734</v>
      </c>
      <c r="AU18" s="62">
        <f t="shared" si="0"/>
        <v>2341440.5959527707</v>
      </c>
      <c r="AV18" s="62">
        <f t="shared" si="0"/>
        <v>1019206.0227526488</v>
      </c>
      <c r="AW18" s="62">
        <f t="shared" si="0"/>
        <v>2460315.9204310863</v>
      </c>
      <c r="AX18" s="62">
        <f t="shared" si="0"/>
        <v>245311.52104428606</v>
      </c>
      <c r="AY18" s="62">
        <f t="shared" si="0"/>
        <v>580322.29035198886</v>
      </c>
      <c r="AZ18" s="62">
        <f t="shared" si="0"/>
        <v>3840391.2291190876</v>
      </c>
      <c r="BA18" s="63">
        <f t="shared" si="2"/>
        <v>23497676.752764527</v>
      </c>
    </row>
    <row r="19" spans="1:53" x14ac:dyDescent="0.2">
      <c r="A19" s="907"/>
      <c r="B19" s="77" t="s">
        <v>1817</v>
      </c>
      <c r="C19" s="57">
        <v>51321318.408548974</v>
      </c>
      <c r="D19" s="58">
        <f t="shared" si="1"/>
        <v>9.3448431442720567E-2</v>
      </c>
      <c r="E19" s="59">
        <v>141.60461467912702</v>
      </c>
      <c r="F19" s="60">
        <v>1955126.6853460269</v>
      </c>
      <c r="G19" s="61">
        <v>452615.80179595738</v>
      </c>
      <c r="H19" s="61">
        <v>252496.25275084699</v>
      </c>
      <c r="I19" s="61">
        <v>56706.87821223135</v>
      </c>
      <c r="J19" s="61">
        <v>21463202.77591693</v>
      </c>
      <c r="K19" s="61">
        <v>24772066.098281585</v>
      </c>
      <c r="L19" s="78">
        <v>2369103.9162453874</v>
      </c>
      <c r="M19" s="64">
        <v>2506828.8750806861</v>
      </c>
      <c r="N19" s="65">
        <v>210116.74302437637</v>
      </c>
      <c r="O19" s="65">
        <v>0</v>
      </c>
      <c r="P19" s="65">
        <v>0</v>
      </c>
      <c r="Q19" s="65">
        <v>0</v>
      </c>
      <c r="R19" s="65">
        <v>0</v>
      </c>
      <c r="S19" s="65">
        <v>0</v>
      </c>
      <c r="T19" s="66">
        <v>0</v>
      </c>
      <c r="U19" s="64">
        <v>673084.28741643659</v>
      </c>
      <c r="V19" s="65">
        <v>60820.114048518102</v>
      </c>
      <c r="W19" s="65">
        <v>3280161.1701495843</v>
      </c>
      <c r="X19" s="65">
        <v>3604871.3886736045</v>
      </c>
      <c r="Y19" s="65">
        <v>5236646.1461449815</v>
      </c>
      <c r="Z19" s="65">
        <v>725372.90503117221</v>
      </c>
      <c r="AA19" s="65">
        <v>1584772.7835169109</v>
      </c>
      <c r="AB19" s="66">
        <v>6297473.9809357198</v>
      </c>
      <c r="AC19" s="64">
        <v>12373881.452501521</v>
      </c>
      <c r="AD19" s="65">
        <v>3906258.9550083899</v>
      </c>
      <c r="AE19" s="65">
        <v>6906360.6437796028</v>
      </c>
      <c r="AF19" s="65">
        <v>294677.93651885045</v>
      </c>
      <c r="AG19" s="65">
        <v>0</v>
      </c>
      <c r="AH19" s="65">
        <v>0</v>
      </c>
      <c r="AI19" s="65">
        <v>0</v>
      </c>
      <c r="AJ19" s="66">
        <v>1290887.1104732179</v>
      </c>
      <c r="AK19" s="64">
        <v>1475986.3081733049</v>
      </c>
      <c r="AL19" s="65">
        <v>244963.4416785709</v>
      </c>
      <c r="AM19" s="65">
        <v>632755.26061532926</v>
      </c>
      <c r="AN19" s="65">
        <v>12282.438374665608</v>
      </c>
      <c r="AO19" s="65">
        <v>49.074364351369518</v>
      </c>
      <c r="AP19" s="65">
        <v>0</v>
      </c>
      <c r="AQ19" s="65">
        <v>28.040307127497094</v>
      </c>
      <c r="AR19" s="66">
        <v>3039.352732038014</v>
      </c>
      <c r="AS19" s="62">
        <f t="shared" si="0"/>
        <v>17029780.923171949</v>
      </c>
      <c r="AT19" s="62">
        <f t="shared" si="0"/>
        <v>4422159.2537598554</v>
      </c>
      <c r="AU19" s="62">
        <f t="shared" si="0"/>
        <v>10819277.074544515</v>
      </c>
      <c r="AV19" s="62">
        <f t="shared" si="0"/>
        <v>3911831.7635671203</v>
      </c>
      <c r="AW19" s="62">
        <f t="shared" si="0"/>
        <v>5236695.2205093326</v>
      </c>
      <c r="AX19" s="62">
        <f t="shared" si="0"/>
        <v>725372.90503117221</v>
      </c>
      <c r="AY19" s="62">
        <f t="shared" si="0"/>
        <v>1584800.8238240383</v>
      </c>
      <c r="AZ19" s="62">
        <f t="shared" si="0"/>
        <v>7591400.4441409763</v>
      </c>
      <c r="BA19" s="63">
        <f t="shared" si="2"/>
        <v>51321318.408548974</v>
      </c>
    </row>
    <row r="20" spans="1:53" ht="13.5" thickBot="1" x14ac:dyDescent="0.25">
      <c r="A20" s="890"/>
      <c r="B20" s="77" t="s">
        <v>1818</v>
      </c>
      <c r="C20" s="57">
        <v>24931224.521907061</v>
      </c>
      <c r="D20" s="58">
        <f t="shared" si="1"/>
        <v>4.5396024454633192E-2</v>
      </c>
      <c r="E20" s="59">
        <v>141.604614679127</v>
      </c>
      <c r="F20" s="60">
        <v>949774.94485048414</v>
      </c>
      <c r="G20" s="61">
        <v>219874.83031726431</v>
      </c>
      <c r="H20" s="61">
        <v>122659.37359908018</v>
      </c>
      <c r="I20" s="61">
        <v>27547.458960252996</v>
      </c>
      <c r="J20" s="61">
        <v>10426542.88624954</v>
      </c>
      <c r="K20" s="61">
        <v>12033945.364601204</v>
      </c>
      <c r="L20" s="78">
        <v>1150879.6633292299</v>
      </c>
      <c r="M20" s="64">
        <v>973904.63490867044</v>
      </c>
      <c r="N20" s="65">
        <v>337001.61196280218</v>
      </c>
      <c r="O20" s="65">
        <v>8949.0782931108188</v>
      </c>
      <c r="P20" s="65">
        <v>0</v>
      </c>
      <c r="Q20" s="65">
        <v>0</v>
      </c>
      <c r="R20" s="65">
        <v>0</v>
      </c>
      <c r="S20" s="65">
        <v>0</v>
      </c>
      <c r="T20" s="66">
        <v>1.2825624980479653</v>
      </c>
      <c r="U20" s="64">
        <v>361984.7096534723</v>
      </c>
      <c r="V20" s="65">
        <v>88025.140171856328</v>
      </c>
      <c r="W20" s="65">
        <v>1780466.8304246203</v>
      </c>
      <c r="X20" s="65">
        <v>1318812.1591436421</v>
      </c>
      <c r="Y20" s="65">
        <v>2475680.8443285008</v>
      </c>
      <c r="Z20" s="65">
        <v>442917.97398342739</v>
      </c>
      <c r="AA20" s="65">
        <v>466119.26334511384</v>
      </c>
      <c r="AB20" s="66">
        <v>3492535.9651989071</v>
      </c>
      <c r="AC20" s="64">
        <v>7916677.5939243371</v>
      </c>
      <c r="AD20" s="65">
        <v>3700405.4141291804</v>
      </c>
      <c r="AE20" s="65">
        <v>86146.768340725757</v>
      </c>
      <c r="AF20" s="65">
        <v>0</v>
      </c>
      <c r="AG20" s="65">
        <v>0</v>
      </c>
      <c r="AH20" s="65">
        <v>0</v>
      </c>
      <c r="AI20" s="65">
        <v>43130.580079103951</v>
      </c>
      <c r="AJ20" s="66">
        <v>287585.00812785729</v>
      </c>
      <c r="AK20" s="64">
        <v>827016.76545657613</v>
      </c>
      <c r="AL20" s="65">
        <v>294283.06470012647</v>
      </c>
      <c r="AM20" s="65">
        <v>29579.833172527276</v>
      </c>
      <c r="AN20" s="65">
        <v>0</v>
      </c>
      <c r="AO20" s="65">
        <v>0</v>
      </c>
      <c r="AP20" s="65">
        <v>0</v>
      </c>
      <c r="AQ20" s="65">
        <v>0</v>
      </c>
      <c r="AR20" s="66">
        <v>0</v>
      </c>
      <c r="AS20" s="62">
        <f t="shared" si="0"/>
        <v>10079583.703943055</v>
      </c>
      <c r="AT20" s="62">
        <f t="shared" si="0"/>
        <v>4419715.2309639649</v>
      </c>
      <c r="AU20" s="62">
        <f t="shared" si="0"/>
        <v>1905142.5102309841</v>
      </c>
      <c r="AV20" s="62">
        <f t="shared" si="0"/>
        <v>1318812.1591436421</v>
      </c>
      <c r="AW20" s="62">
        <f t="shared" si="0"/>
        <v>2475680.8443285008</v>
      </c>
      <c r="AX20" s="62">
        <f t="shared" si="0"/>
        <v>442917.97398342739</v>
      </c>
      <c r="AY20" s="62">
        <f t="shared" si="0"/>
        <v>509249.84342421778</v>
      </c>
      <c r="AZ20" s="62">
        <f t="shared" si="0"/>
        <v>3780122.2558892625</v>
      </c>
      <c r="BA20" s="63">
        <f t="shared" si="2"/>
        <v>24931224.52190705</v>
      </c>
    </row>
    <row r="21" spans="1:53" s="35" customFormat="1" x14ac:dyDescent="0.2">
      <c r="A21" s="901" t="s">
        <v>1637</v>
      </c>
      <c r="B21" s="79" t="s">
        <v>1819</v>
      </c>
      <c r="C21" s="80">
        <v>9902317.5423552338</v>
      </c>
      <c r="D21" s="81">
        <f t="shared" si="1"/>
        <v>1.8030636598507351E-2</v>
      </c>
      <c r="E21" s="82">
        <v>199.94947393904599</v>
      </c>
      <c r="F21" s="83">
        <v>385851.85027860606</v>
      </c>
      <c r="G21" s="84">
        <v>61543.993272008738</v>
      </c>
      <c r="H21" s="84">
        <v>12107.143179009014</v>
      </c>
      <c r="I21" s="84">
        <v>7619.98388694809</v>
      </c>
      <c r="J21" s="84">
        <v>4840100.3851558315</v>
      </c>
      <c r="K21" s="84">
        <v>4060971.9174332097</v>
      </c>
      <c r="L21" s="84">
        <v>534122.26914962009</v>
      </c>
      <c r="M21" s="85">
        <v>441131.4379183859</v>
      </c>
      <c r="N21" s="86">
        <v>25991.532698185954</v>
      </c>
      <c r="O21" s="87">
        <v>0</v>
      </c>
      <c r="P21" s="87">
        <v>0</v>
      </c>
      <c r="Q21" s="87">
        <v>0</v>
      </c>
      <c r="R21" s="87">
        <v>0</v>
      </c>
      <c r="S21" s="87">
        <v>0</v>
      </c>
      <c r="T21" s="88">
        <v>0</v>
      </c>
      <c r="U21" s="85">
        <v>194622.37668465578</v>
      </c>
      <c r="V21" s="87">
        <v>109952.30535100697</v>
      </c>
      <c r="W21" s="87">
        <v>631958.44573241775</v>
      </c>
      <c r="X21" s="87">
        <v>561009.82386927679</v>
      </c>
      <c r="Y21" s="87">
        <v>2312431.8372348463</v>
      </c>
      <c r="Z21" s="87">
        <v>401398.73698881723</v>
      </c>
      <c r="AA21" s="87">
        <v>75495.738740693938</v>
      </c>
      <c r="AB21" s="88">
        <v>553231.12055411609</v>
      </c>
      <c r="AC21" s="85">
        <v>3975291.4974163952</v>
      </c>
      <c r="AD21" s="87">
        <v>68576.890584375215</v>
      </c>
      <c r="AE21" s="87">
        <v>0</v>
      </c>
      <c r="AF21" s="87">
        <v>0</v>
      </c>
      <c r="AG21" s="87">
        <v>0</v>
      </c>
      <c r="AH21" s="87">
        <v>0</v>
      </c>
      <c r="AI21" s="87">
        <v>16990.025580756006</v>
      </c>
      <c r="AJ21" s="88">
        <v>113.50385168295416</v>
      </c>
      <c r="AK21" s="85">
        <v>357859.94429521344</v>
      </c>
      <c r="AL21" s="87">
        <v>176262.32485440664</v>
      </c>
      <c r="AM21" s="87">
        <v>0</v>
      </c>
      <c r="AN21" s="87">
        <v>0</v>
      </c>
      <c r="AO21" s="87">
        <v>0</v>
      </c>
      <c r="AP21" s="87">
        <v>0</v>
      </c>
      <c r="AQ21" s="87">
        <v>0</v>
      </c>
      <c r="AR21" s="88">
        <v>0</v>
      </c>
      <c r="AS21" s="89">
        <f t="shared" si="0"/>
        <v>4968905.2563146502</v>
      </c>
      <c r="AT21" s="89">
        <f t="shared" si="0"/>
        <v>380783.0534879748</v>
      </c>
      <c r="AU21" s="89">
        <f t="shared" si="0"/>
        <v>631958.44573241775</v>
      </c>
      <c r="AV21" s="89">
        <f t="shared" si="0"/>
        <v>561009.82386927679</v>
      </c>
      <c r="AW21" s="89">
        <f t="shared" si="0"/>
        <v>2312431.8372348463</v>
      </c>
      <c r="AX21" s="89">
        <f t="shared" si="0"/>
        <v>401398.73698881723</v>
      </c>
      <c r="AY21" s="89">
        <f t="shared" si="0"/>
        <v>92485.76432144994</v>
      </c>
      <c r="AZ21" s="89">
        <f t="shared" si="0"/>
        <v>553344.62440579908</v>
      </c>
      <c r="BA21" s="90">
        <f t="shared" si="2"/>
        <v>9902317.5423552319</v>
      </c>
    </row>
    <row r="22" spans="1:53" x14ac:dyDescent="0.2">
      <c r="A22" s="902"/>
      <c r="B22" s="20" t="s">
        <v>1820</v>
      </c>
      <c r="C22" s="57">
        <v>30432882.188917208</v>
      </c>
      <c r="D22" s="58">
        <f t="shared" si="1"/>
        <v>5.5413718762955456E-2</v>
      </c>
      <c r="E22" s="59">
        <v>199.94947393904596</v>
      </c>
      <c r="F22" s="60">
        <v>1185841.9861489926</v>
      </c>
      <c r="G22" s="61">
        <v>189143.71193120489</v>
      </c>
      <c r="H22" s="61">
        <v>37208.992787308453</v>
      </c>
      <c r="I22" s="61">
        <v>23418.56549449559</v>
      </c>
      <c r="J22" s="61">
        <v>14875124.350834122</v>
      </c>
      <c r="K22" s="61">
        <v>12480621.774360036</v>
      </c>
      <c r="L22" s="61">
        <v>1641522.8073610479</v>
      </c>
      <c r="M22" s="64">
        <v>1372869.00646488</v>
      </c>
      <c r="N22" s="65">
        <v>62744.249897121837</v>
      </c>
      <c r="O22" s="65">
        <v>0</v>
      </c>
      <c r="P22" s="65">
        <v>0</v>
      </c>
      <c r="Q22" s="65">
        <v>0</v>
      </c>
      <c r="R22" s="65">
        <v>0</v>
      </c>
      <c r="S22" s="65">
        <v>0</v>
      </c>
      <c r="T22" s="66">
        <v>0</v>
      </c>
      <c r="U22" s="64">
        <v>637653.94901640469</v>
      </c>
      <c r="V22" s="65">
        <v>409501.20531961956</v>
      </c>
      <c r="W22" s="65">
        <v>2286383.1696376358</v>
      </c>
      <c r="X22" s="65">
        <v>671721.33131731697</v>
      </c>
      <c r="Y22" s="65">
        <v>6293049.2566817803</v>
      </c>
      <c r="Z22" s="65">
        <v>583677.15450777567</v>
      </c>
      <c r="AA22" s="65">
        <v>2136992.0714683286</v>
      </c>
      <c r="AB22" s="66">
        <v>1856146.2128852627</v>
      </c>
      <c r="AC22" s="64">
        <v>11750552.236565653</v>
      </c>
      <c r="AD22" s="65">
        <v>364440.32317241572</v>
      </c>
      <c r="AE22" s="65">
        <v>0</v>
      </c>
      <c r="AF22" s="65">
        <v>0</v>
      </c>
      <c r="AG22" s="65">
        <v>0</v>
      </c>
      <c r="AH22" s="65">
        <v>0</v>
      </c>
      <c r="AI22" s="65">
        <v>280955.02391743526</v>
      </c>
      <c r="AJ22" s="66">
        <v>84674.190704532695</v>
      </c>
      <c r="AK22" s="64">
        <v>1099812.1699734535</v>
      </c>
      <c r="AL22" s="65">
        <v>541710.63738759444</v>
      </c>
      <c r="AM22" s="65">
        <v>0</v>
      </c>
      <c r="AN22" s="65">
        <v>0</v>
      </c>
      <c r="AO22" s="65">
        <v>0</v>
      </c>
      <c r="AP22" s="65">
        <v>0</v>
      </c>
      <c r="AQ22" s="65">
        <v>0</v>
      </c>
      <c r="AR22" s="66">
        <v>0</v>
      </c>
      <c r="AS22" s="62">
        <f t="shared" si="0"/>
        <v>14860887.362020392</v>
      </c>
      <c r="AT22" s="62">
        <f t="shared" si="0"/>
        <v>1378396.4157767515</v>
      </c>
      <c r="AU22" s="62">
        <f t="shared" si="0"/>
        <v>2286383.1696376358</v>
      </c>
      <c r="AV22" s="62">
        <f t="shared" si="0"/>
        <v>671721.33131731697</v>
      </c>
      <c r="AW22" s="62">
        <f t="shared" si="0"/>
        <v>6293049.2566817803</v>
      </c>
      <c r="AX22" s="62">
        <f t="shared" si="0"/>
        <v>583677.15450777567</v>
      </c>
      <c r="AY22" s="62">
        <f t="shared" si="0"/>
        <v>2417947.0953857638</v>
      </c>
      <c r="AZ22" s="62">
        <f t="shared" si="0"/>
        <v>1940820.4035897953</v>
      </c>
      <c r="BA22" s="63">
        <f t="shared" si="2"/>
        <v>30432882.188917212</v>
      </c>
    </row>
    <row r="23" spans="1:53" s="36" customFormat="1" ht="13.5" thickBot="1" x14ac:dyDescent="0.25">
      <c r="A23" s="903"/>
      <c r="B23" s="91" t="s">
        <v>1821</v>
      </c>
      <c r="C23" s="92">
        <v>21772801.940473631</v>
      </c>
      <c r="D23" s="68">
        <f t="shared" si="1"/>
        <v>3.9645010154520099E-2</v>
      </c>
      <c r="E23" s="69">
        <v>199.94947393904599</v>
      </c>
      <c r="F23" s="70">
        <v>848394.92154714395</v>
      </c>
      <c r="G23" s="71">
        <v>135320.36014859777</v>
      </c>
      <c r="H23" s="71">
        <v>26620.68039870408</v>
      </c>
      <c r="I23" s="71">
        <v>16754.502090089551</v>
      </c>
      <c r="J23" s="71">
        <v>10642210.432785532</v>
      </c>
      <c r="K23" s="71">
        <v>8929095.3219693061</v>
      </c>
      <c r="L23" s="71">
        <v>1174405.7215342568</v>
      </c>
      <c r="M23" s="72">
        <v>836881.06564445246</v>
      </c>
      <c r="N23" s="73">
        <v>190209.39854008288</v>
      </c>
      <c r="O23" s="73">
        <v>0</v>
      </c>
      <c r="P23" s="73">
        <v>0</v>
      </c>
      <c r="Q23" s="73">
        <v>0</v>
      </c>
      <c r="R23" s="73">
        <v>0</v>
      </c>
      <c r="S23" s="73">
        <v>0</v>
      </c>
      <c r="T23" s="74">
        <v>0</v>
      </c>
      <c r="U23" s="72">
        <v>461930.86564221</v>
      </c>
      <c r="V23" s="73">
        <v>49996.448962243769</v>
      </c>
      <c r="W23" s="73">
        <v>1004531.2533015115</v>
      </c>
      <c r="X23" s="73">
        <v>1365548.5754430369</v>
      </c>
      <c r="Y23" s="73">
        <v>3640490.8666728758</v>
      </c>
      <c r="Z23" s="73">
        <v>862352.60792440909</v>
      </c>
      <c r="AA23" s="73">
        <v>1842260.5997807912</v>
      </c>
      <c r="AB23" s="74">
        <v>1415099.2150584534</v>
      </c>
      <c r="AC23" s="72">
        <v>8557564.0909695569</v>
      </c>
      <c r="AD23" s="73">
        <v>371531.23099974816</v>
      </c>
      <c r="AE23" s="73">
        <v>0</v>
      </c>
      <c r="AF23" s="73">
        <v>0</v>
      </c>
      <c r="AG23" s="73">
        <v>0</v>
      </c>
      <c r="AH23" s="73">
        <v>0</v>
      </c>
      <c r="AI23" s="73">
        <v>0</v>
      </c>
      <c r="AJ23" s="74">
        <v>0</v>
      </c>
      <c r="AK23" s="72">
        <v>1116028.8289433727</v>
      </c>
      <c r="AL23" s="73">
        <v>58376.892590884105</v>
      </c>
      <c r="AM23" s="73">
        <v>0</v>
      </c>
      <c r="AN23" s="73">
        <v>0</v>
      </c>
      <c r="AO23" s="73">
        <v>0</v>
      </c>
      <c r="AP23" s="73">
        <v>0</v>
      </c>
      <c r="AQ23" s="73">
        <v>0</v>
      </c>
      <c r="AR23" s="74">
        <v>0</v>
      </c>
      <c r="AS23" s="75">
        <f t="shared" si="0"/>
        <v>10972404.851199593</v>
      </c>
      <c r="AT23" s="75">
        <f t="shared" si="0"/>
        <v>670113.97109295893</v>
      </c>
      <c r="AU23" s="75">
        <f t="shared" si="0"/>
        <v>1004531.2533015115</v>
      </c>
      <c r="AV23" s="75">
        <f t="shared" si="0"/>
        <v>1365548.5754430369</v>
      </c>
      <c r="AW23" s="75">
        <f t="shared" si="0"/>
        <v>3640490.8666728758</v>
      </c>
      <c r="AX23" s="75">
        <f t="shared" si="0"/>
        <v>862352.60792440909</v>
      </c>
      <c r="AY23" s="75">
        <f t="shared" si="0"/>
        <v>1842260.5997807912</v>
      </c>
      <c r="AZ23" s="75">
        <f t="shared" si="0"/>
        <v>1415099.2150584534</v>
      </c>
      <c r="BA23" s="76">
        <f t="shared" si="2"/>
        <v>21772801.940473631</v>
      </c>
    </row>
    <row r="24" spans="1:53" x14ac:dyDescent="0.2">
      <c r="A24" s="905" t="s">
        <v>1822</v>
      </c>
      <c r="B24" s="20" t="s">
        <v>1823</v>
      </c>
      <c r="C24" s="57">
        <v>16652838.725563886</v>
      </c>
      <c r="D24" s="58">
        <f t="shared" si="1"/>
        <v>3.03223242548912E-2</v>
      </c>
      <c r="E24" s="59">
        <v>117.9471648922992</v>
      </c>
      <c r="F24" s="60">
        <v>1252079.6222221514</v>
      </c>
      <c r="G24" s="61">
        <v>121098.82930076309</v>
      </c>
      <c r="H24" s="61">
        <v>63312.224735448239</v>
      </c>
      <c r="I24" s="61">
        <v>27001.096381752486</v>
      </c>
      <c r="J24" s="61">
        <v>5017909.5320062079</v>
      </c>
      <c r="K24" s="61">
        <v>9064746.4765921067</v>
      </c>
      <c r="L24" s="61">
        <v>1106690.9443254548</v>
      </c>
      <c r="M24" s="64">
        <v>1137241.6208800573</v>
      </c>
      <c r="N24" s="65">
        <v>326250.15176005766</v>
      </c>
      <c r="O24" s="65">
        <v>0</v>
      </c>
      <c r="P24" s="65">
        <v>0</v>
      </c>
      <c r="Q24" s="65">
        <v>0</v>
      </c>
      <c r="R24" s="65">
        <v>0</v>
      </c>
      <c r="S24" s="65">
        <v>0</v>
      </c>
      <c r="T24" s="66">
        <v>0</v>
      </c>
      <c r="U24" s="64">
        <v>97764.144303326044</v>
      </c>
      <c r="V24" s="65">
        <v>727.51236846662766</v>
      </c>
      <c r="W24" s="65">
        <v>963798.38238488883</v>
      </c>
      <c r="X24" s="65">
        <v>1022049.909877732</v>
      </c>
      <c r="Y24" s="65">
        <v>1538782.5607703717</v>
      </c>
      <c r="Z24" s="65">
        <v>140870.35090923795</v>
      </c>
      <c r="AA24" s="65">
        <v>242865.22076120335</v>
      </c>
      <c r="AB24" s="66">
        <v>1011051.4506309817</v>
      </c>
      <c r="AC24" s="64">
        <v>6885020.5946795009</v>
      </c>
      <c r="AD24" s="65">
        <v>1707030.8180027376</v>
      </c>
      <c r="AE24" s="65">
        <v>208611.30601009287</v>
      </c>
      <c r="AF24" s="65">
        <v>0</v>
      </c>
      <c r="AG24" s="65">
        <v>0</v>
      </c>
      <c r="AH24" s="65">
        <v>0</v>
      </c>
      <c r="AI24" s="65">
        <v>0</v>
      </c>
      <c r="AJ24" s="66">
        <v>264083.75789977412</v>
      </c>
      <c r="AK24" s="64">
        <v>1034927.2914073681</v>
      </c>
      <c r="AL24" s="65">
        <v>71763.652918086576</v>
      </c>
      <c r="AM24" s="65">
        <v>0</v>
      </c>
      <c r="AN24" s="65">
        <v>0</v>
      </c>
      <c r="AO24" s="65">
        <v>0</v>
      </c>
      <c r="AP24" s="65">
        <v>0</v>
      </c>
      <c r="AQ24" s="65">
        <v>0</v>
      </c>
      <c r="AR24" s="66">
        <v>0</v>
      </c>
      <c r="AS24" s="67">
        <f t="shared" si="0"/>
        <v>9154953.6512702517</v>
      </c>
      <c r="AT24" s="67">
        <f t="shared" si="0"/>
        <v>2105772.1350493482</v>
      </c>
      <c r="AU24" s="67">
        <f t="shared" si="0"/>
        <v>1172409.6883949817</v>
      </c>
      <c r="AV24" s="67">
        <f t="shared" si="0"/>
        <v>1022049.909877732</v>
      </c>
      <c r="AW24" s="67">
        <f t="shared" si="0"/>
        <v>1538782.5607703717</v>
      </c>
      <c r="AX24" s="67">
        <f t="shared" si="0"/>
        <v>140870.35090923795</v>
      </c>
      <c r="AY24" s="67">
        <f t="shared" si="0"/>
        <v>242865.22076120335</v>
      </c>
      <c r="AZ24" s="67">
        <f t="shared" si="0"/>
        <v>1275135.2085307557</v>
      </c>
      <c r="BA24" s="63">
        <f t="shared" si="2"/>
        <v>16652838.725563886</v>
      </c>
    </row>
    <row r="25" spans="1:53" x14ac:dyDescent="0.2">
      <c r="A25" s="907"/>
      <c r="B25" s="20" t="s">
        <v>1824</v>
      </c>
      <c r="C25" s="57">
        <v>12860737.708922133</v>
      </c>
      <c r="D25" s="58">
        <f t="shared" si="1"/>
        <v>2.3417476467144413E-2</v>
      </c>
      <c r="E25" s="59">
        <v>117.94716489229921</v>
      </c>
      <c r="F25" s="60">
        <v>966962.32260786183</v>
      </c>
      <c r="G25" s="61">
        <v>93522.810504604349</v>
      </c>
      <c r="H25" s="61">
        <v>48895.082064356</v>
      </c>
      <c r="I25" s="61">
        <v>20852.541968473706</v>
      </c>
      <c r="J25" s="61">
        <v>3875256.3092540759</v>
      </c>
      <c r="K25" s="61">
        <v>7000567.8163666734</v>
      </c>
      <c r="L25" s="61">
        <v>854680.8261560871</v>
      </c>
      <c r="M25" s="64">
        <v>688004.54177935363</v>
      </c>
      <c r="N25" s="65">
        <v>322722.6532152376</v>
      </c>
      <c r="O25" s="65">
        <v>33417.193536069739</v>
      </c>
      <c r="P25" s="65">
        <v>0</v>
      </c>
      <c r="Q25" s="65">
        <v>0</v>
      </c>
      <c r="R25" s="65">
        <v>0</v>
      </c>
      <c r="S25" s="65">
        <v>86088.368614634906</v>
      </c>
      <c r="T25" s="66">
        <v>0</v>
      </c>
      <c r="U25" s="64">
        <v>65064.754581072957</v>
      </c>
      <c r="V25" s="65">
        <v>9318.8608945401884</v>
      </c>
      <c r="W25" s="65">
        <v>581162.77136905363</v>
      </c>
      <c r="X25" s="65">
        <v>1268168.8604259379</v>
      </c>
      <c r="Y25" s="65">
        <v>773271.25068903773</v>
      </c>
      <c r="Z25" s="65">
        <v>98967.806109928933</v>
      </c>
      <c r="AA25" s="65">
        <v>141230.18782565679</v>
      </c>
      <c r="AB25" s="66">
        <v>938071.81735884701</v>
      </c>
      <c r="AC25" s="64">
        <v>5068799.7868632264</v>
      </c>
      <c r="AD25" s="65">
        <v>723209.57331364043</v>
      </c>
      <c r="AE25" s="65">
        <v>996808.51241349487</v>
      </c>
      <c r="AF25" s="65">
        <v>1314.391032362227</v>
      </c>
      <c r="AG25" s="65">
        <v>3019.5469662375485</v>
      </c>
      <c r="AH25" s="65">
        <v>0</v>
      </c>
      <c r="AI25" s="65">
        <v>31302.586931957627</v>
      </c>
      <c r="AJ25" s="66">
        <v>176113.41884575546</v>
      </c>
      <c r="AK25" s="64">
        <v>572755.3605694857</v>
      </c>
      <c r="AL25" s="65">
        <v>84023.989061219021</v>
      </c>
      <c r="AM25" s="65">
        <v>197887.44444926505</v>
      </c>
      <c r="AN25" s="65">
        <v>0</v>
      </c>
      <c r="AO25" s="65">
        <v>0</v>
      </c>
      <c r="AP25" s="65">
        <v>0</v>
      </c>
      <c r="AQ25" s="65">
        <v>0</v>
      </c>
      <c r="AR25" s="66">
        <v>14.032076117236551</v>
      </c>
      <c r="AS25" s="62">
        <f t="shared" si="0"/>
        <v>6394624.4437931385</v>
      </c>
      <c r="AT25" s="62">
        <f t="shared" si="0"/>
        <v>1139275.0764846371</v>
      </c>
      <c r="AU25" s="62">
        <f t="shared" si="0"/>
        <v>1809275.9217678832</v>
      </c>
      <c r="AV25" s="62">
        <f t="shared" si="0"/>
        <v>1269483.2514583</v>
      </c>
      <c r="AW25" s="62">
        <f t="shared" si="0"/>
        <v>776290.79765527532</v>
      </c>
      <c r="AX25" s="62">
        <f t="shared" si="0"/>
        <v>98967.806109928933</v>
      </c>
      <c r="AY25" s="62">
        <f t="shared" si="0"/>
        <v>258621.14337224932</v>
      </c>
      <c r="AZ25" s="62">
        <f t="shared" si="0"/>
        <v>1114199.2682807199</v>
      </c>
      <c r="BA25" s="63">
        <f t="shared" si="2"/>
        <v>12860737.708922133</v>
      </c>
    </row>
    <row r="26" spans="1:53" x14ac:dyDescent="0.2">
      <c r="A26" s="907"/>
      <c r="B26" s="20" t="s">
        <v>1825</v>
      </c>
      <c r="C26" s="57">
        <v>21495373.182532851</v>
      </c>
      <c r="D26" s="58">
        <f t="shared" si="1"/>
        <v>3.9139853952953198E-2</v>
      </c>
      <c r="E26" s="59">
        <v>117.94716489229921</v>
      </c>
      <c r="F26" s="60">
        <v>1616176.0272495858</v>
      </c>
      <c r="G26" s="61">
        <v>156313.56135045999</v>
      </c>
      <c r="H26" s="61">
        <v>81722.997510069545</v>
      </c>
      <c r="I26" s="61">
        <v>34852.835160910632</v>
      </c>
      <c r="J26" s="61">
        <v>6477084.1634995705</v>
      </c>
      <c r="K26" s="61">
        <v>11700714.306461239</v>
      </c>
      <c r="L26" s="61">
        <v>1428509.2913010134</v>
      </c>
      <c r="M26" s="64">
        <v>1727296.9976982796</v>
      </c>
      <c r="N26" s="65">
        <v>140724.40451368745</v>
      </c>
      <c r="O26" s="65">
        <v>0</v>
      </c>
      <c r="P26" s="65">
        <v>0</v>
      </c>
      <c r="Q26" s="65">
        <v>0</v>
      </c>
      <c r="R26" s="65">
        <v>0</v>
      </c>
      <c r="S26" s="65">
        <v>21044.019059059236</v>
      </c>
      <c r="T26" s="66">
        <v>0</v>
      </c>
      <c r="U26" s="64">
        <v>153249.38681561439</v>
      </c>
      <c r="V26" s="65">
        <v>52584.292991440074</v>
      </c>
      <c r="W26" s="65">
        <v>791597.10343861347</v>
      </c>
      <c r="X26" s="65">
        <v>1191254.7416245851</v>
      </c>
      <c r="Y26" s="65">
        <v>2720084.196566781</v>
      </c>
      <c r="Z26" s="65">
        <v>115857.15681572867</v>
      </c>
      <c r="AA26" s="65">
        <v>290443.87715331098</v>
      </c>
      <c r="AB26" s="66">
        <v>1162013.4080934967</v>
      </c>
      <c r="AC26" s="64">
        <v>8501405.3288375363</v>
      </c>
      <c r="AD26" s="65">
        <v>1153717.8386113357</v>
      </c>
      <c r="AE26" s="65">
        <v>1654240.5822657775</v>
      </c>
      <c r="AF26" s="65">
        <v>0</v>
      </c>
      <c r="AG26" s="65">
        <v>0</v>
      </c>
      <c r="AH26" s="65">
        <v>0</v>
      </c>
      <c r="AI26" s="65">
        <v>206073.28874295353</v>
      </c>
      <c r="AJ26" s="66">
        <v>185277.26800363557</v>
      </c>
      <c r="AK26" s="64">
        <v>918853.56360227533</v>
      </c>
      <c r="AL26" s="65">
        <v>52561.061541260911</v>
      </c>
      <c r="AM26" s="65">
        <v>457094.66615747707</v>
      </c>
      <c r="AN26" s="65">
        <v>0</v>
      </c>
      <c r="AO26" s="65">
        <v>0</v>
      </c>
      <c r="AP26" s="65">
        <v>0</v>
      </c>
      <c r="AQ26" s="65">
        <v>0</v>
      </c>
      <c r="AR26" s="66">
        <v>0</v>
      </c>
      <c r="AS26" s="62">
        <f t="shared" si="0"/>
        <v>11300805.276953707</v>
      </c>
      <c r="AT26" s="62">
        <f t="shared" si="0"/>
        <v>1399587.5976577241</v>
      </c>
      <c r="AU26" s="62">
        <f t="shared" si="0"/>
        <v>2902932.3518618681</v>
      </c>
      <c r="AV26" s="62">
        <f t="shared" si="0"/>
        <v>1191254.7416245851</v>
      </c>
      <c r="AW26" s="62">
        <f t="shared" si="0"/>
        <v>2720084.196566781</v>
      </c>
      <c r="AX26" s="62">
        <f t="shared" si="0"/>
        <v>115857.15681572867</v>
      </c>
      <c r="AY26" s="62">
        <f t="shared" si="0"/>
        <v>517561.1849553237</v>
      </c>
      <c r="AZ26" s="62">
        <f t="shared" si="0"/>
        <v>1347290.6760971323</v>
      </c>
      <c r="BA26" s="63">
        <f t="shared" si="2"/>
        <v>21495373.182532851</v>
      </c>
    </row>
    <row r="27" spans="1:53" x14ac:dyDescent="0.2">
      <c r="A27" s="907"/>
      <c r="B27" s="20" t="s">
        <v>1826</v>
      </c>
      <c r="C27" s="57">
        <v>6876260.3857971029</v>
      </c>
      <c r="D27" s="58">
        <f t="shared" si="1"/>
        <v>1.2520639905022729E-2</v>
      </c>
      <c r="E27" s="59">
        <v>117.9471648922992</v>
      </c>
      <c r="F27" s="60">
        <v>517006.47847704712</v>
      </c>
      <c r="G27" s="61">
        <v>50003.912030262349</v>
      </c>
      <c r="H27" s="61">
        <v>26142.770614642137</v>
      </c>
      <c r="I27" s="61">
        <v>11149.244431096069</v>
      </c>
      <c r="J27" s="61">
        <v>2071986.2302803635</v>
      </c>
      <c r="K27" s="61">
        <v>3742998.9043608867</v>
      </c>
      <c r="L27" s="61">
        <v>456972.84560280468</v>
      </c>
      <c r="M27" s="64">
        <v>600955.14942028385</v>
      </c>
      <c r="N27" s="65">
        <v>3347.25613276384</v>
      </c>
      <c r="O27" s="65">
        <v>0</v>
      </c>
      <c r="P27" s="65">
        <v>0</v>
      </c>
      <c r="Q27" s="65">
        <v>0</v>
      </c>
      <c r="R27" s="65">
        <v>0</v>
      </c>
      <c r="S27" s="65">
        <v>0</v>
      </c>
      <c r="T27" s="66">
        <v>0</v>
      </c>
      <c r="U27" s="64">
        <v>19448.008705862387</v>
      </c>
      <c r="V27" s="65">
        <v>91076.437859297759</v>
      </c>
      <c r="W27" s="65">
        <v>426850.16670664586</v>
      </c>
      <c r="X27" s="65">
        <v>11046.66703481667</v>
      </c>
      <c r="Y27" s="65">
        <v>765123.5958906489</v>
      </c>
      <c r="Z27" s="65">
        <v>102053.65361237312</v>
      </c>
      <c r="AA27" s="65">
        <v>122611.16922919739</v>
      </c>
      <c r="AB27" s="66">
        <v>533776.53124152112</v>
      </c>
      <c r="AC27" s="64">
        <v>3317646.6657707593</v>
      </c>
      <c r="AD27" s="65">
        <v>375471.70783975848</v>
      </c>
      <c r="AE27" s="65">
        <v>0</v>
      </c>
      <c r="AF27" s="65">
        <v>0</v>
      </c>
      <c r="AG27" s="65">
        <v>0</v>
      </c>
      <c r="AH27" s="65">
        <v>0</v>
      </c>
      <c r="AI27" s="65">
        <v>0</v>
      </c>
      <c r="AJ27" s="66">
        <v>49880.530750369129</v>
      </c>
      <c r="AK27" s="64">
        <v>306176.22874205688</v>
      </c>
      <c r="AL27" s="65">
        <v>150796.6168607478</v>
      </c>
      <c r="AM27" s="65">
        <v>0</v>
      </c>
      <c r="AN27" s="65">
        <v>0</v>
      </c>
      <c r="AO27" s="65">
        <v>0</v>
      </c>
      <c r="AP27" s="65">
        <v>0</v>
      </c>
      <c r="AQ27" s="65">
        <v>0</v>
      </c>
      <c r="AR27" s="66">
        <v>0</v>
      </c>
      <c r="AS27" s="62">
        <f t="shared" si="0"/>
        <v>4244226.0526389619</v>
      </c>
      <c r="AT27" s="62">
        <f t="shared" si="0"/>
        <v>620692.01869256794</v>
      </c>
      <c r="AU27" s="62">
        <f t="shared" si="0"/>
        <v>426850.16670664586</v>
      </c>
      <c r="AV27" s="62">
        <f t="shared" si="0"/>
        <v>11046.66703481667</v>
      </c>
      <c r="AW27" s="62">
        <f t="shared" si="0"/>
        <v>765123.5958906489</v>
      </c>
      <c r="AX27" s="62">
        <f t="shared" si="0"/>
        <v>102053.65361237312</v>
      </c>
      <c r="AY27" s="62">
        <f t="shared" si="0"/>
        <v>122611.16922919739</v>
      </c>
      <c r="AZ27" s="62">
        <f t="shared" si="0"/>
        <v>583657.06199189019</v>
      </c>
      <c r="BA27" s="63">
        <f t="shared" si="2"/>
        <v>6876260.385797102</v>
      </c>
    </row>
    <row r="28" spans="1:53" x14ac:dyDescent="0.2">
      <c r="A28" s="906"/>
      <c r="B28" s="20" t="s">
        <v>1827</v>
      </c>
      <c r="C28" s="57">
        <v>5126798.6831815643</v>
      </c>
      <c r="D28" s="58">
        <f t="shared" si="1"/>
        <v>9.3351322632061733E-3</v>
      </c>
      <c r="E28" s="59">
        <v>117.9471648922992</v>
      </c>
      <c r="F28" s="60">
        <v>385469.42441668519</v>
      </c>
      <c r="G28" s="61">
        <v>37281.891023235046</v>
      </c>
      <c r="H28" s="61">
        <v>19491.513474198993</v>
      </c>
      <c r="I28" s="61">
        <v>8312.6479308253656</v>
      </c>
      <c r="J28" s="61">
        <v>1544830.4283114073</v>
      </c>
      <c r="K28" s="61">
        <v>2790703.1987420809</v>
      </c>
      <c r="L28" s="61">
        <v>340709.57928313105</v>
      </c>
      <c r="M28" s="64">
        <v>204440.35371507867</v>
      </c>
      <c r="N28" s="65">
        <v>177393.17201983606</v>
      </c>
      <c r="O28" s="65">
        <v>68721.95111002987</v>
      </c>
      <c r="P28" s="65">
        <v>0</v>
      </c>
      <c r="Q28" s="65">
        <v>0</v>
      </c>
      <c r="R28" s="65">
        <v>0</v>
      </c>
      <c r="S28" s="65">
        <v>0</v>
      </c>
      <c r="T28" s="66">
        <v>0</v>
      </c>
      <c r="U28" s="64">
        <v>8158.4534701575558</v>
      </c>
      <c r="V28" s="65">
        <v>1625.3881428011216</v>
      </c>
      <c r="W28" s="65">
        <v>212082.59326207239</v>
      </c>
      <c r="X28" s="65">
        <v>228368.87887407714</v>
      </c>
      <c r="Y28" s="65">
        <v>235423.68693212038</v>
      </c>
      <c r="Z28" s="65">
        <v>30114.621958405838</v>
      </c>
      <c r="AA28" s="65">
        <v>0</v>
      </c>
      <c r="AB28" s="66">
        <v>829056.8056717728</v>
      </c>
      <c r="AC28" s="64">
        <v>1674732.0320913938</v>
      </c>
      <c r="AD28" s="65">
        <v>916723.35988154134</v>
      </c>
      <c r="AE28" s="65">
        <v>0</v>
      </c>
      <c r="AF28" s="65">
        <v>0</v>
      </c>
      <c r="AG28" s="65">
        <v>0</v>
      </c>
      <c r="AH28" s="65">
        <v>0</v>
      </c>
      <c r="AI28" s="65">
        <v>5841.745182044363</v>
      </c>
      <c r="AJ28" s="66">
        <v>193406.06158710134</v>
      </c>
      <c r="AK28" s="64">
        <v>340709.57928313105</v>
      </c>
      <c r="AL28" s="65">
        <v>0</v>
      </c>
      <c r="AM28" s="65">
        <v>0</v>
      </c>
      <c r="AN28" s="65">
        <v>0</v>
      </c>
      <c r="AO28" s="65">
        <v>0</v>
      </c>
      <c r="AP28" s="65">
        <v>0</v>
      </c>
      <c r="AQ28" s="65">
        <v>0</v>
      </c>
      <c r="AR28" s="66">
        <v>0</v>
      </c>
      <c r="AS28" s="62">
        <f t="shared" si="0"/>
        <v>2228040.4185597608</v>
      </c>
      <c r="AT28" s="62">
        <f t="shared" si="0"/>
        <v>1095741.9200441786</v>
      </c>
      <c r="AU28" s="62">
        <f t="shared" si="0"/>
        <v>280804.54437210225</v>
      </c>
      <c r="AV28" s="62">
        <f t="shared" si="0"/>
        <v>228368.87887407714</v>
      </c>
      <c r="AW28" s="62">
        <f t="shared" si="0"/>
        <v>235423.68693212038</v>
      </c>
      <c r="AX28" s="62">
        <f t="shared" si="0"/>
        <v>30114.621958405838</v>
      </c>
      <c r="AY28" s="62">
        <f t="shared" si="0"/>
        <v>5841.745182044363</v>
      </c>
      <c r="AZ28" s="62">
        <f t="shared" si="0"/>
        <v>1022462.8672588741</v>
      </c>
      <c r="BA28" s="63">
        <f t="shared" si="2"/>
        <v>5126798.6831815634</v>
      </c>
    </row>
    <row r="29" spans="1:53" s="104" customFormat="1" x14ac:dyDescent="0.2">
      <c r="A29" s="93"/>
      <c r="B29" s="94" t="s">
        <v>1828</v>
      </c>
      <c r="C29" s="95"/>
      <c r="D29" s="96"/>
      <c r="E29" s="97"/>
      <c r="F29" s="98"/>
      <c r="G29" s="99"/>
      <c r="H29" s="99"/>
      <c r="I29" s="99"/>
      <c r="J29" s="99"/>
      <c r="K29" s="99"/>
      <c r="L29" s="99"/>
      <c r="M29" s="34"/>
      <c r="N29" s="100"/>
      <c r="O29" s="100"/>
      <c r="P29" s="100"/>
      <c r="Q29" s="100"/>
      <c r="R29" s="100"/>
      <c r="S29" s="100"/>
      <c r="T29" s="101"/>
      <c r="U29" s="34"/>
      <c r="V29" s="100"/>
      <c r="W29" s="100"/>
      <c r="X29" s="100"/>
      <c r="Y29" s="100"/>
      <c r="Z29" s="100"/>
      <c r="AA29" s="100"/>
      <c r="AB29" s="101"/>
      <c r="AC29" s="34"/>
      <c r="AD29" s="100"/>
      <c r="AE29" s="100"/>
      <c r="AF29" s="100"/>
      <c r="AG29" s="100"/>
      <c r="AH29" s="100"/>
      <c r="AI29" s="100"/>
      <c r="AJ29" s="101"/>
      <c r="AK29" s="34"/>
      <c r="AL29" s="100"/>
      <c r="AM29" s="100"/>
      <c r="AN29" s="100"/>
      <c r="AO29" s="100"/>
      <c r="AP29" s="100"/>
      <c r="AQ29" s="100"/>
      <c r="AR29" s="101"/>
      <c r="AS29" s="102">
        <f>SUM(AS3:AS28)</f>
        <v>277360574.75469786</v>
      </c>
      <c r="AT29" s="102">
        <f t="shared" ref="AT29:AZ29" si="3">SUM(AT3:AT28)</f>
        <v>92254677.344063729</v>
      </c>
      <c r="AU29" s="102">
        <f t="shared" si="3"/>
        <v>41313813.038890824</v>
      </c>
      <c r="AV29" s="102">
        <f t="shared" si="3"/>
        <v>16201089.167262102</v>
      </c>
      <c r="AW29" s="102">
        <f t="shared" si="3"/>
        <v>46685130.031230643</v>
      </c>
      <c r="AX29" s="102">
        <f t="shared" si="3"/>
        <v>7677771.5836991211</v>
      </c>
      <c r="AY29" s="102">
        <f t="shared" si="3"/>
        <v>10954205.783809591</v>
      </c>
      <c r="AZ29" s="102">
        <f t="shared" si="3"/>
        <v>56746744.190457888</v>
      </c>
      <c r="BA29" s="103">
        <f t="shared" si="2"/>
        <v>549194005.89411175</v>
      </c>
    </row>
    <row r="30" spans="1:53" x14ac:dyDescent="0.2">
      <c r="A30" s="884" t="s">
        <v>1419</v>
      </c>
      <c r="C30" s="105">
        <f>SUM(C3:C28)</f>
        <v>549194005.89411175</v>
      </c>
      <c r="D30" s="106">
        <f>SUM(D3:D28)</f>
        <v>1</v>
      </c>
      <c r="E30" s="107"/>
      <c r="F30" s="108">
        <f>SUM(F3:F28)</f>
        <v>31442366.979483519</v>
      </c>
      <c r="G30" s="108">
        <f t="shared" ref="G30:J30" si="4">SUM(G3:G28)</f>
        <v>12215822.909304457</v>
      </c>
      <c r="H30" s="108">
        <f t="shared" si="4"/>
        <v>9073419.1315349061</v>
      </c>
      <c r="I30" s="108">
        <f t="shared" si="4"/>
        <v>1386521.070841192</v>
      </c>
      <c r="J30" s="108">
        <f t="shared" si="4"/>
        <v>164319512.98655564</v>
      </c>
      <c r="K30" s="108">
        <f t="shared" ref="K30:M30" si="5">SUM(K3:K28)</f>
        <v>310284093.21955132</v>
      </c>
      <c r="L30" s="108">
        <f t="shared" si="5"/>
        <v>20472269.596840799</v>
      </c>
      <c r="M30" s="108">
        <f t="shared" si="5"/>
        <v>42234136.5516764</v>
      </c>
      <c r="N30" s="108">
        <f>SUM(N3:N28)</f>
        <v>11496443.29520978</v>
      </c>
      <c r="O30" s="108">
        <f>SUM(O3:O28)</f>
        <v>280299.24179765861</v>
      </c>
      <c r="P30" s="108">
        <f t="shared" ref="P30:AR30" si="6">SUM(P3:P28)</f>
        <v>0</v>
      </c>
      <c r="Q30" s="108">
        <f t="shared" si="6"/>
        <v>0</v>
      </c>
      <c r="R30" s="108">
        <f t="shared" si="6"/>
        <v>0</v>
      </c>
      <c r="S30" s="108">
        <f t="shared" si="6"/>
        <v>107132.38767369415</v>
      </c>
      <c r="T30" s="108">
        <f t="shared" si="6"/>
        <v>118.61480654113046</v>
      </c>
      <c r="U30" s="108">
        <f t="shared" si="6"/>
        <v>6323724.8488462092</v>
      </c>
      <c r="V30" s="108">
        <f t="shared" si="6"/>
        <v>2489292.2223338792</v>
      </c>
      <c r="W30" s="108">
        <f t="shared" si="6"/>
        <v>25853155.804372881</v>
      </c>
      <c r="X30" s="108">
        <f t="shared" si="6"/>
        <v>15892814.401336223</v>
      </c>
      <c r="Y30" s="108">
        <f t="shared" si="6"/>
        <v>46682061.409900054</v>
      </c>
      <c r="Z30" s="108">
        <f t="shared" si="6"/>
        <v>7677771.5836991211</v>
      </c>
      <c r="AA30" s="108">
        <f t="shared" si="6"/>
        <v>8997092.189912755</v>
      </c>
      <c r="AB30" s="108">
        <f t="shared" si="6"/>
        <v>50403600.526154466</v>
      </c>
      <c r="AC30" s="108">
        <f t="shared" si="6"/>
        <v>213959832.08395457</v>
      </c>
      <c r="AD30" s="108">
        <f t="shared" si="6"/>
        <v>74439886.84375228</v>
      </c>
      <c r="AE30" s="108">
        <f t="shared" si="6"/>
        <v>13418286.489454409</v>
      </c>
      <c r="AF30" s="108">
        <f t="shared" si="6"/>
        <v>295992.32755121269</v>
      </c>
      <c r="AG30" s="108">
        <f t="shared" si="6"/>
        <v>3019.5469662375485</v>
      </c>
      <c r="AH30" s="108">
        <f t="shared" si="6"/>
        <v>0</v>
      </c>
      <c r="AI30" s="108">
        <f t="shared" si="6"/>
        <v>1827126.5695099891</v>
      </c>
      <c r="AJ30" s="108">
        <f t="shared" si="6"/>
        <v>6339949.3583626188</v>
      </c>
      <c r="AK30" s="108">
        <f t="shared" si="6"/>
        <v>14842881.270220721</v>
      </c>
      <c r="AL30" s="108">
        <f t="shared" si="6"/>
        <v>3829054.9827677817</v>
      </c>
      <c r="AM30" s="108">
        <f t="shared" si="6"/>
        <v>1762071.5032658756</v>
      </c>
      <c r="AN30" s="108">
        <f t="shared" si="6"/>
        <v>12282.438374665608</v>
      </c>
      <c r="AO30" s="108">
        <f t="shared" si="6"/>
        <v>49.074364351369518</v>
      </c>
      <c r="AP30" s="108">
        <f t="shared" si="6"/>
        <v>0</v>
      </c>
      <c r="AQ30" s="108">
        <f t="shared" si="6"/>
        <v>22854.636713152362</v>
      </c>
      <c r="AR30" s="108">
        <f t="shared" si="6"/>
        <v>3075.6911342564481</v>
      </c>
      <c r="AS30" s="109">
        <f>AS29/$BA29</f>
        <v>0.50503205020080799</v>
      </c>
      <c r="AT30" s="109">
        <f t="shared" ref="AT30:AZ30" si="7">AT29/$BA29</f>
        <v>0.16798194509400935</v>
      </c>
      <c r="AU30" s="109">
        <f t="shared" si="7"/>
        <v>7.522626357079433E-2</v>
      </c>
      <c r="AV30" s="109">
        <f t="shared" si="7"/>
        <v>2.9499755994033518E-2</v>
      </c>
      <c r="AW30" s="109">
        <f t="shared" si="7"/>
        <v>8.500662703924676E-2</v>
      </c>
      <c r="AX30" s="109">
        <f t="shared" si="7"/>
        <v>1.398007170744585E-2</v>
      </c>
      <c r="AY30" s="109">
        <f t="shared" si="7"/>
        <v>1.9945967483704901E-2</v>
      </c>
      <c r="AZ30" s="109">
        <f t="shared" si="7"/>
        <v>0.10332731890995736</v>
      </c>
      <c r="BA30" s="63">
        <f t="shared" si="2"/>
        <v>1</v>
      </c>
    </row>
    <row r="31" spans="1:53" x14ac:dyDescent="0.2">
      <c r="C31" s="110"/>
      <c r="L31" s="110"/>
      <c r="N31" s="138"/>
      <c r="T31" s="111">
        <f>SUM(M30:T30)</f>
        <v>54118130.091164067</v>
      </c>
      <c r="AB31" s="111">
        <f>SUM(U30:AB30)</f>
        <v>164319512.98655558</v>
      </c>
      <c r="AJ31" s="111">
        <f>SUM(AC30:AJ30)</f>
        <v>310284093.21955127</v>
      </c>
      <c r="AR31" s="111">
        <f>SUM(AK30:AR30)</f>
        <v>20472269.596840803</v>
      </c>
      <c r="AS31" s="137">
        <f t="shared" ref="AS31:AZ31" si="8">SUM(AS3:AS12)</f>
        <v>154230320.53656241</v>
      </c>
      <c r="AT31" s="137">
        <f t="shared" si="8"/>
        <v>66421118.092638902</v>
      </c>
      <c r="AU31" s="137">
        <f t="shared" si="8"/>
        <v>9945404.1839734968</v>
      </c>
      <c r="AV31" s="137">
        <f t="shared" si="8"/>
        <v>1284529.6191764651</v>
      </c>
      <c r="AW31" s="137">
        <f t="shared" si="8"/>
        <v>13081641.592428578</v>
      </c>
      <c r="AX31" s="137">
        <f t="shared" si="8"/>
        <v>2670035.4237666796</v>
      </c>
      <c r="AY31" s="137">
        <f t="shared" si="8"/>
        <v>1230352.8157793696</v>
      </c>
      <c r="AZ31" s="137">
        <f t="shared" si="8"/>
        <v>24020321.126910493</v>
      </c>
      <c r="BA31" s="63">
        <f t="shared" si="2"/>
        <v>272883723.39123636</v>
      </c>
    </row>
    <row r="32" spans="1:53" x14ac:dyDescent="0.2">
      <c r="C32" s="110"/>
      <c r="L32" s="110"/>
      <c r="N32" s="138"/>
      <c r="T32" s="111"/>
      <c r="AB32" s="111"/>
      <c r="AJ32" s="111"/>
      <c r="AR32" s="111"/>
      <c r="AS32" s="137"/>
      <c r="AT32" s="137"/>
      <c r="AU32" s="137"/>
      <c r="AV32" s="137"/>
      <c r="AW32" s="137"/>
      <c r="AX32" s="137"/>
      <c r="AY32" s="137"/>
      <c r="AZ32" s="137"/>
      <c r="BA32" s="137"/>
    </row>
    <row r="33" spans="2:53" x14ac:dyDescent="0.2">
      <c r="B33" s="286" t="s">
        <v>1829</v>
      </c>
      <c r="C33" s="286"/>
      <c r="D33" s="286"/>
      <c r="E33" s="286"/>
      <c r="F33" s="286"/>
      <c r="G33" s="286"/>
      <c r="H33" s="286"/>
      <c r="I33" s="286"/>
      <c r="J33" s="286"/>
      <c r="K33" s="286"/>
      <c r="M33" s="286" t="s">
        <v>1829</v>
      </c>
      <c r="N33" s="286"/>
      <c r="O33" s="286"/>
      <c r="P33" s="286"/>
      <c r="Q33" s="286"/>
    </row>
    <row r="34" spans="2:53" x14ac:dyDescent="0.2">
      <c r="B34" s="432" t="s">
        <v>1635</v>
      </c>
      <c r="C34" s="892" t="s">
        <v>1467</v>
      </c>
      <c r="D34" s="892" t="s">
        <v>1645</v>
      </c>
      <c r="E34" s="892" t="s">
        <v>1468</v>
      </c>
      <c r="F34" s="892" t="s">
        <v>1474</v>
      </c>
      <c r="G34" s="892" t="s">
        <v>1646</v>
      </c>
      <c r="H34" s="892" t="s">
        <v>1647</v>
      </c>
      <c r="I34" s="892" t="s">
        <v>1648</v>
      </c>
      <c r="J34" s="892" t="s">
        <v>1830</v>
      </c>
      <c r="K34" s="892" t="s">
        <v>1419</v>
      </c>
      <c r="L34" s="429"/>
      <c r="M34" s="286"/>
      <c r="N34" s="286" t="s">
        <v>1635</v>
      </c>
      <c r="O34" s="286" t="s">
        <v>1831</v>
      </c>
      <c r="P34" s="286" t="s">
        <v>1637</v>
      </c>
      <c r="Q34" s="286" t="s">
        <v>1832</v>
      </c>
      <c r="R34" s="429"/>
      <c r="S34" s="429"/>
      <c r="T34" s="429"/>
      <c r="U34" s="429"/>
      <c r="V34" s="429"/>
      <c r="W34" s="429"/>
      <c r="X34" s="429"/>
      <c r="Y34" s="429"/>
      <c r="Z34" s="429"/>
      <c r="AA34" s="429"/>
      <c r="AB34" s="429"/>
      <c r="AC34" s="429"/>
      <c r="AD34" s="429"/>
      <c r="AE34" s="429"/>
      <c r="AF34" s="429"/>
      <c r="AG34" s="429"/>
      <c r="AH34" s="429"/>
      <c r="AI34" s="429"/>
      <c r="AJ34" s="429"/>
      <c r="AK34" s="429"/>
      <c r="AL34" s="429"/>
      <c r="AM34" s="429"/>
      <c r="AN34" s="429"/>
      <c r="AO34" s="429"/>
      <c r="AP34" s="429"/>
      <c r="AQ34" s="429"/>
      <c r="AR34" s="429"/>
      <c r="AS34" s="429"/>
      <c r="AT34" s="429"/>
      <c r="AU34" s="429"/>
      <c r="AV34" s="429"/>
      <c r="AW34" s="429"/>
      <c r="AX34" s="429"/>
      <c r="AY34" s="429"/>
    </row>
    <row r="35" spans="2:53" x14ac:dyDescent="0.2">
      <c r="B35" s="433" t="s">
        <v>51</v>
      </c>
      <c r="C35" s="434">
        <f>SUM(U3:U12)</f>
        <v>2779171.9899073695</v>
      </c>
      <c r="D35" s="434">
        <f>SUM(V3:V12)</f>
        <v>1248960.2378018794</v>
      </c>
      <c r="E35" s="434">
        <f>SUM(W3:W12)</f>
        <v>8266519.0081287436</v>
      </c>
      <c r="F35" s="434">
        <f>SUM(Y3:Y12)</f>
        <v>13081641.592428578</v>
      </c>
      <c r="G35" s="434">
        <f>SUM(X3:X12,Z3:AB12)</f>
        <v>26369098.171733439</v>
      </c>
      <c r="H35" s="434">
        <v>0</v>
      </c>
      <c r="I35" s="434">
        <v>0</v>
      </c>
      <c r="J35" s="434"/>
      <c r="K35" s="434">
        <f>SUM(C35:J35)</f>
        <v>51745391.000000007</v>
      </c>
      <c r="L35" s="435"/>
      <c r="M35" s="433" t="s">
        <v>51</v>
      </c>
      <c r="N35" s="434">
        <f>K35</f>
        <v>51745391.000000007</v>
      </c>
      <c r="O35" s="434">
        <f>K40</f>
        <v>82216686.817780107</v>
      </c>
      <c r="P35" s="434">
        <f>K45</f>
        <v>30357435.168775484</v>
      </c>
      <c r="Q35" s="434">
        <f>SUM(N35:P35)</f>
        <v>164319512.98655558</v>
      </c>
      <c r="R35" s="429"/>
      <c r="S35" s="429"/>
      <c r="T35" s="429"/>
      <c r="U35" s="429"/>
      <c r="V35" s="429"/>
      <c r="W35" s="429"/>
      <c r="X35" s="429"/>
      <c r="Y35" s="429"/>
      <c r="Z35" s="429"/>
      <c r="AA35" s="429"/>
      <c r="AB35" s="429"/>
      <c r="AC35" s="429"/>
      <c r="AD35" s="429"/>
      <c r="AE35" s="429"/>
      <c r="AF35" s="429"/>
      <c r="AG35" s="429"/>
      <c r="AH35" s="429"/>
      <c r="AI35" s="429"/>
      <c r="AJ35" s="429"/>
      <c r="AK35" s="429"/>
      <c r="AL35" s="429"/>
      <c r="AM35" s="429"/>
      <c r="AN35" s="429"/>
      <c r="AO35" s="429"/>
      <c r="AP35" s="429"/>
      <c r="AQ35" s="429"/>
      <c r="AR35" s="429"/>
      <c r="AS35" s="429"/>
      <c r="AT35" s="429"/>
      <c r="AU35" s="429"/>
      <c r="AV35" s="429"/>
      <c r="AW35" s="429"/>
      <c r="AX35" s="429"/>
      <c r="AY35" s="429"/>
    </row>
    <row r="36" spans="2:53" x14ac:dyDescent="0.2">
      <c r="B36" s="433" t="s">
        <v>1638</v>
      </c>
      <c r="C36" s="434">
        <f>SUM(AC3:AC12)+SUM(AE3:AE12)</f>
        <v>120506823.32173479</v>
      </c>
      <c r="D36" s="434">
        <f>SUM(AD3:AD12)</f>
        <v>54193342.816393055</v>
      </c>
      <c r="E36" s="434">
        <f>SUM(AE3:AE12)</f>
        <v>1367253.6874679662</v>
      </c>
      <c r="F36" s="434">
        <f>SUM(AG3:AG12)</f>
        <v>0</v>
      </c>
      <c r="G36" s="434">
        <v>0</v>
      </c>
      <c r="H36" s="434">
        <v>0</v>
      </c>
      <c r="I36" s="434">
        <f>SUM(AF3:AF12,AH3:AJ12)</f>
        <v>2836126.2078271499</v>
      </c>
      <c r="J36" s="434">
        <v>0</v>
      </c>
      <c r="K36" s="434">
        <f t="shared" ref="K36:K38" si="9">SUM(C36:J36)</f>
        <v>178903546.03342295</v>
      </c>
      <c r="L36" s="435"/>
      <c r="M36" s="433" t="s">
        <v>1638</v>
      </c>
      <c r="N36" s="434">
        <f t="shared" ref="N36:N37" si="10">K36</f>
        <v>178903546.03342295</v>
      </c>
      <c r="O36" s="434">
        <f>K41</f>
        <v>107277111.85983373</v>
      </c>
      <c r="P36" s="434">
        <f>K46</f>
        <v>25470689.013762549</v>
      </c>
      <c r="Q36" s="434">
        <f>SUM(N36:P36)</f>
        <v>311651346.9070192</v>
      </c>
      <c r="R36" s="429"/>
      <c r="S36" s="429"/>
      <c r="T36" s="429"/>
      <c r="U36" s="429"/>
      <c r="V36" s="429"/>
      <c r="W36" s="429"/>
      <c r="X36" s="429"/>
      <c r="Y36" s="429"/>
      <c r="Z36" s="429"/>
      <c r="AA36" s="429"/>
      <c r="AB36" s="429"/>
      <c r="AC36" s="429"/>
      <c r="AD36" s="429"/>
      <c r="AE36" s="429"/>
      <c r="AF36" s="429"/>
      <c r="AG36" s="429"/>
      <c r="AH36" s="429"/>
      <c r="AI36" s="429"/>
      <c r="AJ36" s="429"/>
      <c r="AK36" s="429"/>
      <c r="AL36" s="429"/>
      <c r="AM36" s="429"/>
      <c r="AN36" s="429"/>
      <c r="AO36" s="429"/>
      <c r="AP36" s="429"/>
      <c r="AQ36" s="429"/>
      <c r="AR36" s="429"/>
      <c r="AS36" s="429"/>
      <c r="AT36" s="429"/>
      <c r="AU36" s="429"/>
      <c r="AV36" s="429"/>
      <c r="AW36" s="429"/>
      <c r="AX36" s="429"/>
      <c r="AY36" s="429"/>
    </row>
    <row r="37" spans="2:53" x14ac:dyDescent="0.2">
      <c r="B37" s="433" t="s">
        <v>1639</v>
      </c>
      <c r="C37" s="434">
        <f>SUM(M3:M12)</f>
        <v>28271668.889221281</v>
      </c>
      <c r="D37" s="434">
        <f>SUM(N3:N12)</f>
        <v>9205762.7112995107</v>
      </c>
      <c r="E37" s="434">
        <f>SUM(O3:O12)</f>
        <v>169211.01885844817</v>
      </c>
      <c r="F37" s="434">
        <f>SUM(Q3:Q12)</f>
        <v>0</v>
      </c>
      <c r="G37" s="434">
        <v>0</v>
      </c>
      <c r="H37" s="434">
        <f>SUM(P3:P12,R3:T12)</f>
        <v>14.606072418693502</v>
      </c>
      <c r="I37" s="434">
        <v>0</v>
      </c>
      <c r="J37" s="434">
        <v>0</v>
      </c>
      <c r="K37" s="434">
        <f>SUM(C37:J37)</f>
        <v>37646657.225451656</v>
      </c>
      <c r="L37" s="436"/>
      <c r="M37" s="433" t="s">
        <v>1639</v>
      </c>
      <c r="N37" s="434">
        <f t="shared" si="10"/>
        <v>37646657.225451656</v>
      </c>
      <c r="O37" s="434">
        <f>K42</f>
        <v>13541646.174549302</v>
      </c>
      <c r="P37" s="434">
        <f>K47</f>
        <v>2929826.6911631087</v>
      </c>
      <c r="Q37" s="434">
        <f>SUM(N37:P37)</f>
        <v>54118130.091164067</v>
      </c>
      <c r="R37" s="111"/>
      <c r="Z37" s="111"/>
      <c r="AH37" s="111"/>
      <c r="AP37" s="111"/>
      <c r="AQ37" s="137"/>
      <c r="AR37" s="137"/>
      <c r="AS37" s="137"/>
      <c r="AT37" s="137"/>
      <c r="AU37" s="137"/>
      <c r="AV37" s="137"/>
      <c r="AW37" s="137"/>
      <c r="AX37" s="137"/>
      <c r="AY37" s="137"/>
    </row>
    <row r="38" spans="2:53" x14ac:dyDescent="0.2">
      <c r="B38" s="433" t="s">
        <v>1640</v>
      </c>
      <c r="C38" s="434">
        <f>SUM(AK3:AK12)</f>
        <v>4039910.0231668972</v>
      </c>
      <c r="D38" s="434">
        <f>SUM(AL3:AL12)</f>
        <v>1773052.3271444454</v>
      </c>
      <c r="E38" s="434">
        <f>SUM(AM3:AM12)</f>
        <v>142420.46951833781</v>
      </c>
      <c r="F38" s="434">
        <f>SUM(AO3:AO12)</f>
        <v>0</v>
      </c>
      <c r="G38" s="434">
        <v>0</v>
      </c>
      <c r="H38" s="434">
        <v>0</v>
      </c>
      <c r="I38" s="434">
        <v>0</v>
      </c>
      <c r="J38" s="434">
        <f>SUM(AN3:AN12,AP3:AR12)</f>
        <v>0</v>
      </c>
      <c r="K38" s="434">
        <f t="shared" si="9"/>
        <v>5955382.81982968</v>
      </c>
      <c r="L38" s="436"/>
      <c r="M38" s="433" t="s">
        <v>1640</v>
      </c>
      <c r="N38" s="434">
        <f>K38</f>
        <v>5955382.81982968</v>
      </c>
      <c r="O38" s="434">
        <f>K43</f>
        <v>11166835.978966195</v>
      </c>
      <c r="P38" s="434">
        <f>K48</f>
        <v>3350050.7980449251</v>
      </c>
      <c r="Q38" s="434">
        <f>SUM(N38:P38)</f>
        <v>20472269.596840799</v>
      </c>
      <c r="R38" s="111"/>
      <c r="Z38" s="111"/>
      <c r="AH38" s="111"/>
      <c r="AP38" s="111"/>
      <c r="AQ38" s="137"/>
      <c r="AR38" s="137"/>
      <c r="AS38" s="137"/>
      <c r="AT38" s="137"/>
      <c r="AU38" s="137"/>
      <c r="AV38" s="137"/>
      <c r="AW38" s="137"/>
      <c r="AX38" s="137"/>
      <c r="AY38" s="137"/>
    </row>
    <row r="39" spans="2:53" x14ac:dyDescent="0.2">
      <c r="B39" s="286" t="s">
        <v>1831</v>
      </c>
      <c r="C39" s="892"/>
      <c r="D39" s="892"/>
      <c r="E39" s="892"/>
      <c r="F39" s="892"/>
      <c r="G39" s="892"/>
      <c r="H39" s="892"/>
      <c r="I39" s="892"/>
      <c r="J39" s="892"/>
      <c r="K39" s="892"/>
      <c r="L39" s="436"/>
      <c r="M39" s="30"/>
      <c r="N39" s="30"/>
      <c r="O39" s="30"/>
      <c r="P39" s="30"/>
      <c r="Q39" s="30"/>
      <c r="R39" s="111"/>
      <c r="Z39" s="111"/>
      <c r="AH39" s="111"/>
      <c r="AP39" s="111"/>
      <c r="AQ39" s="137"/>
      <c r="AR39" s="137"/>
      <c r="AS39" s="137"/>
      <c r="AT39" s="137"/>
      <c r="AU39" s="137"/>
      <c r="AV39" s="137"/>
      <c r="AW39" s="137"/>
      <c r="AX39" s="137"/>
      <c r="AY39" s="137"/>
    </row>
    <row r="40" spans="2:53" x14ac:dyDescent="0.2">
      <c r="B40" s="433" t="s">
        <v>51</v>
      </c>
      <c r="C40" s="434">
        <f>SUM(U13:U20,U24:U28)</f>
        <v>2250345.6675955681</v>
      </c>
      <c r="D40" s="434">
        <f>SUM(V13:V20,V24:V28)</f>
        <v>670882.02489912894</v>
      </c>
      <c r="E40" s="434">
        <f>SUM(W13:W20,W24:W28)</f>
        <v>13663763.927572571</v>
      </c>
      <c r="F40" s="434">
        <f>SUM(Y13:Y20,Y24:Y28)</f>
        <v>21354447.85688198</v>
      </c>
      <c r="G40" s="434">
        <f>SUM(X13:X20,X24:X28,Z13:AB20,Z24:AB28)</f>
        <v>44277247.340830863</v>
      </c>
      <c r="H40" s="434">
        <v>0</v>
      </c>
      <c r="I40" s="434">
        <v>0</v>
      </c>
      <c r="J40" s="434"/>
      <c r="K40" s="434">
        <f>SUM(C40:J40)</f>
        <v>82216686.817780107</v>
      </c>
      <c r="L40" s="436"/>
      <c r="R40" s="111"/>
      <c r="Z40" s="111"/>
      <c r="AH40" s="111"/>
      <c r="AP40" s="111"/>
      <c r="AQ40" s="137"/>
      <c r="AR40" s="137"/>
      <c r="AS40" s="137"/>
      <c r="AT40" s="137"/>
      <c r="AU40" s="137"/>
      <c r="AV40" s="137"/>
      <c r="AW40" s="137"/>
      <c r="AX40" s="137"/>
      <c r="AY40" s="137"/>
    </row>
    <row r="41" spans="2:53" x14ac:dyDescent="0.2">
      <c r="B41" s="433" t="s">
        <v>1638</v>
      </c>
      <c r="C41" s="434">
        <f>SUM(AC13:AC20,AC24:AC28)</f>
        <v>70536854.624736086</v>
      </c>
      <c r="D41" s="434">
        <f>SUM(AD13:AD20,AD24:AD28)</f>
        <v>19441995.582602695</v>
      </c>
      <c r="E41" s="434">
        <f>SUM(AE13:AE20,AE24:AE28)</f>
        <v>12051032.801986443</v>
      </c>
      <c r="F41" s="434">
        <f>SUM(AG13:AG20,AG24:AG28)</f>
        <v>3019.5469662375485</v>
      </c>
      <c r="G41" s="434">
        <v>0</v>
      </c>
      <c r="H41" s="434">
        <v>0</v>
      </c>
      <c r="I41" s="434">
        <f>SUM(AF13:AF20,AF24:AF28,AH13:AJ20,AH24:AJ28)</f>
        <v>5244209.3035422657</v>
      </c>
      <c r="J41" s="434">
        <v>0</v>
      </c>
      <c r="K41" s="434">
        <f t="shared" ref="K41:K43" si="11">SUM(C41:J41)</f>
        <v>107277111.85983373</v>
      </c>
      <c r="L41" s="436"/>
      <c r="R41" s="111"/>
      <c r="Z41" s="111"/>
      <c r="AH41" s="111"/>
      <c r="AP41" s="111"/>
      <c r="AQ41" s="137"/>
      <c r="AR41" s="137"/>
      <c r="AS41" s="137"/>
      <c r="AT41" s="137"/>
      <c r="AU41" s="137"/>
      <c r="AV41" s="137"/>
      <c r="AW41" s="137"/>
      <c r="AX41" s="137"/>
      <c r="AY41" s="137"/>
    </row>
    <row r="42" spans="2:53" x14ac:dyDescent="0.2">
      <c r="B42" s="433" t="s">
        <v>1639</v>
      </c>
      <c r="C42" s="434">
        <f>SUM(M13:M20,M24:M28)</f>
        <v>11311586.1524274</v>
      </c>
      <c r="D42" s="434">
        <f>SUM(N13:N20,N24:N28)</f>
        <v>2011735.4027748767</v>
      </c>
      <c r="E42" s="434">
        <f>SUM(O13:O20,O24:O28)</f>
        <v>111088.22293921042</v>
      </c>
      <c r="F42" s="434">
        <f>SUM(Q13:Q20,Q24:Q28)</f>
        <v>0</v>
      </c>
      <c r="G42" s="434">
        <v>0</v>
      </c>
      <c r="H42" s="434">
        <f>SUM(P13:P20,P24:P28,R13:T20,R24:T28)</f>
        <v>107236.39640781659</v>
      </c>
      <c r="I42" s="434">
        <v>0</v>
      </c>
      <c r="J42" s="434">
        <v>0</v>
      </c>
      <c r="K42" s="434">
        <f t="shared" si="11"/>
        <v>13541646.174549302</v>
      </c>
      <c r="L42" s="436"/>
      <c r="R42" s="111"/>
      <c r="Z42" s="111"/>
      <c r="AH42" s="111"/>
      <c r="AP42" s="111"/>
      <c r="AQ42" s="137"/>
      <c r="AR42" s="137"/>
      <c r="AS42" s="137"/>
      <c r="AT42" s="137"/>
      <c r="AU42" s="137"/>
      <c r="AV42" s="137"/>
      <c r="AW42" s="137"/>
      <c r="AX42" s="137"/>
      <c r="AY42" s="137"/>
    </row>
    <row r="43" spans="2:53" x14ac:dyDescent="0.2">
      <c r="B43" s="433" t="s">
        <v>1640</v>
      </c>
      <c r="C43" s="434">
        <f>SUM(AK13:AK20,AK24:AK28)</f>
        <v>8229270.3038417809</v>
      </c>
      <c r="D43" s="434">
        <f>SUM(AL13:AL20,AL24:AL28)</f>
        <v>1279652.8007904515</v>
      </c>
      <c r="E43" s="434">
        <f>SUM(AM13:AM20,AM24:AM28)</f>
        <v>1619651.0337475375</v>
      </c>
      <c r="F43" s="434">
        <f>SUM(AO13:AO20,AO24:AO28)</f>
        <v>49.074364351369518</v>
      </c>
      <c r="G43" s="434">
        <v>0</v>
      </c>
      <c r="H43" s="434">
        <v>0</v>
      </c>
      <c r="I43" s="434">
        <v>0</v>
      </c>
      <c r="J43" s="434">
        <f>SUM(AN13:AN20,AN24:AN28,AP13:AR20,AP24:AR28)</f>
        <v>38212.766222074417</v>
      </c>
      <c r="K43" s="434">
        <f t="shared" si="11"/>
        <v>11166835.978966195</v>
      </c>
      <c r="L43" s="436"/>
      <c r="R43" s="111"/>
      <c r="Z43" s="111"/>
      <c r="AH43" s="111"/>
      <c r="AP43" s="111"/>
      <c r="AQ43" s="137"/>
      <c r="AR43" s="137"/>
      <c r="AS43" s="137"/>
      <c r="AT43" s="137"/>
      <c r="AU43" s="137"/>
      <c r="AV43" s="137"/>
      <c r="AW43" s="137"/>
      <c r="AX43" s="137"/>
      <c r="AY43" s="137"/>
    </row>
    <row r="44" spans="2:53" x14ac:dyDescent="0.2">
      <c r="B44" s="286" t="s">
        <v>1637</v>
      </c>
      <c r="C44" s="892"/>
      <c r="D44" s="892"/>
      <c r="E44" s="892"/>
      <c r="F44" s="892"/>
      <c r="G44" s="892"/>
      <c r="H44" s="892"/>
      <c r="I44" s="892"/>
      <c r="J44" s="892"/>
      <c r="K44" s="892"/>
      <c r="Z44" s="111"/>
      <c r="AH44" s="111"/>
      <c r="AP44" s="111"/>
      <c r="AQ44" s="137"/>
      <c r="AR44" s="137"/>
      <c r="AS44" s="137"/>
      <c r="AT44" s="137"/>
      <c r="AU44" s="137"/>
      <c r="AV44" s="137"/>
      <c r="AW44" s="137"/>
      <c r="AX44" s="137"/>
      <c r="AY44" s="137"/>
    </row>
    <row r="45" spans="2:53" x14ac:dyDescent="0.2">
      <c r="B45" s="433" t="s">
        <v>51</v>
      </c>
      <c r="C45" s="434">
        <f>SUM(U21:U23)</f>
        <v>1294207.1913432705</v>
      </c>
      <c r="D45" s="434">
        <f>SUM(V21:V23)</f>
        <v>569449.95963287028</v>
      </c>
      <c r="E45" s="434">
        <f>SUM(W21:W23)</f>
        <v>3922872.8686715653</v>
      </c>
      <c r="F45" s="434">
        <f>SUM(Y21:Y23)</f>
        <v>12245971.960589502</v>
      </c>
      <c r="G45" s="434">
        <f>SUM(X21:X23,Z21:AB23)</f>
        <v>12324933.188538278</v>
      </c>
      <c r="H45" s="434">
        <v>0</v>
      </c>
      <c r="I45" s="434">
        <v>0</v>
      </c>
      <c r="J45" s="434">
        <v>0</v>
      </c>
      <c r="K45" s="434">
        <f>SUM(C45:J45)</f>
        <v>30357435.168775484</v>
      </c>
      <c r="Z45" s="111"/>
      <c r="AH45" s="111"/>
      <c r="AP45" s="111"/>
      <c r="AQ45" s="137"/>
      <c r="AR45" s="137"/>
      <c r="AS45" s="137"/>
      <c r="AT45" s="137"/>
      <c r="AU45" s="137"/>
      <c r="AV45" s="137"/>
      <c r="AW45" s="137"/>
      <c r="AX45" s="137"/>
      <c r="AY45" s="137"/>
    </row>
    <row r="46" spans="2:53" x14ac:dyDescent="0.2">
      <c r="B46" s="433" t="s">
        <v>1638</v>
      </c>
      <c r="C46" s="434">
        <f>SUM(AC21:AC23)</f>
        <v>24283407.824951604</v>
      </c>
      <c r="D46" s="434">
        <f>SUM(AD21:AD23)</f>
        <v>804548.44475653907</v>
      </c>
      <c r="E46" s="434">
        <f>SUM(AE21:AE23)</f>
        <v>0</v>
      </c>
      <c r="F46" s="434">
        <f>SUM(AG21:AG23)</f>
        <v>0</v>
      </c>
      <c r="G46" s="434">
        <v>0</v>
      </c>
      <c r="H46" s="434">
        <v>0</v>
      </c>
      <c r="I46" s="434">
        <f>SUM(AF21:AF23,AH21:AJ23)</f>
        <v>382732.74405440688</v>
      </c>
      <c r="J46" s="434">
        <v>0</v>
      </c>
      <c r="K46" s="434">
        <f t="shared" ref="K46:K48" si="12">SUM(C46:J46)</f>
        <v>25470689.013762549</v>
      </c>
      <c r="AB46" s="111"/>
      <c r="AJ46" s="111"/>
      <c r="AR46" s="111"/>
      <c r="AS46" s="137"/>
      <c r="AT46" s="137"/>
      <c r="AU46" s="137"/>
      <c r="AV46" s="137"/>
      <c r="AW46" s="137"/>
      <c r="AX46" s="137"/>
      <c r="AY46" s="137"/>
      <c r="AZ46" s="137"/>
      <c r="BA46" s="137"/>
    </row>
    <row r="47" spans="2:53" x14ac:dyDescent="0.2">
      <c r="B47" s="433" t="s">
        <v>1639</v>
      </c>
      <c r="C47" s="434">
        <f>SUM(M21:M23)</f>
        <v>2650881.5100277183</v>
      </c>
      <c r="D47" s="434">
        <f>SUM(N21:N23)</f>
        <v>278945.18113539065</v>
      </c>
      <c r="E47" s="434">
        <f>SUM(O21:O23)</f>
        <v>0</v>
      </c>
      <c r="F47" s="434">
        <f>SUM(Q21:Q23)</f>
        <v>0</v>
      </c>
      <c r="G47" s="434">
        <v>0</v>
      </c>
      <c r="H47" s="434">
        <f>SUM(P21:P23,R21:T23)</f>
        <v>0</v>
      </c>
      <c r="I47" s="434">
        <v>0</v>
      </c>
      <c r="J47" s="434">
        <v>0</v>
      </c>
      <c r="K47" s="434">
        <f t="shared" si="12"/>
        <v>2929826.6911631087</v>
      </c>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281"/>
      <c r="AS47" s="113"/>
      <c r="AT47" s="113"/>
      <c r="AU47" s="113"/>
      <c r="AV47" s="113"/>
      <c r="AW47" s="113"/>
      <c r="AX47" s="113"/>
      <c r="AY47" s="113"/>
      <c r="AZ47" s="113"/>
    </row>
    <row r="48" spans="2:53" x14ac:dyDescent="0.2">
      <c r="B48" s="433" t="s">
        <v>1640</v>
      </c>
      <c r="C48" s="434">
        <f>SUM(AK21:AK23)</f>
        <v>2573700.9432120398</v>
      </c>
      <c r="D48" s="434">
        <f>SUM(AL21:AL23)</f>
        <v>776349.8548328852</v>
      </c>
      <c r="E48" s="434">
        <f>SUM(AM21:AM23)</f>
        <v>0</v>
      </c>
      <c r="F48" s="434">
        <f>SUM(AO21:AO23)</f>
        <v>0</v>
      </c>
      <c r="G48" s="434">
        <v>0</v>
      </c>
      <c r="H48" s="434">
        <v>0</v>
      </c>
      <c r="I48" s="434">
        <v>0</v>
      </c>
      <c r="J48" s="434">
        <f>SUM(AN21:AN23,AP21:AR23)</f>
        <v>0</v>
      </c>
      <c r="K48" s="434">
        <f t="shared" si="12"/>
        <v>3350050.7980449251</v>
      </c>
      <c r="V48" s="127"/>
      <c r="W48" s="127"/>
      <c r="X48" s="127"/>
      <c r="Y48" s="113"/>
      <c r="Z48" s="113"/>
      <c r="AA48" s="113"/>
      <c r="AB48" s="113"/>
      <c r="AC48" s="113"/>
      <c r="AD48" s="113"/>
      <c r="AE48" s="113"/>
      <c r="AF48" s="113"/>
      <c r="AG48" s="113"/>
      <c r="AH48" s="113"/>
      <c r="AI48" s="113"/>
      <c r="AJ48" s="113"/>
      <c r="AK48" s="113"/>
      <c r="AL48" s="113"/>
      <c r="AM48" s="113"/>
      <c r="AN48" s="113"/>
      <c r="AO48" s="113"/>
      <c r="AP48" s="113"/>
      <c r="AQ48" s="113"/>
      <c r="AR48" s="113"/>
      <c r="AS48" s="113"/>
      <c r="AT48" s="124"/>
      <c r="AU48" s="113"/>
      <c r="AV48" s="113"/>
      <c r="AW48" s="113"/>
      <c r="AX48" s="113"/>
      <c r="AY48" s="113"/>
      <c r="AZ48" s="113"/>
    </row>
    <row r="49" spans="2:53" x14ac:dyDescent="0.2">
      <c r="V49" s="127"/>
      <c r="W49" s="128"/>
      <c r="X49" s="129"/>
      <c r="Y49" s="113"/>
      <c r="Z49" s="113"/>
      <c r="AA49" s="113" t="s">
        <v>1833</v>
      </c>
      <c r="AB49" s="113"/>
      <c r="AC49" s="113"/>
      <c r="AD49" s="113"/>
      <c r="AE49" s="113"/>
      <c r="AF49" s="113"/>
      <c r="AG49" s="113"/>
      <c r="AH49" s="113"/>
      <c r="AI49" s="113"/>
      <c r="AJ49" s="113"/>
      <c r="AK49" s="113"/>
      <c r="AL49" s="113"/>
      <c r="AM49" s="113"/>
      <c r="AN49" s="113"/>
      <c r="AO49" s="113"/>
      <c r="AP49" s="113"/>
      <c r="AQ49" s="113"/>
      <c r="AR49" s="113"/>
      <c r="AS49" s="113"/>
      <c r="AT49" s="113"/>
      <c r="AU49" s="113"/>
      <c r="AV49" s="113"/>
      <c r="AW49" s="113"/>
      <c r="AX49" s="113"/>
      <c r="AY49" s="113"/>
      <c r="AZ49" s="113"/>
    </row>
    <row r="50" spans="2:53" x14ac:dyDescent="0.2">
      <c r="V50" s="127"/>
      <c r="W50" s="130"/>
      <c r="X50" s="129"/>
      <c r="Y50" s="113"/>
      <c r="Z50" s="113"/>
      <c r="AA50" s="113"/>
      <c r="AB50" s="113"/>
      <c r="AC50" s="113"/>
      <c r="AD50" s="113"/>
      <c r="AE50" s="113"/>
      <c r="AF50" s="113"/>
      <c r="AG50" s="113"/>
      <c r="AH50" s="113"/>
      <c r="AI50" s="113"/>
      <c r="AJ50" s="113"/>
      <c r="AK50" s="113"/>
      <c r="AL50" s="113"/>
      <c r="AM50" s="113"/>
      <c r="AN50" s="113"/>
      <c r="AO50" s="113"/>
      <c r="AP50" s="113"/>
      <c r="AQ50" s="113"/>
      <c r="AR50" s="113"/>
      <c r="AS50" s="113"/>
      <c r="AT50" s="113"/>
      <c r="AU50" s="113"/>
      <c r="AV50" s="113"/>
      <c r="AW50" s="113"/>
      <c r="AX50" s="113"/>
      <c r="AY50" s="113"/>
      <c r="AZ50" s="113"/>
    </row>
    <row r="51" spans="2:53" x14ac:dyDescent="0.2">
      <c r="E51" s="430"/>
      <c r="V51" s="113"/>
      <c r="W51" s="127"/>
      <c r="X51" s="128"/>
      <c r="Y51" s="129"/>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c r="AX51" s="113"/>
      <c r="AY51" s="113"/>
      <c r="AZ51" s="113"/>
      <c r="BA51" s="113"/>
    </row>
    <row r="52" spans="2:53" x14ac:dyDescent="0.2">
      <c r="B52" s="286" t="s">
        <v>1834</v>
      </c>
      <c r="C52" s="286"/>
      <c r="D52" s="286"/>
      <c r="E52" s="286"/>
      <c r="F52" s="286"/>
      <c r="G52" s="286"/>
      <c r="H52" s="286"/>
      <c r="I52" s="286"/>
      <c r="J52" s="286"/>
      <c r="K52" s="286"/>
      <c r="M52" s="286" t="s">
        <v>1834</v>
      </c>
      <c r="N52" s="431"/>
      <c r="O52" s="431"/>
      <c r="P52" s="431"/>
      <c r="Q52" s="431"/>
      <c r="V52" s="113"/>
      <c r="W52" s="28"/>
      <c r="X52" s="128"/>
      <c r="Y52" s="129"/>
      <c r="Z52" s="113"/>
      <c r="AA52" s="113"/>
      <c r="AB52" s="113"/>
      <c r="AC52" s="113"/>
      <c r="AD52" s="113"/>
      <c r="AE52" s="113"/>
      <c r="AF52" s="113"/>
      <c r="AG52" s="113"/>
      <c r="AH52" s="113"/>
      <c r="AI52" s="113"/>
      <c r="AJ52" s="113"/>
      <c r="AK52" s="113"/>
      <c r="AL52" s="113"/>
      <c r="AM52" s="113"/>
      <c r="AN52" s="113"/>
      <c r="AO52" s="113"/>
      <c r="AP52" s="113"/>
      <c r="AQ52" s="113"/>
      <c r="AR52" s="113"/>
      <c r="AS52" s="113"/>
      <c r="AT52" s="113"/>
      <c r="AU52" s="113"/>
      <c r="AV52" s="113"/>
      <c r="AW52" s="113"/>
      <c r="AX52" s="113"/>
      <c r="AY52" s="113"/>
      <c r="AZ52" s="113"/>
      <c r="BA52" s="113"/>
    </row>
    <row r="53" spans="2:53" x14ac:dyDescent="0.2">
      <c r="B53" s="286" t="s">
        <v>1635</v>
      </c>
      <c r="C53" s="892" t="s">
        <v>1467</v>
      </c>
      <c r="D53" s="892" t="s">
        <v>1645</v>
      </c>
      <c r="E53" s="892" t="s">
        <v>1468</v>
      </c>
      <c r="F53" s="892" t="s">
        <v>1474</v>
      </c>
      <c r="G53" s="892" t="s">
        <v>1646</v>
      </c>
      <c r="H53" s="892" t="s">
        <v>1647</v>
      </c>
      <c r="I53" s="892" t="s">
        <v>1648</v>
      </c>
      <c r="J53" s="892" t="s">
        <v>1830</v>
      </c>
      <c r="K53" s="892" t="s">
        <v>1419</v>
      </c>
      <c r="M53" s="286"/>
      <c r="N53" s="286" t="s">
        <v>1635</v>
      </c>
      <c r="O53" s="286" t="s">
        <v>1831</v>
      </c>
      <c r="P53" s="286" t="s">
        <v>1637</v>
      </c>
      <c r="Q53" s="286" t="s">
        <v>1832</v>
      </c>
      <c r="V53" s="113"/>
      <c r="W53" s="127"/>
      <c r="X53" s="128"/>
      <c r="Y53" s="127"/>
      <c r="Z53" s="113"/>
      <c r="AA53" s="113"/>
      <c r="AB53" s="113"/>
      <c r="AC53" s="113"/>
      <c r="AD53" s="113"/>
      <c r="AE53" s="113"/>
      <c r="AF53" s="113"/>
      <c r="AG53" s="113"/>
      <c r="AH53" s="113"/>
      <c r="AI53" s="113"/>
      <c r="AJ53" s="113"/>
      <c r="AK53" s="113"/>
      <c r="AL53" s="113"/>
      <c r="AM53" s="113"/>
      <c r="AN53" s="113"/>
      <c r="AO53" s="113"/>
      <c r="AP53" s="113"/>
      <c r="AQ53" s="113"/>
      <c r="AR53" s="113"/>
      <c r="AS53" s="113"/>
      <c r="AT53" s="113"/>
      <c r="AU53" s="113"/>
      <c r="AV53" s="113"/>
      <c r="AW53" s="113"/>
      <c r="AX53" s="113"/>
      <c r="AY53" s="113"/>
      <c r="AZ53" s="113"/>
      <c r="BA53" s="113"/>
    </row>
    <row r="54" spans="2:53" x14ac:dyDescent="0.2">
      <c r="B54" s="433" t="s">
        <v>51</v>
      </c>
      <c r="C54" s="437">
        <f>C35/$K35</f>
        <v>5.3708590005772092E-2</v>
      </c>
      <c r="D54" s="437">
        <f>D35/$K35</f>
        <v>2.4136647026241995E-2</v>
      </c>
      <c r="E54" s="437">
        <f>E35/$K35</f>
        <v>0.1597537258560621</v>
      </c>
      <c r="F54" s="437">
        <f>F35/$K35</f>
        <v>0.25280786055764032</v>
      </c>
      <c r="G54" s="437">
        <f>G35/$K35</f>
        <v>0.5095931765542836</v>
      </c>
      <c r="H54" s="437">
        <f t="shared" ref="D54:J57" si="13">H35/$K35</f>
        <v>0</v>
      </c>
      <c r="I54" s="437">
        <f t="shared" si="13"/>
        <v>0</v>
      </c>
      <c r="J54" s="437">
        <f t="shared" si="13"/>
        <v>0</v>
      </c>
      <c r="K54" s="434">
        <f>SUM(C54:J54)</f>
        <v>1</v>
      </c>
      <c r="M54" s="433" t="s">
        <v>51</v>
      </c>
      <c r="N54" s="437">
        <f>N35/$Q35</f>
        <v>0.31490715898259602</v>
      </c>
      <c r="O54" s="437">
        <f t="shared" ref="N54:P57" si="14">O35/$Q35</f>
        <v>0.50034646113214187</v>
      </c>
      <c r="P54" s="437">
        <f t="shared" si="14"/>
        <v>0.18474637988526227</v>
      </c>
      <c r="Q54" s="434">
        <f>SUM(N54:P54)</f>
        <v>1.0000000000000002</v>
      </c>
    </row>
    <row r="55" spans="2:53" x14ac:dyDescent="0.2">
      <c r="B55" s="433" t="s">
        <v>1638</v>
      </c>
      <c r="C55" s="437">
        <f>(C36+E36)/$K36</f>
        <v>0.68122784434040284</v>
      </c>
      <c r="D55" s="437">
        <f t="shared" si="13"/>
        <v>0.30291933289163869</v>
      </c>
      <c r="E55" s="437">
        <v>0</v>
      </c>
      <c r="F55" s="437">
        <f t="shared" si="13"/>
        <v>0</v>
      </c>
      <c r="G55" s="437">
        <f t="shared" si="13"/>
        <v>0</v>
      </c>
      <c r="H55" s="437">
        <f t="shared" si="13"/>
        <v>0</v>
      </c>
      <c r="I55" s="437">
        <f>I36/$K36</f>
        <v>1.5852822767958449E-2</v>
      </c>
      <c r="J55" s="437">
        <f t="shared" si="13"/>
        <v>0</v>
      </c>
      <c r="K55" s="434">
        <f t="shared" ref="K55:K57" si="15">SUM(C55:J55)</f>
        <v>1</v>
      </c>
      <c r="M55" s="433" t="s">
        <v>1638</v>
      </c>
      <c r="N55" s="437">
        <f>N36/$Q36</f>
        <v>0.57405028987985929</v>
      </c>
      <c r="O55" s="437">
        <f t="shared" si="14"/>
        <v>0.34422155695620893</v>
      </c>
      <c r="P55" s="437">
        <f t="shared" si="14"/>
        <v>8.1728153163931935E-2</v>
      </c>
      <c r="Q55" s="434">
        <f>SUM(N55:P55)</f>
        <v>1.0000000000000002</v>
      </c>
    </row>
    <row r="56" spans="2:53" x14ac:dyDescent="0.2">
      <c r="B56" s="433" t="s">
        <v>1639</v>
      </c>
      <c r="C56" s="437">
        <f>(C37+E37)/$K37</f>
        <v>0.75546893148462047</v>
      </c>
      <c r="D56" s="437">
        <f t="shared" si="13"/>
        <v>0.24453068053744226</v>
      </c>
      <c r="E56" s="437">
        <v>0</v>
      </c>
      <c r="F56" s="437">
        <f t="shared" si="13"/>
        <v>0</v>
      </c>
      <c r="G56" s="437">
        <f t="shared" si="13"/>
        <v>0</v>
      </c>
      <c r="H56" s="437">
        <f t="shared" si="13"/>
        <v>3.8797793735638291E-7</v>
      </c>
      <c r="I56" s="437">
        <f t="shared" si="13"/>
        <v>0</v>
      </c>
      <c r="J56" s="437">
        <f t="shared" si="13"/>
        <v>0</v>
      </c>
      <c r="K56" s="434">
        <f t="shared" si="15"/>
        <v>1</v>
      </c>
      <c r="M56" s="433" t="s">
        <v>1639</v>
      </c>
      <c r="N56" s="437">
        <f t="shared" si="14"/>
        <v>0.69563854408928061</v>
      </c>
      <c r="O56" s="437">
        <f t="shared" si="14"/>
        <v>0.25022383721939173</v>
      </c>
      <c r="P56" s="437">
        <f t="shared" si="14"/>
        <v>5.4137618691327716E-2</v>
      </c>
      <c r="Q56" s="434">
        <f>SUM(N56:P56)</f>
        <v>1</v>
      </c>
    </row>
    <row r="57" spans="2:53" x14ac:dyDescent="0.2">
      <c r="B57" s="433" t="s">
        <v>1640</v>
      </c>
      <c r="C57" s="437">
        <f>(C38+E38)/$K38</f>
        <v>0.70227735465792385</v>
      </c>
      <c r="D57" s="437">
        <f>D38/$K38</f>
        <v>0.29772264534207615</v>
      </c>
      <c r="E57" s="765">
        <v>0</v>
      </c>
      <c r="F57" s="437">
        <f t="shared" si="13"/>
        <v>0</v>
      </c>
      <c r="G57" s="437">
        <f t="shared" si="13"/>
        <v>0</v>
      </c>
      <c r="H57" s="437">
        <f t="shared" si="13"/>
        <v>0</v>
      </c>
      <c r="I57" s="437">
        <f t="shared" si="13"/>
        <v>0</v>
      </c>
      <c r="J57" s="437">
        <f t="shared" si="13"/>
        <v>0</v>
      </c>
      <c r="K57" s="434">
        <f t="shared" si="15"/>
        <v>1</v>
      </c>
      <c r="M57" s="433" t="s">
        <v>1640</v>
      </c>
      <c r="N57" s="437">
        <f>N38/$Q38</f>
        <v>0.29089998017360474</v>
      </c>
      <c r="O57" s="437">
        <f t="shared" si="14"/>
        <v>0.5454615535489733</v>
      </c>
      <c r="P57" s="437">
        <f t="shared" si="14"/>
        <v>0.16363846627742201</v>
      </c>
      <c r="Q57" s="434">
        <f>SUM(N57:P57)</f>
        <v>1</v>
      </c>
    </row>
    <row r="58" spans="2:53" x14ac:dyDescent="0.2">
      <c r="B58" s="286" t="s">
        <v>1831</v>
      </c>
      <c r="C58" s="414"/>
      <c r="D58" s="414"/>
      <c r="E58" s="414"/>
      <c r="F58" s="414"/>
      <c r="G58" s="414"/>
      <c r="H58" s="414"/>
      <c r="I58" s="414"/>
      <c r="J58" s="414"/>
      <c r="K58" s="414"/>
    </row>
    <row r="59" spans="2:53" x14ac:dyDescent="0.2">
      <c r="B59" s="433" t="s">
        <v>51</v>
      </c>
      <c r="C59" s="437">
        <f t="shared" ref="C59:J62" si="16">C40/$K40</f>
        <v>2.7370911608042447E-2</v>
      </c>
      <c r="D59" s="437">
        <f t="shared" si="16"/>
        <v>8.1599253249651088E-3</v>
      </c>
      <c r="E59" s="437">
        <f t="shared" si="16"/>
        <v>0.166192101098115</v>
      </c>
      <c r="F59" s="437">
        <f>F40/$K40</f>
        <v>0.25973374364027385</v>
      </c>
      <c r="G59" s="437">
        <f>G40/$K40</f>
        <v>0.53854331832860358</v>
      </c>
      <c r="H59" s="437">
        <f t="shared" si="16"/>
        <v>0</v>
      </c>
      <c r="I59" s="437">
        <f t="shared" si="16"/>
        <v>0</v>
      </c>
      <c r="J59" s="437">
        <f t="shared" si="16"/>
        <v>0</v>
      </c>
      <c r="K59" s="434">
        <f>SUM(C59:J59)</f>
        <v>1</v>
      </c>
    </row>
    <row r="60" spans="2:53" x14ac:dyDescent="0.2">
      <c r="B60" s="433" t="s">
        <v>1638</v>
      </c>
      <c r="C60" s="437">
        <f t="shared" si="16"/>
        <v>0.65752007489629494</v>
      </c>
      <c r="D60" s="437">
        <f t="shared" si="16"/>
        <v>0.18123153434635006</v>
      </c>
      <c r="E60" s="437">
        <f t="shared" si="16"/>
        <v>0.11233554476869304</v>
      </c>
      <c r="F60" s="437">
        <f>F41/$K41</f>
        <v>2.8147168709974519E-5</v>
      </c>
      <c r="G60" s="437">
        <f t="shared" si="16"/>
        <v>0</v>
      </c>
      <c r="H60" s="437">
        <f t="shared" si="16"/>
        <v>0</v>
      </c>
      <c r="I60" s="437">
        <f>I41/$K41</f>
        <v>4.8884698819951937E-2</v>
      </c>
      <c r="J60" s="437">
        <f t="shared" si="16"/>
        <v>0</v>
      </c>
      <c r="K60" s="434">
        <f t="shared" ref="K60:K62" si="17">SUM(C60:J60)</f>
        <v>1</v>
      </c>
    </row>
    <row r="61" spans="2:53" x14ac:dyDescent="0.2">
      <c r="B61" s="433" t="s">
        <v>1639</v>
      </c>
      <c r="C61" s="437">
        <f t="shared" si="16"/>
        <v>0.8353183953134764</v>
      </c>
      <c r="D61" s="437">
        <f t="shared" si="16"/>
        <v>0.14855914686028429</v>
      </c>
      <c r="E61" s="437">
        <f t="shared" si="16"/>
        <v>8.2034504156513824E-3</v>
      </c>
      <c r="F61" s="437">
        <f t="shared" si="16"/>
        <v>0</v>
      </c>
      <c r="G61" s="437">
        <f t="shared" si="16"/>
        <v>0</v>
      </c>
      <c r="H61" s="437">
        <f>H42/$K42</f>
        <v>7.9190074105880016E-3</v>
      </c>
      <c r="I61" s="437">
        <f t="shared" si="16"/>
        <v>0</v>
      </c>
      <c r="J61" s="437">
        <f t="shared" si="16"/>
        <v>0</v>
      </c>
      <c r="K61" s="434">
        <f t="shared" si="17"/>
        <v>1</v>
      </c>
    </row>
    <row r="62" spans="2:53" x14ac:dyDescent="0.2">
      <c r="B62" s="433" t="s">
        <v>1640</v>
      </c>
      <c r="C62" s="437">
        <f t="shared" si="16"/>
        <v>0.73693840577065872</v>
      </c>
      <c r="D62" s="437">
        <f t="shared" si="16"/>
        <v>0.11459403569648556</v>
      </c>
      <c r="E62" s="437">
        <f t="shared" si="16"/>
        <v>0.14504117699931343</v>
      </c>
      <c r="F62" s="437">
        <f t="shared" si="16"/>
        <v>4.3946525626243439E-6</v>
      </c>
      <c r="G62" s="437">
        <f t="shared" si="16"/>
        <v>0</v>
      </c>
      <c r="H62" s="437">
        <f t="shared" si="16"/>
        <v>0</v>
      </c>
      <c r="I62" s="437">
        <f t="shared" si="16"/>
        <v>0</v>
      </c>
      <c r="J62" s="437">
        <f t="shared" si="16"/>
        <v>3.4219868809796995E-3</v>
      </c>
      <c r="K62" s="434">
        <f t="shared" si="17"/>
        <v>1</v>
      </c>
    </row>
    <row r="63" spans="2:53" x14ac:dyDescent="0.2">
      <c r="B63" s="286" t="s">
        <v>1637</v>
      </c>
      <c r="C63" s="414"/>
      <c r="D63" s="414"/>
      <c r="E63" s="414"/>
      <c r="F63" s="414"/>
      <c r="G63" s="414"/>
      <c r="H63" s="414"/>
      <c r="I63" s="414"/>
      <c r="J63" s="414"/>
      <c r="K63" s="414"/>
    </row>
    <row r="64" spans="2:53" x14ac:dyDescent="0.2">
      <c r="B64" s="433" t="s">
        <v>51</v>
      </c>
      <c r="C64" s="437">
        <f t="shared" ref="C64:J67" si="18">C45/$K45</f>
        <v>4.2632296969358045E-2</v>
      </c>
      <c r="D64" s="437">
        <f t="shared" si="18"/>
        <v>1.8758170987336412E-2</v>
      </c>
      <c r="E64" s="437">
        <f t="shared" si="18"/>
        <v>0.1292228031407108</v>
      </c>
      <c r="F64" s="437">
        <f t="shared" si="18"/>
        <v>0.40339283910207435</v>
      </c>
      <c r="G64" s="437">
        <f t="shared" si="18"/>
        <v>0.40599388980052042</v>
      </c>
      <c r="H64" s="437">
        <f t="shared" si="18"/>
        <v>0</v>
      </c>
      <c r="I64" s="437">
        <f t="shared" si="18"/>
        <v>0</v>
      </c>
      <c r="J64" s="437">
        <f t="shared" si="18"/>
        <v>0</v>
      </c>
      <c r="K64" s="434">
        <f>SUM(C64:J64)</f>
        <v>1</v>
      </c>
    </row>
    <row r="65" spans="2:16" x14ac:dyDescent="0.2">
      <c r="B65" s="433" t="s">
        <v>1638</v>
      </c>
      <c r="C65" s="437">
        <f t="shared" si="18"/>
        <v>0.95338637332624088</v>
      </c>
      <c r="D65" s="437">
        <f t="shared" si="18"/>
        <v>3.1587227354619982E-2</v>
      </c>
      <c r="E65" s="437">
        <f t="shared" si="18"/>
        <v>0</v>
      </c>
      <c r="F65" s="437">
        <f t="shared" si="18"/>
        <v>0</v>
      </c>
      <c r="G65" s="437">
        <f t="shared" si="18"/>
        <v>0</v>
      </c>
      <c r="H65" s="437">
        <f t="shared" si="18"/>
        <v>0</v>
      </c>
      <c r="I65" s="437">
        <f t="shared" si="18"/>
        <v>1.5026399319139162E-2</v>
      </c>
      <c r="J65" s="437">
        <f t="shared" si="18"/>
        <v>0</v>
      </c>
      <c r="K65" s="434">
        <f t="shared" ref="K65:K67" si="19">SUM(C65:J65)</f>
        <v>1</v>
      </c>
    </row>
    <row r="66" spans="2:16" x14ac:dyDescent="0.2">
      <c r="B66" s="433" t="s">
        <v>1639</v>
      </c>
      <c r="C66" s="437">
        <f t="shared" si="18"/>
        <v>0.90479123492978619</v>
      </c>
      <c r="D66" s="437">
        <f t="shared" si="18"/>
        <v>9.5208765070213933E-2</v>
      </c>
      <c r="E66" s="437">
        <f t="shared" si="18"/>
        <v>0</v>
      </c>
      <c r="F66" s="437">
        <f t="shared" si="18"/>
        <v>0</v>
      </c>
      <c r="G66" s="437">
        <f t="shared" si="18"/>
        <v>0</v>
      </c>
      <c r="H66" s="437">
        <f t="shared" si="18"/>
        <v>0</v>
      </c>
      <c r="I66" s="437">
        <f t="shared" si="18"/>
        <v>0</v>
      </c>
      <c r="J66" s="437">
        <f t="shared" si="18"/>
        <v>0</v>
      </c>
      <c r="K66" s="434">
        <f t="shared" si="19"/>
        <v>1.0000000000000002</v>
      </c>
    </row>
    <row r="67" spans="2:16" x14ac:dyDescent="0.2">
      <c r="B67" s="433" t="s">
        <v>1640</v>
      </c>
      <c r="C67" s="437">
        <f t="shared" si="18"/>
        <v>0.7682572887294844</v>
      </c>
      <c r="D67" s="437">
        <f t="shared" si="18"/>
        <v>0.23174271127051552</v>
      </c>
      <c r="E67" s="437">
        <f t="shared" si="18"/>
        <v>0</v>
      </c>
      <c r="F67" s="437">
        <f t="shared" si="18"/>
        <v>0</v>
      </c>
      <c r="G67" s="437">
        <f t="shared" si="18"/>
        <v>0</v>
      </c>
      <c r="H67" s="437">
        <f t="shared" si="18"/>
        <v>0</v>
      </c>
      <c r="I67" s="437">
        <f t="shared" si="18"/>
        <v>0</v>
      </c>
      <c r="J67" s="437">
        <f t="shared" si="18"/>
        <v>0</v>
      </c>
      <c r="K67" s="434">
        <f t="shared" si="19"/>
        <v>0.99999999999999989</v>
      </c>
    </row>
    <row r="68" spans="2:16" x14ac:dyDescent="0.2">
      <c r="B68" s="15"/>
      <c r="C68" s="15"/>
      <c r="D68" s="15"/>
      <c r="E68" s="15"/>
      <c r="F68" s="15"/>
      <c r="G68" s="15"/>
      <c r="H68" s="15"/>
      <c r="I68" s="15"/>
      <c r="J68" s="15"/>
      <c r="K68" s="15"/>
    </row>
    <row r="69" spans="2:16" x14ac:dyDescent="0.2">
      <c r="B69" s="15"/>
      <c r="C69" s="15"/>
      <c r="D69" s="15"/>
      <c r="E69" s="15"/>
      <c r="F69" s="15"/>
      <c r="G69" s="15"/>
      <c r="H69" s="15"/>
      <c r="I69" s="15"/>
      <c r="J69" s="15"/>
      <c r="K69" s="15"/>
    </row>
    <row r="70" spans="2:16" ht="12.75" customHeight="1" x14ac:dyDescent="0.2">
      <c r="B70" s="15"/>
      <c r="C70" s="15"/>
      <c r="D70" s="15"/>
      <c r="E70" s="15"/>
      <c r="F70" s="909" t="s">
        <v>1835</v>
      </c>
      <c r="G70" s="909"/>
      <c r="H70" s="15"/>
      <c r="I70" s="15"/>
      <c r="J70" s="15"/>
      <c r="K70" s="15"/>
    </row>
    <row r="71" spans="2:16" ht="27" customHeight="1" x14ac:dyDescent="0.2">
      <c r="C71" s="15"/>
      <c r="D71" s="908" t="s">
        <v>1836</v>
      </c>
      <c r="E71" s="908"/>
      <c r="F71" s="909"/>
      <c r="G71" s="909"/>
      <c r="H71" s="15"/>
      <c r="I71" s="15"/>
      <c r="J71" s="15"/>
      <c r="K71" s="15"/>
    </row>
    <row r="72" spans="2:16" ht="25.5" x14ac:dyDescent="0.25">
      <c r="B72" s="29" t="s">
        <v>1837</v>
      </c>
      <c r="C72" s="29" t="s">
        <v>1838</v>
      </c>
      <c r="D72" s="29" t="s">
        <v>1839</v>
      </c>
      <c r="E72" s="29" t="s">
        <v>1840</v>
      </c>
      <c r="F72" s="427" t="s">
        <v>1839</v>
      </c>
      <c r="G72" s="428" t="s">
        <v>1840</v>
      </c>
      <c r="H72" s="29" t="s">
        <v>1841</v>
      </c>
      <c r="I72" s="15"/>
      <c r="J72" s="15"/>
      <c r="K72" s="425"/>
    </row>
    <row r="73" spans="2:16" x14ac:dyDescent="0.2">
      <c r="B73" s="126" t="s">
        <v>1712</v>
      </c>
      <c r="C73" s="15" t="s">
        <v>1703</v>
      </c>
      <c r="D73" s="312">
        <v>12665771.35</v>
      </c>
      <c r="E73" s="313">
        <f t="shared" ref="E73:E93" si="20">D73*MMBtu_to_PJ</f>
        <v>13.363096190764217</v>
      </c>
      <c r="F73" s="310">
        <f>SUM(F13:F20,F24:F28)</f>
        <v>10497408.254922614</v>
      </c>
      <c r="G73" s="311">
        <f>F73*MMBtu_to_PJ</f>
        <v>11.075352016697604</v>
      </c>
      <c r="H73" s="313">
        <f>G73-E73</f>
        <v>-2.2877441740666136</v>
      </c>
      <c r="I73" s="15"/>
      <c r="J73" s="15"/>
      <c r="K73" s="15"/>
      <c r="L73" s="15"/>
      <c r="M73" s="15"/>
      <c r="N73" s="426"/>
      <c r="O73" s="15"/>
      <c r="P73" s="15"/>
    </row>
    <row r="74" spans="2:16" x14ac:dyDescent="0.2">
      <c r="B74" s="126" t="s">
        <v>1712</v>
      </c>
      <c r="C74" s="15" t="s">
        <v>1705</v>
      </c>
      <c r="D74" s="312">
        <v>2477272.7799999998</v>
      </c>
      <c r="E74" s="313">
        <f t="shared" si="20"/>
        <v>2.6136611450752172</v>
      </c>
      <c r="F74" s="310">
        <f>SUM(G13:G20,G24:G28)</f>
        <v>1791606.5907985964</v>
      </c>
      <c r="G74" s="311">
        <f t="shared" ref="G74:G79" si="21">F74*MMBtu_to_PJ</f>
        <v>1.8902450192146245</v>
      </c>
      <c r="H74" s="313">
        <f t="shared" ref="H74:H93" si="22">G74-E74</f>
        <v>-0.72341612586059267</v>
      </c>
      <c r="I74" s="15"/>
      <c r="J74" s="15"/>
      <c r="K74" s="15"/>
      <c r="L74" s="15"/>
      <c r="M74" s="15"/>
      <c r="N74" s="426"/>
      <c r="O74" s="15"/>
      <c r="P74" s="15"/>
    </row>
    <row r="75" spans="2:16" x14ac:dyDescent="0.2">
      <c r="B75" s="126" t="s">
        <v>1712</v>
      </c>
      <c r="C75" s="15" t="s">
        <v>1706</v>
      </c>
      <c r="D75" s="312">
        <v>235973.91</v>
      </c>
      <c r="E75" s="313">
        <f t="shared" si="20"/>
        <v>0.24896565481112515</v>
      </c>
      <c r="F75" s="310">
        <f>SUM(H13:H20,H24:H28)</f>
        <v>983407.07633190602</v>
      </c>
      <c r="G75" s="311">
        <f t="shared" si="21"/>
        <v>1.0375493913919005</v>
      </c>
      <c r="H75" s="313">
        <f t="shared" si="22"/>
        <v>0.7885837365807753</v>
      </c>
      <c r="I75" s="15"/>
      <c r="J75" s="15"/>
      <c r="K75" s="15"/>
      <c r="L75" s="15"/>
      <c r="M75" s="15"/>
      <c r="N75" s="426"/>
      <c r="O75" s="15"/>
      <c r="P75" s="15"/>
    </row>
    <row r="76" spans="2:16" x14ac:dyDescent="0.2">
      <c r="B76" s="126" t="s">
        <v>1712</v>
      </c>
      <c r="C76" s="15" t="s">
        <v>1707</v>
      </c>
      <c r="D76" s="312">
        <v>286192.94</v>
      </c>
      <c r="E76" s="313">
        <f t="shared" si="20"/>
        <v>0.30194953632552451</v>
      </c>
      <c r="F76" s="310">
        <f>SUM(I13:I20,I24:I28)</f>
        <v>269224.2524961881</v>
      </c>
      <c r="G76" s="311">
        <f t="shared" si="21"/>
        <v>0.2840466232633479</v>
      </c>
      <c r="H76" s="313">
        <f t="shared" si="22"/>
        <v>-1.7902913062176617E-2</v>
      </c>
      <c r="I76" s="15"/>
      <c r="J76" s="15"/>
      <c r="K76" s="15"/>
      <c r="L76" s="15"/>
      <c r="M76" s="15"/>
      <c r="N76" s="426"/>
      <c r="O76" s="15"/>
      <c r="P76" s="15"/>
    </row>
    <row r="77" spans="2:16" x14ac:dyDescent="0.2">
      <c r="B77" s="126" t="s">
        <v>1712</v>
      </c>
      <c r="C77" s="15" t="s">
        <v>138</v>
      </c>
      <c r="D77" s="312">
        <v>211507041.31</v>
      </c>
      <c r="E77" s="313">
        <f t="shared" si="20"/>
        <v>223.15174180445561</v>
      </c>
      <c r="F77" s="310">
        <f>SUM(J13:J20,J24:J28)</f>
        <v>82216686.817780107</v>
      </c>
      <c r="G77" s="311">
        <f t="shared" si="21"/>
        <v>86.7431966101245</v>
      </c>
      <c r="H77" s="313">
        <f t="shared" si="22"/>
        <v>-136.40854519433111</v>
      </c>
      <c r="I77" s="15"/>
      <c r="J77" s="15"/>
      <c r="K77" s="15"/>
      <c r="L77" s="15"/>
      <c r="M77" s="15"/>
      <c r="N77" s="426"/>
      <c r="O77" s="15"/>
      <c r="P77" s="15"/>
    </row>
    <row r="78" spans="2:16" x14ac:dyDescent="0.2">
      <c r="B78" s="126" t="s">
        <v>1712</v>
      </c>
      <c r="C78" s="15" t="s">
        <v>1562</v>
      </c>
      <c r="D78" s="312">
        <v>112309075.76000001</v>
      </c>
      <c r="E78" s="313">
        <f t="shared" si="20"/>
        <v>118.49234768293098</v>
      </c>
      <c r="F78" s="310">
        <f>SUM(K13:K20,K24:K28)</f>
        <v>107277111.85983373</v>
      </c>
      <c r="G78" s="311">
        <f t="shared" si="21"/>
        <v>113.18334471988798</v>
      </c>
      <c r="H78" s="313">
        <f t="shared" si="22"/>
        <v>-5.3090029630429996</v>
      </c>
      <c r="I78" s="15"/>
      <c r="J78" s="15"/>
      <c r="K78" s="15"/>
      <c r="L78" s="15"/>
      <c r="M78" s="15"/>
      <c r="N78" s="426"/>
      <c r="O78" s="15"/>
      <c r="P78" s="15"/>
    </row>
    <row r="79" spans="2:16" x14ac:dyDescent="0.2">
      <c r="B79" s="126" t="s">
        <v>1712</v>
      </c>
      <c r="C79" s="15" t="s">
        <v>1710</v>
      </c>
      <c r="D79" s="312">
        <v>16799910.870000001</v>
      </c>
      <c r="E79" s="313">
        <f t="shared" si="20"/>
        <v>17.724844286887855</v>
      </c>
      <c r="F79" s="310">
        <f>SUM(L13:L20,L24:L28)</f>
        <v>11166835.978966197</v>
      </c>
      <c r="G79" s="311">
        <f t="shared" si="21"/>
        <v>11.781635654855872</v>
      </c>
      <c r="H79" s="313">
        <f t="shared" si="22"/>
        <v>-5.9432086320319826</v>
      </c>
      <c r="I79" s="15"/>
      <c r="J79" s="15"/>
      <c r="K79" s="15"/>
      <c r="L79" s="15"/>
      <c r="M79" s="15"/>
      <c r="N79" s="426"/>
      <c r="O79" s="15"/>
      <c r="P79" s="15"/>
    </row>
    <row r="80" spans="2:16" x14ac:dyDescent="0.2">
      <c r="B80" s="126" t="s">
        <v>1713</v>
      </c>
      <c r="C80" s="15" t="s">
        <v>1703</v>
      </c>
      <c r="D80" s="312">
        <v>2919986.55</v>
      </c>
      <c r="E80" s="313">
        <f t="shared" si="20"/>
        <v>3.080748899149182</v>
      </c>
      <c r="F80" s="310">
        <f>SUM(F21:F23)</f>
        <v>2420088.7579747429</v>
      </c>
      <c r="G80" s="311">
        <f t="shared" ref="G80:G86" si="23">F80*MMBtu_to_PJ</f>
        <v>2.5533288079611189</v>
      </c>
      <c r="H80" s="313">
        <f t="shared" si="22"/>
        <v>-0.5274200911880631</v>
      </c>
      <c r="I80" s="15"/>
      <c r="J80" s="15"/>
      <c r="K80" s="15"/>
      <c r="L80" s="15"/>
      <c r="M80" s="15"/>
      <c r="N80" s="426"/>
      <c r="O80" s="15"/>
      <c r="P80" s="15"/>
    </row>
    <row r="81" spans="2:18" x14ac:dyDescent="0.2">
      <c r="B81" s="126" t="s">
        <v>1713</v>
      </c>
      <c r="C81" s="15" t="s">
        <v>1705</v>
      </c>
      <c r="D81" s="312">
        <v>533737.30000000005</v>
      </c>
      <c r="E81" s="313">
        <f t="shared" si="20"/>
        <v>0.56312266212659678</v>
      </c>
      <c r="F81" s="310">
        <f>SUM(G21:G23)</f>
        <v>386008.06535181135</v>
      </c>
      <c r="G81" s="311">
        <f t="shared" si="23"/>
        <v>0.40726006850795199</v>
      </c>
      <c r="H81" s="313">
        <f t="shared" si="22"/>
        <v>-0.1558625936186448</v>
      </c>
      <c r="I81" s="15"/>
      <c r="J81" s="15"/>
      <c r="K81" s="15"/>
      <c r="L81" s="15"/>
      <c r="M81" s="15"/>
      <c r="N81" s="426"/>
      <c r="O81" s="15"/>
      <c r="P81" s="15"/>
    </row>
    <row r="82" spans="2:18" x14ac:dyDescent="0.2">
      <c r="B82" s="126" t="s">
        <v>1713</v>
      </c>
      <c r="C82" s="15" t="s">
        <v>1706</v>
      </c>
      <c r="D82" s="312">
        <v>18221.45</v>
      </c>
      <c r="E82" s="313">
        <f t="shared" si="20"/>
        <v>1.9224647465722697E-2</v>
      </c>
      <c r="F82" s="310">
        <f>SUM(H21:H23)</f>
        <v>75936.816365021543</v>
      </c>
      <c r="G82" s="311">
        <f t="shared" si="23"/>
        <v>8.0117582535246173E-2</v>
      </c>
      <c r="H82" s="313">
        <f t="shared" si="22"/>
        <v>6.0892935069523479E-2</v>
      </c>
      <c r="I82" s="15"/>
      <c r="J82" s="15"/>
      <c r="K82" s="15"/>
      <c r="L82" s="15"/>
      <c r="M82" s="15"/>
      <c r="N82" s="426"/>
      <c r="O82" s="15"/>
      <c r="P82" s="15"/>
    </row>
    <row r="83" spans="2:18" x14ac:dyDescent="0.2">
      <c r="B83" s="126" t="s">
        <v>1713</v>
      </c>
      <c r="C83" s="15" t="s">
        <v>1707</v>
      </c>
      <c r="D83" s="312">
        <v>50805.36</v>
      </c>
      <c r="E83" s="313">
        <f t="shared" si="20"/>
        <v>5.3602492412466042E-2</v>
      </c>
      <c r="F83" s="310">
        <f>SUM(I21:I23)</f>
        <v>47793.051471533225</v>
      </c>
      <c r="G83" s="311">
        <f t="shared" si="23"/>
        <v>5.0424338669610033E-2</v>
      </c>
      <c r="H83" s="313">
        <f t="shared" si="22"/>
        <v>-3.1781537428560089E-3</v>
      </c>
      <c r="I83" s="15"/>
      <c r="J83" s="15"/>
      <c r="K83" s="15"/>
      <c r="L83" s="15"/>
      <c r="M83" s="15"/>
      <c r="N83" s="426"/>
      <c r="O83" s="15"/>
      <c r="P83" s="15"/>
    </row>
    <row r="84" spans="2:18" x14ac:dyDescent="0.2">
      <c r="B84" s="126" t="s">
        <v>1713</v>
      </c>
      <c r="C84" s="15" t="s">
        <v>138</v>
      </c>
      <c r="D84" s="312">
        <v>78525669.579999998</v>
      </c>
      <c r="E84" s="313">
        <f t="shared" si="20"/>
        <v>82.8489672712833</v>
      </c>
      <c r="F84" s="310">
        <f>SUM(J21:J23)</f>
        <v>30357435.168775484</v>
      </c>
      <c r="G84" s="311">
        <f t="shared" si="23"/>
        <v>32.028789645348787</v>
      </c>
      <c r="H84" s="313">
        <f t="shared" si="22"/>
        <v>-50.820177625934512</v>
      </c>
      <c r="I84" s="15"/>
      <c r="J84" s="15"/>
      <c r="K84" s="15"/>
      <c r="L84" s="15"/>
      <c r="M84" s="15"/>
      <c r="N84" s="426"/>
      <c r="O84" s="15"/>
      <c r="P84" s="15"/>
    </row>
    <row r="85" spans="2:18" x14ac:dyDescent="0.2">
      <c r="B85" s="126" t="s">
        <v>1713</v>
      </c>
      <c r="C85" s="15" t="s">
        <v>1562</v>
      </c>
      <c r="D85" s="312">
        <v>26808600.309999999</v>
      </c>
      <c r="E85" s="313">
        <f t="shared" si="20"/>
        <v>28.284570657615845</v>
      </c>
      <c r="F85" s="310">
        <f>SUM(K21:K23)</f>
        <v>25470689.013762552</v>
      </c>
      <c r="G85" s="311">
        <f t="shared" si="23"/>
        <v>26.872999514234117</v>
      </c>
      <c r="H85" s="313">
        <f t="shared" si="22"/>
        <v>-1.4115711433817282</v>
      </c>
      <c r="I85" s="15"/>
      <c r="J85" s="15"/>
      <c r="K85" s="15"/>
      <c r="L85" s="15"/>
      <c r="M85" s="15"/>
      <c r="N85" s="426"/>
      <c r="O85" s="15"/>
      <c r="P85" s="15"/>
    </row>
    <row r="86" spans="2:18" x14ac:dyDescent="0.2">
      <c r="B86" s="126" t="s">
        <v>1713</v>
      </c>
      <c r="C86" s="15" t="s">
        <v>1710</v>
      </c>
      <c r="D86" s="312">
        <v>5039973.2699999996</v>
      </c>
      <c r="E86" s="313">
        <f t="shared" si="20"/>
        <v>5.317453295561859</v>
      </c>
      <c r="F86" s="310">
        <f>SUM(L21:L23)</f>
        <v>3350050.7980449246</v>
      </c>
      <c r="G86" s="311">
        <f t="shared" si="23"/>
        <v>3.5344907010515993</v>
      </c>
      <c r="H86" s="313">
        <f t="shared" si="22"/>
        <v>-1.7829625945102596</v>
      </c>
      <c r="I86" s="15"/>
      <c r="J86" s="15"/>
      <c r="K86" s="15"/>
      <c r="L86" s="15"/>
      <c r="M86" s="15"/>
      <c r="N86" s="426"/>
      <c r="O86" s="15"/>
      <c r="P86" s="15"/>
    </row>
    <row r="87" spans="2:18" x14ac:dyDescent="0.2">
      <c r="B87" s="126" t="s">
        <v>1635</v>
      </c>
      <c r="C87" s="15" t="s">
        <v>1703</v>
      </c>
      <c r="D87" s="312">
        <v>22351399.66</v>
      </c>
      <c r="E87" s="313">
        <f t="shared" si="20"/>
        <v>23.581975025531676</v>
      </c>
      <c r="F87" s="310">
        <f>SUM(F3:F12)</f>
        <v>18524869.966586165</v>
      </c>
      <c r="G87" s="311">
        <f t="shared" ref="G87:G93" si="24">F87*MMBtu_to_PJ</f>
        <v>19.544772477271195</v>
      </c>
      <c r="H87" s="313">
        <f t="shared" si="22"/>
        <v>-4.0372025482604812</v>
      </c>
      <c r="I87" s="15"/>
      <c r="J87" s="15"/>
      <c r="K87" s="15"/>
      <c r="L87" s="15"/>
      <c r="M87" s="15"/>
      <c r="N87" s="426"/>
      <c r="O87" s="15"/>
    </row>
    <row r="88" spans="2:18" x14ac:dyDescent="0.2">
      <c r="B88" s="30" t="s">
        <v>1635</v>
      </c>
      <c r="C88" s="14" t="s">
        <v>1705</v>
      </c>
      <c r="D88" s="312">
        <v>13879933.33</v>
      </c>
      <c r="E88" s="313">
        <f t="shared" si="20"/>
        <v>14.644104893791905</v>
      </c>
      <c r="F88" s="310">
        <f>SUM(G3:G12)</f>
        <v>10038208.253154049</v>
      </c>
      <c r="G88" s="311">
        <f t="shared" si="24"/>
        <v>10.590870367308565</v>
      </c>
      <c r="H88" s="313">
        <f t="shared" si="22"/>
        <v>-4.0532345264833403</v>
      </c>
      <c r="K88" s="15"/>
      <c r="L88" s="15"/>
      <c r="M88" s="15"/>
      <c r="N88" s="426"/>
    </row>
    <row r="89" spans="2:18" x14ac:dyDescent="0.2">
      <c r="B89" s="30" t="s">
        <v>1635</v>
      </c>
      <c r="C89" s="14" t="s">
        <v>1706</v>
      </c>
      <c r="D89" s="312">
        <v>1923021.18</v>
      </c>
      <c r="E89" s="313">
        <f t="shared" si="20"/>
        <v>2.0288947506712183</v>
      </c>
      <c r="F89" s="310">
        <f>SUM(H3:H12)</f>
        <v>8014075.2388379751</v>
      </c>
      <c r="G89" s="311">
        <f t="shared" si="24"/>
        <v>8.4552969840730299</v>
      </c>
      <c r="H89" s="313">
        <f t="shared" si="22"/>
        <v>6.4264022334018112</v>
      </c>
      <c r="K89" s="15"/>
      <c r="L89" s="15"/>
      <c r="M89" s="15"/>
      <c r="N89" s="426"/>
    </row>
    <row r="90" spans="2:18" x14ac:dyDescent="0.2">
      <c r="B90" s="30" t="s">
        <v>1635</v>
      </c>
      <c r="C90" s="14" t="s">
        <v>1707</v>
      </c>
      <c r="D90" s="312">
        <v>1136912.53</v>
      </c>
      <c r="E90" s="313">
        <f t="shared" si="20"/>
        <v>1.1995062186935113</v>
      </c>
      <c r="F90" s="310">
        <f>SUM(I3:I12)</f>
        <v>1069503.7668734705</v>
      </c>
      <c r="G90" s="311">
        <f t="shared" si="24"/>
        <v>1.1283862086389911</v>
      </c>
      <c r="H90" s="313">
        <f t="shared" si="22"/>
        <v>-7.1120010054520177E-2</v>
      </c>
      <c r="K90" s="15"/>
      <c r="L90" s="15"/>
      <c r="M90" s="15"/>
      <c r="N90" s="426"/>
    </row>
    <row r="91" spans="2:18" x14ac:dyDescent="0.2">
      <c r="B91" s="30" t="s">
        <v>1635</v>
      </c>
      <c r="C91" s="14" t="s">
        <v>138</v>
      </c>
      <c r="D91" s="312">
        <v>136647278.97999999</v>
      </c>
      <c r="E91" s="313">
        <f t="shared" si="20"/>
        <v>144.17051143244689</v>
      </c>
      <c r="F91" s="310">
        <f>SUM(J3:J12)</f>
        <v>51745391.000000015</v>
      </c>
      <c r="G91" s="311">
        <f t="shared" si="24"/>
        <v>54.594277620660286</v>
      </c>
      <c r="H91" s="313">
        <f t="shared" si="22"/>
        <v>-89.576233811786608</v>
      </c>
      <c r="K91" s="15"/>
      <c r="L91" s="15"/>
      <c r="M91" s="15"/>
      <c r="N91" s="426"/>
    </row>
    <row r="92" spans="2:18" x14ac:dyDescent="0.2">
      <c r="B92" s="30" t="s">
        <v>1635</v>
      </c>
      <c r="C92" s="14" t="s">
        <v>1562</v>
      </c>
      <c r="D92" s="312">
        <v>191064274.41999999</v>
      </c>
      <c r="E92" s="313">
        <f t="shared" si="20"/>
        <v>201.58348095341475</v>
      </c>
      <c r="F92" s="310">
        <f>SUM(K3:K12)</f>
        <v>177536292.34595504</v>
      </c>
      <c r="G92" s="311">
        <f t="shared" si="24"/>
        <v>187.31070429205516</v>
      </c>
      <c r="H92" s="313">
        <f t="shared" si="22"/>
        <v>-14.272776661359586</v>
      </c>
      <c r="K92" s="15"/>
      <c r="L92" s="15"/>
      <c r="M92" s="15"/>
      <c r="N92" s="426"/>
    </row>
    <row r="93" spans="2:18" x14ac:dyDescent="0.2">
      <c r="B93" s="30" t="s">
        <v>1635</v>
      </c>
      <c r="C93" s="14" t="s">
        <v>1710</v>
      </c>
      <c r="D93" s="312">
        <v>8439524.6199999992</v>
      </c>
      <c r="E93" s="313">
        <f t="shared" si="20"/>
        <v>8.904169843661581</v>
      </c>
      <c r="F93" s="310">
        <f>SUM(L3:L12)</f>
        <v>5955382.819829681</v>
      </c>
      <c r="G93" s="311">
        <f t="shared" si="24"/>
        <v>6.2832614986539035</v>
      </c>
      <c r="H93" s="313">
        <f t="shared" si="22"/>
        <v>-2.6209083450076776</v>
      </c>
      <c r="K93" s="15"/>
      <c r="L93" s="15"/>
      <c r="M93" s="15"/>
      <c r="N93" s="426"/>
    </row>
    <row r="94" spans="2:18" x14ac:dyDescent="0.2">
      <c r="K94"/>
      <c r="L94"/>
      <c r="M94"/>
      <c r="N94" s="315"/>
      <c r="O94" s="315"/>
      <c r="P94" s="315"/>
      <c r="Q94" s="315"/>
      <c r="R94" s="315"/>
    </row>
  </sheetData>
  <mergeCells count="14">
    <mergeCell ref="D71:E71"/>
    <mergeCell ref="F70:G71"/>
    <mergeCell ref="A24:A28"/>
    <mergeCell ref="C1:E1"/>
    <mergeCell ref="F1:L1"/>
    <mergeCell ref="M1:T1"/>
    <mergeCell ref="A21:A23"/>
    <mergeCell ref="U1:AB1"/>
    <mergeCell ref="AS1:AZ1"/>
    <mergeCell ref="A3:A4"/>
    <mergeCell ref="A5:A12"/>
    <mergeCell ref="A13:A19"/>
    <mergeCell ref="AC1:AJ1"/>
    <mergeCell ref="AK1:AR1"/>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pageSetUpPr fitToPage="1"/>
  </sheetPr>
  <dimension ref="B2:Z152"/>
  <sheetViews>
    <sheetView topLeftCell="D1" zoomScaleNormal="100" workbookViewId="0">
      <selection activeCell="M24" sqref="M24"/>
    </sheetView>
  </sheetViews>
  <sheetFormatPr defaultColWidth="44.28515625" defaultRowHeight="12.75" x14ac:dyDescent="0.2"/>
  <cols>
    <col min="1" max="1" width="3.85546875" style="24" customWidth="1"/>
    <col min="2" max="2" width="40.5703125" style="24" customWidth="1"/>
    <col min="3" max="13" width="11.85546875" style="24" customWidth="1"/>
    <col min="14" max="14" width="6.28515625" style="24" bestFit="1" customWidth="1"/>
    <col min="15" max="15" width="44.28515625" style="24" customWidth="1"/>
    <col min="16" max="16" width="14.5703125" style="24" bestFit="1" customWidth="1"/>
    <col min="17" max="17" width="18.85546875" style="24" bestFit="1" customWidth="1"/>
    <col min="18" max="18" width="18.7109375" style="24" bestFit="1" customWidth="1"/>
    <col min="19" max="19" width="14.85546875" style="24" bestFit="1" customWidth="1"/>
    <col min="20" max="20" width="13.140625" style="24" bestFit="1" customWidth="1"/>
    <col min="21" max="21" width="14.85546875" style="24" bestFit="1" customWidth="1"/>
    <col min="22" max="22" width="5" style="24" bestFit="1" customWidth="1"/>
    <col min="23" max="23" width="52.28515625" style="24" customWidth="1"/>
    <col min="24" max="24" width="5" style="24" bestFit="1" customWidth="1"/>
    <col min="25" max="25" width="14.7109375" style="24" bestFit="1" customWidth="1"/>
    <col min="26" max="26" width="27.28515625" style="24" bestFit="1" customWidth="1"/>
    <col min="27" max="16384" width="44.28515625" style="24"/>
  </cols>
  <sheetData>
    <row r="2" spans="2:13" x14ac:dyDescent="0.2">
      <c r="B2" s="24" t="s">
        <v>1842</v>
      </c>
    </row>
    <row r="3" spans="2:13" x14ac:dyDescent="0.2">
      <c r="B3" s="362" t="s">
        <v>1843</v>
      </c>
      <c r="C3" s="456"/>
      <c r="D3" s="456"/>
      <c r="E3" s="456"/>
      <c r="F3" s="456"/>
      <c r="G3" s="456"/>
      <c r="H3" s="456"/>
      <c r="I3" s="456"/>
      <c r="J3" s="456"/>
      <c r="K3" s="456"/>
      <c r="L3" s="456"/>
      <c r="M3" s="456"/>
    </row>
    <row r="4" spans="2:13" x14ac:dyDescent="0.2">
      <c r="B4" s="457" t="s">
        <v>14</v>
      </c>
      <c r="C4" s="458">
        <v>2005</v>
      </c>
      <c r="D4" s="458">
        <v>2010</v>
      </c>
      <c r="E4" s="458">
        <v>2015</v>
      </c>
      <c r="F4" s="458">
        <v>2020</v>
      </c>
      <c r="G4" s="458">
        <v>2025</v>
      </c>
      <c r="H4" s="458">
        <v>2030</v>
      </c>
      <c r="I4" s="458">
        <v>2035</v>
      </c>
      <c r="J4" s="458">
        <v>2040</v>
      </c>
      <c r="K4" s="458">
        <v>2045</v>
      </c>
      <c r="L4" s="458">
        <v>2050</v>
      </c>
      <c r="M4" s="458">
        <v>2055</v>
      </c>
    </row>
    <row r="5" spans="2:13" x14ac:dyDescent="0.2">
      <c r="B5" s="337" t="s">
        <v>1644</v>
      </c>
      <c r="C5" s="459">
        <v>1364566</v>
      </c>
      <c r="D5" s="460">
        <v>1385108</v>
      </c>
      <c r="E5" s="460">
        <v>1423160</v>
      </c>
      <c r="F5" s="460">
        <v>1454816</v>
      </c>
      <c r="G5" s="460">
        <v>1515667</v>
      </c>
      <c r="H5" s="460">
        <v>1548245</v>
      </c>
      <c r="I5" s="460">
        <v>1573786</v>
      </c>
      <c r="J5" s="460">
        <v>1595881</v>
      </c>
      <c r="K5" s="460">
        <v>1616845</v>
      </c>
      <c r="L5" s="460">
        <v>1633550</v>
      </c>
      <c r="M5" s="460">
        <v>1646673</v>
      </c>
    </row>
    <row r="6" spans="2:13" x14ac:dyDescent="0.2">
      <c r="B6" s="337" t="s">
        <v>1649</v>
      </c>
      <c r="C6" s="459">
        <v>2511408</v>
      </c>
      <c r="D6" s="460">
        <v>2552911</v>
      </c>
      <c r="E6" s="460">
        <v>2593655</v>
      </c>
      <c r="F6" s="460">
        <v>2647112</v>
      </c>
      <c r="G6" s="460">
        <v>2760391</v>
      </c>
      <c r="H6" s="460">
        <v>2820822</v>
      </c>
      <c r="I6" s="460">
        <v>2860506</v>
      </c>
      <c r="J6" s="460">
        <v>2894388</v>
      </c>
      <c r="K6" s="460">
        <v>2928160</v>
      </c>
      <c r="L6" s="460">
        <v>2956932</v>
      </c>
      <c r="M6" s="460">
        <v>2980001</v>
      </c>
    </row>
    <row r="7" spans="2:13" x14ac:dyDescent="0.2">
      <c r="B7" s="337" t="s">
        <v>1650</v>
      </c>
      <c r="C7" s="459">
        <v>1606275</v>
      </c>
      <c r="D7" s="460">
        <v>1585873</v>
      </c>
      <c r="E7" s="460">
        <v>1636537</v>
      </c>
      <c r="F7" s="460">
        <v>1668548</v>
      </c>
      <c r="G7" s="460">
        <v>1698050</v>
      </c>
      <c r="H7" s="460">
        <v>1735482</v>
      </c>
      <c r="I7" s="460">
        <v>1754534</v>
      </c>
      <c r="J7" s="460">
        <v>1768412</v>
      </c>
      <c r="K7" s="460">
        <v>1781885</v>
      </c>
      <c r="L7" s="460">
        <v>1791292</v>
      </c>
      <c r="M7" s="460">
        <v>1796986</v>
      </c>
    </row>
    <row r="8" spans="2:13" x14ac:dyDescent="0.2">
      <c r="B8" s="337" t="s">
        <v>1651</v>
      </c>
      <c r="C8" s="459">
        <v>2256576</v>
      </c>
      <c r="D8" s="460">
        <v>2250002</v>
      </c>
      <c r="E8" s="460">
        <v>2294943</v>
      </c>
      <c r="F8" s="460">
        <v>2349324</v>
      </c>
      <c r="G8" s="460">
        <v>2418636</v>
      </c>
      <c r="H8" s="460">
        <v>2463405</v>
      </c>
      <c r="I8" s="460">
        <v>2483716</v>
      </c>
      <c r="J8" s="460">
        <v>2500457</v>
      </c>
      <c r="K8" s="460">
        <v>2517076</v>
      </c>
      <c r="L8" s="460">
        <v>2528763</v>
      </c>
      <c r="M8" s="460">
        <v>2537200</v>
      </c>
    </row>
    <row r="9" spans="2:13" x14ac:dyDescent="0.2">
      <c r="B9" s="337" t="s">
        <v>1844</v>
      </c>
      <c r="C9" s="459">
        <v>475014</v>
      </c>
      <c r="D9" s="460">
        <v>468730</v>
      </c>
      <c r="E9" s="460">
        <v>477525</v>
      </c>
      <c r="F9" s="460">
        <v>484897</v>
      </c>
      <c r="G9" s="460">
        <v>491202</v>
      </c>
      <c r="H9" s="460">
        <v>495047</v>
      </c>
      <c r="I9" s="460">
        <v>498769</v>
      </c>
      <c r="J9" s="460">
        <v>502327</v>
      </c>
      <c r="K9" s="460">
        <v>505464</v>
      </c>
      <c r="L9" s="460">
        <v>507920</v>
      </c>
      <c r="M9" s="460">
        <v>510354</v>
      </c>
    </row>
    <row r="10" spans="2:13" x14ac:dyDescent="0.2">
      <c r="B10" s="337" t="s">
        <v>1653</v>
      </c>
      <c r="C10" s="459">
        <f>SUM(C5:C9)</f>
        <v>8213839</v>
      </c>
      <c r="D10" s="459">
        <f t="shared" ref="D10:M10" si="0">SUM(D5:D9)</f>
        <v>8242624</v>
      </c>
      <c r="E10" s="459">
        <f t="shared" si="0"/>
        <v>8425820</v>
      </c>
      <c r="F10" s="459">
        <f t="shared" si="0"/>
        <v>8604697</v>
      </c>
      <c r="G10" s="459">
        <f t="shared" si="0"/>
        <v>8883946</v>
      </c>
      <c r="H10" s="459">
        <f t="shared" si="0"/>
        <v>9063001</v>
      </c>
      <c r="I10" s="459">
        <f t="shared" si="0"/>
        <v>9171311</v>
      </c>
      <c r="J10" s="459">
        <f t="shared" si="0"/>
        <v>9261465</v>
      </c>
      <c r="K10" s="459">
        <f t="shared" si="0"/>
        <v>9349430</v>
      </c>
      <c r="L10" s="459">
        <f t="shared" si="0"/>
        <v>9418457</v>
      </c>
      <c r="M10" s="459">
        <f t="shared" si="0"/>
        <v>9471214</v>
      </c>
    </row>
    <row r="12" spans="2:13" ht="13.5" thickBot="1" x14ac:dyDescent="0.25">
      <c r="B12" s="461" t="s">
        <v>1845</v>
      </c>
      <c r="C12" s="462"/>
      <c r="D12" s="462"/>
      <c r="E12" s="462"/>
      <c r="F12" s="462"/>
      <c r="G12" s="20"/>
      <c r="L12" s="20"/>
      <c r="M12" s="20"/>
    </row>
    <row r="13" spans="2:13" x14ac:dyDescent="0.2">
      <c r="B13" s="462" t="s">
        <v>1846</v>
      </c>
      <c r="C13" s="453">
        <v>2005</v>
      </c>
      <c r="D13" s="453">
        <v>2010</v>
      </c>
      <c r="E13" s="453">
        <v>2015</v>
      </c>
      <c r="F13" s="453">
        <v>2020</v>
      </c>
      <c r="G13" s="20"/>
      <c r="H13" s="501" t="s">
        <v>1847</v>
      </c>
      <c r="I13" s="502"/>
      <c r="J13" s="502"/>
      <c r="K13" s="503"/>
      <c r="L13" s="20"/>
      <c r="M13" s="20"/>
    </row>
    <row r="14" spans="2:13" x14ac:dyDescent="0.2">
      <c r="B14" s="337" t="s">
        <v>1644</v>
      </c>
      <c r="C14" s="463">
        <v>2.64</v>
      </c>
      <c r="D14" s="339">
        <v>2.79</v>
      </c>
      <c r="E14" s="339">
        <v>2.86</v>
      </c>
      <c r="F14" s="339">
        <v>2.71</v>
      </c>
      <c r="G14" s="20"/>
      <c r="H14" s="504" t="s">
        <v>1848</v>
      </c>
      <c r="I14" s="462"/>
      <c r="J14" s="462"/>
      <c r="K14" s="505">
        <v>0.33500000000000002</v>
      </c>
      <c r="L14" s="20"/>
      <c r="M14" s="20"/>
    </row>
    <row r="15" spans="2:13" ht="13.5" thickBot="1" x14ac:dyDescent="0.25">
      <c r="B15" s="337" t="s">
        <v>1649</v>
      </c>
      <c r="C15" s="463">
        <v>2.64</v>
      </c>
      <c r="D15" s="339">
        <v>2.68</v>
      </c>
      <c r="E15" s="339">
        <v>2.74</v>
      </c>
      <c r="F15" s="339">
        <v>2.61</v>
      </c>
      <c r="G15" s="20"/>
      <c r="H15" s="506" t="s">
        <v>1849</v>
      </c>
      <c r="I15" s="507"/>
      <c r="J15" s="507"/>
      <c r="K15" s="508">
        <v>0.25</v>
      </c>
      <c r="L15" s="20"/>
      <c r="M15" s="20"/>
    </row>
    <row r="16" spans="2:13" x14ac:dyDescent="0.2">
      <c r="B16" s="337" t="s">
        <v>1650</v>
      </c>
      <c r="C16" s="463">
        <v>2.04</v>
      </c>
      <c r="D16" s="339">
        <v>2.09</v>
      </c>
      <c r="E16" s="339">
        <v>2.09</v>
      </c>
      <c r="F16" s="339">
        <v>2.0699999999999998</v>
      </c>
      <c r="G16" s="20"/>
      <c r="H16" s="14"/>
      <c r="I16" s="20"/>
      <c r="J16" s="20"/>
      <c r="K16" s="20"/>
      <c r="L16" s="20"/>
      <c r="M16" s="20"/>
    </row>
    <row r="17" spans="2:14" x14ac:dyDescent="0.2">
      <c r="B17" s="337" t="s">
        <v>1651</v>
      </c>
      <c r="C17" s="463">
        <v>2.93</v>
      </c>
      <c r="D17" s="339">
        <v>2.81</v>
      </c>
      <c r="E17" s="339">
        <v>2.91</v>
      </c>
      <c r="F17" s="339">
        <v>2.86</v>
      </c>
      <c r="G17" s="20"/>
      <c r="H17" s="137"/>
      <c r="I17" s="137"/>
      <c r="J17" s="137"/>
      <c r="K17" s="137"/>
      <c r="L17" s="137"/>
      <c r="M17" s="137"/>
    </row>
    <row r="18" spans="2:14" x14ac:dyDescent="0.2">
      <c r="B18" s="337" t="s">
        <v>1844</v>
      </c>
      <c r="C18" s="463">
        <v>2.86</v>
      </c>
      <c r="D18" s="339">
        <v>2.76</v>
      </c>
      <c r="E18" s="339">
        <v>2.81</v>
      </c>
      <c r="F18" s="339">
        <v>2.81</v>
      </c>
      <c r="G18" s="20"/>
      <c r="I18" s="20"/>
      <c r="J18" s="20"/>
      <c r="K18" s="20"/>
      <c r="L18" s="20"/>
      <c r="M18" s="20"/>
    </row>
    <row r="19" spans="2:14" x14ac:dyDescent="0.2">
      <c r="B19" s="337" t="s">
        <v>1653</v>
      </c>
      <c r="C19" s="463">
        <v>2.6245352283423657</v>
      </c>
      <c r="D19" s="339">
        <v>2.59</v>
      </c>
      <c r="E19" s="339">
        <v>2.65</v>
      </c>
      <c r="F19" s="339">
        <v>2.57</v>
      </c>
      <c r="G19" s="20"/>
      <c r="I19" s="20"/>
      <c r="J19" s="20"/>
      <c r="K19" s="20"/>
      <c r="L19" s="20"/>
      <c r="M19" s="20"/>
    </row>
    <row r="21" spans="2:14" x14ac:dyDescent="0.2">
      <c r="B21" s="24" t="s">
        <v>1850</v>
      </c>
    </row>
    <row r="22" spans="2:14" x14ac:dyDescent="0.2">
      <c r="B22" s="509" t="s">
        <v>1851</v>
      </c>
      <c r="C22" s="464">
        <v>2005</v>
      </c>
      <c r="D22" s="464">
        <v>2010</v>
      </c>
      <c r="E22" s="464">
        <v>2015</v>
      </c>
      <c r="F22" s="464">
        <v>2020</v>
      </c>
      <c r="G22" s="464">
        <v>2025</v>
      </c>
      <c r="H22" s="465">
        <v>2030</v>
      </c>
      <c r="I22" s="464">
        <v>2035</v>
      </c>
      <c r="J22" s="465">
        <v>2040</v>
      </c>
      <c r="K22" s="464">
        <v>2045</v>
      </c>
      <c r="L22" s="464">
        <v>2050</v>
      </c>
      <c r="M22" s="464">
        <v>2055</v>
      </c>
    </row>
    <row r="23" spans="2:14" x14ac:dyDescent="0.2">
      <c r="B23" s="497" t="s">
        <v>1644</v>
      </c>
      <c r="C23" s="466">
        <f>C5/C14</f>
        <v>516881.06060606061</v>
      </c>
      <c r="D23" s="466">
        <f t="shared" ref="C23:F27" si="1">D5/D14</f>
        <v>496454.48028673837</v>
      </c>
      <c r="E23" s="466">
        <f t="shared" si="1"/>
        <v>497608.39160839166</v>
      </c>
      <c r="F23" s="466">
        <f>F5/F14</f>
        <v>536832.47232472326</v>
      </c>
      <c r="G23" s="467">
        <f>F23+(H23-F23)/2</f>
        <v>549968.73616236169</v>
      </c>
      <c r="H23" s="468">
        <v>563105</v>
      </c>
      <c r="I23" s="467">
        <f t="shared" ref="I23" si="2">H23+(J23-H23)/2</f>
        <v>574626</v>
      </c>
      <c r="J23" s="468">
        <v>586147</v>
      </c>
      <c r="K23" s="467">
        <f>_xlfn.FORECAST.LINEAR($K$22,C23:J23,$C$22:$J$22)</f>
        <v>598346.38887369633</v>
      </c>
      <c r="L23" s="467">
        <f>_xlfn.FORECAST.LINEAR($L$22,C23:K23,$C$22:$K$22)</f>
        <v>611267.16581817623</v>
      </c>
      <c r="M23" s="467">
        <f>_xlfn.FORECAST.LINEAR(M22,C23:L23,C22:L22)</f>
        <v>624187.94276265707</v>
      </c>
    </row>
    <row r="24" spans="2:14" x14ac:dyDescent="0.2">
      <c r="B24" s="497" t="s">
        <v>1649</v>
      </c>
      <c r="C24" s="466">
        <f t="shared" si="1"/>
        <v>951290.90909090906</v>
      </c>
      <c r="D24" s="466">
        <f>D6/D15</f>
        <v>952578.73134328355</v>
      </c>
      <c r="E24" s="466">
        <f t="shared" si="1"/>
        <v>946589.41605839413</v>
      </c>
      <c r="F24" s="466">
        <f t="shared" si="1"/>
        <v>1014219.1570881227</v>
      </c>
      <c r="G24" s="467">
        <f>F24+(H24-F24)/2</f>
        <v>1047211.0785440614</v>
      </c>
      <c r="H24" s="468">
        <v>1080203</v>
      </c>
      <c r="I24" s="467">
        <f t="shared" ref="I24" si="3">H24+(J24-H24)/2</f>
        <v>1097392</v>
      </c>
      <c r="J24" s="468">
        <v>1114581</v>
      </c>
      <c r="K24" s="467">
        <f>_xlfn.FORECAST.LINEAR($K$22,C24:J24,$C$22:$J$22)</f>
        <v>1148772.2500653099</v>
      </c>
      <c r="L24" s="467">
        <f>_xlfn.FORECAST.LINEAR($L$22,C24:K24,$C$22:$K$22)</f>
        <v>1176164.2697430253</v>
      </c>
      <c r="M24" s="467">
        <f>_xlfn.FORECAST.LINEAR(M22,C24:L24,C22:L22)</f>
        <v>1203556.2894207388</v>
      </c>
    </row>
    <row r="25" spans="2:14" x14ac:dyDescent="0.2">
      <c r="B25" s="497" t="s">
        <v>1650</v>
      </c>
      <c r="C25" s="466">
        <f t="shared" si="1"/>
        <v>787389.70588235289</v>
      </c>
      <c r="D25" s="466">
        <f t="shared" si="1"/>
        <v>758790.90909090918</v>
      </c>
      <c r="E25" s="466">
        <f t="shared" si="1"/>
        <v>783032.05741626804</v>
      </c>
      <c r="F25" s="466">
        <f t="shared" si="1"/>
        <v>806061.83574879228</v>
      </c>
      <c r="G25" s="467">
        <f>F25+(H25-F25)/2</f>
        <v>851915.41787439608</v>
      </c>
      <c r="H25" s="468">
        <v>897769</v>
      </c>
      <c r="I25" s="467">
        <f t="shared" ref="I25" si="4">H25+(J25-H25)/2</f>
        <v>901924</v>
      </c>
      <c r="J25" s="468">
        <v>906079</v>
      </c>
      <c r="K25" s="467">
        <f>_xlfn.FORECAST.LINEAR($K$22,C25:J25,$C$22:$J$22)</f>
        <v>940364.25449690036</v>
      </c>
      <c r="L25" s="467">
        <f>_xlfn.FORECAST.LINEAR($L$22,C25:K25,$C$22:$K$22)</f>
        <v>963418.47977363691</v>
      </c>
      <c r="M25" s="467">
        <f>_xlfn.FORECAST.LINEAR(M22,C25:L25,C22:L22)</f>
        <v>986472.70505037159</v>
      </c>
    </row>
    <row r="26" spans="2:14" x14ac:dyDescent="0.2">
      <c r="B26" s="497" t="s">
        <v>1651</v>
      </c>
      <c r="C26" s="466">
        <f t="shared" si="1"/>
        <v>770162.45733788388</v>
      </c>
      <c r="D26" s="466">
        <f t="shared" si="1"/>
        <v>800712.45551601425</v>
      </c>
      <c r="E26" s="466">
        <f t="shared" si="1"/>
        <v>788640.20618556696</v>
      </c>
      <c r="F26" s="466">
        <f t="shared" si="1"/>
        <v>821441.95804195805</v>
      </c>
      <c r="G26" s="467">
        <f>F26+(H26-F26)/2</f>
        <v>853581.47902097902</v>
      </c>
      <c r="H26" s="468">
        <v>885721</v>
      </c>
      <c r="I26" s="467">
        <f t="shared" ref="I26" si="5">H26+(J26-H26)/2</f>
        <v>893103</v>
      </c>
      <c r="J26" s="468">
        <v>900485</v>
      </c>
      <c r="K26" s="467">
        <f>_xlfn.FORECAST.LINEAR($K$22,C26:J26,$C$22:$J$22)</f>
        <v>930173.39577050041</v>
      </c>
      <c r="L26" s="467">
        <f>_xlfn.FORECAST.LINEAR($L$22,C26:K26,$C$22:$K$22)</f>
        <v>950382.82938332204</v>
      </c>
      <c r="M26" s="467">
        <f>_xlfn.FORECAST.LINEAR(M22,C26:L26,C22:L22)</f>
        <v>970592.26299614459</v>
      </c>
    </row>
    <row r="27" spans="2:14" x14ac:dyDescent="0.2">
      <c r="B27" s="497" t="s">
        <v>1844</v>
      </c>
      <c r="C27" s="466">
        <f t="shared" si="1"/>
        <v>166088.8111888112</v>
      </c>
      <c r="D27" s="466">
        <f>D9/D18</f>
        <v>169829.71014492755</v>
      </c>
      <c r="E27" s="466">
        <f t="shared" si="1"/>
        <v>169937.72241992882</v>
      </c>
      <c r="F27" s="466">
        <f t="shared" si="1"/>
        <v>172561.20996441282</v>
      </c>
      <c r="G27" s="467">
        <f>F27+(H27-F27)/2</f>
        <v>180170.10498220642</v>
      </c>
      <c r="H27" s="468">
        <v>187779</v>
      </c>
      <c r="I27" s="467">
        <f t="shared" ref="I27" si="6">H27+(J27-H27)/2</f>
        <v>188423</v>
      </c>
      <c r="J27" s="468">
        <v>189067</v>
      </c>
      <c r="K27" s="467">
        <f>_xlfn.FORECAST.LINEAR($K$22,C27:J27,$C$22:$J$22)</f>
        <v>194854.20369709074</v>
      </c>
      <c r="L27" s="467">
        <f>_xlfn.FORECAST.LINEAR($L$22,C27:K27,$C$22:$K$22)</f>
        <v>198603.56677699182</v>
      </c>
      <c r="M27" s="467">
        <f>_xlfn.FORECAST.LINEAR(M22,C27:L27,C22:L22)</f>
        <v>202352.92985689291</v>
      </c>
    </row>
    <row r="28" spans="2:14" x14ac:dyDescent="0.2">
      <c r="B28" s="374" t="s">
        <v>1653</v>
      </c>
      <c r="C28" s="466">
        <f>SUM(C23:C27)</f>
        <v>3191812.9441060172</v>
      </c>
      <c r="D28" s="466">
        <f>SUM(D23:D27)</f>
        <v>3178366.2863818733</v>
      </c>
      <c r="E28" s="466">
        <f t="shared" ref="E28" si="7">SUM(E23:E27)</f>
        <v>3185807.7936885497</v>
      </c>
      <c r="F28" s="466">
        <f t="shared" ref="F28:M28" si="8">SUM(F23:F27)</f>
        <v>3351116.6331680091</v>
      </c>
      <c r="G28" s="466">
        <f t="shared" si="8"/>
        <v>3482846.816584005</v>
      </c>
      <c r="H28" s="468">
        <f t="shared" si="8"/>
        <v>3614577</v>
      </c>
      <c r="I28" s="467">
        <f t="shared" si="8"/>
        <v>3655468</v>
      </c>
      <c r="J28" s="468">
        <f t="shared" si="8"/>
        <v>3696359</v>
      </c>
      <c r="K28" s="467">
        <f t="shared" si="8"/>
        <v>3812510.492903498</v>
      </c>
      <c r="L28" s="467">
        <f t="shared" si="8"/>
        <v>3899836.3114951523</v>
      </c>
      <c r="M28" s="467">
        <f t="shared" si="8"/>
        <v>3987162.1300868047</v>
      </c>
      <c r="N28" s="889"/>
    </row>
    <row r="29" spans="2:14" x14ac:dyDescent="0.2">
      <c r="B29" s="374"/>
      <c r="C29" s="466"/>
      <c r="D29" s="466"/>
      <c r="E29" s="466"/>
      <c r="F29" s="466"/>
      <c r="G29" s="466"/>
      <c r="H29" s="469"/>
      <c r="I29" s="466"/>
      <c r="J29" s="469"/>
      <c r="K29" s="466"/>
      <c r="L29" s="466"/>
      <c r="M29" s="466"/>
    </row>
    <row r="30" spans="2:14" x14ac:dyDescent="0.2">
      <c r="B30" s="886" t="s">
        <v>1852</v>
      </c>
      <c r="C30" s="887">
        <f>C28</f>
        <v>3191812.9441060172</v>
      </c>
      <c r="D30" s="887">
        <f>C30-D36</f>
        <v>3089120.7773581455</v>
      </c>
      <c r="E30" s="887">
        <f t="shared" ref="E30:G30" si="9">D30-E36</f>
        <v>3003816.775641094</v>
      </c>
      <c r="F30" s="887">
        <f t="shared" si="9"/>
        <v>3083880.1060968256</v>
      </c>
      <c r="G30" s="887">
        <f t="shared" si="9"/>
        <v>3148801.1577450256</v>
      </c>
      <c r="H30" s="887">
        <f>G30-H36</f>
        <v>3213722.2093932247</v>
      </c>
      <c r="I30" s="887">
        <f>H30-I36</f>
        <v>3187804.0776254288</v>
      </c>
      <c r="J30" s="887">
        <f>I30-J36</f>
        <v>3161885.9458576329</v>
      </c>
      <c r="K30" s="887">
        <f t="shared" ref="K30:M30" si="10">J30-K36</f>
        <v>3211228.306993335</v>
      </c>
      <c r="L30" s="887">
        <f>K30-L36</f>
        <v>3231744.9938171934</v>
      </c>
      <c r="M30" s="887">
        <f t="shared" si="10"/>
        <v>3252261.68064105</v>
      </c>
    </row>
    <row r="31" spans="2:14" x14ac:dyDescent="0.2">
      <c r="B31" s="886" t="s">
        <v>1853</v>
      </c>
      <c r="C31" s="887">
        <f>C35</f>
        <v>0</v>
      </c>
      <c r="D31" s="887">
        <f>C31+D35</f>
        <v>89245.509023727791</v>
      </c>
      <c r="E31" s="887">
        <f t="shared" ref="E31:M31" si="11">D31+E35</f>
        <v>181991.01804745558</v>
      </c>
      <c r="F31" s="887">
        <f>E31+F35</f>
        <v>267236.52707118337</v>
      </c>
      <c r="G31" s="887">
        <f>F31+G35</f>
        <v>334045.6588389792</v>
      </c>
      <c r="H31" s="887">
        <f>G31+H35</f>
        <v>400854.79060677503</v>
      </c>
      <c r="I31" s="887">
        <f>H31+I35</f>
        <v>467663.92237457086</v>
      </c>
      <c r="J31" s="887">
        <f>I31+J35</f>
        <v>534473.05414236675</v>
      </c>
      <c r="K31" s="887">
        <f t="shared" si="11"/>
        <v>601282.18591016263</v>
      </c>
      <c r="L31" s="887">
        <f>K31+L35</f>
        <v>668091.31767795852</v>
      </c>
      <c r="M31" s="887">
        <f t="shared" si="11"/>
        <v>734900.44944575441</v>
      </c>
    </row>
    <row r="32" spans="2:14" x14ac:dyDescent="0.2">
      <c r="B32" s="283"/>
      <c r="C32" s="291"/>
      <c r="D32" s="291"/>
      <c r="E32" s="291"/>
      <c r="F32" s="291"/>
      <c r="G32" s="291"/>
      <c r="H32" s="291"/>
      <c r="I32" s="291"/>
      <c r="J32" s="291"/>
      <c r="K32" s="291"/>
      <c r="L32" s="291"/>
      <c r="M32" s="291"/>
    </row>
    <row r="33" spans="2:14" s="888" customFormat="1" x14ac:dyDescent="0.2">
      <c r="B33" s="886" t="s">
        <v>1854</v>
      </c>
      <c r="C33" s="887">
        <f>C28-C28</f>
        <v>0</v>
      </c>
      <c r="D33" s="887">
        <f>D28-C28</f>
        <v>-13446.657724143937</v>
      </c>
      <c r="E33" s="887">
        <f t="shared" ref="E33:M33" si="12">E28-D28</f>
        <v>7441.507306676358</v>
      </c>
      <c r="F33" s="887">
        <f>F28-E28</f>
        <v>165308.83947945945</v>
      </c>
      <c r="G33" s="887">
        <f t="shared" si="12"/>
        <v>131730.18341599591</v>
      </c>
      <c r="H33" s="887">
        <f>H28-G28</f>
        <v>131730.18341599498</v>
      </c>
      <c r="I33" s="887">
        <f>I28-H28</f>
        <v>40891</v>
      </c>
      <c r="J33" s="887">
        <f>J28-I28</f>
        <v>40891</v>
      </c>
      <c r="K33" s="887">
        <f t="shared" si="12"/>
        <v>116151.492903498</v>
      </c>
      <c r="L33" s="887">
        <f>L28-K28</f>
        <v>87325.818591654301</v>
      </c>
      <c r="M33" s="887">
        <f t="shared" si="12"/>
        <v>87325.818591652438</v>
      </c>
    </row>
    <row r="34" spans="2:14" x14ac:dyDescent="0.2">
      <c r="B34" s="283"/>
      <c r="C34" s="291"/>
      <c r="D34" s="291"/>
      <c r="E34" s="291"/>
      <c r="F34" s="291"/>
      <c r="G34" s="291"/>
      <c r="H34" s="291"/>
      <c r="I34" s="291"/>
      <c r="J34" s="291"/>
      <c r="K34" s="291"/>
      <c r="L34" s="291"/>
      <c r="M34" s="291"/>
    </row>
    <row r="35" spans="2:14" x14ac:dyDescent="0.2">
      <c r="B35" s="283" t="s">
        <v>1855</v>
      </c>
      <c r="C35" s="291">
        <v>0</v>
      </c>
      <c r="D35" s="291">
        <f>31000+32000+34000+6000+6500-D37</f>
        <v>89245.509023727791</v>
      </c>
      <c r="E35" s="291">
        <f>9000+10000+18000+20000+56000-E37</f>
        <v>92745.509023727791</v>
      </c>
      <c r="F35" s="291">
        <f>15000+22500+21000+27000+20000-F37</f>
        <v>85245.509023727791</v>
      </c>
      <c r="G35" s="291">
        <f>AVERAGE($C$35:$F$35)</f>
        <v>66809.131767795843</v>
      </c>
      <c r="H35" s="291">
        <f t="shared" ref="H35:M35" si="13">AVERAGE($C$35:$F$35)</f>
        <v>66809.131767795843</v>
      </c>
      <c r="I35" s="291">
        <f t="shared" si="13"/>
        <v>66809.131767795843</v>
      </c>
      <c r="J35" s="291">
        <f t="shared" si="13"/>
        <v>66809.131767795843</v>
      </c>
      <c r="K35" s="291">
        <f t="shared" si="13"/>
        <v>66809.131767795843</v>
      </c>
      <c r="L35" s="291">
        <f t="shared" si="13"/>
        <v>66809.131767795843</v>
      </c>
      <c r="M35" s="291">
        <f t="shared" si="13"/>
        <v>66809.131767795843</v>
      </c>
    </row>
    <row r="36" spans="2:14" s="888" customFormat="1" x14ac:dyDescent="0.2">
      <c r="B36" s="886" t="s">
        <v>1856</v>
      </c>
      <c r="C36" s="887">
        <v>0</v>
      </c>
      <c r="D36" s="887">
        <f t="shared" ref="D36:K36" si="14">D35-D33</f>
        <v>102692.16674787173</v>
      </c>
      <c r="E36" s="887">
        <f t="shared" si="14"/>
        <v>85304.001717051433</v>
      </c>
      <c r="F36" s="887">
        <f t="shared" si="14"/>
        <v>-80063.330455731659</v>
      </c>
      <c r="G36" s="887">
        <f t="shared" si="14"/>
        <v>-64921.051648200068</v>
      </c>
      <c r="H36" s="887">
        <f t="shared" si="14"/>
        <v>-64921.051648199136</v>
      </c>
      <c r="I36" s="887">
        <f t="shared" si="14"/>
        <v>25918.131767795843</v>
      </c>
      <c r="J36" s="887">
        <f t="shared" si="14"/>
        <v>25918.131767795843</v>
      </c>
      <c r="K36" s="887">
        <f t="shared" si="14"/>
        <v>-49342.361135702158</v>
      </c>
      <c r="L36" s="887">
        <f t="shared" ref="L36:M36" si="15">L35-L33</f>
        <v>-20516.686823858458</v>
      </c>
      <c r="M36" s="887">
        <f t="shared" si="15"/>
        <v>-20516.686823856595</v>
      </c>
    </row>
    <row r="37" spans="2:14" x14ac:dyDescent="0.2">
      <c r="B37" s="283" t="s">
        <v>1857</v>
      </c>
      <c r="C37" s="291">
        <v>0</v>
      </c>
      <c r="D37" s="291">
        <f>E37</f>
        <v>20254.490976272216</v>
      </c>
      <c r="E37" s="291">
        <f>F37</f>
        <v>20254.490976272216</v>
      </c>
      <c r="F37" s="291">
        <f>SUM(BldgArea!E55:E59)/F49*5</f>
        <v>20254.490976272216</v>
      </c>
      <c r="G37" s="291">
        <f>F37</f>
        <v>20254.490976272216</v>
      </c>
      <c r="H37" s="291">
        <f>G37</f>
        <v>20254.490976272216</v>
      </c>
      <c r="I37" s="291">
        <f t="shared" ref="I37:M37" si="16">H37</f>
        <v>20254.490976272216</v>
      </c>
      <c r="J37" s="291">
        <f t="shared" si="16"/>
        <v>20254.490976272216</v>
      </c>
      <c r="K37" s="291">
        <f t="shared" si="16"/>
        <v>20254.490976272216</v>
      </c>
      <c r="L37" s="291">
        <f>K37</f>
        <v>20254.490976272216</v>
      </c>
      <c r="M37" s="291">
        <f t="shared" si="16"/>
        <v>20254.490976272216</v>
      </c>
      <c r="N37" s="20"/>
    </row>
    <row r="38" spans="2:14" x14ac:dyDescent="0.2">
      <c r="B38" s="21"/>
      <c r="C38" s="498"/>
      <c r="D38" s="498"/>
      <c r="E38" s="498"/>
      <c r="F38" s="498"/>
      <c r="G38" s="498"/>
      <c r="H38" s="498"/>
      <c r="I38" s="498"/>
      <c r="J38" s="498"/>
      <c r="K38" s="498"/>
      <c r="L38" s="498"/>
      <c r="M38" s="498"/>
    </row>
    <row r="39" spans="2:14" x14ac:dyDescent="0.2">
      <c r="B39" s="509" t="s">
        <v>1858</v>
      </c>
      <c r="C39" s="464">
        <v>2005</v>
      </c>
      <c r="D39" s="464">
        <v>2010</v>
      </c>
      <c r="E39" s="464">
        <v>2015</v>
      </c>
      <c r="F39" s="464">
        <v>2020</v>
      </c>
      <c r="G39" s="464">
        <v>2025</v>
      </c>
      <c r="H39" s="464">
        <v>2030</v>
      </c>
      <c r="I39" s="464">
        <v>2035</v>
      </c>
      <c r="J39" s="464">
        <v>2040</v>
      </c>
      <c r="K39" s="464">
        <v>2045</v>
      </c>
      <c r="L39" s="464">
        <v>2050</v>
      </c>
      <c r="M39" s="464">
        <v>2055</v>
      </c>
    </row>
    <row r="40" spans="2:14" x14ac:dyDescent="0.2">
      <c r="B40" s="497" t="s">
        <v>1644</v>
      </c>
      <c r="C40" s="471">
        <f>C23/C$28</f>
        <v>0.16193964673291086</v>
      </c>
      <c r="D40" s="471">
        <f>D23/D$28</f>
        <v>0.15619800726362554</v>
      </c>
      <c r="E40" s="471">
        <f t="shared" ref="E40:M40" si="17">E23/E$28</f>
        <v>0.15619535886446473</v>
      </c>
      <c r="F40" s="471">
        <f t="shared" si="17"/>
        <v>0.16019510243581817</v>
      </c>
      <c r="G40" s="471">
        <f t="shared" si="17"/>
        <v>0.15790781654352917</v>
      </c>
      <c r="H40" s="471">
        <f t="shared" si="17"/>
        <v>0.15578724702779884</v>
      </c>
      <c r="I40" s="471">
        <f t="shared" si="17"/>
        <v>0.15719628786245701</v>
      </c>
      <c r="J40" s="471">
        <f t="shared" si="17"/>
        <v>0.1585741536468725</v>
      </c>
      <c r="K40" s="471">
        <f t="shared" si="17"/>
        <v>0.15694288317040486</v>
      </c>
      <c r="L40" s="471">
        <f t="shared" si="17"/>
        <v>0.15674174939507229</v>
      </c>
      <c r="M40" s="471">
        <f t="shared" si="17"/>
        <v>0.15654942598210017</v>
      </c>
    </row>
    <row r="41" spans="2:14" x14ac:dyDescent="0.2">
      <c r="B41" s="497" t="s">
        <v>1649</v>
      </c>
      <c r="C41" s="471">
        <f t="shared" ref="C41:M41" si="18">C24/C$28</f>
        <v>0.29804093339728982</v>
      </c>
      <c r="D41" s="471">
        <f t="shared" si="18"/>
        <v>0.29970703358663597</v>
      </c>
      <c r="E41" s="471">
        <f t="shared" si="18"/>
        <v>0.29712696978571534</v>
      </c>
      <c r="F41" s="471">
        <f t="shared" si="18"/>
        <v>0.30265110651470262</v>
      </c>
      <c r="G41" s="471">
        <f t="shared" si="18"/>
        <v>0.30067675487696921</v>
      </c>
      <c r="H41" s="471">
        <f t="shared" si="18"/>
        <v>0.29884631037048043</v>
      </c>
      <c r="I41" s="471">
        <f t="shared" si="18"/>
        <v>0.30020560978785754</v>
      </c>
      <c r="J41" s="471">
        <f t="shared" si="18"/>
        <v>0.301534834684618</v>
      </c>
      <c r="K41" s="471">
        <f t="shared" si="18"/>
        <v>0.30131648219817442</v>
      </c>
      <c r="L41" s="471">
        <f t="shared" si="18"/>
        <v>0.30159324027938433</v>
      </c>
      <c r="M41" s="471">
        <f t="shared" si="18"/>
        <v>0.30185787538931508</v>
      </c>
    </row>
    <row r="42" spans="2:14" x14ac:dyDescent="0.2">
      <c r="B42" s="497" t="s">
        <v>1650</v>
      </c>
      <c r="C42" s="471">
        <f t="shared" ref="C42:M42" si="19">C25/C$28</f>
        <v>0.24669042944272221</v>
      </c>
      <c r="D42" s="471">
        <f t="shared" si="19"/>
        <v>0.23873614326393033</v>
      </c>
      <c r="E42" s="471">
        <f t="shared" si="19"/>
        <v>0.24578760180307935</v>
      </c>
      <c r="F42" s="471">
        <f t="shared" si="19"/>
        <v>0.24053529733066148</v>
      </c>
      <c r="G42" s="471">
        <f t="shared" si="19"/>
        <v>0.24460318318276178</v>
      </c>
      <c r="H42" s="471">
        <f t="shared" si="19"/>
        <v>0.24837456775716771</v>
      </c>
      <c r="I42" s="471">
        <f t="shared" si="19"/>
        <v>0.24673283968017229</v>
      </c>
      <c r="J42" s="471">
        <f t="shared" si="19"/>
        <v>0.24512743486225227</v>
      </c>
      <c r="K42" s="471">
        <f t="shared" si="19"/>
        <v>0.24665224036688382</v>
      </c>
      <c r="L42" s="471">
        <f t="shared" si="19"/>
        <v>0.24704074807803236</v>
      </c>
      <c r="M42" s="471">
        <f t="shared" si="19"/>
        <v>0.24741223779352434</v>
      </c>
    </row>
    <row r="43" spans="2:14" x14ac:dyDescent="0.2">
      <c r="B43" s="497" t="s">
        <v>1651</v>
      </c>
      <c r="C43" s="471">
        <f t="shared" ref="C43:M43" si="20">C26/C$28</f>
        <v>0.24129310546222996</v>
      </c>
      <c r="D43" s="471">
        <f t="shared" si="20"/>
        <v>0.25192579563493722</v>
      </c>
      <c r="E43" s="471">
        <f t="shared" si="20"/>
        <v>0.24754795557596213</v>
      </c>
      <c r="F43" s="471">
        <f t="shared" si="20"/>
        <v>0.24512484880760485</v>
      </c>
      <c r="G43" s="471">
        <f t="shared" si="20"/>
        <v>0.24508154506151275</v>
      </c>
      <c r="H43" s="471">
        <f t="shared" si="20"/>
        <v>0.24504139765178609</v>
      </c>
      <c r="I43" s="471">
        <f t="shared" si="20"/>
        <v>0.24431974236951329</v>
      </c>
      <c r="J43" s="471">
        <f t="shared" si="20"/>
        <v>0.24361405372151351</v>
      </c>
      <c r="K43" s="471">
        <f t="shared" si="20"/>
        <v>0.24397923559866905</v>
      </c>
      <c r="L43" s="471">
        <f t="shared" si="20"/>
        <v>0.24369813332471799</v>
      </c>
      <c r="M43" s="471">
        <f t="shared" si="20"/>
        <v>0.24342934431287191</v>
      </c>
    </row>
    <row r="44" spans="2:14" x14ac:dyDescent="0.2">
      <c r="B44" s="497" t="s">
        <v>1844</v>
      </c>
      <c r="C44" s="471">
        <f t="shared" ref="C44:M44" si="21">C27/C$28</f>
        <v>5.2035884964847269E-2</v>
      </c>
      <c r="D44" s="471">
        <f t="shared" si="21"/>
        <v>5.3433020250870766E-2</v>
      </c>
      <c r="E44" s="471">
        <f>E27/E$28</f>
        <v>5.334211397077844E-2</v>
      </c>
      <c r="F44" s="471">
        <f t="shared" si="21"/>
        <v>5.1493644911212916E-2</v>
      </c>
      <c r="G44" s="471">
        <f t="shared" si="21"/>
        <v>5.1730700335226983E-2</v>
      </c>
      <c r="H44" s="471">
        <f t="shared" si="21"/>
        <v>5.1950477192766957E-2</v>
      </c>
      <c r="I44" s="471">
        <f t="shared" si="21"/>
        <v>5.154552029999989E-2</v>
      </c>
      <c r="J44" s="471">
        <f t="shared" si="21"/>
        <v>5.1149523084743666E-2</v>
      </c>
      <c r="K44" s="471">
        <f t="shared" si="21"/>
        <v>5.11091586658678E-2</v>
      </c>
      <c r="L44" s="471">
        <f t="shared" si="21"/>
        <v>5.0926128922793044E-2</v>
      </c>
      <c r="M44" s="471">
        <f t="shared" si="21"/>
        <v>5.0751116522188548E-2</v>
      </c>
    </row>
    <row r="45" spans="2:14" x14ac:dyDescent="0.2">
      <c r="B45" s="497" t="s">
        <v>1653</v>
      </c>
      <c r="C45" s="471">
        <f>SUM(C40:C44)</f>
        <v>1.0000000000000002</v>
      </c>
      <c r="D45" s="471">
        <f t="shared" ref="D45:M45" si="22">SUM(D40:D44)</f>
        <v>0.99999999999999978</v>
      </c>
      <c r="E45" s="471">
        <f t="shared" si="22"/>
        <v>1</v>
      </c>
      <c r="F45" s="471">
        <f t="shared" si="22"/>
        <v>1</v>
      </c>
      <c r="G45" s="471">
        <f t="shared" si="22"/>
        <v>0.99999999999999978</v>
      </c>
      <c r="H45" s="471">
        <f t="shared" si="22"/>
        <v>1</v>
      </c>
      <c r="I45" s="471">
        <f t="shared" si="22"/>
        <v>1</v>
      </c>
      <c r="J45" s="471">
        <f t="shared" si="22"/>
        <v>1</v>
      </c>
      <c r="K45" s="471">
        <f t="shared" si="22"/>
        <v>1</v>
      </c>
      <c r="L45" s="471">
        <f t="shared" si="22"/>
        <v>1</v>
      </c>
      <c r="M45" s="471">
        <f t="shared" si="22"/>
        <v>1</v>
      </c>
    </row>
    <row r="46" spans="2:14" x14ac:dyDescent="0.2">
      <c r="B46" s="21"/>
      <c r="C46" s="498"/>
      <c r="D46" s="498"/>
      <c r="E46" s="498"/>
      <c r="F46" s="498"/>
      <c r="G46" s="498"/>
      <c r="H46" s="498"/>
      <c r="I46" s="498"/>
      <c r="J46" s="498"/>
      <c r="K46" s="498"/>
      <c r="L46" s="498"/>
      <c r="M46" s="498"/>
    </row>
    <row r="47" spans="2:14" x14ac:dyDescent="0.2">
      <c r="B47" s="479" t="s">
        <v>1859</v>
      </c>
      <c r="C47" s="20"/>
      <c r="D47" s="20"/>
      <c r="E47" s="20"/>
      <c r="F47" s="20"/>
      <c r="G47" s="20"/>
      <c r="H47" s="20"/>
      <c r="I47" s="20"/>
      <c r="J47" s="20"/>
      <c r="K47" s="20"/>
      <c r="L47" s="20"/>
      <c r="M47" s="20"/>
      <c r="N47" s="20"/>
    </row>
    <row r="48" spans="2:14" x14ac:dyDescent="0.2">
      <c r="B48" s="401" t="s">
        <v>1457</v>
      </c>
      <c r="C48" s="287">
        <v>2005</v>
      </c>
      <c r="D48" s="287">
        <v>2010</v>
      </c>
      <c r="E48" s="287">
        <v>2015</v>
      </c>
      <c r="F48" s="287">
        <v>2020</v>
      </c>
      <c r="G48" s="287">
        <v>2025</v>
      </c>
      <c r="H48" s="287">
        <v>2030</v>
      </c>
      <c r="I48" s="287">
        <v>2035</v>
      </c>
      <c r="J48" s="287">
        <v>2040</v>
      </c>
      <c r="K48" s="287">
        <v>2045</v>
      </c>
      <c r="L48" s="287">
        <v>2050</v>
      </c>
      <c r="M48" s="287">
        <v>2055</v>
      </c>
    </row>
    <row r="49" spans="2:26" x14ac:dyDescent="0.2">
      <c r="B49" s="497" t="s">
        <v>1653</v>
      </c>
      <c r="C49" s="480">
        <f>BldgArea!C42/C28</f>
        <v>1135.2215341099409</v>
      </c>
      <c r="D49" s="480">
        <f>BldgArea!C42/D28</f>
        <v>1140.024295665668</v>
      </c>
      <c r="E49" s="480">
        <f>BldgArea!K42/E28</f>
        <v>1162.2363713640846</v>
      </c>
      <c r="F49" s="480">
        <f>BldgArea!$S$42/F28</f>
        <v>1117.1745232456385</v>
      </c>
      <c r="G49" s="480">
        <f>BldgArea!$S$42/G28</f>
        <v>1074.9201225771742</v>
      </c>
      <c r="H49" s="480">
        <f>BldgArea!$S$42/H28</f>
        <v>1035.7455732717826</v>
      </c>
      <c r="I49" s="480">
        <f>BldgArea!$S$42/I28</f>
        <v>1024.1594583785168</v>
      </c>
      <c r="J49" s="480">
        <f>BldgArea!$S$42/J28</f>
        <v>1012.8296864563209</v>
      </c>
      <c r="K49" s="480">
        <f>BldgArea!$S$42/K28</f>
        <v>981.97293724661813</v>
      </c>
      <c r="L49" s="480">
        <f>BldgArea!$S$42/L28</f>
        <v>959.98442702962507</v>
      </c>
      <c r="M49" s="480">
        <f>BldgArea!$S$42/M28</f>
        <v>938.95909041413722</v>
      </c>
    </row>
    <row r="50" spans="2:26" x14ac:dyDescent="0.2">
      <c r="B50" s="21"/>
      <c r="C50" s="498"/>
      <c r="D50" s="498"/>
      <c r="E50" s="498"/>
      <c r="F50" s="498"/>
      <c r="G50" s="498"/>
      <c r="H50" s="498"/>
      <c r="I50" s="498"/>
      <c r="J50" s="498"/>
      <c r="K50" s="498"/>
      <c r="L50" s="498"/>
      <c r="M50" s="498"/>
    </row>
    <row r="51" spans="2:26" x14ac:dyDescent="0.2">
      <c r="B51" s="401" t="s">
        <v>1860</v>
      </c>
      <c r="C51" s="474" t="s">
        <v>1861</v>
      </c>
      <c r="D51" s="470"/>
      <c r="E51" s="474"/>
      <c r="F51" s="475"/>
      <c r="G51" s="474"/>
      <c r="H51" s="474"/>
      <c r="I51" s="474"/>
      <c r="J51" s="474"/>
      <c r="K51" s="474"/>
      <c r="L51" s="474"/>
      <c r="M51" s="474"/>
      <c r="N51" s="20"/>
    </row>
    <row r="52" spans="2:26" x14ac:dyDescent="0.2">
      <c r="B52" s="474"/>
      <c r="C52" s="287">
        <v>2005</v>
      </c>
      <c r="D52" s="287">
        <v>2010</v>
      </c>
      <c r="E52" s="287">
        <v>2015</v>
      </c>
      <c r="F52" s="287">
        <v>2020</v>
      </c>
      <c r="G52" s="287">
        <v>2025</v>
      </c>
      <c r="H52" s="287">
        <v>2030</v>
      </c>
      <c r="I52" s="287">
        <v>2035</v>
      </c>
      <c r="J52" s="287">
        <v>2040</v>
      </c>
      <c r="K52" s="287">
        <v>2045</v>
      </c>
      <c r="L52" s="287">
        <v>2050</v>
      </c>
      <c r="M52" s="287">
        <v>2055</v>
      </c>
      <c r="S52" s="496"/>
      <c r="T52" s="496"/>
      <c r="U52" s="496"/>
      <c r="V52" s="496"/>
      <c r="W52" s="496"/>
      <c r="X52" s="496"/>
      <c r="Y52" s="496"/>
      <c r="Z52" s="496"/>
    </row>
    <row r="53" spans="2:26" x14ac:dyDescent="0.2">
      <c r="B53" s="497" t="s">
        <v>1644</v>
      </c>
      <c r="C53" s="476">
        <f t="shared" ref="C53:M53" si="23">C23/$C23</f>
        <v>1</v>
      </c>
      <c r="D53" s="476">
        <f t="shared" si="23"/>
        <v>0.96048108186558168</v>
      </c>
      <c r="E53" s="476">
        <f t="shared" si="23"/>
        <v>0.96271353224846135</v>
      </c>
      <c r="F53" s="476">
        <f t="shared" si="23"/>
        <v>1.038599618440786</v>
      </c>
      <c r="G53" s="476">
        <f t="shared" si="23"/>
        <v>1.0640140993316811</v>
      </c>
      <c r="H53" s="476">
        <f t="shared" si="23"/>
        <v>1.0894285802225763</v>
      </c>
      <c r="I53" s="476">
        <f t="shared" si="23"/>
        <v>1.1117180407543497</v>
      </c>
      <c r="J53" s="476">
        <f t="shared" si="23"/>
        <v>1.1340075012861233</v>
      </c>
      <c r="K53" s="476">
        <f t="shared" si="23"/>
        <v>1.1576094279254783</v>
      </c>
      <c r="L53" s="476">
        <f t="shared" si="23"/>
        <v>1.1826070104047626</v>
      </c>
      <c r="M53" s="476">
        <f t="shared" si="23"/>
        <v>1.2076045928840486</v>
      </c>
    </row>
    <row r="54" spans="2:26" x14ac:dyDescent="0.2">
      <c r="B54" s="497" t="s">
        <v>1649</v>
      </c>
      <c r="C54" s="476">
        <f t="shared" ref="C54:M54" si="24">C24/$C24</f>
        <v>1</v>
      </c>
      <c r="D54" s="476">
        <f t="shared" si="24"/>
        <v>1.0013537628080618</v>
      </c>
      <c r="E54" s="476">
        <f t="shared" si="24"/>
        <v>0.99505777571551912</v>
      </c>
      <c r="F54" s="476">
        <f t="shared" si="24"/>
        <v>1.0661503725052417</v>
      </c>
      <c r="G54" s="476">
        <f t="shared" si="24"/>
        <v>1.1008315842572463</v>
      </c>
      <c r="H54" s="476">
        <f t="shared" si="24"/>
        <v>1.1355127960092506</v>
      </c>
      <c r="I54" s="476">
        <f t="shared" si="24"/>
        <v>1.1535819269509375</v>
      </c>
      <c r="J54" s="476">
        <f t="shared" si="24"/>
        <v>1.1716510578926245</v>
      </c>
      <c r="K54" s="476">
        <f t="shared" si="24"/>
        <v>1.2075930076564294</v>
      </c>
      <c r="L54" s="476">
        <f t="shared" si="24"/>
        <v>1.2363875850206685</v>
      </c>
      <c r="M54" s="476">
        <f t="shared" si="24"/>
        <v>1.2651821623849053</v>
      </c>
    </row>
    <row r="55" spans="2:26" x14ac:dyDescent="0.2">
      <c r="B55" s="497" t="s">
        <v>1650</v>
      </c>
      <c r="C55" s="476">
        <f t="shared" ref="C55:M55" si="25">C25/$C25</f>
        <v>1</v>
      </c>
      <c r="D55" s="476">
        <f t="shared" si="25"/>
        <v>0.9636789805889121</v>
      </c>
      <c r="E55" s="476">
        <f t="shared" si="25"/>
        <v>0.99446570302668402</v>
      </c>
      <c r="F55" s="476">
        <f t="shared" si="25"/>
        <v>1.0237139623834874</v>
      </c>
      <c r="G55" s="476">
        <f t="shared" si="25"/>
        <v>1.0819488894888909</v>
      </c>
      <c r="H55" s="476">
        <f t="shared" si="25"/>
        <v>1.1401838165942944</v>
      </c>
      <c r="I55" s="476">
        <f t="shared" si="25"/>
        <v>1.1454607461362469</v>
      </c>
      <c r="J55" s="476">
        <f t="shared" si="25"/>
        <v>1.1507376756781997</v>
      </c>
      <c r="K55" s="476">
        <f t="shared" si="25"/>
        <v>1.1942806052348924</v>
      </c>
      <c r="L55" s="476">
        <f t="shared" si="25"/>
        <v>1.2235599126788497</v>
      </c>
      <c r="M55" s="476">
        <f t="shared" si="25"/>
        <v>1.2528392201228047</v>
      </c>
    </row>
    <row r="56" spans="2:26" x14ac:dyDescent="0.2">
      <c r="B56" s="497" t="s">
        <v>1651</v>
      </c>
      <c r="C56" s="476">
        <f t="shared" ref="C56:M56" si="26">C26/$C26</f>
        <v>1</v>
      </c>
      <c r="D56" s="476">
        <f t="shared" si="26"/>
        <v>1.0396669532344234</v>
      </c>
      <c r="E56" s="476">
        <f t="shared" si="26"/>
        <v>1.0239920145050339</v>
      </c>
      <c r="F56" s="476">
        <f t="shared" si="26"/>
        <v>1.0665827063050113</v>
      </c>
      <c r="G56" s="476">
        <f t="shared" si="26"/>
        <v>1.1083135394205508</v>
      </c>
      <c r="H56" s="476">
        <f t="shared" si="26"/>
        <v>1.1500443725360903</v>
      </c>
      <c r="I56" s="476">
        <f t="shared" si="26"/>
        <v>1.1596293632476815</v>
      </c>
      <c r="J56" s="476">
        <f t="shared" si="26"/>
        <v>1.169214353959273</v>
      </c>
      <c r="K56" s="476">
        <f t="shared" si="26"/>
        <v>1.2077625790611823</v>
      </c>
      <c r="L56" s="476">
        <f t="shared" si="26"/>
        <v>1.2340030604301091</v>
      </c>
      <c r="M56" s="476">
        <f t="shared" si="26"/>
        <v>1.2602435417990372</v>
      </c>
    </row>
    <row r="57" spans="2:26" x14ac:dyDescent="0.2">
      <c r="B57" s="497" t="s">
        <v>1844</v>
      </c>
      <c r="C57" s="476">
        <f t="shared" ref="C57:M57" si="27">C27/$C27</f>
        <v>1</v>
      </c>
      <c r="D57" s="476">
        <f t="shared" si="27"/>
        <v>1.0225234856540917</v>
      </c>
      <c r="E57" s="476">
        <f t="shared" si="27"/>
        <v>1.0231738140791564</v>
      </c>
      <c r="F57" s="476">
        <f t="shared" si="27"/>
        <v>1.0389695051055772</v>
      </c>
      <c r="G57" s="476">
        <f t="shared" si="27"/>
        <v>1.0847817122213457</v>
      </c>
      <c r="H57" s="476">
        <f t="shared" si="27"/>
        <v>1.1305939193371142</v>
      </c>
      <c r="I57" s="476">
        <f t="shared" si="27"/>
        <v>1.1344713629493024</v>
      </c>
      <c r="J57" s="476">
        <f t="shared" si="27"/>
        <v>1.1383488065614906</v>
      </c>
      <c r="K57" s="476">
        <f t="shared" si="27"/>
        <v>1.1731928376293741</v>
      </c>
      <c r="L57" s="476">
        <f t="shared" si="27"/>
        <v>1.1957672847162326</v>
      </c>
      <c r="M57" s="476">
        <f t="shared" si="27"/>
        <v>1.2183417318030914</v>
      </c>
    </row>
    <row r="58" spans="2:26" x14ac:dyDescent="0.2">
      <c r="B58" s="497" t="s">
        <v>1653</v>
      </c>
      <c r="C58" s="476">
        <f t="shared" ref="C58:M58" si="28">C28/$C28</f>
        <v>1</v>
      </c>
      <c r="D58" s="476">
        <f t="shared" si="28"/>
        <v>0.99578714105130306</v>
      </c>
      <c r="E58" s="476">
        <f t="shared" si="28"/>
        <v>0.99811857695841588</v>
      </c>
      <c r="F58" s="476">
        <f t="shared" si="28"/>
        <v>1.0499100955637646</v>
      </c>
      <c r="G58" s="476">
        <f t="shared" si="28"/>
        <v>1.0911813685746869</v>
      </c>
      <c r="H58" s="476">
        <f t="shared" si="28"/>
        <v>1.1324526415856093</v>
      </c>
      <c r="I58" s="476">
        <f t="shared" si="28"/>
        <v>1.1452638560007613</v>
      </c>
      <c r="J58" s="476">
        <f t="shared" si="28"/>
        <v>1.1580750704159135</v>
      </c>
      <c r="K58" s="476">
        <f t="shared" si="28"/>
        <v>1.1944655152626213</v>
      </c>
      <c r="L58" s="476">
        <f t="shared" si="28"/>
        <v>1.2218248311501358</v>
      </c>
      <c r="M58" s="476">
        <f t="shared" si="28"/>
        <v>1.2491841470376497</v>
      </c>
    </row>
    <row r="59" spans="2:26" x14ac:dyDescent="0.2">
      <c r="C59" s="481"/>
      <c r="D59" s="481"/>
      <c r="E59" s="481"/>
      <c r="F59" s="481"/>
      <c r="G59" s="481"/>
      <c r="H59" s="481"/>
      <c r="I59" s="481"/>
      <c r="J59" s="481"/>
      <c r="K59" s="481"/>
      <c r="L59" s="481"/>
      <c r="M59" s="481"/>
    </row>
    <row r="60" spans="2:26" x14ac:dyDescent="0.2">
      <c r="B60" s="401" t="s">
        <v>1862</v>
      </c>
      <c r="C60" s="474"/>
      <c r="D60" s="474" t="s">
        <v>1863</v>
      </c>
      <c r="E60" s="474"/>
      <c r="F60" s="475"/>
      <c r="G60" s="474"/>
      <c r="H60" s="474"/>
      <c r="I60" s="474"/>
      <c r="J60" s="474"/>
      <c r="K60" s="474"/>
      <c r="L60" s="474"/>
      <c r="M60" s="474"/>
    </row>
    <row r="61" spans="2:26" x14ac:dyDescent="0.2">
      <c r="B61" s="474"/>
      <c r="C61" s="287">
        <v>2005</v>
      </c>
      <c r="D61" s="287">
        <v>2010</v>
      </c>
      <c r="E61" s="287">
        <v>2015</v>
      </c>
      <c r="F61" s="287">
        <v>2020</v>
      </c>
      <c r="G61" s="287">
        <v>2025</v>
      </c>
      <c r="H61" s="287">
        <v>2030</v>
      </c>
      <c r="I61" s="287">
        <v>2035</v>
      </c>
      <c r="J61" s="287">
        <v>2040</v>
      </c>
      <c r="K61" s="287">
        <v>2045</v>
      </c>
      <c r="L61" s="287">
        <v>2050</v>
      </c>
      <c r="M61" s="287">
        <v>2055</v>
      </c>
    </row>
    <row r="62" spans="2:26" x14ac:dyDescent="0.2">
      <c r="B62" s="368" t="s">
        <v>1864</v>
      </c>
      <c r="C62" s="476">
        <f t="shared" ref="C62:M62" si="29">C49/$C$49</f>
        <v>1</v>
      </c>
      <c r="D62" s="476">
        <f>D49/$C$49</f>
        <v>1.0042306822161302</v>
      </c>
      <c r="E62" s="476">
        <f>E49/$C$49</f>
        <v>1.0237969739318982</v>
      </c>
      <c r="F62" s="476">
        <f t="shared" si="29"/>
        <v>0.98410265281088771</v>
      </c>
      <c r="G62" s="476">
        <f t="shared" si="29"/>
        <v>0.94688137097395231</v>
      </c>
      <c r="H62" s="476">
        <f t="shared" si="29"/>
        <v>0.91237308503300074</v>
      </c>
      <c r="I62" s="476">
        <f t="shared" si="29"/>
        <v>0.90216704634791722</v>
      </c>
      <c r="J62" s="476">
        <f t="shared" si="29"/>
        <v>0.89218681642646958</v>
      </c>
      <c r="K62" s="476">
        <f t="shared" si="29"/>
        <v>0.86500555859920703</v>
      </c>
      <c r="L62" s="476">
        <f t="shared" si="29"/>
        <v>0.84563620243716686</v>
      </c>
      <c r="M62" s="476">
        <f t="shared" si="29"/>
        <v>0.82711529177458631</v>
      </c>
    </row>
    <row r="63" spans="2:26" x14ac:dyDescent="0.2">
      <c r="B63" s="477"/>
      <c r="C63" s="496"/>
      <c r="D63" s="496"/>
      <c r="E63" s="496"/>
      <c r="F63" s="496"/>
      <c r="G63" s="496"/>
      <c r="H63" s="496"/>
      <c r="I63" s="496"/>
      <c r="J63" s="496"/>
      <c r="K63" s="496"/>
      <c r="L63" s="496"/>
      <c r="M63" s="496"/>
      <c r="S63" s="496"/>
      <c r="T63" s="496"/>
      <c r="U63" s="496"/>
      <c r="V63" s="496"/>
      <c r="W63" s="496"/>
      <c r="X63" s="496"/>
      <c r="Y63" s="496"/>
      <c r="Z63" s="496"/>
    </row>
    <row r="64" spans="2:26" x14ac:dyDescent="0.2">
      <c r="B64" s="286" t="s">
        <v>1865</v>
      </c>
      <c r="C64" s="470"/>
      <c r="D64" s="285" t="s">
        <v>1866</v>
      </c>
      <c r="E64" s="299"/>
      <c r="F64" s="285"/>
      <c r="G64" s="285"/>
      <c r="H64" s="285"/>
      <c r="I64" s="285"/>
      <c r="J64" s="285"/>
      <c r="K64" s="285"/>
      <c r="L64" s="285"/>
      <c r="M64" s="285"/>
      <c r="S64" s="496"/>
      <c r="T64" s="496"/>
      <c r="U64" s="496"/>
      <c r="V64" s="496"/>
      <c r="W64" s="496"/>
      <c r="X64" s="496"/>
      <c r="Y64" s="496"/>
      <c r="Z64" s="496"/>
    </row>
    <row r="65" spans="2:26" x14ac:dyDescent="0.2">
      <c r="B65" s="285"/>
      <c r="C65" s="287">
        <v>2005</v>
      </c>
      <c r="D65" s="287">
        <v>2010</v>
      </c>
      <c r="E65" s="287">
        <v>2015</v>
      </c>
      <c r="F65" s="287">
        <v>2020</v>
      </c>
      <c r="G65" s="287">
        <v>2025</v>
      </c>
      <c r="H65" s="287">
        <v>2030</v>
      </c>
      <c r="I65" s="287">
        <v>2035</v>
      </c>
      <c r="J65" s="287">
        <v>2040</v>
      </c>
      <c r="K65" s="287">
        <v>2045</v>
      </c>
      <c r="L65" s="287">
        <v>2050</v>
      </c>
      <c r="M65" s="287">
        <v>2055</v>
      </c>
      <c r="S65" s="496"/>
      <c r="T65" s="496"/>
      <c r="U65" s="496"/>
      <c r="V65" s="496"/>
      <c r="W65" s="496"/>
      <c r="X65" s="496"/>
      <c r="Y65" s="496"/>
      <c r="Z65" s="496"/>
    </row>
    <row r="66" spans="2:26" x14ac:dyDescent="0.2">
      <c r="B66" s="284" t="s">
        <v>1867</v>
      </c>
      <c r="C66" s="289">
        <f>C125/$C$125</f>
        <v>1</v>
      </c>
      <c r="D66" s="289">
        <f>D125/$C$125</f>
        <v>1</v>
      </c>
      <c r="E66" s="289">
        <f>E125/$C$125</f>
        <v>1</v>
      </c>
      <c r="F66" s="289">
        <f>F125/$C$125</f>
        <v>0.89808043875685561</v>
      </c>
      <c r="G66" s="289">
        <f t="shared" ref="G66:M66" si="30">G125/$C$125</f>
        <v>0.89872029250457042</v>
      </c>
      <c r="H66" s="289">
        <f t="shared" si="30"/>
        <v>0.90447897623400364</v>
      </c>
      <c r="I66" s="289">
        <f t="shared" si="30"/>
        <v>0.89993144424131621</v>
      </c>
      <c r="J66" s="289">
        <f t="shared" si="30"/>
        <v>0.85900365630712983</v>
      </c>
      <c r="K66" s="289">
        <f t="shared" si="30"/>
        <v>0.8548217550274223</v>
      </c>
      <c r="L66" s="289">
        <f t="shared" si="30"/>
        <v>0.81718464351005482</v>
      </c>
      <c r="M66" s="289">
        <f t="shared" si="30"/>
        <v>0.8130027422303473</v>
      </c>
      <c r="S66" s="496"/>
      <c r="T66" s="496"/>
      <c r="U66" s="496"/>
      <c r="V66" s="496"/>
      <c r="W66" s="496"/>
      <c r="X66" s="496"/>
      <c r="Y66" s="496"/>
      <c r="Z66" s="496"/>
    </row>
    <row r="67" spans="2:26" x14ac:dyDescent="0.2">
      <c r="B67" s="284" t="s">
        <v>1868</v>
      </c>
      <c r="C67" s="289">
        <f t="shared" ref="C67:M67" si="31">C117/$C117</f>
        <v>1</v>
      </c>
      <c r="D67" s="289">
        <f t="shared" si="31"/>
        <v>1.3161120840630474</v>
      </c>
      <c r="E67" s="289">
        <f t="shared" si="31"/>
        <v>1.3520140105078808</v>
      </c>
      <c r="F67" s="289">
        <f>F117/$C117</f>
        <v>1.4316987740805605</v>
      </c>
      <c r="G67" s="289">
        <f t="shared" si="31"/>
        <v>1.4325744308231174</v>
      </c>
      <c r="H67" s="289">
        <f t="shared" si="31"/>
        <v>1.4331873905429071</v>
      </c>
      <c r="I67" s="289">
        <f t="shared" si="31"/>
        <v>1.4475744308231175</v>
      </c>
      <c r="J67" s="289">
        <f t="shared" si="31"/>
        <v>1.5770577933450087</v>
      </c>
      <c r="K67" s="289">
        <f t="shared" si="31"/>
        <v>1.5890542907180385</v>
      </c>
      <c r="L67" s="289">
        <f t="shared" si="31"/>
        <v>1.6970227670753064</v>
      </c>
      <c r="M67" s="289">
        <f t="shared" si="31"/>
        <v>1.7090192644483362</v>
      </c>
      <c r="S67" s="496"/>
      <c r="T67" s="496"/>
      <c r="U67" s="496"/>
      <c r="V67" s="496"/>
      <c r="W67" s="496"/>
      <c r="X67" s="496"/>
      <c r="Y67" s="496"/>
      <c r="Z67" s="496"/>
    </row>
    <row r="68" spans="2:26" x14ac:dyDescent="0.2">
      <c r="B68" s="21"/>
      <c r="C68" s="498"/>
      <c r="D68" s="498"/>
      <c r="E68" s="498"/>
      <c r="F68" s="498"/>
      <c r="G68" s="498"/>
      <c r="H68" s="498"/>
      <c r="I68" s="498"/>
      <c r="J68" s="498"/>
      <c r="K68" s="498"/>
      <c r="L68" s="498"/>
      <c r="M68" s="498"/>
      <c r="S68" s="481"/>
      <c r="T68" s="481"/>
      <c r="U68" s="481"/>
      <c r="V68" s="481"/>
      <c r="W68" s="481"/>
      <c r="X68" s="481"/>
      <c r="Y68" s="481"/>
      <c r="Z68" s="481"/>
    </row>
    <row r="69" spans="2:26" x14ac:dyDescent="0.2">
      <c r="B69" s="286" t="s">
        <v>1869</v>
      </c>
      <c r="C69" s="287">
        <v>2005</v>
      </c>
      <c r="D69" s="287">
        <v>2010</v>
      </c>
      <c r="E69" s="287">
        <v>2015</v>
      </c>
      <c r="F69" s="287">
        <v>2020</v>
      </c>
      <c r="G69" s="287">
        <v>2025</v>
      </c>
      <c r="H69" s="287">
        <v>2030</v>
      </c>
      <c r="I69" s="287">
        <v>2035</v>
      </c>
      <c r="J69" s="287">
        <v>2040</v>
      </c>
      <c r="K69" s="287">
        <v>2045</v>
      </c>
      <c r="L69" s="287">
        <v>2050</v>
      </c>
      <c r="M69" s="287">
        <v>2055</v>
      </c>
    </row>
    <row r="70" spans="2:26" x14ac:dyDescent="0.2">
      <c r="B70" s="284" t="s">
        <v>1867</v>
      </c>
      <c r="C70" s="300">
        <v>0</v>
      </c>
      <c r="D70" s="300">
        <v>0</v>
      </c>
      <c r="E70" s="300">
        <f>E35/E28*$K$14</f>
        <v>9.7525486579892028E-3</v>
      </c>
      <c r="F70" s="300">
        <f>E70+F35/F28*$K$14</f>
        <v>1.8274259075436523E-2</v>
      </c>
      <c r="G70" s="300">
        <f t="shared" ref="G70:M70" si="32">F70+G35/G28*$K$14</f>
        <v>2.4700341048275933E-2</v>
      </c>
      <c r="H70" s="300">
        <f t="shared" si="32"/>
        <v>3.0892229931044679E-2</v>
      </c>
      <c r="I70" s="300">
        <f t="shared" si="32"/>
        <v>3.70148547610833E-2</v>
      </c>
      <c r="J70" s="300">
        <f t="shared" si="32"/>
        <v>4.3069748006628876E-2</v>
      </c>
      <c r="K70" s="300">
        <f t="shared" si="32"/>
        <v>4.8940173592045916E-2</v>
      </c>
      <c r="L70" s="300">
        <f t="shared" si="32"/>
        <v>5.4679147578272268E-2</v>
      </c>
      <c r="M70" s="300">
        <f t="shared" si="32"/>
        <v>6.0292428004800683E-2</v>
      </c>
    </row>
    <row r="71" spans="2:26" x14ac:dyDescent="0.2">
      <c r="B71" s="284" t="s">
        <v>1868</v>
      </c>
      <c r="C71" s="300">
        <v>0</v>
      </c>
      <c r="D71" s="300">
        <v>0</v>
      </c>
      <c r="E71" s="300">
        <f>E35/E28*$K$14</f>
        <v>9.7525486579892028E-3</v>
      </c>
      <c r="F71" s="300">
        <f>E71+F35/F28*$K$14</f>
        <v>1.8274259075436523E-2</v>
      </c>
      <c r="G71" s="300">
        <f t="shared" ref="G71:M71" si="33">F71+G35/G28*$K$14</f>
        <v>2.4700341048275933E-2</v>
      </c>
      <c r="H71" s="300">
        <f t="shared" si="33"/>
        <v>3.0892229931044679E-2</v>
      </c>
      <c r="I71" s="300">
        <f t="shared" si="33"/>
        <v>3.70148547610833E-2</v>
      </c>
      <c r="J71" s="300">
        <f t="shared" si="33"/>
        <v>4.3069748006628876E-2</v>
      </c>
      <c r="K71" s="300">
        <f t="shared" si="33"/>
        <v>4.8940173592045916E-2</v>
      </c>
      <c r="L71" s="300">
        <f t="shared" si="33"/>
        <v>5.4679147578272268E-2</v>
      </c>
      <c r="M71" s="300">
        <f t="shared" si="33"/>
        <v>6.0292428004800683E-2</v>
      </c>
    </row>
    <row r="72" spans="2:26" x14ac:dyDescent="0.2">
      <c r="B72" s="14"/>
      <c r="C72" s="14"/>
      <c r="D72" s="14"/>
      <c r="E72" s="32"/>
      <c r="F72" s="14"/>
      <c r="G72" s="14"/>
      <c r="H72" s="14"/>
      <c r="I72" s="14"/>
      <c r="J72" s="14"/>
      <c r="K72" s="14"/>
      <c r="L72" s="14"/>
      <c r="M72" s="14"/>
    </row>
    <row r="73" spans="2:26" x14ac:dyDescent="0.2">
      <c r="B73" s="286" t="s">
        <v>1870</v>
      </c>
      <c r="C73" s="287">
        <v>2005</v>
      </c>
      <c r="D73" s="287">
        <v>2010</v>
      </c>
      <c r="E73" s="287">
        <v>2015</v>
      </c>
      <c r="F73" s="287">
        <v>2020</v>
      </c>
      <c r="G73" s="287">
        <v>2025</v>
      </c>
      <c r="H73" s="287">
        <v>2030</v>
      </c>
      <c r="I73" s="287">
        <v>2035</v>
      </c>
      <c r="J73" s="287">
        <v>2040</v>
      </c>
      <c r="K73" s="287">
        <v>2045</v>
      </c>
      <c r="L73" s="287">
        <v>2050</v>
      </c>
      <c r="M73" s="287">
        <v>2055</v>
      </c>
    </row>
    <row r="74" spans="2:26" x14ac:dyDescent="0.2">
      <c r="B74" s="284" t="s">
        <v>1867</v>
      </c>
      <c r="C74" s="300">
        <v>0</v>
      </c>
      <c r="D74" s="301">
        <v>0</v>
      </c>
      <c r="E74" s="301">
        <f>E37/E28*$K$15</f>
        <v>1.589431337979545E-3</v>
      </c>
      <c r="F74" s="301">
        <f>E74+F37/F28*$K$15</f>
        <v>3.1004568552505185E-3</v>
      </c>
      <c r="G74" s="301">
        <f>F74+G37/G28*$K$15</f>
        <v>4.5543315189184664E-3</v>
      </c>
      <c r="H74" s="301">
        <f>G74</f>
        <v>4.5543315189184664E-3</v>
      </c>
      <c r="I74" s="301">
        <f t="shared" ref="I74:M74" si="34">H74</f>
        <v>4.5543315189184664E-3</v>
      </c>
      <c r="J74" s="301">
        <f t="shared" si="34"/>
        <v>4.5543315189184664E-3</v>
      </c>
      <c r="K74" s="301">
        <f t="shared" si="34"/>
        <v>4.5543315189184664E-3</v>
      </c>
      <c r="L74" s="301">
        <f t="shared" si="34"/>
        <v>4.5543315189184664E-3</v>
      </c>
      <c r="M74" s="301">
        <f t="shared" si="34"/>
        <v>4.5543315189184664E-3</v>
      </c>
    </row>
    <row r="75" spans="2:26" x14ac:dyDescent="0.2">
      <c r="B75" s="284" t="s">
        <v>1868</v>
      </c>
      <c r="C75" s="300">
        <v>0</v>
      </c>
      <c r="D75" s="301">
        <v>0</v>
      </c>
      <c r="E75" s="301">
        <f>E37/E28*$K$15</f>
        <v>1.589431337979545E-3</v>
      </c>
      <c r="F75" s="301">
        <f>E75+F37/F28*$K$15</f>
        <v>3.1004568552505185E-3</v>
      </c>
      <c r="G75" s="301">
        <f>F75+G37/G28*$K$15</f>
        <v>4.5543315189184664E-3</v>
      </c>
      <c r="H75" s="301">
        <f>G75</f>
        <v>4.5543315189184664E-3</v>
      </c>
      <c r="I75" s="301">
        <f t="shared" ref="I75:M75" si="35">H75</f>
        <v>4.5543315189184664E-3</v>
      </c>
      <c r="J75" s="301">
        <f t="shared" si="35"/>
        <v>4.5543315189184664E-3</v>
      </c>
      <c r="K75" s="301">
        <f t="shared" si="35"/>
        <v>4.5543315189184664E-3</v>
      </c>
      <c r="L75" s="301">
        <f t="shared" si="35"/>
        <v>4.5543315189184664E-3</v>
      </c>
      <c r="M75" s="301">
        <f t="shared" si="35"/>
        <v>4.5543315189184664E-3</v>
      </c>
      <c r="N75" s="489"/>
    </row>
    <row r="76" spans="2:26" x14ac:dyDescent="0.2">
      <c r="B76" s="14"/>
      <c r="C76" s="112"/>
      <c r="D76" s="499"/>
      <c r="E76" s="499"/>
      <c r="F76" s="499"/>
      <c r="G76" s="499"/>
      <c r="H76" s="499"/>
      <c r="I76" s="499"/>
      <c r="J76" s="499"/>
      <c r="K76" s="499"/>
      <c r="L76" s="499"/>
      <c r="M76" s="499"/>
    </row>
    <row r="77" spans="2:26" x14ac:dyDescent="0.2">
      <c r="B77" s="286" t="s">
        <v>1871</v>
      </c>
      <c r="C77" s="287">
        <v>2005</v>
      </c>
      <c r="D77" s="287">
        <v>2010</v>
      </c>
      <c r="E77" s="287">
        <v>2015</v>
      </c>
      <c r="F77" s="287">
        <v>2020</v>
      </c>
      <c r="G77" s="287">
        <v>2025</v>
      </c>
      <c r="H77" s="287">
        <v>2030</v>
      </c>
      <c r="I77" s="287">
        <v>2035</v>
      </c>
      <c r="J77" s="287">
        <v>2040</v>
      </c>
      <c r="K77" s="287">
        <v>2045</v>
      </c>
      <c r="L77" s="287">
        <v>2050</v>
      </c>
      <c r="M77" s="287">
        <v>2055</v>
      </c>
    </row>
    <row r="78" spans="2:26" x14ac:dyDescent="0.2">
      <c r="B78" s="497" t="s">
        <v>1644</v>
      </c>
      <c r="C78" s="687">
        <f>DmdCalc!D$4*(1-C$74)*(1-C$70)*C$66*C53*C$62*(BldgArea!C45)</f>
        <v>23.03326346405418</v>
      </c>
      <c r="D78" s="687">
        <f>DmdCalc!E$4*(1-D$74)*(1-D$70)*D$66*D53*D$62*(BldgArea!K45)</f>
        <v>21.043434735509834</v>
      </c>
      <c r="E78" s="687">
        <f>DmdCalc!F$4*(1-E$74)*(1-E$70)*E$66*E53*E$62*(BldgArea!$S45)</f>
        <v>21.513374252978181</v>
      </c>
      <c r="F78" s="687">
        <f>DmdCalc!G$4*(1-F$74)*(1-F$70)*F$66*F53*F$62*(BldgArea!$S45)</f>
        <v>18.25194384411423</v>
      </c>
      <c r="G78" s="687">
        <f>DmdCalc!H$4*(1-G$74)*(1-G$70)*G$66*G53*G$62*(BldgArea!$S45)</f>
        <v>21.213828414624746</v>
      </c>
      <c r="H78" s="687">
        <f>DmdCalc!I$4*(1-H$74)*(1-H$70)*H$66*H53*H$62*(BldgArea!$S45)</f>
        <v>20.250008569434417</v>
      </c>
      <c r="I78" s="687">
        <f>DmdCalc!J$4*(1-I$74)*(1-I$70)*I$66*I53*I$62*(BldgArea!$S45)</f>
        <v>19.302138770143369</v>
      </c>
      <c r="J78" s="687">
        <f>DmdCalc!K$4*(1-J$74)*(1-J$70)*J$66*J53*J$62*(BldgArea!$S45)</f>
        <v>17.782091587388877</v>
      </c>
      <c r="K78" s="687">
        <f>DmdCalc!L$4*(1-K$74)*(1-K$70)*K$66*K53*K$62*(BldgArea!$S45)</f>
        <v>16.891905048331726</v>
      </c>
      <c r="L78" s="687">
        <f>DmdCalc!M$4*(1-L$74)*(1-L$70)*L$66*L53*L$62*(BldgArea!$S45)</f>
        <v>15.575583959567265</v>
      </c>
      <c r="M78" s="687">
        <f>DmdCalc!N$4*(1-M$74)*(1-M$70)*M$66*M53*M$62*(BldgArea!$S45)</f>
        <v>14.948686794933183</v>
      </c>
    </row>
    <row r="79" spans="2:26" x14ac:dyDescent="0.2">
      <c r="B79" s="497" t="s">
        <v>1649</v>
      </c>
      <c r="C79" s="687">
        <f>DmdCalc!D$4*(1-C$74)*(1-C$70)*C$66*C54*C$62*(BldgArea!C46)</f>
        <v>46.235070238433501</v>
      </c>
      <c r="D79" s="687">
        <f>DmdCalc!E$4*(1-D$74)*(1-D$70)*D$66*D54*D$62*(BldgArea!K46)</f>
        <v>44.265367328406647</v>
      </c>
      <c r="E79" s="687">
        <f>DmdCalc!F$4*(1-E$74)*(1-E$70)*E$66*E54*E$62*(BldgArea!$S46)</f>
        <v>44.376666082564213</v>
      </c>
      <c r="F79" s="687">
        <f>DmdCalc!G$4*(1-F$74)*(1-F$70)*F$66*F54*F$62*(BldgArea!$S46)</f>
        <v>37.39162555928224</v>
      </c>
      <c r="G79" s="687">
        <f>DmdCalc!H$4*(1-G$74)*(1-G$70)*G$66*G54*G$62*(BldgArea!$S46)</f>
        <v>43.801347198356545</v>
      </c>
      <c r="H79" s="687">
        <f>DmdCalc!I$4*(1-H$74)*(1-H$70)*H$66*H54*H$62*(BldgArea!$S46)</f>
        <v>42.122428072892241</v>
      </c>
      <c r="I79" s="687">
        <f>DmdCalc!J$4*(1-I$74)*(1-I$70)*I$66*I54*I$62*(BldgArea!$S46)</f>
        <v>39.971840103221631</v>
      </c>
      <c r="J79" s="687">
        <f>DmdCalc!K$4*(1-J$74)*(1-J$70)*J$66*J54*J$62*(BldgArea!$S46)</f>
        <v>36.665711949823205</v>
      </c>
      <c r="K79" s="687">
        <f>DmdCalc!L$4*(1-K$74)*(1-K$70)*K$66*K54*K$62*(BldgArea!$S46)</f>
        <v>35.16673784082537</v>
      </c>
      <c r="L79" s="687">
        <f>DmdCalc!M$4*(1-L$74)*(1-L$70)*L$66*L54*L$62*(BldgArea!$S46)</f>
        <v>32.497761152033874</v>
      </c>
      <c r="M79" s="687">
        <f>DmdCalc!N$4*(1-M$74)*(1-M$70)*M$66*M54*M$62*(BldgArea!$S46)</f>
        <v>31.255486602062838</v>
      </c>
    </row>
    <row r="80" spans="2:26" x14ac:dyDescent="0.2">
      <c r="B80" s="497" t="s">
        <v>1650</v>
      </c>
      <c r="C80" s="687">
        <f>DmdCalc!D$4*(1-C$74)*(1-C$70)*C$66*C55*C$62*(BldgArea!C47)</f>
        <v>40.486562987852643</v>
      </c>
      <c r="D80" s="687">
        <f>DmdCalc!E$4*(1-D$74)*(1-D$70)*D$66*D55*D$62*(BldgArea!K47)</f>
        <v>37.294840584637264</v>
      </c>
      <c r="E80" s="687">
        <f>DmdCalc!F$4*(1-E$74)*(1-E$70)*E$66*E55*E$62*(BldgArea!$S47)</f>
        <v>39.427265286467694</v>
      </c>
      <c r="F80" s="687">
        <f>DmdCalc!G$4*(1-F$74)*(1-F$70)*F$66*F55*F$62*(BldgArea!$S47)</f>
        <v>31.917949340539788</v>
      </c>
      <c r="G80" s="687">
        <f>DmdCalc!H$4*(1-G$74)*(1-G$70)*G$66*G55*G$62*(BldgArea!$S47)</f>
        <v>38.271351910073186</v>
      </c>
      <c r="H80" s="687">
        <f>DmdCalc!I$4*(1-H$74)*(1-H$70)*H$66*H55*H$62*(BldgArea!$S47)</f>
        <v>37.600767402095592</v>
      </c>
      <c r="I80" s="687">
        <f>DmdCalc!J$4*(1-I$74)*(1-I$70)*I$66*I55*I$62*(BldgArea!$S47)</f>
        <v>35.28469602664817</v>
      </c>
      <c r="J80" s="687">
        <f>DmdCalc!K$4*(1-J$74)*(1-J$70)*J$66*J55*J$62*(BldgArea!$S47)</f>
        <v>32.013903903587035</v>
      </c>
      <c r="K80" s="687">
        <f>DmdCalc!L$4*(1-K$74)*(1-K$70)*K$66*K55*K$62*(BldgArea!$S47)</f>
        <v>30.918494949328053</v>
      </c>
      <c r="L80" s="687">
        <f>DmdCalc!M$4*(1-L$74)*(1-L$70)*L$66*L55*L$62*(BldgArea!$S47)</f>
        <v>28.590682198533578</v>
      </c>
      <c r="M80" s="687">
        <f>DmdCalc!N$4*(1-M$74)*(1-M$70)*M$66*M55*M$62*(BldgArea!$S47)</f>
        <v>27.514968268125191</v>
      </c>
    </row>
    <row r="81" spans="2:14" x14ac:dyDescent="0.2">
      <c r="B81" s="497" t="s">
        <v>1651</v>
      </c>
      <c r="C81" s="687">
        <f>DmdCalc!D$4*(1-C$74)*(1-C$70)*C$66*C56*C$62*(BldgArea!C48)</f>
        <v>38.672063579277904</v>
      </c>
      <c r="D81" s="687">
        <f>DmdCalc!E$4*(1-D$74)*(1-D$70)*D$66*D56*D$62*(BldgArea!K48)</f>
        <v>38.554159875761009</v>
      </c>
      <c r="E81" s="687">
        <f>DmdCalc!F$4*(1-E$74)*(1-E$70)*E$66*E56*E$62*(BldgArea!$S48)</f>
        <v>37.497212063622285</v>
      </c>
      <c r="F81" s="687">
        <f>DmdCalc!G$4*(1-F$74)*(1-F$70)*F$66*F56*F$62*(BldgArea!$S48)</f>
        <v>30.714712605260612</v>
      </c>
      <c r="G81" s="687">
        <f>DmdCalc!H$4*(1-G$74)*(1-G$70)*G$66*G56*G$62*(BldgArea!$S48)</f>
        <v>36.20972785499756</v>
      </c>
      <c r="H81" s="687">
        <f>DmdCalc!I$4*(1-H$74)*(1-H$70)*H$66*H56*H$62*(BldgArea!$S48)</f>
        <v>35.029343430303079</v>
      </c>
      <c r="I81" s="687">
        <f>DmdCalc!J$4*(1-I$74)*(1-I$70)*I$66*I56*I$62*(BldgArea!$S48)</f>
        <v>32.992933907786778</v>
      </c>
      <c r="J81" s="687">
        <f>DmdCalc!K$4*(1-J$74)*(1-J$70)*J$66*J56*J$62*(BldgArea!$S48)</f>
        <v>30.043602472682277</v>
      </c>
      <c r="K81" s="687">
        <f>DmdCalc!L$4*(1-K$74)*(1-K$70)*K$66*K56*K$62*(BldgArea!$S48)</f>
        <v>28.87946203345059</v>
      </c>
      <c r="L81" s="687">
        <f>DmdCalc!M$4*(1-L$74)*(1-L$70)*L$66*L56*L$62*(BldgArea!$S48)</f>
        <v>26.632447462640599</v>
      </c>
      <c r="M81" s="687">
        <f>DmdCalc!N$4*(1-M$74)*(1-M$70)*M$66*M56*M$62*(BldgArea!$S48)</f>
        <v>25.563700465648338</v>
      </c>
    </row>
    <row r="82" spans="2:14" x14ac:dyDescent="0.2">
      <c r="B82" s="497" t="s">
        <v>1844</v>
      </c>
      <c r="C82" s="687">
        <f>DmdCalc!D$4*(1-C$74)*(1-C$70)*C$66*C57*C$62*(BldgArea!C49)</f>
        <v>10.264783135113174</v>
      </c>
      <c r="D82" s="687">
        <f>DmdCalc!E$4*(1-D$74)*(1-D$70)*D$66*D57*D$62*(BldgArea!K49)</f>
        <v>10.042388124387404</v>
      </c>
      <c r="E82" s="687">
        <f>DmdCalc!F$4*(1-E$74)*(1-E$70)*E$66*E57*E$62*(BldgArea!$S49)</f>
        <v>9.4413972455373703</v>
      </c>
      <c r="F82" s="687">
        <f>DmdCalc!G$4*(1-F$74)*(1-F$70)*F$66*F57*F$62*(BldgArea!$S49)</f>
        <v>7.53944129706466</v>
      </c>
      <c r="G82" s="687">
        <f>DmdCalc!H$4*(1-G$74)*(1-G$70)*G$66*G57*G$62*(BldgArea!$S49)</f>
        <v>8.9307806376288958</v>
      </c>
      <c r="H82" s="687">
        <f>DmdCalc!I$4*(1-H$74)*(1-H$70)*H$66*H57*H$62*(BldgArea!$S49)</f>
        <v>8.6777770985953229</v>
      </c>
      <c r="I82" s="687">
        <f>DmdCalc!J$4*(1-I$74)*(1-I$70)*I$66*I57*I$62*(BldgArea!$S49)</f>
        <v>8.1335420449688645</v>
      </c>
      <c r="J82" s="687">
        <f>DmdCalc!K$4*(1-J$74)*(1-J$70)*J$66*J57*J$62*(BldgArea!$S49)</f>
        <v>7.370851645310573</v>
      </c>
      <c r="K82" s="687">
        <f>DmdCalc!L$4*(1-K$74)*(1-K$70)*K$66*K57*K$62*(BldgArea!$S49)</f>
        <v>7.0690552740220527</v>
      </c>
      <c r="L82" s="687">
        <f>DmdCalc!M$4*(1-L$74)*(1-L$70)*L$66*L57*L$62*(BldgArea!$S49)</f>
        <v>6.5031826894283373</v>
      </c>
      <c r="M82" s="687">
        <f>DmdCalc!N$4*(1-M$74)*(1-M$70)*M$66*M57*M$62*(BldgArea!$S49)</f>
        <v>6.2276300425048428</v>
      </c>
    </row>
    <row r="83" spans="2:14" x14ac:dyDescent="0.2">
      <c r="B83" s="497" t="s">
        <v>1653</v>
      </c>
      <c r="C83" s="687">
        <f>SUM(C78:C82)</f>
        <v>158.6917434047314</v>
      </c>
      <c r="D83" s="518">
        <f>SUM(D78:D82)</f>
        <v>151.20019064870215</v>
      </c>
      <c r="E83" s="518">
        <f t="shared" ref="E83:M83" si="36">SUM(E78:E82)</f>
        <v>152.25591493116974</v>
      </c>
      <c r="F83" s="518">
        <f t="shared" si="36"/>
        <v>125.81567264626153</v>
      </c>
      <c r="G83" s="518">
        <f t="shared" si="36"/>
        <v>148.42703601568093</v>
      </c>
      <c r="H83" s="518">
        <f t="shared" si="36"/>
        <v>143.68032457332066</v>
      </c>
      <c r="I83" s="518">
        <f t="shared" si="36"/>
        <v>135.6851508527688</v>
      </c>
      <c r="J83" s="518">
        <f t="shared" si="36"/>
        <v>123.87616155879198</v>
      </c>
      <c r="K83" s="518">
        <f t="shared" si="36"/>
        <v>118.92565514595779</v>
      </c>
      <c r="L83" s="518">
        <f t="shared" si="36"/>
        <v>109.79965746220365</v>
      </c>
      <c r="M83" s="518">
        <f t="shared" si="36"/>
        <v>105.51047217327439</v>
      </c>
    </row>
    <row r="84" spans="2:14" x14ac:dyDescent="0.2">
      <c r="C84" s="14"/>
      <c r="D84" s="23"/>
      <c r="E84" s="23"/>
      <c r="F84" s="23"/>
      <c r="G84" s="23"/>
      <c r="H84" s="23"/>
      <c r="I84" s="23"/>
      <c r="J84" s="23"/>
      <c r="K84" s="23"/>
      <c r="L84" s="23"/>
      <c r="M84" s="23"/>
    </row>
    <row r="85" spans="2:14" x14ac:dyDescent="0.2">
      <c r="B85" s="286" t="s">
        <v>1872</v>
      </c>
      <c r="C85" s="287">
        <v>2005</v>
      </c>
      <c r="D85" s="287">
        <v>2010</v>
      </c>
      <c r="E85" s="287">
        <v>2015</v>
      </c>
      <c r="F85" s="287">
        <v>2020</v>
      </c>
      <c r="G85" s="287">
        <v>2025</v>
      </c>
      <c r="H85" s="287">
        <v>2030</v>
      </c>
      <c r="I85" s="287">
        <v>2035</v>
      </c>
      <c r="J85" s="287">
        <v>2040</v>
      </c>
      <c r="K85" s="287">
        <v>2045</v>
      </c>
      <c r="L85" s="287">
        <v>2050</v>
      </c>
      <c r="M85" s="287">
        <v>2055</v>
      </c>
      <c r="N85" s="23"/>
    </row>
    <row r="86" spans="2:14" x14ac:dyDescent="0.2">
      <c r="B86" s="497" t="s">
        <v>1644</v>
      </c>
      <c r="C86" s="687">
        <f>DmdCalc!$D$12*C40*(1-C$75)*(1-C$71)*C$67*C53*C$62</f>
        <v>3.8857239995743407</v>
      </c>
      <c r="D86" s="687">
        <f>DmdCalc!$E$12*D40*(1-D$75)*(1-D$71)*D$67*D53*D$62</f>
        <v>5.3017171183214185</v>
      </c>
      <c r="E86" s="687">
        <f>DmdCalc!$F$12*E40*(1-E$75)*(1-E$71)*E$67*E53*E$62</f>
        <v>5.3008071224374156</v>
      </c>
      <c r="F86" s="687">
        <f>DmdCalc!$G$12*F40*(1-F$75)*(1-F$71)*F$67*F53*F$62</f>
        <v>5.4722683423387446</v>
      </c>
      <c r="G86" s="687">
        <f>$C86*(1-G$75)*(1-G$71)*G$67*G53*G$62</f>
        <v>5.4448727416025351</v>
      </c>
      <c r="H86" s="687">
        <f t="shared" ref="H86:M86" si="37">$C86*(1-H$75)*(1-H$71)*H$67*H53*H$62</f>
        <v>5.3399328353895461</v>
      </c>
      <c r="I86" s="687">
        <f t="shared" si="37"/>
        <v>5.407936891974666</v>
      </c>
      <c r="J86" s="687">
        <f t="shared" si="37"/>
        <v>5.9059413943067387</v>
      </c>
      <c r="K86" s="687">
        <f t="shared" si="37"/>
        <v>5.8535190586687333</v>
      </c>
      <c r="L86" s="687">
        <f t="shared" si="37"/>
        <v>6.2055522113173387</v>
      </c>
      <c r="M86" s="687">
        <f t="shared" si="37"/>
        <v>6.2046887662607775</v>
      </c>
    </row>
    <row r="87" spans="2:14" x14ac:dyDescent="0.2">
      <c r="B87" s="497" t="s">
        <v>1649</v>
      </c>
      <c r="C87" s="687">
        <f>DmdCalc!$D$12*C41*(1-C$75)*(1-C$71)*C$67*C54*C$62</f>
        <v>7.1514593931865482</v>
      </c>
      <c r="D87" s="687">
        <f>DmdCalc!$E$12*D41*(1-D$75)*(1-D$71)*D$67*D54*D$62</f>
        <v>10.605635981098015</v>
      </c>
      <c r="E87" s="687">
        <f>DmdCalc!$F$12*E41*(1-E$75)*(1-E$71)*E$67*E54*E$62</f>
        <v>10.422386444074389</v>
      </c>
      <c r="F87" s="687">
        <f>DmdCalc!$G$12*F41*(1-F$75)*(1-F$71)*F$67*F54*F$62</f>
        <v>10.612818120785766</v>
      </c>
      <c r="G87" s="687">
        <f>$C87*(1-G$75)*(1-G$71)*G$67*G54*G$62</f>
        <v>10.367736711829071</v>
      </c>
      <c r="H87" s="687">
        <f t="shared" ref="G87:M91" si="38">$C87*(1-H$75)*(1-H$71)*H$67*H54*H$62</f>
        <v>10.243580626324206</v>
      </c>
      <c r="I87" s="687">
        <f t="shared" si="38"/>
        <v>10.327807446509318</v>
      </c>
      <c r="J87" s="687">
        <f t="shared" si="38"/>
        <v>11.230374061810091</v>
      </c>
      <c r="K87" s="687">
        <f t="shared" si="38"/>
        <v>11.238239897268748</v>
      </c>
      <c r="L87" s="687">
        <f t="shared" si="38"/>
        <v>11.94035798603211</v>
      </c>
      <c r="M87" s="687">
        <f t="shared" si="38"/>
        <v>11.963852033859132</v>
      </c>
    </row>
    <row r="88" spans="2:14" x14ac:dyDescent="0.2">
      <c r="B88" s="497" t="s">
        <v>1650</v>
      </c>
      <c r="C88" s="687">
        <f>DmdCalc!$D$12*C42*(1-C$75)*(1-C$71)*C$67*C55*C$62</f>
        <v>5.9193097026565056</v>
      </c>
      <c r="D88" s="687">
        <f>DmdCalc!$E$12*D42*(1-D$75)*(1-D$71)*D$67*D55*D$62</f>
        <v>8.1302295453220292</v>
      </c>
      <c r="E88" s="687">
        <f>DmdCalc!$F$12*E42*(1-E$75)*(1-E$71)*E$67*E55*E$62</f>
        <v>8.6164144883055211</v>
      </c>
      <c r="F88" s="687">
        <f>DmdCalc!$G$12*F42*(1-F$75)*(1-F$71)*F$67*F55*F$62</f>
        <v>8.0989260773394491</v>
      </c>
      <c r="G88" s="687">
        <f t="shared" si="38"/>
        <v>8.4342449523636809</v>
      </c>
      <c r="H88" s="687">
        <f t="shared" si="38"/>
        <v>8.5135563734913315</v>
      </c>
      <c r="I88" s="687">
        <f t="shared" si="38"/>
        <v>8.4882133306835374</v>
      </c>
      <c r="J88" s="687">
        <f t="shared" si="38"/>
        <v>9.1295348651653185</v>
      </c>
      <c r="K88" s="687">
        <f t="shared" si="38"/>
        <v>9.1994205833677096</v>
      </c>
      <c r="L88" s="687">
        <f t="shared" si="38"/>
        <v>9.7805738830762294</v>
      </c>
      <c r="M88" s="687">
        <f t="shared" si="38"/>
        <v>9.8059505670014087</v>
      </c>
    </row>
    <row r="89" spans="2:14" x14ac:dyDescent="0.2">
      <c r="B89" s="497" t="s">
        <v>1651</v>
      </c>
      <c r="C89" s="687">
        <f>DmdCalc!$D$12*C43*(1-C$75)*(1-C$71)*C$67*C56*C$62</f>
        <v>5.7898015077975469</v>
      </c>
      <c r="D89" s="687">
        <f>DmdCalc!$E$12*D43*(1-D$75)*(1-D$71)*D$67*D56*D$62</f>
        <v>9.2559100610772642</v>
      </c>
      <c r="E89" s="687">
        <f>DmdCalc!$F$12*E43*(1-E$75)*(1-E$71)*E$67*E56*E$62</f>
        <v>8.9357850684964006</v>
      </c>
      <c r="F89" s="687">
        <f>DmdCalc!$G$12*F43*(1-F$75)*(1-F$71)*F$67*F56*F$62</f>
        <v>8.5990776159908791</v>
      </c>
      <c r="G89" s="687">
        <f t="shared" si="38"/>
        <v>8.4507395098292069</v>
      </c>
      <c r="H89" s="687">
        <f t="shared" si="38"/>
        <v>8.3993050157502847</v>
      </c>
      <c r="I89" s="687">
        <f t="shared" si="38"/>
        <v>8.4051968794193979</v>
      </c>
      <c r="J89" s="687">
        <f t="shared" si="38"/>
        <v>9.0731704443634502</v>
      </c>
      <c r="K89" s="687">
        <f t="shared" si="38"/>
        <v>9.09972517801652</v>
      </c>
      <c r="L89" s="687">
        <f t="shared" si="38"/>
        <v>9.6482366439292502</v>
      </c>
      <c r="M89" s="687">
        <f t="shared" si="38"/>
        <v>9.6480923424721006</v>
      </c>
    </row>
    <row r="90" spans="2:14" x14ac:dyDescent="0.2">
      <c r="B90" s="497" t="s">
        <v>1844</v>
      </c>
      <c r="C90" s="687">
        <f>DmdCalc!$D$12*C44*(1-C$75)*(1-C$71)*C$67*C57*C$62</f>
        <v>1.2485953324356875</v>
      </c>
      <c r="D90" s="687">
        <f>DmdCalc!$E$12*D44*(1-D$75)*(1-D$71)*D$67*D57*D$62</f>
        <v>1.9307909839331294</v>
      </c>
      <c r="E90" s="687">
        <f>DmdCalc!$F$12*E44*(1-E$75)*(1-E$71)*E$67*E57*E$62</f>
        <v>1.9239617786999315</v>
      </c>
      <c r="F90" s="687">
        <f>DmdCalc!$G$12*F44*(1-F$75)*(1-F$71)*F$67*F57*F$62</f>
        <v>1.75965053971914</v>
      </c>
      <c r="G90" s="687">
        <f t="shared" si="38"/>
        <v>1.7837437457166134</v>
      </c>
      <c r="H90" s="687">
        <f t="shared" si="38"/>
        <v>1.780710964911719</v>
      </c>
      <c r="I90" s="687">
        <f t="shared" si="38"/>
        <v>1.7732920073170071</v>
      </c>
      <c r="J90" s="687">
        <f t="shared" si="38"/>
        <v>1.905014649221769</v>
      </c>
      <c r="K90" s="687">
        <f t="shared" si="38"/>
        <v>1.9062249162222384</v>
      </c>
      <c r="L90" s="687">
        <f t="shared" si="38"/>
        <v>2.0162129947530474</v>
      </c>
      <c r="M90" s="687">
        <f t="shared" si="38"/>
        <v>2.0114726105506131</v>
      </c>
    </row>
    <row r="91" spans="2:14" x14ac:dyDescent="0.2">
      <c r="B91" s="497" t="s">
        <v>1653</v>
      </c>
      <c r="C91" s="687">
        <f>DmdCalc!$D$12*C28/C$28</f>
        <v>23.994889935650626</v>
      </c>
      <c r="D91" s="687">
        <f>DmdCalc!$E$12*D28/D$28*(1-D$75)*(1-D$71)*D$67*D58*D$62</f>
        <v>35.189959026639777</v>
      </c>
      <c r="E91" s="687">
        <f>DmdCalc!$F$12*E28/E$28*(1-E$75)*(1-E$71)*E$67*E58*E$62</f>
        <v>35.185112106232694</v>
      </c>
      <c r="F91" s="687">
        <f>DmdCalc!$G$12*F28/F$28*(1-F$75)*(1-F$71)*F$67*F58*F$62</f>
        <v>34.532029575735031</v>
      </c>
      <c r="G91" s="687">
        <f t="shared" si="38"/>
        <v>34.481337661341108</v>
      </c>
      <c r="H91" s="687">
        <f t="shared" si="38"/>
        <v>34.277085815867089</v>
      </c>
      <c r="I91" s="687">
        <f t="shared" si="38"/>
        <v>34.402446555903921</v>
      </c>
      <c r="J91" s="687">
        <f t="shared" si="38"/>
        <v>37.244035414867362</v>
      </c>
      <c r="K91" s="687">
        <f t="shared" si="38"/>
        <v>37.29712963354396</v>
      </c>
      <c r="L91" s="687">
        <f t="shared" si="38"/>
        <v>39.59093371910798</v>
      </c>
      <c r="M91" s="687">
        <f t="shared" si="38"/>
        <v>39.634056320144026</v>
      </c>
    </row>
    <row r="92" spans="2:14" x14ac:dyDescent="0.2">
      <c r="B92" s="14"/>
      <c r="C92" s="17"/>
      <c r="D92" s="17"/>
      <c r="E92" s="17"/>
      <c r="F92" s="17"/>
      <c r="G92" s="17"/>
      <c r="H92" s="17"/>
      <c r="I92" s="17"/>
      <c r="J92" s="17"/>
      <c r="K92" s="17"/>
      <c r="L92" s="17"/>
      <c r="M92" s="17"/>
    </row>
    <row r="93" spans="2:14" x14ac:dyDescent="0.2">
      <c r="B93" s="286" t="s">
        <v>1873</v>
      </c>
      <c r="C93" s="287">
        <v>2005</v>
      </c>
      <c r="D93" s="287">
        <v>2010</v>
      </c>
      <c r="E93" s="287">
        <v>2015</v>
      </c>
      <c r="F93" s="287">
        <v>2020</v>
      </c>
      <c r="G93" s="287">
        <v>2025</v>
      </c>
      <c r="H93" s="287">
        <v>2030</v>
      </c>
      <c r="I93" s="287">
        <v>2035</v>
      </c>
      <c r="J93" s="287">
        <v>2040</v>
      </c>
      <c r="K93" s="287">
        <v>2045</v>
      </c>
      <c r="L93" s="287">
        <v>2050</v>
      </c>
      <c r="M93" s="287">
        <v>2055</v>
      </c>
    </row>
    <row r="94" spans="2:14" x14ac:dyDescent="0.2">
      <c r="B94" s="497" t="s">
        <v>1644</v>
      </c>
      <c r="C94" s="290">
        <f>C78*PJ_to_BTU/(C23*C$49*C120)</f>
        <v>8.5026531350252306</v>
      </c>
      <c r="D94" s="290">
        <f>D78*PJ_to_BTU/(D23*D$49*D120)</f>
        <v>8.0536604076927283</v>
      </c>
      <c r="E94" s="290">
        <f t="shared" ref="E94:M94" si="39">E78*PJ_to_BTU/(E23*E$49*E120)</f>
        <v>8.0574311195692356</v>
      </c>
      <c r="F94" s="290">
        <f t="shared" si="39"/>
        <v>7.3401394830275528</v>
      </c>
      <c r="G94" s="290">
        <f t="shared" si="39"/>
        <v>8.6486940865873816</v>
      </c>
      <c r="H94" s="290">
        <f t="shared" si="39"/>
        <v>8.314851406402239</v>
      </c>
      <c r="I94" s="290">
        <f t="shared" si="39"/>
        <v>7.8942955429829045</v>
      </c>
      <c r="J94" s="290">
        <f t="shared" si="39"/>
        <v>7.5529235472791916</v>
      </c>
      <c r="K94" s="290">
        <f t="shared" si="39"/>
        <v>7.2848581378816952</v>
      </c>
      <c r="L94" s="290">
        <f t="shared" si="39"/>
        <v>7.0355671458770894</v>
      </c>
      <c r="M94" s="290">
        <f t="shared" si="39"/>
        <v>6.7954655178205963</v>
      </c>
    </row>
    <row r="95" spans="2:14" x14ac:dyDescent="0.2">
      <c r="B95" s="497" t="s">
        <v>1649</v>
      </c>
      <c r="C95" s="290">
        <f t="shared" ref="C95:M95" si="40">C79*PJ_to_BTU/(C24*C$49*C121)</f>
        <v>9.2735876608268448</v>
      </c>
      <c r="D95" s="290">
        <f t="shared" si="40"/>
        <v>8.8291584740931057</v>
      </c>
      <c r="E95" s="290">
        <f t="shared" si="40"/>
        <v>8.7371298886086013</v>
      </c>
      <c r="F95" s="290">
        <f>F79*PJ_to_BTU/(F24*F$49*F121)</f>
        <v>7.9593298548911067</v>
      </c>
      <c r="G95" s="290">
        <f t="shared" si="40"/>
        <v>9.3782698827954629</v>
      </c>
      <c r="H95" s="290">
        <f t="shared" si="40"/>
        <v>9.0162653163456543</v>
      </c>
      <c r="I95" s="290">
        <f t="shared" si="40"/>
        <v>8.5602327236268145</v>
      </c>
      <c r="J95" s="290">
        <f t="shared" si="40"/>
        <v>8.1900636930094812</v>
      </c>
      <c r="K95" s="290">
        <f t="shared" si="40"/>
        <v>7.8993851546772555</v>
      </c>
      <c r="L95" s="290">
        <f t="shared" si="40"/>
        <v>7.6290647827271476</v>
      </c>
      <c r="M95" s="290">
        <f t="shared" si="40"/>
        <v>7.368708959678159</v>
      </c>
    </row>
    <row r="96" spans="2:14" x14ac:dyDescent="0.2">
      <c r="B96" s="497" t="s">
        <v>1650</v>
      </c>
      <c r="C96" s="290">
        <f t="shared" ref="C96:M96" si="41">C80*PJ_to_BTU/(C25*C$49*C122)</f>
        <v>9.8109437021277728</v>
      </c>
      <c r="D96" s="290">
        <f t="shared" si="41"/>
        <v>9.3386211267435257</v>
      </c>
      <c r="E96" s="290">
        <f t="shared" si="41"/>
        <v>9.3841054066316225</v>
      </c>
      <c r="F96" s="290">
        <f t="shared" si="41"/>
        <v>8.5487100771879234</v>
      </c>
      <c r="G96" s="290">
        <f t="shared" si="41"/>
        <v>10.072721160610627</v>
      </c>
      <c r="H96" s="290">
        <f t="shared" si="41"/>
        <v>9.6839105268490648</v>
      </c>
      <c r="I96" s="290">
        <f t="shared" si="41"/>
        <v>9.1941091877946235</v>
      </c>
      <c r="J96" s="290">
        <f t="shared" si="41"/>
        <v>8.7965295196575255</v>
      </c>
      <c r="K96" s="290">
        <f t="shared" si="41"/>
        <v>8.484326533329984</v>
      </c>
      <c r="L96" s="290">
        <f t="shared" si="41"/>
        <v>8.1939892147504558</v>
      </c>
      <c r="M96" s="290">
        <f t="shared" si="41"/>
        <v>7.9143543097105917</v>
      </c>
    </row>
    <row r="97" spans="2:13" x14ac:dyDescent="0.2">
      <c r="B97" s="497" t="s">
        <v>1651</v>
      </c>
      <c r="C97" s="290">
        <f t="shared" ref="C97:M97" si="42">C81*PJ_to_BTU/(C26*C$49*C123)</f>
        <v>9.5808625329477692</v>
      </c>
      <c r="D97" s="290">
        <f t="shared" si="42"/>
        <v>9.1485186938040162</v>
      </c>
      <c r="E97" s="290">
        <f t="shared" si="42"/>
        <v>8.8612671389865145</v>
      </c>
      <c r="F97" s="290">
        <f t="shared" si="42"/>
        <v>8.0724161126935972</v>
      </c>
      <c r="G97" s="290">
        <f t="shared" si="42"/>
        <v>9.5115164582034897</v>
      </c>
      <c r="H97" s="290">
        <f t="shared" si="42"/>
        <v>9.1443685263606689</v>
      </c>
      <c r="I97" s="290">
        <f t="shared" si="42"/>
        <v>8.6818566168793954</v>
      </c>
      <c r="J97" s="290">
        <f t="shared" si="42"/>
        <v>8.3064282200603738</v>
      </c>
      <c r="K97" s="290">
        <f t="shared" si="42"/>
        <v>8.0116197174318096</v>
      </c>
      <c r="L97" s="290">
        <f t="shared" si="42"/>
        <v>7.7374586302671142</v>
      </c>
      <c r="M97" s="290">
        <f t="shared" si="42"/>
        <v>7.4734036684385439</v>
      </c>
    </row>
    <row r="98" spans="2:13" x14ac:dyDescent="0.2">
      <c r="B98" s="497" t="s">
        <v>1844</v>
      </c>
      <c r="C98" s="290">
        <f t="shared" ref="C98:M98" si="43">C82*PJ_to_BTU/(C27*C$49*C124)</f>
        <v>11.792313276615603</v>
      </c>
      <c r="D98" s="290">
        <f t="shared" si="43"/>
        <v>11.235164977363011</v>
      </c>
      <c r="E98" s="290">
        <f t="shared" si="43"/>
        <v>10.35433572656067</v>
      </c>
      <c r="F98" s="290">
        <f t="shared" si="43"/>
        <v>9.4325681919219395</v>
      </c>
      <c r="G98" s="290">
        <f t="shared" si="43"/>
        <v>11.114148025584775</v>
      </c>
      <c r="H98" s="290">
        <f t="shared" si="43"/>
        <v>10.685137942942376</v>
      </c>
      <c r="I98" s="290">
        <f t="shared" si="43"/>
        <v>10.144695643529939</v>
      </c>
      <c r="J98" s="290">
        <f t="shared" si="43"/>
        <v>9.7060098888881718</v>
      </c>
      <c r="K98" s="290">
        <f t="shared" si="43"/>
        <v>9.3615279808966321</v>
      </c>
      <c r="L98" s="290">
        <f t="shared" si="43"/>
        <v>9.0411724498944555</v>
      </c>
      <c r="M98" s="290">
        <f t="shared" si="43"/>
        <v>8.732625863706124</v>
      </c>
    </row>
    <row r="99" spans="2:13" x14ac:dyDescent="0.2">
      <c r="B99" s="497" t="s">
        <v>1653</v>
      </c>
      <c r="C99" s="290">
        <f t="shared" ref="C99:M99" si="44">C83*PJ_to_BTU/(C$23*C$49*C125)</f>
        <v>58.580532961322838</v>
      </c>
      <c r="D99" s="290">
        <f t="shared" si="44"/>
        <v>57.866741069993033</v>
      </c>
      <c r="E99" s="290">
        <f t="shared" si="44"/>
        <v>57.024599334298458</v>
      </c>
      <c r="F99" s="290">
        <f t="shared" si="44"/>
        <v>50.597601782141133</v>
      </c>
      <c r="G99" s="290">
        <f t="shared" si="44"/>
        <v>60.512416881506084</v>
      </c>
      <c r="H99" s="290">
        <f t="shared" si="44"/>
        <v>58.996545347347123</v>
      </c>
      <c r="I99" s="290">
        <f t="shared" si="44"/>
        <v>55.493263952843286</v>
      </c>
      <c r="J99" s="290">
        <f t="shared" si="44"/>
        <v>52.61626130907522</v>
      </c>
      <c r="K99" s="290">
        <f t="shared" si="44"/>
        <v>51.288266433779512</v>
      </c>
      <c r="L99" s="290">
        <f t="shared" si="44"/>
        <v>49.59704012863866</v>
      </c>
      <c r="M99" s="290">
        <f t="shared" si="44"/>
        <v>47.963596084271323</v>
      </c>
    </row>
    <row r="100" spans="2:13" x14ac:dyDescent="0.2">
      <c r="B100" s="13"/>
      <c r="C100" s="13"/>
      <c r="D100" s="13"/>
      <c r="E100" s="13"/>
      <c r="F100" s="13"/>
      <c r="G100" s="13"/>
      <c r="H100" s="13"/>
      <c r="I100" s="13"/>
      <c r="J100" s="13"/>
      <c r="K100" s="13"/>
      <c r="L100" s="13"/>
      <c r="M100" s="13"/>
    </row>
    <row r="101" spans="2:13" x14ac:dyDescent="0.2">
      <c r="B101" s="286" t="s">
        <v>1874</v>
      </c>
      <c r="C101" s="287">
        <v>2005</v>
      </c>
      <c r="D101" s="287">
        <v>2010</v>
      </c>
      <c r="E101" s="287">
        <v>2015</v>
      </c>
      <c r="F101" s="287">
        <v>2020</v>
      </c>
      <c r="G101" s="287">
        <v>2025</v>
      </c>
      <c r="H101" s="287">
        <v>2030</v>
      </c>
      <c r="I101" s="287">
        <v>2035</v>
      </c>
      <c r="J101" s="287">
        <v>2040</v>
      </c>
      <c r="K101" s="287">
        <v>2045</v>
      </c>
      <c r="L101" s="287">
        <v>2050</v>
      </c>
      <c r="M101" s="287">
        <v>2055</v>
      </c>
    </row>
    <row r="102" spans="2:13" x14ac:dyDescent="0.2">
      <c r="B102" s="497" t="s">
        <v>1644</v>
      </c>
      <c r="C102" s="290">
        <f t="shared" ref="C102:M102" si="45">C86*PJ_to_BTU/(C23*C$49*C112)</f>
        <v>5.4964482870043589</v>
      </c>
      <c r="D102" s="290">
        <f>D86*PJ_to_BTU/(D23*D$49*D112)</f>
        <v>5.9076066409407266</v>
      </c>
      <c r="E102" s="290">
        <f t="shared" si="45"/>
        <v>5.6267819879565373</v>
      </c>
      <c r="F102" s="290">
        <f t="shared" si="45"/>
        <v>5.2897770479681325</v>
      </c>
      <c r="G102" s="290">
        <f t="shared" si="45"/>
        <v>5.3362698070204582</v>
      </c>
      <c r="H102" s="290">
        <f t="shared" si="45"/>
        <v>5.3023914093502924</v>
      </c>
      <c r="I102" s="290">
        <f t="shared" si="45"/>
        <v>5.2688919841014759</v>
      </c>
      <c r="J102" s="290">
        <f t="shared" si="45"/>
        <v>5.2357631465033325</v>
      </c>
      <c r="K102" s="290">
        <f t="shared" si="45"/>
        <v>5.2036436081457644</v>
      </c>
      <c r="L102" s="290">
        <f t="shared" si="45"/>
        <v>5.1722432961238249</v>
      </c>
      <c r="M102" s="290">
        <f t="shared" si="45"/>
        <v>5.1415307058101805</v>
      </c>
    </row>
    <row r="103" spans="2:13" x14ac:dyDescent="0.2">
      <c r="B103" s="497" t="s">
        <v>1649</v>
      </c>
      <c r="C103" s="290">
        <f t="shared" ref="C103:M103" si="46">C87*PJ_to_BTU/(C24*C$49*C113)</f>
        <v>5.4964482870043598</v>
      </c>
      <c r="D103" s="290">
        <f t="shared" si="46"/>
        <v>6.1590012034446024</v>
      </c>
      <c r="E103" s="290">
        <f t="shared" si="46"/>
        <v>5.8158247306397799</v>
      </c>
      <c r="F103" s="290">
        <f t="shared" si="46"/>
        <v>5.4300980570622457</v>
      </c>
      <c r="G103" s="290">
        <f t="shared" si="46"/>
        <v>5.3362698070204608</v>
      </c>
      <c r="H103" s="290">
        <f t="shared" si="46"/>
        <v>5.3023914093502906</v>
      </c>
      <c r="I103" s="290">
        <f t="shared" si="46"/>
        <v>5.2688919841014767</v>
      </c>
      <c r="J103" s="290">
        <f t="shared" si="46"/>
        <v>5.2357631465033325</v>
      </c>
      <c r="K103" s="290">
        <f t="shared" si="46"/>
        <v>5.2036436081457635</v>
      </c>
      <c r="L103" s="290">
        <f t="shared" si="46"/>
        <v>5.1722432961238258</v>
      </c>
      <c r="M103" s="290">
        <f t="shared" si="46"/>
        <v>5.1415307058101796</v>
      </c>
    </row>
    <row r="104" spans="2:13" x14ac:dyDescent="0.2">
      <c r="B104" s="497" t="s">
        <v>1650</v>
      </c>
      <c r="C104" s="290">
        <f t="shared" ref="C104:M104" si="47">C88*PJ_to_BTU/(C25*C$49*C114)</f>
        <v>5.4964482870043589</v>
      </c>
      <c r="D104" s="290">
        <f t="shared" si="47"/>
        <v>5.927275875547938</v>
      </c>
      <c r="E104" s="290">
        <f t="shared" si="47"/>
        <v>5.8123642371186</v>
      </c>
      <c r="F104" s="290">
        <f t="shared" si="47"/>
        <v>5.2139616900980252</v>
      </c>
      <c r="G104" s="290">
        <f t="shared" si="47"/>
        <v>5.3362698070204573</v>
      </c>
      <c r="H104" s="290">
        <f t="shared" si="47"/>
        <v>5.3023914093502906</v>
      </c>
      <c r="I104" s="290">
        <f t="shared" si="47"/>
        <v>5.2688919841014759</v>
      </c>
      <c r="J104" s="290">
        <f t="shared" si="47"/>
        <v>5.2357631465033325</v>
      </c>
      <c r="K104" s="290">
        <f t="shared" si="47"/>
        <v>5.2036436081457653</v>
      </c>
      <c r="L104" s="290">
        <f t="shared" si="47"/>
        <v>5.1722432961238258</v>
      </c>
      <c r="M104" s="290">
        <f t="shared" si="47"/>
        <v>5.1415307058101787</v>
      </c>
    </row>
    <row r="105" spans="2:13" x14ac:dyDescent="0.2">
      <c r="B105" s="497" t="s">
        <v>1651</v>
      </c>
      <c r="C105" s="290">
        <f t="shared" ref="C105:M105" si="48">C89*PJ_to_BTU/(C26*C$49*C115)</f>
        <v>5.4964482870043598</v>
      </c>
      <c r="D105" s="290">
        <f t="shared" si="48"/>
        <v>6.3946531725169882</v>
      </c>
      <c r="E105" s="290">
        <f t="shared" si="48"/>
        <v>5.9849369828336734</v>
      </c>
      <c r="F105" s="290">
        <f t="shared" si="48"/>
        <v>5.4323000118583744</v>
      </c>
      <c r="G105" s="290">
        <f t="shared" si="48"/>
        <v>5.3362698070204582</v>
      </c>
      <c r="H105" s="290">
        <f t="shared" si="48"/>
        <v>5.3023914093502915</v>
      </c>
      <c r="I105" s="290">
        <f t="shared" si="48"/>
        <v>5.2688919841014767</v>
      </c>
      <c r="J105" s="290">
        <f t="shared" si="48"/>
        <v>5.2357631465033316</v>
      </c>
      <c r="K105" s="290">
        <f t="shared" si="48"/>
        <v>5.2036436081457644</v>
      </c>
      <c r="L105" s="290">
        <f t="shared" si="48"/>
        <v>5.1722432961238267</v>
      </c>
      <c r="M105" s="290">
        <f t="shared" si="48"/>
        <v>5.1415307058101813</v>
      </c>
    </row>
    <row r="106" spans="2:13" x14ac:dyDescent="0.2">
      <c r="B106" s="497" t="s">
        <v>1844</v>
      </c>
      <c r="C106" s="290">
        <f t="shared" ref="C106:M106" si="49">C90*PJ_to_BTU/(C27*C$49*C116)</f>
        <v>5.4964482870043589</v>
      </c>
      <c r="D106" s="290">
        <f t="shared" si="49"/>
        <v>6.2892092810770812</v>
      </c>
      <c r="E106" s="290">
        <f t="shared" si="49"/>
        <v>5.9801548381305514</v>
      </c>
      <c r="F106" s="290">
        <f t="shared" si="49"/>
        <v>5.2916609481304482</v>
      </c>
      <c r="G106" s="290">
        <f t="shared" si="49"/>
        <v>5.3362698070204599</v>
      </c>
      <c r="H106" s="290">
        <f t="shared" si="49"/>
        <v>5.3023914093502915</v>
      </c>
      <c r="I106" s="290">
        <f t="shared" si="49"/>
        <v>5.268891984101475</v>
      </c>
      <c r="J106" s="290">
        <f t="shared" si="49"/>
        <v>5.2357631465033325</v>
      </c>
      <c r="K106" s="290">
        <f t="shared" si="49"/>
        <v>5.203643608145768</v>
      </c>
      <c r="L106" s="290">
        <f t="shared" si="49"/>
        <v>5.1722432961238267</v>
      </c>
      <c r="M106" s="290">
        <f t="shared" si="49"/>
        <v>5.1415307058101805</v>
      </c>
    </row>
    <row r="107" spans="2:13" x14ac:dyDescent="0.2">
      <c r="B107" s="497" t="s">
        <v>1653</v>
      </c>
      <c r="C107" s="290">
        <f t="shared" ref="C107:M107" si="50">C91*PJ_to_BTU/(C$23*C$49*C$112)</f>
        <v>33.941338010139802</v>
      </c>
      <c r="D107" s="290">
        <f t="shared" si="50"/>
        <v>39.211529208489523</v>
      </c>
      <c r="E107" s="290">
        <f t="shared" si="50"/>
        <v>37.348832068529781</v>
      </c>
      <c r="F107" s="290">
        <f t="shared" si="50"/>
        <v>33.380442266727655</v>
      </c>
      <c r="G107" s="290">
        <f t="shared" si="50"/>
        <v>33.793576048526084</v>
      </c>
      <c r="H107" s="290">
        <f t="shared" si="50"/>
        <v>34.036107001776131</v>
      </c>
      <c r="I107" s="290">
        <f t="shared" si="50"/>
        <v>33.517916076438333</v>
      </c>
      <c r="J107" s="290">
        <f t="shared" si="50"/>
        <v>33.017758733638331</v>
      </c>
      <c r="K107" s="290">
        <f t="shared" si="50"/>
        <v>33.156289109941817</v>
      </c>
      <c r="L107" s="290">
        <f t="shared" si="50"/>
        <v>32.998504330119673</v>
      </c>
      <c r="M107" s="290">
        <f t="shared" si="50"/>
        <v>32.842858883417826</v>
      </c>
    </row>
    <row r="109" spans="2:13" x14ac:dyDescent="0.2">
      <c r="B109" s="479" t="s">
        <v>1875</v>
      </c>
      <c r="C109" s="179"/>
      <c r="D109" s="20"/>
      <c r="E109" s="20"/>
      <c r="F109" s="20"/>
      <c r="G109" s="20"/>
      <c r="H109" s="20"/>
      <c r="I109" s="20"/>
      <c r="J109" s="20"/>
      <c r="K109" s="20"/>
      <c r="L109" s="20"/>
      <c r="M109" s="482"/>
    </row>
    <row r="110" spans="2:13" x14ac:dyDescent="0.2">
      <c r="B110" s="483" t="s">
        <v>1876</v>
      </c>
      <c r="C110" s="483" t="s">
        <v>1877</v>
      </c>
      <c r="D110" s="462"/>
      <c r="E110" s="462"/>
      <c r="F110" s="462"/>
      <c r="G110" s="462"/>
      <c r="H110" s="462"/>
      <c r="I110" s="462"/>
      <c r="J110" s="462"/>
      <c r="K110" s="462"/>
      <c r="L110" s="462"/>
      <c r="M110" s="462"/>
    </row>
    <row r="111" spans="2:13" x14ac:dyDescent="0.2">
      <c r="B111" s="314" t="s">
        <v>14</v>
      </c>
      <c r="C111" s="483">
        <v>2005</v>
      </c>
      <c r="D111" s="483">
        <v>2010</v>
      </c>
      <c r="E111" s="483">
        <v>2015</v>
      </c>
      <c r="F111" s="483">
        <v>2020</v>
      </c>
      <c r="G111" s="483">
        <v>2025</v>
      </c>
      <c r="H111" s="483">
        <v>2030</v>
      </c>
      <c r="I111" s="483">
        <v>2035</v>
      </c>
      <c r="J111" s="483">
        <v>2040</v>
      </c>
      <c r="K111" s="483">
        <v>2045</v>
      </c>
      <c r="L111" s="483">
        <v>2050</v>
      </c>
      <c r="M111" s="483">
        <v>2055</v>
      </c>
    </row>
    <row r="112" spans="2:13" x14ac:dyDescent="0.2">
      <c r="B112" s="337" t="s">
        <v>1644</v>
      </c>
      <c r="C112" s="485">
        <f t="shared" ref="C112:H112" si="51">C113</f>
        <v>1142</v>
      </c>
      <c r="D112" s="339">
        <f t="shared" si="51"/>
        <v>1503</v>
      </c>
      <c r="E112" s="339">
        <f t="shared" si="51"/>
        <v>1544</v>
      </c>
      <c r="F112" s="339">
        <f t="shared" si="51"/>
        <v>1635</v>
      </c>
      <c r="G112" s="339">
        <f t="shared" si="51"/>
        <v>1636</v>
      </c>
      <c r="H112" s="484">
        <f t="shared" si="51"/>
        <v>1636.7</v>
      </c>
      <c r="I112" s="484">
        <f>H112+(J112-H112)/10</f>
        <v>1653.13</v>
      </c>
      <c r="J112" s="484">
        <f>J113</f>
        <v>1801</v>
      </c>
      <c r="K112" s="484">
        <f t="shared" ref="K112:K117" si="52">J112+(L112-J112)/10</f>
        <v>1814.7</v>
      </c>
      <c r="L112" s="484">
        <f>L113</f>
        <v>1938</v>
      </c>
      <c r="M112" s="295">
        <f t="shared" ref="M112:M117" si="53">L112+(L112-J112)/10</f>
        <v>1951.7</v>
      </c>
    </row>
    <row r="113" spans="2:13" x14ac:dyDescent="0.2">
      <c r="B113" s="337" t="s">
        <v>1649</v>
      </c>
      <c r="C113" s="331">
        <v>1142</v>
      </c>
      <c r="D113" s="331">
        <v>1503</v>
      </c>
      <c r="E113" s="331">
        <v>1544</v>
      </c>
      <c r="F113" s="331">
        <v>1635</v>
      </c>
      <c r="G113" s="331">
        <v>1636</v>
      </c>
      <c r="H113" s="484">
        <f>E141</f>
        <v>1636.7</v>
      </c>
      <c r="I113" s="484">
        <f>H113+(J113-H113)/10</f>
        <v>1653.13</v>
      </c>
      <c r="J113" s="484">
        <f>E142</f>
        <v>1801</v>
      </c>
      <c r="K113" s="484">
        <f t="shared" si="52"/>
        <v>1814.7</v>
      </c>
      <c r="L113" s="484">
        <f>E143</f>
        <v>1938</v>
      </c>
      <c r="M113" s="295">
        <f t="shared" si="53"/>
        <v>1951.7</v>
      </c>
    </row>
    <row r="114" spans="2:13" x14ac:dyDescent="0.2">
      <c r="B114" s="337" t="s">
        <v>1650</v>
      </c>
      <c r="C114" s="339">
        <f t="shared" ref="C114:H114" si="54">C112</f>
        <v>1142</v>
      </c>
      <c r="D114" s="339">
        <f t="shared" si="54"/>
        <v>1503</v>
      </c>
      <c r="E114" s="339">
        <f t="shared" si="54"/>
        <v>1544</v>
      </c>
      <c r="F114" s="339">
        <f t="shared" si="54"/>
        <v>1635</v>
      </c>
      <c r="G114" s="339">
        <f t="shared" si="54"/>
        <v>1636</v>
      </c>
      <c r="H114" s="484">
        <f t="shared" si="54"/>
        <v>1636.7</v>
      </c>
      <c r="I114" s="484">
        <f>H114+(J114-H114)/10</f>
        <v>1653.13</v>
      </c>
      <c r="J114" s="484">
        <f>J112</f>
        <v>1801</v>
      </c>
      <c r="K114" s="484">
        <f t="shared" si="52"/>
        <v>1814.7</v>
      </c>
      <c r="L114" s="484">
        <f>L112</f>
        <v>1938</v>
      </c>
      <c r="M114" s="295">
        <f t="shared" si="53"/>
        <v>1951.7</v>
      </c>
    </row>
    <row r="115" spans="2:13" x14ac:dyDescent="0.2">
      <c r="B115" s="337" t="s">
        <v>1651</v>
      </c>
      <c r="C115" s="339">
        <f t="shared" ref="C115:H115" si="55">C116</f>
        <v>1142</v>
      </c>
      <c r="D115" s="339">
        <f t="shared" si="55"/>
        <v>1503</v>
      </c>
      <c r="E115" s="339">
        <f t="shared" si="55"/>
        <v>1544</v>
      </c>
      <c r="F115" s="339">
        <f t="shared" si="55"/>
        <v>1635</v>
      </c>
      <c r="G115" s="339">
        <f t="shared" si="55"/>
        <v>1636</v>
      </c>
      <c r="H115" s="484">
        <f t="shared" si="55"/>
        <v>1636.7</v>
      </c>
      <c r="I115" s="484">
        <f>H115+(J115-H115)/10</f>
        <v>1653.13</v>
      </c>
      <c r="J115" s="484">
        <f>J116</f>
        <v>1801</v>
      </c>
      <c r="K115" s="484">
        <f t="shared" si="52"/>
        <v>1814.7</v>
      </c>
      <c r="L115" s="484">
        <f>L116</f>
        <v>1938</v>
      </c>
      <c r="M115" s="295">
        <f t="shared" si="53"/>
        <v>1951.7</v>
      </c>
    </row>
    <row r="116" spans="2:13" x14ac:dyDescent="0.2">
      <c r="B116" s="337" t="s">
        <v>1844</v>
      </c>
      <c r="C116" s="339">
        <f t="shared" ref="C116:H117" si="56">C114</f>
        <v>1142</v>
      </c>
      <c r="D116" s="339">
        <f t="shared" si="56"/>
        <v>1503</v>
      </c>
      <c r="E116" s="339">
        <f t="shared" si="56"/>
        <v>1544</v>
      </c>
      <c r="F116" s="339">
        <f t="shared" si="56"/>
        <v>1635</v>
      </c>
      <c r="G116" s="339">
        <f t="shared" si="56"/>
        <v>1636</v>
      </c>
      <c r="H116" s="484">
        <f t="shared" si="56"/>
        <v>1636.7</v>
      </c>
      <c r="I116" s="484">
        <f t="shared" ref="I116:I117" si="57">H116+(J116-H116)/10</f>
        <v>1653.13</v>
      </c>
      <c r="J116" s="484">
        <f>J114</f>
        <v>1801</v>
      </c>
      <c r="K116" s="484">
        <f t="shared" si="52"/>
        <v>1814.7</v>
      </c>
      <c r="L116" s="484">
        <f>L114</f>
        <v>1938</v>
      </c>
      <c r="M116" s="295">
        <f t="shared" si="53"/>
        <v>1951.7</v>
      </c>
    </row>
    <row r="117" spans="2:13" x14ac:dyDescent="0.2">
      <c r="B117" s="337" t="s">
        <v>1653</v>
      </c>
      <c r="C117" s="339">
        <f t="shared" si="56"/>
        <v>1142</v>
      </c>
      <c r="D117" s="339">
        <f t="shared" si="56"/>
        <v>1503</v>
      </c>
      <c r="E117" s="339">
        <f t="shared" si="56"/>
        <v>1544</v>
      </c>
      <c r="F117" s="339">
        <f t="shared" si="56"/>
        <v>1635</v>
      </c>
      <c r="G117" s="339">
        <f t="shared" si="56"/>
        <v>1636</v>
      </c>
      <c r="H117" s="484">
        <f t="shared" si="56"/>
        <v>1636.7</v>
      </c>
      <c r="I117" s="484">
        <f t="shared" si="57"/>
        <v>1653.13</v>
      </c>
      <c r="J117" s="484">
        <f>J115</f>
        <v>1801</v>
      </c>
      <c r="K117" s="484">
        <f t="shared" si="52"/>
        <v>1814.7</v>
      </c>
      <c r="L117" s="484">
        <f>L115</f>
        <v>1938</v>
      </c>
      <c r="M117" s="295">
        <f t="shared" si="53"/>
        <v>1951.7</v>
      </c>
    </row>
    <row r="118" spans="2:13" x14ac:dyDescent="0.2">
      <c r="B118" s="462"/>
      <c r="C118" s="483" t="s">
        <v>1878</v>
      </c>
      <c r="D118" s="462"/>
      <c r="E118" s="462"/>
      <c r="F118" s="462"/>
      <c r="G118" s="462"/>
      <c r="H118" s="486"/>
      <c r="I118" s="486"/>
      <c r="J118" s="462"/>
      <c r="K118" s="462"/>
      <c r="L118" s="487"/>
      <c r="M118" s="462"/>
    </row>
    <row r="119" spans="2:13" x14ac:dyDescent="0.2">
      <c r="B119" s="314" t="s">
        <v>14</v>
      </c>
      <c r="C119" s="483">
        <v>2005</v>
      </c>
      <c r="D119" s="483">
        <v>2010</v>
      </c>
      <c r="E119" s="483">
        <v>2015</v>
      </c>
      <c r="F119" s="483">
        <v>2020</v>
      </c>
      <c r="G119" s="483">
        <v>2025</v>
      </c>
      <c r="H119" s="483">
        <v>2030</v>
      </c>
      <c r="I119" s="483">
        <v>2035</v>
      </c>
      <c r="J119" s="483">
        <v>2040</v>
      </c>
      <c r="K119" s="483">
        <v>2045</v>
      </c>
      <c r="L119" s="483">
        <v>2050</v>
      </c>
      <c r="M119" s="483">
        <v>2055</v>
      </c>
    </row>
    <row r="120" spans="2:13" x14ac:dyDescent="0.2">
      <c r="B120" s="337" t="s">
        <v>1644</v>
      </c>
      <c r="C120" s="484">
        <f>C121</f>
        <v>4376</v>
      </c>
      <c r="D120" s="484">
        <f t="shared" ref="D120:M120" si="58">D121</f>
        <v>4376</v>
      </c>
      <c r="E120" s="484">
        <f t="shared" si="58"/>
        <v>4376</v>
      </c>
      <c r="F120" s="484">
        <f t="shared" si="58"/>
        <v>3930</v>
      </c>
      <c r="G120" s="484">
        <f t="shared" si="58"/>
        <v>3932.8</v>
      </c>
      <c r="H120" s="484">
        <f t="shared" si="58"/>
        <v>3958</v>
      </c>
      <c r="I120" s="484">
        <f t="shared" si="58"/>
        <v>3938.1</v>
      </c>
      <c r="J120" s="484">
        <f t="shared" si="58"/>
        <v>3759</v>
      </c>
      <c r="K120" s="484">
        <f t="shared" si="58"/>
        <v>3740.7</v>
      </c>
      <c r="L120" s="484">
        <f t="shared" si="58"/>
        <v>3576</v>
      </c>
      <c r="M120" s="295">
        <f t="shared" si="58"/>
        <v>3557.7</v>
      </c>
    </row>
    <row r="121" spans="2:13" x14ac:dyDescent="0.2">
      <c r="B121" s="337" t="s">
        <v>1649</v>
      </c>
      <c r="C121" s="331">
        <v>4376</v>
      </c>
      <c r="D121" s="331">
        <v>4376</v>
      </c>
      <c r="E121" s="331">
        <v>4376</v>
      </c>
      <c r="F121" s="331">
        <v>3930</v>
      </c>
      <c r="G121" s="484">
        <f>F121+(H121-F121)/10</f>
        <v>3932.8</v>
      </c>
      <c r="H121" s="484">
        <f>D141</f>
        <v>3958</v>
      </c>
      <c r="I121" s="484">
        <f>H121+(J121-H121)/10</f>
        <v>3938.1</v>
      </c>
      <c r="J121" s="484">
        <f>D142</f>
        <v>3759</v>
      </c>
      <c r="K121" s="484">
        <f>J121+(L121-J121)/10</f>
        <v>3740.7</v>
      </c>
      <c r="L121" s="484">
        <f>D143</f>
        <v>3576</v>
      </c>
      <c r="M121" s="295">
        <f>L121+(L121-J121)/10</f>
        <v>3557.7</v>
      </c>
    </row>
    <row r="122" spans="2:13" x14ac:dyDescent="0.2">
      <c r="B122" s="337" t="s">
        <v>1650</v>
      </c>
      <c r="C122" s="484">
        <f t="shared" ref="C122:M122" si="59">C120</f>
        <v>4376</v>
      </c>
      <c r="D122" s="484">
        <f t="shared" si="59"/>
        <v>4376</v>
      </c>
      <c r="E122" s="484">
        <f t="shared" si="59"/>
        <v>4376</v>
      </c>
      <c r="F122" s="484">
        <f t="shared" si="59"/>
        <v>3930</v>
      </c>
      <c r="G122" s="484">
        <f t="shared" si="59"/>
        <v>3932.8</v>
      </c>
      <c r="H122" s="484">
        <f t="shared" si="59"/>
        <v>3958</v>
      </c>
      <c r="I122" s="484">
        <f t="shared" si="59"/>
        <v>3938.1</v>
      </c>
      <c r="J122" s="484">
        <f t="shared" si="59"/>
        <v>3759</v>
      </c>
      <c r="K122" s="484">
        <f t="shared" si="59"/>
        <v>3740.7</v>
      </c>
      <c r="L122" s="484">
        <f t="shared" si="59"/>
        <v>3576</v>
      </c>
      <c r="M122" s="295">
        <f t="shared" si="59"/>
        <v>3557.7</v>
      </c>
    </row>
    <row r="123" spans="2:13" x14ac:dyDescent="0.2">
      <c r="B123" s="337" t="s">
        <v>1651</v>
      </c>
      <c r="C123" s="484">
        <f t="shared" ref="C123:M123" si="60">C124</f>
        <v>4376</v>
      </c>
      <c r="D123" s="484">
        <f t="shared" si="60"/>
        <v>4376</v>
      </c>
      <c r="E123" s="484">
        <f t="shared" si="60"/>
        <v>4376</v>
      </c>
      <c r="F123" s="484">
        <f t="shared" si="60"/>
        <v>3930</v>
      </c>
      <c r="G123" s="484">
        <f t="shared" si="60"/>
        <v>3932.8</v>
      </c>
      <c r="H123" s="484">
        <f t="shared" si="60"/>
        <v>3958</v>
      </c>
      <c r="I123" s="484">
        <f t="shared" si="60"/>
        <v>3938.1</v>
      </c>
      <c r="J123" s="484">
        <f t="shared" si="60"/>
        <v>3759</v>
      </c>
      <c r="K123" s="484">
        <f t="shared" si="60"/>
        <v>3740.7</v>
      </c>
      <c r="L123" s="484">
        <f t="shared" si="60"/>
        <v>3576</v>
      </c>
      <c r="M123" s="295">
        <f t="shared" si="60"/>
        <v>3557.7</v>
      </c>
    </row>
    <row r="124" spans="2:13" x14ac:dyDescent="0.2">
      <c r="B124" s="337" t="s">
        <v>1844</v>
      </c>
      <c r="C124" s="484">
        <f t="shared" ref="C124:M124" si="61">C122</f>
        <v>4376</v>
      </c>
      <c r="D124" s="484">
        <f t="shared" si="61"/>
        <v>4376</v>
      </c>
      <c r="E124" s="484">
        <f t="shared" si="61"/>
        <v>4376</v>
      </c>
      <c r="F124" s="484">
        <f t="shared" si="61"/>
        <v>3930</v>
      </c>
      <c r="G124" s="484">
        <f t="shared" si="61"/>
        <v>3932.8</v>
      </c>
      <c r="H124" s="484">
        <f t="shared" si="61"/>
        <v>3958</v>
      </c>
      <c r="I124" s="484">
        <f t="shared" si="61"/>
        <v>3938.1</v>
      </c>
      <c r="J124" s="484">
        <f t="shared" si="61"/>
        <v>3759</v>
      </c>
      <c r="K124" s="484">
        <f t="shared" si="61"/>
        <v>3740.7</v>
      </c>
      <c r="L124" s="484">
        <f t="shared" si="61"/>
        <v>3576</v>
      </c>
      <c r="M124" s="295">
        <f t="shared" si="61"/>
        <v>3557.7</v>
      </c>
    </row>
    <row r="125" spans="2:13" x14ac:dyDescent="0.2">
      <c r="B125" s="337" t="s">
        <v>1653</v>
      </c>
      <c r="C125" s="484">
        <f t="shared" ref="C125:M125" si="62">C123</f>
        <v>4376</v>
      </c>
      <c r="D125" s="484">
        <f t="shared" si="62"/>
        <v>4376</v>
      </c>
      <c r="E125" s="484">
        <f t="shared" si="62"/>
        <v>4376</v>
      </c>
      <c r="F125" s="484">
        <f t="shared" si="62"/>
        <v>3930</v>
      </c>
      <c r="G125" s="484">
        <f t="shared" si="62"/>
        <v>3932.8</v>
      </c>
      <c r="H125" s="484">
        <f t="shared" si="62"/>
        <v>3958</v>
      </c>
      <c r="I125" s="484">
        <f t="shared" si="62"/>
        <v>3938.1</v>
      </c>
      <c r="J125" s="484">
        <f t="shared" si="62"/>
        <v>3759</v>
      </c>
      <c r="K125" s="484">
        <f t="shared" si="62"/>
        <v>3740.7</v>
      </c>
      <c r="L125" s="484">
        <f t="shared" si="62"/>
        <v>3576</v>
      </c>
      <c r="M125" s="295">
        <f t="shared" si="62"/>
        <v>3557.7</v>
      </c>
    </row>
    <row r="127" spans="2:13" x14ac:dyDescent="0.2">
      <c r="B127" s="479" t="s">
        <v>1879</v>
      </c>
    </row>
    <row r="128" spans="2:13" x14ac:dyDescent="0.2">
      <c r="B128" s="292" t="s">
        <v>1880</v>
      </c>
      <c r="C128" s="292" t="s">
        <v>1881</v>
      </c>
      <c r="D128" s="292" t="s">
        <v>1878</v>
      </c>
      <c r="E128" s="292" t="s">
        <v>1877</v>
      </c>
    </row>
    <row r="129" spans="2:13" x14ac:dyDescent="0.2">
      <c r="B129" s="303" t="s">
        <v>1882</v>
      </c>
      <c r="C129" s="294" t="s">
        <v>1883</v>
      </c>
      <c r="D129" s="295">
        <v>2353</v>
      </c>
      <c r="E129" s="295">
        <v>0.7</v>
      </c>
    </row>
    <row r="130" spans="2:13" x14ac:dyDescent="0.2">
      <c r="B130" s="303" t="s">
        <v>1884</v>
      </c>
      <c r="C130" s="294" t="s">
        <v>1883</v>
      </c>
      <c r="D130" s="295">
        <v>2270</v>
      </c>
      <c r="E130" s="295">
        <v>1</v>
      </c>
    </row>
    <row r="131" spans="2:13" x14ac:dyDescent="0.2">
      <c r="B131" s="303" t="s">
        <v>1885</v>
      </c>
      <c r="C131" s="304" t="s">
        <v>1883</v>
      </c>
      <c r="D131" s="295">
        <v>2186</v>
      </c>
      <c r="E131" s="295">
        <v>1</v>
      </c>
    </row>
    <row r="132" spans="2:13" x14ac:dyDescent="0.2">
      <c r="B132" s="303" t="s">
        <v>1882</v>
      </c>
      <c r="C132" s="294" t="s">
        <v>1886</v>
      </c>
      <c r="D132" s="295">
        <v>968</v>
      </c>
      <c r="E132" s="295">
        <v>137</v>
      </c>
    </row>
    <row r="133" spans="2:13" x14ac:dyDescent="0.2">
      <c r="B133" s="303" t="s">
        <v>1884</v>
      </c>
      <c r="C133" s="294" t="s">
        <v>1886</v>
      </c>
      <c r="D133" s="295">
        <v>902</v>
      </c>
      <c r="E133" s="295">
        <v>160</v>
      </c>
    </row>
    <row r="134" spans="2:13" x14ac:dyDescent="0.2">
      <c r="B134" s="303" t="s">
        <v>1885</v>
      </c>
      <c r="C134" s="304" t="s">
        <v>1886</v>
      </c>
      <c r="D134" s="295">
        <v>846</v>
      </c>
      <c r="E134" s="295">
        <v>185</v>
      </c>
    </row>
    <row r="135" spans="2:13" x14ac:dyDescent="0.2">
      <c r="B135" s="294" t="s">
        <v>1882</v>
      </c>
      <c r="C135" s="294" t="s">
        <v>1887</v>
      </c>
      <c r="D135" s="295">
        <v>5</v>
      </c>
      <c r="E135" s="295">
        <v>1229</v>
      </c>
    </row>
    <row r="136" spans="2:13" x14ac:dyDescent="0.2">
      <c r="B136" s="294" t="s">
        <v>1884</v>
      </c>
      <c r="C136" s="294" t="s">
        <v>1887</v>
      </c>
      <c r="D136" s="295">
        <v>3</v>
      </c>
      <c r="E136" s="295">
        <v>1335</v>
      </c>
    </row>
    <row r="137" spans="2:13" x14ac:dyDescent="0.2">
      <c r="B137" s="294" t="s">
        <v>1885</v>
      </c>
      <c r="C137" s="294" t="s">
        <v>1887</v>
      </c>
      <c r="D137" s="295">
        <v>2</v>
      </c>
      <c r="E137" s="295">
        <v>1410</v>
      </c>
    </row>
    <row r="138" spans="2:13" x14ac:dyDescent="0.2">
      <c r="B138" s="294" t="s">
        <v>1882</v>
      </c>
      <c r="C138" s="294" t="s">
        <v>1888</v>
      </c>
      <c r="D138" s="295">
        <v>632</v>
      </c>
      <c r="E138" s="295">
        <v>270</v>
      </c>
    </row>
    <row r="139" spans="2:13" x14ac:dyDescent="0.2">
      <c r="B139" s="294" t="s">
        <v>1884</v>
      </c>
      <c r="C139" s="294" t="s">
        <v>1888</v>
      </c>
      <c r="D139" s="295">
        <v>584</v>
      </c>
      <c r="E139" s="295">
        <v>305</v>
      </c>
    </row>
    <row r="140" spans="2:13" x14ac:dyDescent="0.2">
      <c r="B140" s="294" t="s">
        <v>1885</v>
      </c>
      <c r="C140" s="294" t="s">
        <v>1888</v>
      </c>
      <c r="D140" s="295">
        <v>542</v>
      </c>
      <c r="E140" s="295">
        <v>342</v>
      </c>
    </row>
    <row r="141" spans="2:13" x14ac:dyDescent="0.2">
      <c r="B141" s="294" t="s">
        <v>1882</v>
      </c>
      <c r="C141" s="294"/>
      <c r="D141" s="295">
        <f>D129+D132+D135+D138</f>
        <v>3958</v>
      </c>
      <c r="E141" s="295">
        <f t="shared" ref="D141:E143" si="63">E129+E132+E135+E138</f>
        <v>1636.7</v>
      </c>
    </row>
    <row r="142" spans="2:13" x14ac:dyDescent="0.2">
      <c r="B142" s="294" t="s">
        <v>1884</v>
      </c>
      <c r="C142" s="294"/>
      <c r="D142" s="295">
        <f t="shared" si="63"/>
        <v>3759</v>
      </c>
      <c r="E142" s="295">
        <f t="shared" si="63"/>
        <v>1801</v>
      </c>
    </row>
    <row r="143" spans="2:13" x14ac:dyDescent="0.2">
      <c r="B143" s="294" t="s">
        <v>1885</v>
      </c>
      <c r="C143" s="294"/>
      <c r="D143" s="295">
        <f t="shared" si="63"/>
        <v>3576</v>
      </c>
      <c r="E143" s="295">
        <f t="shared" si="63"/>
        <v>1938</v>
      </c>
    </row>
    <row r="144" spans="2:13" x14ac:dyDescent="0.2">
      <c r="B144" s="488" t="s">
        <v>514</v>
      </c>
      <c r="C144" s="20"/>
      <c r="D144" s="20"/>
      <c r="E144" s="20"/>
      <c r="F144" s="20"/>
      <c r="G144" s="20"/>
      <c r="H144" s="20"/>
      <c r="I144" s="20"/>
      <c r="J144" s="20"/>
      <c r="K144" s="20"/>
      <c r="L144" s="20"/>
      <c r="M144" s="490"/>
    </row>
    <row r="150" spans="4:13" x14ac:dyDescent="0.2">
      <c r="D150" s="492"/>
      <c r="E150" s="492"/>
      <c r="F150" s="492"/>
      <c r="G150" s="492"/>
      <c r="H150" s="492"/>
      <c r="I150" s="492"/>
      <c r="J150" s="492"/>
      <c r="K150" s="492"/>
      <c r="L150" s="492"/>
      <c r="M150" s="492"/>
    </row>
    <row r="151" spans="4:13" x14ac:dyDescent="0.2">
      <c r="D151" s="491"/>
      <c r="E151" s="491"/>
      <c r="F151" s="491"/>
      <c r="G151" s="491"/>
      <c r="H151" s="491"/>
      <c r="I151" s="491"/>
      <c r="J151" s="491"/>
      <c r="K151" s="491"/>
      <c r="L151" s="491"/>
      <c r="M151" s="491"/>
    </row>
    <row r="152" spans="4:13" x14ac:dyDescent="0.2">
      <c r="D152" s="491"/>
      <c r="E152" s="491"/>
      <c r="F152" s="491"/>
      <c r="G152" s="491"/>
      <c r="H152" s="491"/>
      <c r="I152" s="491"/>
      <c r="J152" s="491"/>
      <c r="K152" s="491"/>
      <c r="L152" s="491"/>
      <c r="M152" s="491"/>
    </row>
  </sheetData>
  <phoneticPr fontId="17" type="noConversion"/>
  <hyperlinks>
    <hyperlink ref="B12" r:id="rId1" display="https://data.census.gov/table/ACSDT5Y2020.B25010?q=B25010:%20Average%20Household%20Size%20of%20Occupied%20Housing%20Units%20by%20Tenure&amp;g=050XX00US36005,36047,36061,36081,36085_160XX00US3651000&amp;y=2020&amp;d=ACS%205-Year%20Estimates%20Detailed%20Tables&amp;tp=true" xr:uid="{134CD8A9-3B91-42C8-90FD-A854E4F81556}"/>
    <hyperlink ref="B47" r:id="rId2" location="squarefootage" xr:uid="{44E4AB61-7563-41E9-A4CB-0E53E9837203}"/>
    <hyperlink ref="B109" r:id="rId3" location="NewYorkCity" xr:uid="{3A4CEC65-21E8-4E80-9E57-E62DC217CDFB}"/>
    <hyperlink ref="B127" r:id="rId4" xr:uid="{9FC462FA-9F31-4EAA-B270-5E627A17FB42}"/>
  </hyperlinks>
  <pageMargins left="0.75" right="0.75" top="0.5" bottom="0.5" header="0.5" footer="0.5"/>
  <pageSetup scale="39" orientation="landscape" r:id="rId5"/>
  <headerFooter alignWithMargins="0"/>
  <legacyDrawing r:id="rId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5"/>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85546875" customWidth="1"/>
    <col min="3" max="3" width="21.42578125" customWidth="1"/>
    <col min="4" max="4" width="8.85546875" customWidth="1"/>
    <col min="5" max="5" width="18.140625" customWidth="1"/>
    <col min="6" max="6" width="10.140625" customWidth="1"/>
  </cols>
  <sheetData>
    <row r="1" spans="1:6" x14ac:dyDescent="0.2">
      <c r="A1" s="1" t="s">
        <v>1889</v>
      </c>
      <c r="B1" s="12"/>
    </row>
    <row r="4" spans="1:6" ht="18.75" customHeight="1" x14ac:dyDescent="0.2"/>
    <row r="5" spans="1:6" ht="17.25" customHeight="1" x14ac:dyDescent="0.2">
      <c r="C5" s="2"/>
    </row>
    <row r="6" spans="1:6" ht="15.75" customHeight="1" x14ac:dyDescent="0.2"/>
    <row r="7" spans="1:6" x14ac:dyDescent="0.2">
      <c r="B7" s="3" t="s">
        <v>1890</v>
      </c>
      <c r="C7" s="1" t="s">
        <v>1891</v>
      </c>
      <c r="D7" s="1" t="s">
        <v>1661</v>
      </c>
      <c r="E7" s="1" t="s">
        <v>4</v>
      </c>
      <c r="F7" s="1" t="s">
        <v>5</v>
      </c>
    </row>
    <row r="8" spans="1:6" x14ac:dyDescent="0.2">
      <c r="B8" s="1"/>
      <c r="C8" s="1"/>
      <c r="D8" s="1"/>
      <c r="E8" s="2"/>
      <c r="F8" s="1"/>
    </row>
    <row r="10" spans="1:6" x14ac:dyDescent="0.2">
      <c r="B10" s="2"/>
      <c r="C10" s="2"/>
      <c r="D10" s="11"/>
      <c r="E10" s="11"/>
    </row>
    <row r="11" spans="1:6" x14ac:dyDescent="0.2">
      <c r="B11" s="2"/>
      <c r="C11" s="2"/>
    </row>
    <row r="12" spans="1:6" x14ac:dyDescent="0.2">
      <c r="B12" s="2"/>
      <c r="C12" s="2"/>
      <c r="D12" s="2"/>
      <c r="E12" s="2"/>
    </row>
    <row r="13" spans="1:6" x14ac:dyDescent="0.2">
      <c r="B13" s="2"/>
      <c r="C13" s="2"/>
      <c r="D13" s="5"/>
      <c r="E13" s="2"/>
    </row>
    <row r="14" spans="1:6" x14ac:dyDescent="0.2">
      <c r="B14" s="2"/>
      <c r="C14" s="2"/>
      <c r="D14" s="2"/>
      <c r="E14" s="2"/>
    </row>
    <row r="15" spans="1:6" x14ac:dyDescent="0.2">
      <c r="B15" s="2"/>
      <c r="C15" s="2"/>
      <c r="E15" s="2"/>
    </row>
    <row r="16" spans="1:6" x14ac:dyDescent="0.2">
      <c r="B16" s="2"/>
      <c r="C16" s="2"/>
    </row>
    <row r="17" spans="2:5" x14ac:dyDescent="0.2">
      <c r="B17" s="2"/>
      <c r="C17" s="2"/>
      <c r="D17" s="5"/>
      <c r="E17" s="2"/>
    </row>
    <row r="18" spans="2:5" x14ac:dyDescent="0.2">
      <c r="B18" s="3"/>
      <c r="C18" s="2"/>
      <c r="E18" s="2"/>
    </row>
    <row r="19" spans="2:5" x14ac:dyDescent="0.2">
      <c r="E19" s="2"/>
    </row>
    <row r="21" spans="2:5" x14ac:dyDescent="0.2">
      <c r="B21" s="2"/>
      <c r="C21" s="2"/>
      <c r="D21" s="2"/>
      <c r="E21" s="2"/>
    </row>
    <row r="22" spans="2:5" x14ac:dyDescent="0.2">
      <c r="B22" s="2"/>
      <c r="C22" s="2"/>
    </row>
    <row r="23" spans="2:5" x14ac:dyDescent="0.2">
      <c r="B23" s="2"/>
      <c r="C23" s="2"/>
      <c r="E23" s="2"/>
    </row>
    <row r="24" spans="2:5" x14ac:dyDescent="0.2">
      <c r="D24" s="2"/>
      <c r="E24" s="2"/>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0359" r:id="rId4" name="cmdRefreshUnits">
          <controlPr defaultSize="0" autoLine="0" r:id="rId5">
            <anchor moveWithCells="1">
              <from>
                <xdr:col>3</xdr:col>
                <xdr:colOff>28575</xdr:colOff>
                <xdr:row>2</xdr:row>
                <xdr:rowOff>66675</xdr:rowOff>
              </from>
              <to>
                <xdr:col>3</xdr:col>
                <xdr:colOff>581025</xdr:colOff>
                <xdr:row>4</xdr:row>
                <xdr:rowOff>38100</xdr:rowOff>
              </to>
            </anchor>
          </controlPr>
        </control>
      </mc:Choice>
      <mc:Fallback>
        <control shapeId="10359" r:id="rId4" name="cmdRefreshUnits"/>
      </mc:Fallback>
    </mc:AlternateContent>
    <mc:AlternateContent xmlns:mc="http://schemas.openxmlformats.org/markup-compatibility/2006">
      <mc:Choice Requires="x14">
        <control shapeId="10247" r:id="rId6" name="cmdConstraintUnit">
          <controlPr defaultSize="0" autoLine="0" r:id="rId7">
            <anchor moveWithCells="1">
              <from>
                <xdr:col>3</xdr:col>
                <xdr:colOff>28575</xdr:colOff>
                <xdr:row>4</xdr:row>
                <xdr:rowOff>28575</xdr:rowOff>
              </from>
              <to>
                <xdr:col>3</xdr:col>
                <xdr:colOff>581025</xdr:colOff>
                <xdr:row>5</xdr:row>
                <xdr:rowOff>47625</xdr:rowOff>
              </to>
            </anchor>
          </controlPr>
        </control>
      </mc:Choice>
      <mc:Fallback>
        <control shapeId="10247" r:id="rId6" name="cmdConstraintUnit"/>
      </mc:Fallback>
    </mc:AlternateContent>
    <mc:AlternateContent xmlns:mc="http://schemas.openxmlformats.org/markup-compatibility/2006">
      <mc:Choice Requires="x14">
        <control shapeId="10246" r:id="rId8" name="cmdCheckConstraintsSheet">
          <controlPr defaultSize="0" autoLine="0" r:id="rId9">
            <anchor moveWithCells="1">
              <from>
                <xdr:col>0</xdr:col>
                <xdr:colOff>28575</xdr:colOff>
                <xdr:row>3</xdr:row>
                <xdr:rowOff>0</xdr:rowOff>
              </from>
              <to>
                <xdr:col>1</xdr:col>
                <xdr:colOff>9525</xdr:colOff>
                <xdr:row>4</xdr:row>
                <xdr:rowOff>0</xdr:rowOff>
              </to>
            </anchor>
          </controlPr>
        </control>
      </mc:Choice>
      <mc:Fallback>
        <control shapeId="10246" r:id="rId8" name="cmdCheckConstraintsSheet"/>
      </mc:Fallback>
    </mc:AlternateContent>
    <mc:AlternateContent xmlns:mc="http://schemas.openxmlformats.org/markup-compatibility/2006">
      <mc:Choice Requires="x14">
        <control shapeId="10242" r:id="rId10" name="cmdConstraintSets">
          <controlPr defaultSize="0" autoLine="0" r:id="rId11">
            <anchor moveWithCells="1">
              <from>
                <xdr:col>4</xdr:col>
                <xdr:colOff>28575</xdr:colOff>
                <xdr:row>4</xdr:row>
                <xdr:rowOff>28575</xdr:rowOff>
              </from>
              <to>
                <xdr:col>4</xdr:col>
                <xdr:colOff>1000125</xdr:colOff>
                <xdr:row>5</xdr:row>
                <xdr:rowOff>47625</xdr:rowOff>
              </to>
            </anchor>
          </controlPr>
        </control>
      </mc:Choice>
      <mc:Fallback>
        <control shapeId="10242" r:id="rId10" name="cmdConstraintSets"/>
      </mc:Fallback>
    </mc:AlternateContent>
  </control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85546875" customWidth="1"/>
    <col min="3" max="3" width="24" customWidth="1"/>
    <col min="4" max="4" width="5.42578125" customWidth="1"/>
    <col min="6" max="6" width="10.140625" bestFit="1" customWidth="1"/>
  </cols>
  <sheetData>
    <row r="1" spans="1:8" x14ac:dyDescent="0.2">
      <c r="A1" s="1" t="s">
        <v>1892</v>
      </c>
      <c r="B1" s="12"/>
    </row>
    <row r="3" spans="1:8" ht="15" customHeight="1" x14ac:dyDescent="0.2"/>
    <row r="4" spans="1:8" ht="20.25" customHeight="1" x14ac:dyDescent="0.2"/>
    <row r="5" spans="1:8" ht="19.5" customHeight="1" x14ac:dyDescent="0.2">
      <c r="E5" s="2"/>
      <c r="F5" s="2"/>
      <c r="G5" s="11"/>
      <c r="H5" s="11"/>
    </row>
    <row r="6" spans="1:8" ht="19.5" customHeight="1" x14ac:dyDescent="0.2">
      <c r="E6" s="8"/>
      <c r="F6" s="8"/>
      <c r="G6" s="11"/>
      <c r="H6" s="11"/>
    </row>
    <row r="7" spans="1:8" x14ac:dyDescent="0.2">
      <c r="B7" s="1" t="s">
        <v>1</v>
      </c>
      <c r="C7" s="1" t="s">
        <v>2</v>
      </c>
      <c r="D7" s="1" t="s">
        <v>1661</v>
      </c>
      <c r="E7" s="10"/>
      <c r="F7" s="6"/>
      <c r="G7" s="6"/>
      <c r="H7" s="11"/>
    </row>
    <row r="9" spans="1:8" x14ac:dyDescent="0.2">
      <c r="B9" s="8"/>
      <c r="C9" s="8"/>
      <c r="D9" s="8"/>
    </row>
    <row r="10" spans="1:8" x14ac:dyDescent="0.2">
      <c r="B10" s="8"/>
      <c r="C10" s="8"/>
      <c r="D10" s="8"/>
    </row>
    <row r="13" spans="1:8" x14ac:dyDescent="0.2">
      <c r="B13" s="8"/>
      <c r="C13" s="8"/>
      <c r="D13" s="8"/>
    </row>
    <row r="15" spans="1:8" x14ac:dyDescent="0.2">
      <c r="B15" s="8"/>
      <c r="C15" s="8"/>
      <c r="D15" s="8"/>
    </row>
    <row r="17" spans="2:4" x14ac:dyDescent="0.2">
      <c r="B17" s="8"/>
      <c r="C17" s="8"/>
      <c r="D17" s="8"/>
    </row>
    <row r="19" spans="2:4" x14ac:dyDescent="0.2">
      <c r="B19" s="8"/>
      <c r="C19" s="8"/>
      <c r="D19" s="8"/>
    </row>
    <row r="21" spans="2:4" x14ac:dyDescent="0.2">
      <c r="B21" s="8"/>
      <c r="C21" s="8"/>
      <c r="D21" s="8"/>
    </row>
    <row r="23" spans="2:4" x14ac:dyDescent="0.2">
      <c r="B23" s="8"/>
      <c r="C23" s="8"/>
      <c r="D23" s="8"/>
    </row>
  </sheetData>
  <phoneticPr fontId="0" type="noConversion"/>
  <conditionalFormatting sqref="B13">
    <cfRule type="cellIs" dxfId="1" priority="1" stopIfTrue="1" operator="equal">
      <formula>"REF"</formula>
    </cfRule>
  </conditionalFormatting>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4299"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4299" r:id="rId4" name="cmdRefreshUnits"/>
      </mc:Fallback>
    </mc:AlternateContent>
    <mc:AlternateContent xmlns:mc="http://schemas.openxmlformats.org/markup-compatibility/2006">
      <mc:Choice Requires="x14">
        <control shapeId="4106" r:id="rId6" name="cmdCheckCommDataSheet">
          <controlPr defaultSize="0" autoLine="0" r:id="rId7">
            <anchor moveWithCells="1">
              <from>
                <xdr:col>0</xdr:col>
                <xdr:colOff>28575</xdr:colOff>
                <xdr:row>3</xdr:row>
                <xdr:rowOff>28575</xdr:rowOff>
              </from>
              <to>
                <xdr:col>1</xdr:col>
                <xdr:colOff>9525</xdr:colOff>
                <xdr:row>4</xdr:row>
                <xdr:rowOff>9525</xdr:rowOff>
              </to>
            </anchor>
          </controlPr>
        </control>
      </mc:Choice>
      <mc:Fallback>
        <control shapeId="4106" r:id="rId6" name="cmdCheckCommDataSheet"/>
      </mc:Fallback>
    </mc:AlternateContent>
    <mc:AlternateContent xmlns:mc="http://schemas.openxmlformats.org/markup-compatibility/2006">
      <mc:Choice Requires="x14">
        <control shapeId="4100" r:id="rId8" name="cmdAddParamQualifier">
          <controlPr defaultSize="0" autoLine="0" r:id="rId9">
            <anchor moveWithCells="1">
              <from>
                <xdr:col>0</xdr:col>
                <xdr:colOff>28575</xdr:colOff>
                <xdr:row>5</xdr:row>
                <xdr:rowOff>0</xdr:rowOff>
              </from>
              <to>
                <xdr:col>1</xdr:col>
                <xdr:colOff>9525</xdr:colOff>
                <xdr:row>5</xdr:row>
                <xdr:rowOff>238125</xdr:rowOff>
              </to>
            </anchor>
          </controlPr>
        </control>
      </mc:Choice>
      <mc:Fallback>
        <control shapeId="4100" r:id="rId8" name="cmdAddParamQualifier"/>
      </mc:Fallback>
    </mc:AlternateContent>
    <mc:AlternateContent xmlns:mc="http://schemas.openxmlformats.org/markup-compatibility/2006">
      <mc:Choice Requires="x14">
        <control shapeId="4098" r:id="rId10" name="cmdCommNameAndDesc">
          <controlPr defaultSize="0" autoLine="0" autoPict="0" r:id="rId11">
            <anchor moveWithCells="1">
              <from>
                <xdr:col>1</xdr:col>
                <xdr:colOff>0</xdr:colOff>
                <xdr:row>3</xdr:row>
                <xdr:rowOff>28575</xdr:rowOff>
              </from>
              <to>
                <xdr:col>2</xdr:col>
                <xdr:colOff>1400175</xdr:colOff>
                <xdr:row>4</xdr:row>
                <xdr:rowOff>0</xdr:rowOff>
              </to>
            </anchor>
          </controlPr>
        </control>
      </mc:Choice>
      <mc:Fallback>
        <control shapeId="4098" r:id="rId10" name="cmdCommNameAndDesc"/>
      </mc:Fallback>
    </mc:AlternateContent>
    <mc:AlternateContent xmlns:mc="http://schemas.openxmlformats.org/markup-compatibility/2006">
      <mc:Choice Requires="x14">
        <control shapeId="4097" r:id="rId12" name="cmdAddParameter">
          <controlPr defaultSize="0" autoLine="0" r:id="rId13">
            <anchor moveWithCells="1">
              <from>
                <xdr:col>0</xdr:col>
                <xdr:colOff>28575</xdr:colOff>
                <xdr:row>4</xdr:row>
                <xdr:rowOff>28575</xdr:rowOff>
              </from>
              <to>
                <xdr:col>1</xdr:col>
                <xdr:colOff>9525</xdr:colOff>
                <xdr:row>5</xdr:row>
                <xdr:rowOff>19050</xdr:rowOff>
              </to>
            </anchor>
          </controlPr>
        </control>
      </mc:Choice>
      <mc:Fallback>
        <control shapeId="4097" r:id="rId12" name="cmdAddParameter"/>
      </mc:Fallback>
    </mc:AlternateContent>
  </contro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140625" customWidth="1"/>
    <col min="3" max="3" width="24.140625" customWidth="1"/>
    <col min="4" max="4" width="7.85546875" customWidth="1"/>
    <col min="6" max="6" width="10.5703125" customWidth="1"/>
    <col min="7" max="7" width="9.85546875" customWidth="1"/>
    <col min="8" max="8" width="8.140625" customWidth="1"/>
    <col min="9" max="11" width="9.140625" customWidth="1"/>
    <col min="12" max="12" width="12.5703125" customWidth="1"/>
    <col min="13" max="13" width="12.42578125" customWidth="1"/>
  </cols>
  <sheetData>
    <row r="1" spans="1:16" x14ac:dyDescent="0.2">
      <c r="A1" s="1" t="s">
        <v>1893</v>
      </c>
      <c r="B1" s="12"/>
    </row>
    <row r="4" spans="1:16" ht="17.25" customHeight="1" x14ac:dyDescent="0.2"/>
    <row r="5" spans="1:16" ht="18" customHeight="1" x14ac:dyDescent="0.2">
      <c r="G5" s="2"/>
      <c r="H5" s="2"/>
      <c r="I5" s="2"/>
      <c r="J5" s="11"/>
      <c r="K5" s="11"/>
      <c r="L5" s="2"/>
      <c r="M5" s="9"/>
      <c r="N5" s="2"/>
      <c r="O5" s="9"/>
      <c r="P5" s="9"/>
    </row>
    <row r="6" spans="1:16" ht="17.25" customHeight="1" x14ac:dyDescent="0.2">
      <c r="G6" s="2"/>
      <c r="H6" s="2"/>
      <c r="I6" s="2"/>
      <c r="J6" s="2"/>
      <c r="K6" s="2"/>
      <c r="L6" s="2"/>
      <c r="M6" s="8"/>
      <c r="N6" s="2"/>
      <c r="O6" s="8"/>
    </row>
    <row r="7" spans="1:16" ht="15.75" customHeight="1" x14ac:dyDescent="0.2">
      <c r="B7" s="1" t="s">
        <v>7</v>
      </c>
      <c r="C7" s="1" t="s">
        <v>8</v>
      </c>
      <c r="D7" s="1" t="s">
        <v>1661</v>
      </c>
      <c r="E7" s="1" t="s">
        <v>467</v>
      </c>
      <c r="F7" s="1" t="s">
        <v>468</v>
      </c>
      <c r="G7" s="2"/>
      <c r="H7" s="2"/>
      <c r="I7" s="2"/>
      <c r="J7" s="11"/>
      <c r="K7" s="2"/>
      <c r="L7" s="2"/>
      <c r="M7" s="8"/>
      <c r="N7" s="2"/>
      <c r="P7" s="8"/>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3112" r:id="rId4" name="cmdRefreshUnits">
          <controlPr defaultSize="0" autoLine="0" r:id="rId5">
            <anchor moveWithCells="1">
              <from>
                <xdr:col>3</xdr:col>
                <xdr:colOff>0</xdr:colOff>
                <xdr:row>2</xdr:row>
                <xdr:rowOff>28575</xdr:rowOff>
              </from>
              <to>
                <xdr:col>4</xdr:col>
                <xdr:colOff>28575</xdr:colOff>
                <xdr:row>4</xdr:row>
                <xdr:rowOff>19050</xdr:rowOff>
              </to>
            </anchor>
          </controlPr>
        </control>
      </mc:Choice>
      <mc:Fallback>
        <control shapeId="3112" r:id="rId4" name="cmdRefreshUnits"/>
      </mc:Fallback>
    </mc:AlternateContent>
    <mc:AlternateContent xmlns:mc="http://schemas.openxmlformats.org/markup-compatibility/2006">
      <mc:Choice Requires="x14">
        <control shapeId="3080" r:id="rId6" name="cmdCheckTechDataSheet">
          <controlPr defaultSize="0" autoLine="0" autoPict="0" r:id="rId7">
            <anchor moveWithCells="1">
              <from>
                <xdr:col>0</xdr:col>
                <xdr:colOff>28575</xdr:colOff>
                <xdr:row>2</xdr:row>
                <xdr:rowOff>152400</xdr:rowOff>
              </from>
              <to>
                <xdr:col>1</xdr:col>
                <xdr:colOff>28575</xdr:colOff>
                <xdr:row>4</xdr:row>
                <xdr:rowOff>28575</xdr:rowOff>
              </to>
            </anchor>
          </controlPr>
        </control>
      </mc:Choice>
      <mc:Fallback>
        <control shapeId="3080" r:id="rId6" name="cmdCheckTechDataSheet"/>
      </mc:Fallback>
    </mc:AlternateContent>
    <mc:AlternateContent xmlns:mc="http://schemas.openxmlformats.org/markup-compatibility/2006">
      <mc:Choice Requires="x14">
        <control shapeId="3079" r:id="rId8" name="cmdAddParamQualifier">
          <controlPr defaultSize="0" autoLine="0" autoPict="0" r:id="rId9">
            <anchor moveWithCells="1">
              <from>
                <xdr:col>0</xdr:col>
                <xdr:colOff>28575</xdr:colOff>
                <xdr:row>5</xdr:row>
                <xdr:rowOff>28575</xdr:rowOff>
              </from>
              <to>
                <xdr:col>1</xdr:col>
                <xdr:colOff>28575</xdr:colOff>
                <xdr:row>6</xdr:row>
                <xdr:rowOff>28575</xdr:rowOff>
              </to>
            </anchor>
          </controlPr>
        </control>
      </mc:Choice>
      <mc:Fallback>
        <control shapeId="3079" r:id="rId8" name="cmdAddParamQualifier"/>
      </mc:Fallback>
    </mc:AlternateContent>
    <mc:AlternateContent xmlns:mc="http://schemas.openxmlformats.org/markup-compatibility/2006">
      <mc:Choice Requires="x14">
        <control shapeId="3077" r:id="rId10" name="cmdAddParameter">
          <controlPr defaultSize="0" autoLine="0" r:id="rId11">
            <anchor moveWithCells="1">
              <from>
                <xdr:col>0</xdr:col>
                <xdr:colOff>28575</xdr:colOff>
                <xdr:row>4</xdr:row>
                <xdr:rowOff>0</xdr:rowOff>
              </from>
              <to>
                <xdr:col>1</xdr:col>
                <xdr:colOff>38100</xdr:colOff>
                <xdr:row>5</xdr:row>
                <xdr:rowOff>9525</xdr:rowOff>
              </to>
            </anchor>
          </controlPr>
        </control>
      </mc:Choice>
      <mc:Fallback>
        <control shapeId="3077" r:id="rId10" name="cmdAddParameter"/>
      </mc:Fallback>
    </mc:AlternateContent>
    <mc:AlternateContent xmlns:mc="http://schemas.openxmlformats.org/markup-compatibility/2006">
      <mc:Choice Requires="x14">
        <control shapeId="3076" r:id="rId12" name="cmdCommOUT">
          <controlPr defaultSize="0" autoLine="0" r:id="rId13">
            <anchor moveWithCells="1">
              <from>
                <xdr:col>5</xdr:col>
                <xdr:colOff>28575</xdr:colOff>
                <xdr:row>2</xdr:row>
                <xdr:rowOff>142875</xdr:rowOff>
              </from>
              <to>
                <xdr:col>6</xdr:col>
                <xdr:colOff>19050</xdr:colOff>
                <xdr:row>4</xdr:row>
                <xdr:rowOff>0</xdr:rowOff>
              </to>
            </anchor>
          </controlPr>
        </control>
      </mc:Choice>
      <mc:Fallback>
        <control shapeId="3076" r:id="rId12" name="cmdCommOUT"/>
      </mc:Fallback>
    </mc:AlternateContent>
    <mc:AlternateContent xmlns:mc="http://schemas.openxmlformats.org/markup-compatibility/2006">
      <mc:Choice Requires="x14">
        <control shapeId="3075" r:id="rId14" name="cmdCommIN">
          <controlPr defaultSize="0" autoLine="0" r:id="rId15">
            <anchor moveWithCells="1">
              <from>
                <xdr:col>4</xdr:col>
                <xdr:colOff>28575</xdr:colOff>
                <xdr:row>2</xdr:row>
                <xdr:rowOff>142875</xdr:rowOff>
              </from>
              <to>
                <xdr:col>5</xdr:col>
                <xdr:colOff>9525</xdr:colOff>
                <xdr:row>4</xdr:row>
                <xdr:rowOff>0</xdr:rowOff>
              </to>
            </anchor>
          </controlPr>
        </control>
      </mc:Choice>
      <mc:Fallback>
        <control shapeId="3075" r:id="rId14" name="cmdCommIN"/>
      </mc:Fallback>
    </mc:AlternateContent>
    <mc:AlternateContent xmlns:mc="http://schemas.openxmlformats.org/markup-compatibility/2006">
      <mc:Choice Requires="x14">
        <control shapeId="3074" r:id="rId16" name="cmdTechNameAndDesc">
          <controlPr defaultSize="0" autoLine="0" r:id="rId17">
            <anchor moveWithCells="1">
              <from>
                <xdr:col>1</xdr:col>
                <xdr:colOff>38100</xdr:colOff>
                <xdr:row>2</xdr:row>
                <xdr:rowOff>152400</xdr:rowOff>
              </from>
              <to>
                <xdr:col>2</xdr:col>
                <xdr:colOff>1590675</xdr:colOff>
                <xdr:row>4</xdr:row>
                <xdr:rowOff>9525</xdr:rowOff>
              </to>
            </anchor>
          </controlPr>
        </control>
      </mc:Choice>
      <mc:Fallback>
        <control shapeId="3074" r:id="rId16" name="cmdTechNameAndDesc"/>
      </mc:Fallback>
    </mc:AlternateContent>
  </control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6"/>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85546875" customWidth="1"/>
    <col min="5" max="5" width="10.140625" customWidth="1"/>
  </cols>
  <sheetData>
    <row r="1" spans="1:5" x14ac:dyDescent="0.2">
      <c r="A1" s="1" t="s">
        <v>1894</v>
      </c>
      <c r="B1" s="12"/>
    </row>
    <row r="4" spans="1:5" ht="17.25" customHeight="1" x14ac:dyDescent="0.2"/>
    <row r="5" spans="1:5" ht="18" customHeight="1" x14ac:dyDescent="0.2"/>
    <row r="6" spans="1:5" ht="17.25" customHeight="1" x14ac:dyDescent="0.2"/>
    <row r="7" spans="1:5" ht="15.75" customHeight="1" x14ac:dyDescent="0.2">
      <c r="B7" s="1" t="s">
        <v>1890</v>
      </c>
      <c r="C7" s="1" t="s">
        <v>1891</v>
      </c>
      <c r="D7" s="1" t="s">
        <v>1661</v>
      </c>
      <c r="E7" s="1" t="s">
        <v>7</v>
      </c>
    </row>
    <row r="8" spans="1:5" x14ac:dyDescent="0.2">
      <c r="B8" s="2"/>
      <c r="E8" s="2"/>
    </row>
    <row r="9" spans="1:5" x14ac:dyDescent="0.2">
      <c r="B9" s="7"/>
      <c r="E9" s="2"/>
    </row>
    <row r="10" spans="1:5" x14ac:dyDescent="0.2">
      <c r="B10" s="7"/>
      <c r="E10" s="2"/>
    </row>
    <row r="11" spans="1:5" x14ac:dyDescent="0.2">
      <c r="B11" s="7"/>
      <c r="E11" s="2"/>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11374" r:id="rId4" name="cmdRefreshUnits">
          <controlPr defaultSize="0" autoLine="0" r:id="rId5">
            <anchor moveWithCells="1">
              <from>
                <xdr:col>2</xdr:col>
                <xdr:colOff>1019175</xdr:colOff>
                <xdr:row>2</xdr:row>
                <xdr:rowOff>28575</xdr:rowOff>
              </from>
              <to>
                <xdr:col>4</xdr:col>
                <xdr:colOff>9525</xdr:colOff>
                <xdr:row>4</xdr:row>
                <xdr:rowOff>19050</xdr:rowOff>
              </to>
            </anchor>
          </controlPr>
        </control>
      </mc:Choice>
      <mc:Fallback>
        <control shapeId="11374" r:id="rId4" name="cmdRefreshUnits"/>
      </mc:Fallback>
    </mc:AlternateContent>
    <mc:AlternateContent xmlns:mc="http://schemas.openxmlformats.org/markup-compatibility/2006">
      <mc:Choice Requires="x14">
        <control shapeId="11361" r:id="rId6" name="cmdAddParamQualifier">
          <controlPr defaultSize="0" autoLine="0" r:id="rId7">
            <anchor moveWithCells="1">
              <from>
                <xdr:col>0</xdr:col>
                <xdr:colOff>28575</xdr:colOff>
                <xdr:row>5</xdr:row>
                <xdr:rowOff>0</xdr:rowOff>
              </from>
              <to>
                <xdr:col>1</xdr:col>
                <xdr:colOff>19050</xdr:colOff>
                <xdr:row>6</xdr:row>
                <xdr:rowOff>19050</xdr:rowOff>
              </to>
            </anchor>
          </controlPr>
        </control>
      </mc:Choice>
      <mc:Fallback>
        <control shapeId="11361" r:id="rId6" name="cmdAddParamQualifier"/>
      </mc:Fallback>
    </mc:AlternateContent>
    <mc:AlternateContent xmlns:mc="http://schemas.openxmlformats.org/markup-compatibility/2006">
      <mc:Choice Requires="x14">
        <control shapeId="11271" r:id="rId8" name="cmdCheckConstrDataSheet">
          <controlPr defaultSize="0" autoLine="0" autoPict="0" r:id="rId9">
            <anchor moveWithCells="1">
              <from>
                <xdr:col>0</xdr:col>
                <xdr:colOff>28575</xdr:colOff>
                <xdr:row>2</xdr:row>
                <xdr:rowOff>152400</xdr:rowOff>
              </from>
              <to>
                <xdr:col>1</xdr:col>
                <xdr:colOff>0</xdr:colOff>
                <xdr:row>4</xdr:row>
                <xdr:rowOff>28575</xdr:rowOff>
              </to>
            </anchor>
          </controlPr>
        </control>
      </mc:Choice>
      <mc:Fallback>
        <control shapeId="11271" r:id="rId8" name="cmdCheckConstrDataSheet"/>
      </mc:Fallback>
    </mc:AlternateContent>
    <mc:AlternateContent xmlns:mc="http://schemas.openxmlformats.org/markup-compatibility/2006">
      <mc:Choice Requires="x14">
        <control shapeId="11268" r:id="rId10" name="cmdAddParameter">
          <controlPr defaultSize="0" autoLine="0" r:id="rId11">
            <anchor moveWithCells="1">
              <from>
                <xdr:col>0</xdr:col>
                <xdr:colOff>28575</xdr:colOff>
                <xdr:row>4</xdr:row>
                <xdr:rowOff>0</xdr:rowOff>
              </from>
              <to>
                <xdr:col>1</xdr:col>
                <xdr:colOff>19050</xdr:colOff>
                <xdr:row>5</xdr:row>
                <xdr:rowOff>9525</xdr:rowOff>
              </to>
            </anchor>
          </controlPr>
        </control>
      </mc:Choice>
      <mc:Fallback>
        <control shapeId="11268" r:id="rId10" name="cmdAddParameter"/>
      </mc:Fallback>
    </mc:AlternateContent>
    <mc:AlternateContent xmlns:mc="http://schemas.openxmlformats.org/markup-compatibility/2006">
      <mc:Choice Requires="x14">
        <control shapeId="11266"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11266" r:id="rId12" name="cmdTechName"/>
      </mc:Fallback>
    </mc:AlternateContent>
    <mc:AlternateContent xmlns:mc="http://schemas.openxmlformats.org/markup-compatibility/2006">
      <mc:Choice Requires="x14">
        <control shapeId="11265" r:id="rId14" name="cmdConstrNameAndDesc">
          <controlPr defaultSize="0" autoLine="0" autoPict="0" r:id="rId15">
            <anchor moveWithCells="1">
              <from>
                <xdr:col>1</xdr:col>
                <xdr:colOff>28575</xdr:colOff>
                <xdr:row>3</xdr:row>
                <xdr:rowOff>0</xdr:rowOff>
              </from>
              <to>
                <xdr:col>2</xdr:col>
                <xdr:colOff>1019175</xdr:colOff>
                <xdr:row>4</xdr:row>
                <xdr:rowOff>28575</xdr:rowOff>
              </to>
            </anchor>
          </controlPr>
        </control>
      </mc:Choice>
      <mc:Fallback>
        <control shapeId="11265" r:id="rId14" name="cmdConstrNameAndDesc"/>
      </mc:Fallback>
    </mc:AlternateContent>
  </control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CB0D3-4547-40F5-95C4-5627480AC08A}">
  <sheetPr>
    <tabColor theme="9"/>
  </sheetPr>
  <dimension ref="B2:X59"/>
  <sheetViews>
    <sheetView showFormulas="1" workbookViewId="0">
      <selection activeCell="O45" sqref="O45"/>
    </sheetView>
  </sheetViews>
  <sheetFormatPr defaultColWidth="12.42578125" defaultRowHeight="15" x14ac:dyDescent="0.25"/>
  <cols>
    <col min="1" max="1" width="3.140625" style="668" customWidth="1"/>
    <col min="2" max="2" width="35.7109375" style="668" customWidth="1"/>
    <col min="3" max="3" width="15.28515625" style="668" bestFit="1" customWidth="1"/>
    <col min="4" max="6" width="16.85546875" style="668" bestFit="1" customWidth="1"/>
    <col min="7" max="7" width="15.28515625" style="668" bestFit="1" customWidth="1"/>
    <col min="8" max="8" width="16.85546875" style="668" bestFit="1" customWidth="1"/>
    <col min="9" max="9" width="3.140625" style="668" customWidth="1"/>
    <col min="10" max="10" width="35.7109375" style="668" customWidth="1"/>
    <col min="11" max="11" width="14" style="668" bestFit="1" customWidth="1"/>
    <col min="12" max="14" width="14.85546875" style="668" bestFit="1" customWidth="1"/>
    <col min="15" max="15" width="13.140625" style="668" bestFit="1" customWidth="1"/>
    <col min="16" max="16" width="14.85546875" style="668" bestFit="1" customWidth="1"/>
    <col min="17" max="17" width="3.140625" style="668" customWidth="1"/>
    <col min="18" max="18" width="35.7109375" style="668" customWidth="1"/>
    <col min="19" max="19" width="14" style="668" bestFit="1" customWidth="1"/>
    <col min="20" max="22" width="14.85546875" style="668" bestFit="1" customWidth="1"/>
    <col min="23" max="23" width="13.140625" style="668" bestFit="1" customWidth="1"/>
    <col min="24" max="24" width="14.85546875" style="668" bestFit="1" customWidth="1"/>
    <col min="25" max="16384" width="12.42578125" style="668"/>
  </cols>
  <sheetData>
    <row r="2" spans="2:24" x14ac:dyDescent="0.25">
      <c r="B2" s="666" t="s">
        <v>1895</v>
      </c>
      <c r="C2" s="667"/>
      <c r="D2" s="667"/>
      <c r="E2" s="667"/>
      <c r="F2" s="667"/>
      <c r="G2" s="667"/>
      <c r="H2" s="667"/>
      <c r="J2" s="666" t="s">
        <v>1896</v>
      </c>
      <c r="R2" s="666" t="s">
        <v>1897</v>
      </c>
    </row>
    <row r="3" spans="2:24" x14ac:dyDescent="0.25">
      <c r="B3" s="669" t="s">
        <v>1898</v>
      </c>
      <c r="C3" s="669" t="s">
        <v>1673</v>
      </c>
      <c r="D3" s="669" t="s">
        <v>1899</v>
      </c>
      <c r="E3" s="669" t="s">
        <v>1674</v>
      </c>
      <c r="F3" s="669" t="s">
        <v>1676</v>
      </c>
      <c r="G3" s="669" t="s">
        <v>1675</v>
      </c>
      <c r="H3" s="669" t="s">
        <v>1832</v>
      </c>
      <c r="J3" s="669" t="s">
        <v>1898</v>
      </c>
      <c r="K3" s="670" t="s">
        <v>1673</v>
      </c>
      <c r="L3" s="670" t="s">
        <v>1899</v>
      </c>
      <c r="M3" s="670" t="s">
        <v>1674</v>
      </c>
      <c r="N3" s="670" t="s">
        <v>1676</v>
      </c>
      <c r="O3" s="670" t="s">
        <v>1675</v>
      </c>
      <c r="P3" s="669" t="s">
        <v>1832</v>
      </c>
      <c r="R3" s="669" t="s">
        <v>1898</v>
      </c>
      <c r="S3" s="670" t="s">
        <v>1673</v>
      </c>
      <c r="T3" s="670" t="s">
        <v>1899</v>
      </c>
      <c r="U3" s="670" t="s">
        <v>1674</v>
      </c>
      <c r="V3" s="670" t="s">
        <v>1676</v>
      </c>
      <c r="W3" s="670" t="s">
        <v>1675</v>
      </c>
      <c r="X3" s="669" t="s">
        <v>1832</v>
      </c>
    </row>
    <row r="4" spans="2:24" x14ac:dyDescent="0.25">
      <c r="B4" s="671" t="s">
        <v>1801</v>
      </c>
      <c r="C4" s="672">
        <v>50685616</v>
      </c>
      <c r="D4" s="672">
        <v>87265001</v>
      </c>
      <c r="E4" s="672">
        <v>464882</v>
      </c>
      <c r="F4" s="672">
        <v>274889871</v>
      </c>
      <c r="G4" s="672">
        <v>128796736</v>
      </c>
      <c r="H4" s="672">
        <f>SUM(C4:G4)</f>
        <v>542102106</v>
      </c>
      <c r="J4" s="671" t="s">
        <v>1801</v>
      </c>
      <c r="K4" s="672">
        <v>50886480</v>
      </c>
      <c r="L4" s="672">
        <v>88063893</v>
      </c>
      <c r="M4" s="672">
        <v>451466</v>
      </c>
      <c r="N4" s="672">
        <v>277625345</v>
      </c>
      <c r="O4" s="672">
        <v>131727926</v>
      </c>
      <c r="P4" s="672">
        <f>SUM(K4:O4)</f>
        <v>548755110</v>
      </c>
      <c r="R4" s="671" t="s">
        <v>1801</v>
      </c>
      <c r="S4" s="672">
        <v>49002742</v>
      </c>
      <c r="T4" s="672">
        <v>81830104</v>
      </c>
      <c r="U4" s="672">
        <v>411242</v>
      </c>
      <c r="V4" s="672">
        <v>266477267</v>
      </c>
      <c r="W4" s="672">
        <v>125833262</v>
      </c>
      <c r="X4" s="673">
        <f>SUM(S4:W4)</f>
        <v>523554617</v>
      </c>
    </row>
    <row r="5" spans="2:24" x14ac:dyDescent="0.25">
      <c r="B5" s="671" t="s">
        <v>1900</v>
      </c>
      <c r="C5" s="672">
        <v>25146</v>
      </c>
      <c r="D5" s="672">
        <v>391760</v>
      </c>
      <c r="E5" s="672">
        <v>119384</v>
      </c>
      <c r="F5" s="672">
        <v>495040</v>
      </c>
      <c r="G5" s="672">
        <v>44015</v>
      </c>
      <c r="H5" s="672">
        <f t="shared" ref="H5:H33" si="0">SUM(C5:G5)</f>
        <v>1075345</v>
      </c>
      <c r="J5" s="671" t="s">
        <v>1900</v>
      </c>
      <c r="K5" s="672">
        <v>105935</v>
      </c>
      <c r="L5" s="672">
        <v>876728</v>
      </c>
      <c r="M5" s="672">
        <v>361712</v>
      </c>
      <c r="N5" s="672">
        <v>849582</v>
      </c>
      <c r="O5" s="672">
        <v>72050</v>
      </c>
      <c r="P5" s="672">
        <f t="shared" ref="P5:P33" si="1">SUM(K5:O5)</f>
        <v>2266007</v>
      </c>
      <c r="R5" s="671" t="s">
        <v>1900</v>
      </c>
      <c r="S5" s="672">
        <v>140110</v>
      </c>
      <c r="T5" s="672">
        <v>1183707</v>
      </c>
      <c r="U5" s="672">
        <v>439873</v>
      </c>
      <c r="V5" s="672">
        <v>927524</v>
      </c>
      <c r="W5" s="672">
        <v>65007</v>
      </c>
      <c r="X5" s="673">
        <f t="shared" ref="X5:X33" si="2">SUM(S5:W5)</f>
        <v>2756221</v>
      </c>
    </row>
    <row r="6" spans="2:24" x14ac:dyDescent="0.25">
      <c r="B6" s="671" t="s">
        <v>1802</v>
      </c>
      <c r="C6" s="672">
        <v>57792779</v>
      </c>
      <c r="D6" s="672">
        <v>253744544</v>
      </c>
      <c r="E6" s="672">
        <v>14947233</v>
      </c>
      <c r="F6" s="672">
        <v>168119865</v>
      </c>
      <c r="G6" s="672">
        <v>68988540</v>
      </c>
      <c r="H6" s="672">
        <f t="shared" si="0"/>
        <v>563592961</v>
      </c>
      <c r="J6" s="671" t="s">
        <v>1802</v>
      </c>
      <c r="K6" s="672">
        <v>58140690</v>
      </c>
      <c r="L6" s="672">
        <v>254375129</v>
      </c>
      <c r="M6" s="672">
        <v>15875197</v>
      </c>
      <c r="N6" s="672">
        <v>169981905</v>
      </c>
      <c r="O6" s="672">
        <v>70333193</v>
      </c>
      <c r="P6" s="672">
        <f t="shared" si="1"/>
        <v>568706114</v>
      </c>
      <c r="R6" s="671" t="s">
        <v>1802</v>
      </c>
      <c r="S6" s="672">
        <v>55497365</v>
      </c>
      <c r="T6" s="672">
        <v>239547313</v>
      </c>
      <c r="U6" s="672">
        <v>16565146</v>
      </c>
      <c r="V6" s="672">
        <v>158977240</v>
      </c>
      <c r="W6" s="672">
        <v>63657903</v>
      </c>
      <c r="X6" s="673">
        <f t="shared" si="2"/>
        <v>534244967</v>
      </c>
    </row>
    <row r="7" spans="2:24" x14ac:dyDescent="0.25">
      <c r="B7" s="671" t="s">
        <v>1901</v>
      </c>
      <c r="C7" s="672">
        <v>1021390</v>
      </c>
      <c r="D7" s="672">
        <v>11711758</v>
      </c>
      <c r="E7" s="672">
        <v>279736</v>
      </c>
      <c r="F7" s="672">
        <v>9392143</v>
      </c>
      <c r="G7" s="672">
        <v>958882</v>
      </c>
      <c r="H7" s="672">
        <f t="shared" si="0"/>
        <v>23363909</v>
      </c>
      <c r="J7" s="671" t="s">
        <v>1901</v>
      </c>
      <c r="K7" s="672">
        <v>1017027</v>
      </c>
      <c r="L7" s="672">
        <v>11345874</v>
      </c>
      <c r="M7" s="672">
        <v>269088</v>
      </c>
      <c r="N7" s="672">
        <v>9421662</v>
      </c>
      <c r="O7" s="672">
        <v>959210</v>
      </c>
      <c r="P7" s="672">
        <f t="shared" si="1"/>
        <v>23012861</v>
      </c>
      <c r="R7" s="671" t="s">
        <v>1901</v>
      </c>
      <c r="S7" s="672">
        <v>985600</v>
      </c>
      <c r="T7" s="672">
        <v>10802432</v>
      </c>
      <c r="U7" s="672">
        <v>239626</v>
      </c>
      <c r="V7" s="672">
        <v>9086174</v>
      </c>
      <c r="W7" s="672">
        <v>880692</v>
      </c>
      <c r="X7" s="673">
        <f t="shared" si="2"/>
        <v>21994524</v>
      </c>
    </row>
    <row r="8" spans="2:24" x14ac:dyDescent="0.25">
      <c r="B8" s="671" t="s">
        <v>1811</v>
      </c>
      <c r="C8" s="672">
        <v>649462</v>
      </c>
      <c r="D8" s="672">
        <v>2386262</v>
      </c>
      <c r="E8" s="672">
        <v>28190838</v>
      </c>
      <c r="F8" s="672">
        <v>4137782</v>
      </c>
      <c r="G8" s="672">
        <v>32050</v>
      </c>
      <c r="H8" s="672">
        <f t="shared" si="0"/>
        <v>35396394</v>
      </c>
      <c r="J8" s="671" t="s">
        <v>1811</v>
      </c>
      <c r="K8" s="672">
        <v>821565</v>
      </c>
      <c r="L8" s="672">
        <v>2221011</v>
      </c>
      <c r="M8" s="672">
        <v>19837262</v>
      </c>
      <c r="N8" s="672">
        <v>2797893</v>
      </c>
      <c r="O8" s="672">
        <v>0</v>
      </c>
      <c r="P8" s="672">
        <f t="shared" si="1"/>
        <v>25677731</v>
      </c>
      <c r="R8" s="671" t="s">
        <v>1811</v>
      </c>
      <c r="S8" s="672">
        <v>3143422</v>
      </c>
      <c r="T8" s="672">
        <v>8566718</v>
      </c>
      <c r="U8" s="672">
        <v>46942349</v>
      </c>
      <c r="V8" s="672">
        <v>12077136</v>
      </c>
      <c r="W8" s="672">
        <v>518530</v>
      </c>
      <c r="X8" s="673">
        <f t="shared" si="2"/>
        <v>71248155</v>
      </c>
    </row>
    <row r="9" spans="2:24" x14ac:dyDescent="0.25">
      <c r="B9" s="671" t="s">
        <v>1812</v>
      </c>
      <c r="C9" s="672">
        <v>7478511</v>
      </c>
      <c r="D9" s="672">
        <v>10916197</v>
      </c>
      <c r="E9" s="672">
        <v>5549364</v>
      </c>
      <c r="F9" s="672">
        <v>15478493</v>
      </c>
      <c r="G9" s="672">
        <v>9340286</v>
      </c>
      <c r="H9" s="672">
        <f t="shared" si="0"/>
        <v>48762851</v>
      </c>
      <c r="J9" s="671" t="s">
        <v>1812</v>
      </c>
      <c r="K9" s="672">
        <v>7862100</v>
      </c>
      <c r="L9" s="672">
        <v>13329129</v>
      </c>
      <c r="M9" s="672">
        <v>5311866</v>
      </c>
      <c r="N9" s="672">
        <v>15744062</v>
      </c>
      <c r="O9" s="672">
        <v>9663330</v>
      </c>
      <c r="P9" s="672">
        <f t="shared" si="1"/>
        <v>51910487</v>
      </c>
      <c r="R9" s="671" t="s">
        <v>1812</v>
      </c>
      <c r="S9" s="672">
        <v>10200209</v>
      </c>
      <c r="T9" s="672">
        <v>20148941</v>
      </c>
      <c r="U9" s="672">
        <v>7158597</v>
      </c>
      <c r="V9" s="672">
        <v>21543008</v>
      </c>
      <c r="W9" s="672">
        <v>10838987</v>
      </c>
      <c r="X9" s="673">
        <f t="shared" si="2"/>
        <v>69889742</v>
      </c>
    </row>
    <row r="10" spans="2:24" x14ac:dyDescent="0.25">
      <c r="B10" s="671" t="s">
        <v>1813</v>
      </c>
      <c r="C10" s="672">
        <v>0</v>
      </c>
      <c r="D10" s="672">
        <v>1795634</v>
      </c>
      <c r="E10" s="672">
        <v>36649739</v>
      </c>
      <c r="F10" s="672">
        <v>2300810</v>
      </c>
      <c r="G10" s="672">
        <v>450505</v>
      </c>
      <c r="H10" s="672">
        <f t="shared" si="0"/>
        <v>41196688</v>
      </c>
      <c r="J10" s="671" t="s">
        <v>1813</v>
      </c>
      <c r="K10" s="672">
        <v>0</v>
      </c>
      <c r="L10" s="672">
        <v>1608704</v>
      </c>
      <c r="M10" s="672">
        <v>30840876</v>
      </c>
      <c r="N10" s="672">
        <v>1463060</v>
      </c>
      <c r="O10" s="672">
        <v>341524</v>
      </c>
      <c r="P10" s="672">
        <f t="shared" si="1"/>
        <v>34254164</v>
      </c>
      <c r="R10" s="671" t="s">
        <v>1813</v>
      </c>
      <c r="S10" s="672">
        <v>23396</v>
      </c>
      <c r="T10" s="672">
        <v>2502873</v>
      </c>
      <c r="U10" s="672">
        <v>33547674</v>
      </c>
      <c r="V10" s="672">
        <v>2339529</v>
      </c>
      <c r="W10" s="672">
        <v>341524</v>
      </c>
      <c r="X10" s="673">
        <f t="shared" si="2"/>
        <v>38754996</v>
      </c>
    </row>
    <row r="11" spans="2:24" x14ac:dyDescent="0.25">
      <c r="B11" s="671" t="s">
        <v>1814</v>
      </c>
      <c r="C11" s="672">
        <v>7202787</v>
      </c>
      <c r="D11" s="672">
        <v>12598821</v>
      </c>
      <c r="E11" s="672">
        <v>8432408</v>
      </c>
      <c r="F11" s="672">
        <v>23855110</v>
      </c>
      <c r="G11" s="672">
        <v>5972719</v>
      </c>
      <c r="H11" s="672">
        <f t="shared" si="0"/>
        <v>58061845</v>
      </c>
      <c r="J11" s="671" t="s">
        <v>1814</v>
      </c>
      <c r="K11" s="672">
        <v>7363541</v>
      </c>
      <c r="L11" s="672">
        <v>12248950</v>
      </c>
      <c r="M11" s="672">
        <v>8007486</v>
      </c>
      <c r="N11" s="672">
        <v>23400467</v>
      </c>
      <c r="O11" s="672">
        <v>5865471</v>
      </c>
      <c r="P11" s="672">
        <f t="shared" si="1"/>
        <v>56885915</v>
      </c>
      <c r="R11" s="671" t="s">
        <v>1814</v>
      </c>
      <c r="S11" s="672">
        <v>7176759</v>
      </c>
      <c r="T11" s="672">
        <v>13652518</v>
      </c>
      <c r="U11" s="672">
        <v>7190956</v>
      </c>
      <c r="V11" s="672">
        <v>24061327</v>
      </c>
      <c r="W11" s="672">
        <v>6304350</v>
      </c>
      <c r="X11" s="673">
        <f t="shared" si="2"/>
        <v>58385910</v>
      </c>
    </row>
    <row r="12" spans="2:24" x14ac:dyDescent="0.25">
      <c r="B12" s="671" t="s">
        <v>1815</v>
      </c>
      <c r="C12" s="672">
        <v>1376633</v>
      </c>
      <c r="D12" s="672">
        <v>5246074</v>
      </c>
      <c r="E12" s="672">
        <v>151041211</v>
      </c>
      <c r="F12" s="672">
        <v>1795535</v>
      </c>
      <c r="G12" s="672">
        <v>0</v>
      </c>
      <c r="H12" s="672">
        <f t="shared" si="0"/>
        <v>159459453</v>
      </c>
      <c r="J12" s="671" t="s">
        <v>1815</v>
      </c>
      <c r="K12" s="672">
        <v>1378445</v>
      </c>
      <c r="L12" s="672">
        <v>5016277</v>
      </c>
      <c r="M12" s="672">
        <v>134636550</v>
      </c>
      <c r="N12" s="672">
        <v>1711152</v>
      </c>
      <c r="O12" s="672">
        <v>0</v>
      </c>
      <c r="P12" s="672">
        <f t="shared" si="1"/>
        <v>142742424</v>
      </c>
      <c r="R12" s="671" t="s">
        <v>1815</v>
      </c>
      <c r="S12" s="672">
        <v>1564639</v>
      </c>
      <c r="T12" s="672">
        <v>6665918</v>
      </c>
      <c r="U12" s="672">
        <v>151125318</v>
      </c>
      <c r="V12" s="672">
        <v>1670735</v>
      </c>
      <c r="W12" s="672">
        <v>0</v>
      </c>
      <c r="X12" s="673">
        <f t="shared" si="2"/>
        <v>161026610</v>
      </c>
    </row>
    <row r="13" spans="2:24" x14ac:dyDescent="0.25">
      <c r="B13" s="671" t="s">
        <v>1816</v>
      </c>
      <c r="C13" s="672">
        <v>17903618</v>
      </c>
      <c r="D13" s="672">
        <v>39004249</v>
      </c>
      <c r="E13" s="672">
        <v>56774779</v>
      </c>
      <c r="F13" s="672">
        <v>28930477</v>
      </c>
      <c r="G13" s="672">
        <v>4183527</v>
      </c>
      <c r="H13" s="672">
        <f t="shared" si="0"/>
        <v>146796650</v>
      </c>
      <c r="J13" s="671" t="s">
        <v>1816</v>
      </c>
      <c r="K13" s="672">
        <v>17890581</v>
      </c>
      <c r="L13" s="672">
        <v>40801512</v>
      </c>
      <c r="M13" s="672">
        <v>55204052</v>
      </c>
      <c r="N13" s="672">
        <v>29306582</v>
      </c>
      <c r="O13" s="672">
        <v>3969775</v>
      </c>
      <c r="P13" s="672">
        <f t="shared" si="1"/>
        <v>147172502</v>
      </c>
      <c r="R13" s="671" t="s">
        <v>1816</v>
      </c>
      <c r="S13" s="672">
        <v>18516544</v>
      </c>
      <c r="T13" s="672">
        <v>45436730</v>
      </c>
      <c r="U13" s="672">
        <v>51610897</v>
      </c>
      <c r="V13" s="672">
        <v>31877919</v>
      </c>
      <c r="W13" s="672">
        <v>3942646</v>
      </c>
      <c r="X13" s="673">
        <f t="shared" si="2"/>
        <v>151384736</v>
      </c>
    </row>
    <row r="14" spans="2:24" x14ac:dyDescent="0.25">
      <c r="B14" s="671" t="s">
        <v>1817</v>
      </c>
      <c r="C14" s="674">
        <v>4159833</v>
      </c>
      <c r="D14" s="672">
        <v>13141752</v>
      </c>
      <c r="E14" s="672">
        <v>340796704</v>
      </c>
      <c r="F14" s="672">
        <v>14092213</v>
      </c>
      <c r="G14" s="672">
        <v>683200</v>
      </c>
      <c r="H14" s="672">
        <f t="shared" si="0"/>
        <v>372873702</v>
      </c>
      <c r="J14" s="671" t="s">
        <v>1817</v>
      </c>
      <c r="K14" s="672">
        <v>5666562</v>
      </c>
      <c r="L14" s="672">
        <v>12683905</v>
      </c>
      <c r="M14" s="672">
        <v>282353713</v>
      </c>
      <c r="N14" s="672">
        <v>13079419</v>
      </c>
      <c r="O14" s="672">
        <v>683200</v>
      </c>
      <c r="P14" s="672">
        <f t="shared" si="1"/>
        <v>314466799</v>
      </c>
      <c r="R14" s="671" t="s">
        <v>1817</v>
      </c>
      <c r="S14" s="672">
        <v>5836480</v>
      </c>
      <c r="T14" s="672">
        <v>14779535</v>
      </c>
      <c r="U14" s="672">
        <v>327446027</v>
      </c>
      <c r="V14" s="672">
        <v>17137383</v>
      </c>
      <c r="W14" s="672">
        <v>1258042</v>
      </c>
      <c r="X14" s="673">
        <f t="shared" si="2"/>
        <v>366457467</v>
      </c>
    </row>
    <row r="15" spans="2:24" x14ac:dyDescent="0.25">
      <c r="B15" s="671" t="s">
        <v>1902</v>
      </c>
      <c r="C15" s="672">
        <v>23811777</v>
      </c>
      <c r="D15" s="672">
        <v>61676784</v>
      </c>
      <c r="E15" s="672">
        <v>3015059</v>
      </c>
      <c r="F15" s="672">
        <v>65084716</v>
      </c>
      <c r="G15" s="672">
        <v>5197443</v>
      </c>
      <c r="H15" s="672">
        <f t="shared" si="0"/>
        <v>158785779</v>
      </c>
      <c r="J15" s="671" t="s">
        <v>1902</v>
      </c>
      <c r="K15" s="672">
        <v>23276372</v>
      </c>
      <c r="L15" s="672">
        <v>59260079</v>
      </c>
      <c r="M15" s="672">
        <v>2614175</v>
      </c>
      <c r="N15" s="672">
        <v>64928314</v>
      </c>
      <c r="O15" s="672">
        <v>5425385</v>
      </c>
      <c r="P15" s="672">
        <f t="shared" si="1"/>
        <v>155504325</v>
      </c>
      <c r="R15" s="671" t="s">
        <v>1902</v>
      </c>
      <c r="S15" s="672">
        <v>25264369</v>
      </c>
      <c r="T15" s="672">
        <v>53780233</v>
      </c>
      <c r="U15" s="672">
        <v>2145043</v>
      </c>
      <c r="V15" s="672">
        <v>60986347</v>
      </c>
      <c r="W15" s="672">
        <v>9214569</v>
      </c>
      <c r="X15" s="673">
        <f t="shared" si="2"/>
        <v>151390561</v>
      </c>
    </row>
    <row r="16" spans="2:24" x14ac:dyDescent="0.25">
      <c r="B16" s="671" t="s">
        <v>1903</v>
      </c>
      <c r="C16" s="672">
        <v>6560053</v>
      </c>
      <c r="D16" s="672">
        <v>26853781</v>
      </c>
      <c r="E16" s="672">
        <v>22158490</v>
      </c>
      <c r="F16" s="672">
        <v>11028219</v>
      </c>
      <c r="G16" s="672">
        <v>1569692</v>
      </c>
      <c r="H16" s="672">
        <f t="shared" si="0"/>
        <v>68170235</v>
      </c>
      <c r="J16" s="671" t="s">
        <v>1903</v>
      </c>
      <c r="K16" s="672">
        <v>5942806</v>
      </c>
      <c r="L16" s="672">
        <v>24126969</v>
      </c>
      <c r="M16" s="672">
        <v>14484884</v>
      </c>
      <c r="N16" s="672">
        <v>11336649</v>
      </c>
      <c r="O16" s="672">
        <v>1569692</v>
      </c>
      <c r="P16" s="672">
        <f t="shared" si="1"/>
        <v>57461000</v>
      </c>
      <c r="R16" s="671" t="s">
        <v>1903</v>
      </c>
      <c r="S16" s="672">
        <v>5546095</v>
      </c>
      <c r="T16" s="672">
        <v>19667895</v>
      </c>
      <c r="U16" s="672">
        <v>7785123</v>
      </c>
      <c r="V16" s="672">
        <v>9666845</v>
      </c>
      <c r="W16" s="672">
        <v>1292282</v>
      </c>
      <c r="X16" s="673">
        <f t="shared" si="2"/>
        <v>43958240</v>
      </c>
    </row>
    <row r="17" spans="2:24" x14ac:dyDescent="0.25">
      <c r="B17" s="671" t="s">
        <v>1904</v>
      </c>
      <c r="C17" s="672">
        <v>14127036</v>
      </c>
      <c r="D17" s="672">
        <v>39600391</v>
      </c>
      <c r="E17" s="672">
        <v>22695005</v>
      </c>
      <c r="F17" s="672">
        <v>31613736</v>
      </c>
      <c r="G17" s="672">
        <v>4630540</v>
      </c>
      <c r="H17" s="672">
        <f t="shared" si="0"/>
        <v>112666708</v>
      </c>
      <c r="J17" s="671" t="s">
        <v>1904</v>
      </c>
      <c r="K17" s="672">
        <v>16392882</v>
      </c>
      <c r="L17" s="672">
        <v>39175167</v>
      </c>
      <c r="M17" s="672">
        <v>22597531</v>
      </c>
      <c r="N17" s="672">
        <v>34642431</v>
      </c>
      <c r="O17" s="672">
        <v>3789777</v>
      </c>
      <c r="P17" s="672">
        <f t="shared" si="1"/>
        <v>116597788</v>
      </c>
      <c r="R17" s="671" t="s">
        <v>1904</v>
      </c>
      <c r="S17" s="672">
        <v>15362439</v>
      </c>
      <c r="T17" s="672">
        <v>37547643</v>
      </c>
      <c r="U17" s="672">
        <v>20756050</v>
      </c>
      <c r="V17" s="672">
        <v>33750750</v>
      </c>
      <c r="W17" s="672">
        <v>3787395</v>
      </c>
      <c r="X17" s="673">
        <f t="shared" si="2"/>
        <v>111204277</v>
      </c>
    </row>
    <row r="18" spans="2:24" x14ac:dyDescent="0.25">
      <c r="B18" s="671" t="s">
        <v>1905</v>
      </c>
      <c r="C18" s="672">
        <v>19870788</v>
      </c>
      <c r="D18" s="672">
        <v>20925966</v>
      </c>
      <c r="E18" s="672">
        <v>43847297</v>
      </c>
      <c r="F18" s="672">
        <v>19745411</v>
      </c>
      <c r="G18" s="672">
        <v>5364865</v>
      </c>
      <c r="H18" s="672">
        <f t="shared" si="0"/>
        <v>109754327</v>
      </c>
      <c r="J18" s="671" t="s">
        <v>1905</v>
      </c>
      <c r="K18" s="672">
        <v>20425115</v>
      </c>
      <c r="L18" s="672">
        <v>20895216</v>
      </c>
      <c r="M18" s="672">
        <v>44550781</v>
      </c>
      <c r="N18" s="672">
        <v>20742279</v>
      </c>
      <c r="O18" s="672">
        <v>6026216</v>
      </c>
      <c r="P18" s="672">
        <f t="shared" si="1"/>
        <v>112639607</v>
      </c>
      <c r="R18" s="671" t="s">
        <v>1905</v>
      </c>
      <c r="S18" s="672">
        <v>20180575</v>
      </c>
      <c r="T18" s="672">
        <v>21028051</v>
      </c>
      <c r="U18" s="672">
        <v>44133119</v>
      </c>
      <c r="V18" s="672">
        <v>17733607</v>
      </c>
      <c r="W18" s="672">
        <v>6234828</v>
      </c>
      <c r="X18" s="673">
        <f t="shared" si="2"/>
        <v>109310180</v>
      </c>
    </row>
    <row r="19" spans="2:24" x14ac:dyDescent="0.25">
      <c r="B19" s="671" t="s">
        <v>1906</v>
      </c>
      <c r="C19" s="672">
        <v>18024446</v>
      </c>
      <c r="D19" s="672">
        <v>43051677</v>
      </c>
      <c r="E19" s="672">
        <v>42371794</v>
      </c>
      <c r="F19" s="672">
        <v>9987685</v>
      </c>
      <c r="G19" s="672">
        <v>31141240</v>
      </c>
      <c r="H19" s="672">
        <f t="shared" si="0"/>
        <v>144576842</v>
      </c>
      <c r="J19" s="671" t="s">
        <v>1906</v>
      </c>
      <c r="K19" s="672">
        <v>17155353</v>
      </c>
      <c r="L19" s="672">
        <v>43179797</v>
      </c>
      <c r="M19" s="672">
        <v>40208078</v>
      </c>
      <c r="N19" s="672">
        <v>10578272</v>
      </c>
      <c r="O19" s="672">
        <v>31058964</v>
      </c>
      <c r="P19" s="672">
        <f t="shared" si="1"/>
        <v>142180464</v>
      </c>
      <c r="R19" s="671" t="s">
        <v>1906</v>
      </c>
      <c r="S19" s="672">
        <v>16228354</v>
      </c>
      <c r="T19" s="672">
        <v>44735208</v>
      </c>
      <c r="U19" s="672">
        <v>54750856</v>
      </c>
      <c r="V19" s="672">
        <v>10889343</v>
      </c>
      <c r="W19" s="672">
        <v>3485801</v>
      </c>
      <c r="X19" s="673">
        <f t="shared" si="2"/>
        <v>130089562</v>
      </c>
    </row>
    <row r="20" spans="2:24" x14ac:dyDescent="0.25">
      <c r="B20" s="671" t="s">
        <v>1907</v>
      </c>
      <c r="C20" s="672">
        <v>34445299</v>
      </c>
      <c r="D20" s="672">
        <v>57859719</v>
      </c>
      <c r="E20" s="672">
        <v>35485500</v>
      </c>
      <c r="F20" s="672">
        <v>40248452</v>
      </c>
      <c r="G20" s="672">
        <v>10674130</v>
      </c>
      <c r="H20" s="672">
        <f t="shared" si="0"/>
        <v>178713100</v>
      </c>
      <c r="J20" s="671" t="s">
        <v>1907</v>
      </c>
      <c r="K20" s="672">
        <v>35504374</v>
      </c>
      <c r="L20" s="672">
        <v>60330787</v>
      </c>
      <c r="M20" s="672">
        <v>36690076</v>
      </c>
      <c r="N20" s="672">
        <v>42147515</v>
      </c>
      <c r="O20" s="672">
        <v>11143401</v>
      </c>
      <c r="P20" s="672">
        <f t="shared" si="1"/>
        <v>185816153</v>
      </c>
      <c r="R20" s="671" t="s">
        <v>1907</v>
      </c>
      <c r="S20" s="672">
        <v>37071191</v>
      </c>
      <c r="T20" s="672">
        <v>61950916</v>
      </c>
      <c r="U20" s="672">
        <v>37658157</v>
      </c>
      <c r="V20" s="672">
        <v>43384416</v>
      </c>
      <c r="W20" s="672">
        <v>12027351</v>
      </c>
      <c r="X20" s="673">
        <f t="shared" si="2"/>
        <v>192092031</v>
      </c>
    </row>
    <row r="21" spans="2:24" x14ac:dyDescent="0.25">
      <c r="B21" s="671" t="s">
        <v>1908</v>
      </c>
      <c r="C21" s="672">
        <v>7842465</v>
      </c>
      <c r="D21" s="672">
        <v>21172468</v>
      </c>
      <c r="E21" s="672">
        <v>28354023</v>
      </c>
      <c r="F21" s="672">
        <v>13862108</v>
      </c>
      <c r="G21" s="672">
        <v>2458035</v>
      </c>
      <c r="H21" s="672">
        <f t="shared" si="0"/>
        <v>73689099</v>
      </c>
      <c r="J21" s="671" t="s">
        <v>1908</v>
      </c>
      <c r="K21" s="672">
        <v>8004939</v>
      </c>
      <c r="L21" s="672">
        <v>21446827</v>
      </c>
      <c r="M21" s="672">
        <v>28243608</v>
      </c>
      <c r="N21" s="672">
        <v>14499277</v>
      </c>
      <c r="O21" s="672">
        <v>2428294</v>
      </c>
      <c r="P21" s="672">
        <f t="shared" si="1"/>
        <v>74622945</v>
      </c>
      <c r="R21" s="671" t="s">
        <v>1908</v>
      </c>
      <c r="S21" s="672">
        <v>7763661</v>
      </c>
      <c r="T21" s="672">
        <v>20796069</v>
      </c>
      <c r="U21" s="672">
        <v>26501122</v>
      </c>
      <c r="V21" s="672">
        <v>14355045</v>
      </c>
      <c r="W21" s="672">
        <v>2504812</v>
      </c>
      <c r="X21" s="673">
        <f t="shared" si="2"/>
        <v>71920709</v>
      </c>
    </row>
    <row r="22" spans="2:24" x14ac:dyDescent="0.25">
      <c r="B22" s="671" t="s">
        <v>1909</v>
      </c>
      <c r="C22" s="672">
        <v>7443981</v>
      </c>
      <c r="D22" s="672">
        <v>6937379</v>
      </c>
      <c r="E22" s="672">
        <v>21866497</v>
      </c>
      <c r="F22" s="672">
        <v>9275064</v>
      </c>
      <c r="G22" s="672">
        <v>2014082</v>
      </c>
      <c r="H22" s="672">
        <f t="shared" si="0"/>
        <v>47537003</v>
      </c>
      <c r="J22" s="671" t="s">
        <v>1909</v>
      </c>
      <c r="K22" s="672">
        <v>8353434</v>
      </c>
      <c r="L22" s="672">
        <v>6873370</v>
      </c>
      <c r="M22" s="672">
        <v>23742555</v>
      </c>
      <c r="N22" s="672">
        <v>9420700</v>
      </c>
      <c r="O22" s="672">
        <v>1344822</v>
      </c>
      <c r="P22" s="672">
        <f t="shared" si="1"/>
        <v>49734881</v>
      </c>
      <c r="R22" s="671" t="s">
        <v>1909</v>
      </c>
      <c r="S22" s="672">
        <v>8837522</v>
      </c>
      <c r="T22" s="672">
        <v>6847198</v>
      </c>
      <c r="U22" s="672">
        <v>25887598</v>
      </c>
      <c r="V22" s="672">
        <v>9421370</v>
      </c>
      <c r="W22" s="672">
        <v>1317145</v>
      </c>
      <c r="X22" s="673">
        <f t="shared" si="2"/>
        <v>52310833</v>
      </c>
    </row>
    <row r="23" spans="2:24" x14ac:dyDescent="0.25">
      <c r="B23" s="671" t="s">
        <v>1804</v>
      </c>
      <c r="C23" s="672">
        <v>14034951</v>
      </c>
      <c r="D23" s="672">
        <v>18988977</v>
      </c>
      <c r="E23" s="672">
        <v>121064052</v>
      </c>
      <c r="F23" s="672">
        <v>12861818</v>
      </c>
      <c r="G23" s="672">
        <v>701697</v>
      </c>
      <c r="H23" s="672">
        <f t="shared" si="0"/>
        <v>167651495</v>
      </c>
      <c r="J23" s="671" t="s">
        <v>1804</v>
      </c>
      <c r="K23" s="672">
        <v>17631535</v>
      </c>
      <c r="L23" s="672">
        <v>22497105</v>
      </c>
      <c r="M23" s="672">
        <v>122867007</v>
      </c>
      <c r="N23" s="672">
        <v>16668198</v>
      </c>
      <c r="O23" s="672">
        <v>857695</v>
      </c>
      <c r="P23" s="672">
        <f t="shared" si="1"/>
        <v>180521540</v>
      </c>
      <c r="R23" s="671" t="s">
        <v>1804</v>
      </c>
      <c r="S23" s="672">
        <v>31023857</v>
      </c>
      <c r="T23" s="672">
        <v>47440729</v>
      </c>
      <c r="U23" s="672">
        <v>144504893</v>
      </c>
      <c r="V23" s="672">
        <v>27042192</v>
      </c>
      <c r="W23" s="672">
        <v>1062646</v>
      </c>
      <c r="X23" s="673">
        <f t="shared" si="2"/>
        <v>251074317</v>
      </c>
    </row>
    <row r="24" spans="2:24" x14ac:dyDescent="0.25">
      <c r="B24" s="671" t="s">
        <v>1805</v>
      </c>
      <c r="C24" s="672">
        <v>29375841</v>
      </c>
      <c r="D24" s="672">
        <v>71267408</v>
      </c>
      <c r="E24" s="672">
        <v>16063481</v>
      </c>
      <c r="F24" s="672">
        <v>41532539</v>
      </c>
      <c r="G24" s="672">
        <v>11362551</v>
      </c>
      <c r="H24" s="672">
        <f t="shared" si="0"/>
        <v>169601820</v>
      </c>
      <c r="J24" s="671" t="s">
        <v>1805</v>
      </c>
      <c r="K24" s="672">
        <v>32397956</v>
      </c>
      <c r="L24" s="672">
        <v>79380098</v>
      </c>
      <c r="M24" s="672">
        <v>15781670</v>
      </c>
      <c r="N24" s="672">
        <v>45457034</v>
      </c>
      <c r="O24" s="672">
        <v>11774564</v>
      </c>
      <c r="P24" s="672">
        <f t="shared" si="1"/>
        <v>184791322</v>
      </c>
      <c r="R24" s="671" t="s">
        <v>1805</v>
      </c>
      <c r="S24" s="672">
        <v>36153243</v>
      </c>
      <c r="T24" s="672">
        <v>98230284</v>
      </c>
      <c r="U24" s="672">
        <v>17337621</v>
      </c>
      <c r="V24" s="672">
        <v>50514149</v>
      </c>
      <c r="W24" s="672">
        <v>8763807</v>
      </c>
      <c r="X24" s="673">
        <f t="shared" si="2"/>
        <v>210999104</v>
      </c>
    </row>
    <row r="25" spans="2:24" x14ac:dyDescent="0.25">
      <c r="B25" s="671" t="s">
        <v>1806</v>
      </c>
      <c r="C25" s="672">
        <v>37581746</v>
      </c>
      <c r="D25" s="672">
        <v>36298740</v>
      </c>
      <c r="E25" s="672">
        <v>140916167</v>
      </c>
      <c r="F25" s="672">
        <v>30014419</v>
      </c>
      <c r="G25" s="672">
        <v>1085455</v>
      </c>
      <c r="H25" s="672">
        <f t="shared" si="0"/>
        <v>245896527</v>
      </c>
      <c r="J25" s="671" t="s">
        <v>1806</v>
      </c>
      <c r="K25" s="672">
        <v>37573270</v>
      </c>
      <c r="L25" s="672">
        <v>36310672</v>
      </c>
      <c r="M25" s="672">
        <v>140469330</v>
      </c>
      <c r="N25" s="672">
        <v>29990737</v>
      </c>
      <c r="O25" s="672">
        <v>1085455</v>
      </c>
      <c r="P25" s="672">
        <f t="shared" si="1"/>
        <v>245429464</v>
      </c>
      <c r="R25" s="671" t="s">
        <v>1806</v>
      </c>
      <c r="S25" s="672">
        <v>37032251</v>
      </c>
      <c r="T25" s="672">
        <v>36207254</v>
      </c>
      <c r="U25" s="672">
        <v>141284360</v>
      </c>
      <c r="V25" s="672">
        <v>30383606</v>
      </c>
      <c r="W25" s="672">
        <v>1085455</v>
      </c>
      <c r="X25" s="673">
        <f t="shared" si="2"/>
        <v>245992926</v>
      </c>
    </row>
    <row r="26" spans="2:24" x14ac:dyDescent="0.25">
      <c r="B26" s="671" t="s">
        <v>1807</v>
      </c>
      <c r="C26" s="672">
        <v>39663827</v>
      </c>
      <c r="D26" s="672">
        <v>80278422</v>
      </c>
      <c r="E26" s="672">
        <v>17108461</v>
      </c>
      <c r="F26" s="672">
        <v>148118523</v>
      </c>
      <c r="G26" s="672">
        <v>12905901</v>
      </c>
      <c r="H26" s="672">
        <f t="shared" si="0"/>
        <v>298075134</v>
      </c>
      <c r="J26" s="671" t="s">
        <v>1807</v>
      </c>
      <c r="K26" s="672">
        <v>39958638</v>
      </c>
      <c r="L26" s="672">
        <v>80897223</v>
      </c>
      <c r="M26" s="672">
        <v>17223424</v>
      </c>
      <c r="N26" s="672">
        <v>148736019</v>
      </c>
      <c r="O26" s="672">
        <v>13017703</v>
      </c>
      <c r="P26" s="672">
        <f t="shared" si="1"/>
        <v>299833007</v>
      </c>
      <c r="R26" s="671" t="s">
        <v>1807</v>
      </c>
      <c r="S26" s="672">
        <v>40485556</v>
      </c>
      <c r="T26" s="672">
        <v>80480388</v>
      </c>
      <c r="U26" s="672">
        <v>16973517</v>
      </c>
      <c r="V26" s="672">
        <v>147267393</v>
      </c>
      <c r="W26" s="672">
        <v>12361839</v>
      </c>
      <c r="X26" s="673">
        <f t="shared" si="2"/>
        <v>297568693</v>
      </c>
    </row>
    <row r="27" spans="2:24" x14ac:dyDescent="0.25">
      <c r="B27" s="671" t="s">
        <v>1808</v>
      </c>
      <c r="C27" s="672">
        <v>3946359</v>
      </c>
      <c r="D27" s="672">
        <v>9070643</v>
      </c>
      <c r="E27" s="672">
        <v>167451581</v>
      </c>
      <c r="F27" s="672">
        <v>987189</v>
      </c>
      <c r="G27" s="672">
        <v>348917</v>
      </c>
      <c r="H27" s="672">
        <f t="shared" si="0"/>
        <v>181804689</v>
      </c>
      <c r="J27" s="671" t="s">
        <v>1808</v>
      </c>
      <c r="K27" s="672">
        <v>3972284</v>
      </c>
      <c r="L27" s="672">
        <v>9029136</v>
      </c>
      <c r="M27" s="672">
        <v>168099895</v>
      </c>
      <c r="N27" s="672">
        <v>1187365</v>
      </c>
      <c r="O27" s="672">
        <v>348917</v>
      </c>
      <c r="P27" s="672">
        <f t="shared" si="1"/>
        <v>182637597</v>
      </c>
      <c r="R27" s="671" t="s">
        <v>1808</v>
      </c>
      <c r="S27" s="672">
        <v>3661234</v>
      </c>
      <c r="T27" s="672">
        <v>9602649</v>
      </c>
      <c r="U27" s="672">
        <v>175901666</v>
      </c>
      <c r="V27" s="672">
        <v>1880312</v>
      </c>
      <c r="W27" s="672">
        <v>149890</v>
      </c>
      <c r="X27" s="673">
        <f t="shared" si="2"/>
        <v>191195751</v>
      </c>
    </row>
    <row r="28" spans="2:24" x14ac:dyDescent="0.25">
      <c r="B28" s="671" t="s">
        <v>1809</v>
      </c>
      <c r="C28" s="672">
        <v>228896648</v>
      </c>
      <c r="D28" s="672">
        <v>427500252</v>
      </c>
      <c r="E28" s="672">
        <v>289735863</v>
      </c>
      <c r="F28" s="672">
        <v>154628622</v>
      </c>
      <c r="G28" s="672">
        <v>6928394</v>
      </c>
      <c r="H28" s="672">
        <f t="shared" si="0"/>
        <v>1107689779</v>
      </c>
      <c r="J28" s="671" t="s">
        <v>1809</v>
      </c>
      <c r="K28" s="672">
        <v>230086078</v>
      </c>
      <c r="L28" s="672">
        <v>435957979</v>
      </c>
      <c r="M28" s="672">
        <v>298140292</v>
      </c>
      <c r="N28" s="672">
        <v>158690656</v>
      </c>
      <c r="O28" s="672">
        <v>7250476</v>
      </c>
      <c r="P28" s="672">
        <f t="shared" si="1"/>
        <v>1130125481</v>
      </c>
      <c r="R28" s="671" t="s">
        <v>1809</v>
      </c>
      <c r="S28" s="672">
        <v>227201721</v>
      </c>
      <c r="T28" s="672">
        <v>428326748</v>
      </c>
      <c r="U28" s="672">
        <v>290443561</v>
      </c>
      <c r="V28" s="672">
        <v>154339374</v>
      </c>
      <c r="W28" s="672">
        <v>10509615</v>
      </c>
      <c r="X28" s="673">
        <f t="shared" si="2"/>
        <v>1110821019</v>
      </c>
    </row>
    <row r="29" spans="2:24" x14ac:dyDescent="0.25">
      <c r="B29" s="671" t="s">
        <v>1810</v>
      </c>
      <c r="C29" s="672">
        <v>62895103</v>
      </c>
      <c r="D29" s="672">
        <v>59169663</v>
      </c>
      <c r="E29" s="672">
        <v>156280437</v>
      </c>
      <c r="F29" s="672">
        <v>41960712</v>
      </c>
      <c r="G29" s="672">
        <v>2255107</v>
      </c>
      <c r="H29" s="672">
        <f t="shared" si="0"/>
        <v>322561022</v>
      </c>
      <c r="J29" s="671" t="s">
        <v>1810</v>
      </c>
      <c r="K29" s="672">
        <v>62917640</v>
      </c>
      <c r="L29" s="672">
        <v>60085654</v>
      </c>
      <c r="M29" s="672">
        <v>164931891</v>
      </c>
      <c r="N29" s="672">
        <v>46392895</v>
      </c>
      <c r="O29" s="672">
        <v>2255107</v>
      </c>
      <c r="P29" s="672">
        <f t="shared" si="1"/>
        <v>336583187</v>
      </c>
      <c r="R29" s="671" t="s">
        <v>1810</v>
      </c>
      <c r="S29" s="672">
        <v>67640007</v>
      </c>
      <c r="T29" s="672">
        <v>61634966</v>
      </c>
      <c r="U29" s="672">
        <v>169605368</v>
      </c>
      <c r="V29" s="672">
        <v>52444540</v>
      </c>
      <c r="W29" s="672">
        <v>2255107</v>
      </c>
      <c r="X29" s="673">
        <f t="shared" si="2"/>
        <v>353579988</v>
      </c>
    </row>
    <row r="30" spans="2:24" x14ac:dyDescent="0.25">
      <c r="B30" s="671" t="s">
        <v>1910</v>
      </c>
      <c r="C30" s="672">
        <v>2175707</v>
      </c>
      <c r="D30" s="672">
        <v>1515541</v>
      </c>
      <c r="E30" s="672">
        <v>1782262</v>
      </c>
      <c r="F30" s="672">
        <v>622231</v>
      </c>
      <c r="G30" s="672">
        <v>61420</v>
      </c>
      <c r="H30" s="672">
        <f t="shared" si="0"/>
        <v>6157161</v>
      </c>
      <c r="J30" s="671" t="s">
        <v>1910</v>
      </c>
      <c r="K30" s="672">
        <v>2261621</v>
      </c>
      <c r="L30" s="672">
        <v>1039907</v>
      </c>
      <c r="M30" s="672">
        <v>1173038</v>
      </c>
      <c r="N30" s="672">
        <v>610594</v>
      </c>
      <c r="O30" s="672">
        <v>78643</v>
      </c>
      <c r="P30" s="672">
        <f t="shared" si="1"/>
        <v>5163803</v>
      </c>
      <c r="R30" s="671" t="s">
        <v>1910</v>
      </c>
      <c r="S30" s="672">
        <v>2880012</v>
      </c>
      <c r="T30" s="672">
        <v>1064756</v>
      </c>
      <c r="U30" s="672">
        <v>1373019</v>
      </c>
      <c r="V30" s="672">
        <v>500663</v>
      </c>
      <c r="W30" s="672">
        <v>82201</v>
      </c>
      <c r="X30" s="673">
        <f t="shared" si="2"/>
        <v>5900651</v>
      </c>
    </row>
    <row r="31" spans="2:24" x14ac:dyDescent="0.25">
      <c r="B31" s="675" t="s">
        <v>1723</v>
      </c>
      <c r="C31" s="676">
        <v>0</v>
      </c>
      <c r="D31" s="676">
        <v>22655</v>
      </c>
      <c r="E31" s="676">
        <v>35235</v>
      </c>
      <c r="F31" s="676">
        <v>26233</v>
      </c>
      <c r="G31" s="676">
        <v>0</v>
      </c>
      <c r="H31" s="672">
        <f t="shared" si="0"/>
        <v>84123</v>
      </c>
      <c r="J31" s="671" t="s">
        <v>1723</v>
      </c>
      <c r="K31" s="672">
        <v>21078</v>
      </c>
      <c r="L31" s="672">
        <v>1928</v>
      </c>
      <c r="M31" s="672">
        <v>4219</v>
      </c>
      <c r="N31" s="672">
        <v>0</v>
      </c>
      <c r="O31" s="672">
        <v>0</v>
      </c>
      <c r="P31" s="672">
        <f t="shared" si="1"/>
        <v>27225</v>
      </c>
      <c r="R31" s="671" t="s">
        <v>1723</v>
      </c>
      <c r="S31" s="672">
        <v>1382205</v>
      </c>
      <c r="T31" s="672">
        <v>2158725</v>
      </c>
      <c r="U31" s="672">
        <v>3758303</v>
      </c>
      <c r="V31" s="672">
        <v>2263817</v>
      </c>
      <c r="W31" s="672">
        <v>21458</v>
      </c>
      <c r="X31" s="673">
        <f t="shared" si="2"/>
        <v>9584508</v>
      </c>
    </row>
    <row r="32" spans="2:24" x14ac:dyDescent="0.25">
      <c r="B32" s="675" t="s">
        <v>1911</v>
      </c>
      <c r="C32" s="676">
        <v>5470829</v>
      </c>
      <c r="D32" s="676">
        <v>5845685</v>
      </c>
      <c r="E32" s="676">
        <v>3554609</v>
      </c>
      <c r="F32" s="676">
        <v>22823742</v>
      </c>
      <c r="G32" s="676">
        <v>1478726</v>
      </c>
      <c r="H32" s="672">
        <f t="shared" si="0"/>
        <v>39173591</v>
      </c>
      <c r="J32" s="671" t="s">
        <v>1911</v>
      </c>
      <c r="K32" s="672">
        <v>4897602</v>
      </c>
      <c r="L32" s="672">
        <v>5466094</v>
      </c>
      <c r="M32" s="672">
        <v>3606324</v>
      </c>
      <c r="N32" s="672">
        <v>23379213</v>
      </c>
      <c r="O32" s="672">
        <v>1842809</v>
      </c>
      <c r="P32" s="672">
        <f t="shared" si="1"/>
        <v>39192042</v>
      </c>
      <c r="R32" s="671" t="s">
        <v>1911</v>
      </c>
      <c r="S32" s="672">
        <v>3492330</v>
      </c>
      <c r="T32" s="672">
        <v>4558481</v>
      </c>
      <c r="U32" s="672">
        <v>3335810</v>
      </c>
      <c r="V32" s="672">
        <v>23249516</v>
      </c>
      <c r="W32" s="672">
        <v>1536263</v>
      </c>
      <c r="X32" s="673">
        <f t="shared" si="2"/>
        <v>36172400</v>
      </c>
    </row>
    <row r="33" spans="2:24" x14ac:dyDescent="0.25">
      <c r="B33" s="675" t="s">
        <v>1912</v>
      </c>
      <c r="C33" s="676">
        <v>581509</v>
      </c>
      <c r="D33" s="676">
        <v>588231</v>
      </c>
      <c r="E33" s="676">
        <v>430174</v>
      </c>
      <c r="F33" s="676">
        <v>338589</v>
      </c>
      <c r="G33" s="676">
        <v>275086</v>
      </c>
      <c r="H33" s="672">
        <f t="shared" si="0"/>
        <v>2213589</v>
      </c>
      <c r="J33" s="671" t="s">
        <v>1912</v>
      </c>
      <c r="K33" s="672">
        <v>31880</v>
      </c>
      <c r="L33" s="672">
        <v>53552</v>
      </c>
      <c r="M33" s="672">
        <v>23102</v>
      </c>
      <c r="N33" s="672">
        <v>26843</v>
      </c>
      <c r="O33" s="672">
        <v>3690</v>
      </c>
      <c r="P33" s="672">
        <f t="shared" si="1"/>
        <v>139067</v>
      </c>
      <c r="R33" s="671" t="s">
        <v>1912</v>
      </c>
      <c r="S33" s="672">
        <v>77084</v>
      </c>
      <c r="T33" s="672">
        <v>227008</v>
      </c>
      <c r="U33" s="672">
        <v>223947</v>
      </c>
      <c r="V33" s="672">
        <v>119147</v>
      </c>
      <c r="W33" s="672">
        <v>25193</v>
      </c>
      <c r="X33" s="673">
        <f t="shared" si="2"/>
        <v>672379</v>
      </c>
    </row>
    <row r="34" spans="2:24" x14ac:dyDescent="0.25">
      <c r="B34" s="677" t="s">
        <v>1913</v>
      </c>
      <c r="C34" s="678">
        <f t="shared" ref="C34:H34" si="3">SUM(C4:C29)</f>
        <v>696816095</v>
      </c>
      <c r="D34" s="678">
        <f t="shared" si="3"/>
        <v>1418854322</v>
      </c>
      <c r="E34" s="678">
        <f t="shared" si="3"/>
        <v>1771659985</v>
      </c>
      <c r="F34" s="678">
        <f t="shared" si="3"/>
        <v>1174436552</v>
      </c>
      <c r="G34" s="678">
        <f t="shared" si="3"/>
        <v>318088509</v>
      </c>
      <c r="H34" s="678">
        <f t="shared" si="3"/>
        <v>5379855463</v>
      </c>
      <c r="J34" s="677" t="s">
        <v>1913</v>
      </c>
      <c r="K34" s="678">
        <f>SUM(K4:K29)</f>
        <v>710725602</v>
      </c>
      <c r="L34" s="678">
        <f t="shared" ref="L34:O34" si="4">SUM(L4:L29)</f>
        <v>1442017191</v>
      </c>
      <c r="M34" s="678">
        <f t="shared" si="4"/>
        <v>1693794465</v>
      </c>
      <c r="N34" s="678">
        <f t="shared" si="4"/>
        <v>1200799470</v>
      </c>
      <c r="O34" s="678">
        <f t="shared" si="4"/>
        <v>322992147</v>
      </c>
      <c r="P34" s="678">
        <f>SUM(P4:P29)</f>
        <v>5370328875</v>
      </c>
      <c r="R34" s="677" t="s">
        <v>1913</v>
      </c>
      <c r="S34" s="678">
        <f>SUM(S4:S29)</f>
        <v>731539341</v>
      </c>
      <c r="T34" s="678">
        <f>SUM(T4:T29)</f>
        <v>1473393020</v>
      </c>
      <c r="U34" s="678">
        <f t="shared" ref="U34:V34" si="5">SUM(U4:U29)</f>
        <v>1818345759</v>
      </c>
      <c r="V34" s="678">
        <f t="shared" si="5"/>
        <v>1210234531</v>
      </c>
      <c r="W34" s="678">
        <f>SUM(W4:W29)</f>
        <v>289693485</v>
      </c>
      <c r="X34" s="673">
        <f>SUM(S34:W34)</f>
        <v>5523206136</v>
      </c>
    </row>
    <row r="35" spans="2:24" x14ac:dyDescent="0.25">
      <c r="B35" s="683"/>
      <c r="C35" s="684"/>
      <c r="D35" s="684"/>
      <c r="E35" s="684"/>
      <c r="F35" s="684"/>
      <c r="G35" s="684"/>
      <c r="H35" s="684"/>
      <c r="J35" s="683"/>
      <c r="K35" s="684"/>
      <c r="L35" s="684"/>
      <c r="M35" s="684"/>
      <c r="N35" s="684"/>
      <c r="O35" s="684"/>
      <c r="P35" s="684"/>
      <c r="R35" s="683"/>
      <c r="S35" s="684"/>
      <c r="T35" s="684"/>
      <c r="U35" s="684"/>
      <c r="V35" s="684"/>
      <c r="W35" s="684"/>
      <c r="X35" s="685"/>
    </row>
    <row r="36" spans="2:24" x14ac:dyDescent="0.25">
      <c r="B36" s="472" t="s">
        <v>1914</v>
      </c>
      <c r="C36" s="494" t="s">
        <v>1635</v>
      </c>
      <c r="D36" s="494" t="s">
        <v>1636</v>
      </c>
      <c r="E36" s="494" t="s">
        <v>1637</v>
      </c>
      <c r="F36" s="494" t="s">
        <v>1419</v>
      </c>
      <c r="G36" s="684"/>
      <c r="H36" s="684"/>
      <c r="J36" s="472" t="s">
        <v>1914</v>
      </c>
      <c r="K36" s="494" t="s">
        <v>1635</v>
      </c>
      <c r="L36" s="494" t="s">
        <v>1636</v>
      </c>
      <c r="M36" s="494" t="s">
        <v>1637</v>
      </c>
      <c r="N36" s="494" t="s">
        <v>1419</v>
      </c>
      <c r="O36" s="684"/>
      <c r="P36" s="684"/>
      <c r="R36" s="472" t="s">
        <v>1914</v>
      </c>
      <c r="S36" s="494" t="s">
        <v>1635</v>
      </c>
      <c r="T36" s="494" t="s">
        <v>1636</v>
      </c>
      <c r="U36" s="494" t="s">
        <v>1637</v>
      </c>
      <c r="V36" s="494" t="s">
        <v>1419</v>
      </c>
      <c r="W36" s="684"/>
      <c r="X36" s="685"/>
    </row>
    <row r="37" spans="2:24" x14ac:dyDescent="0.25">
      <c r="B37" s="497" t="s">
        <v>1644</v>
      </c>
      <c r="C37" s="473">
        <f>SUM(C4:C7,C23:C29)</f>
        <v>525919406</v>
      </c>
      <c r="D37" s="473">
        <f>SUM(C8:C14,C18:C22)</f>
        <v>126397823</v>
      </c>
      <c r="E37" s="473">
        <f>SUM(C15:C17)</f>
        <v>44498866</v>
      </c>
      <c r="F37" s="473">
        <f>SUM(C37:E37)</f>
        <v>696816095</v>
      </c>
      <c r="G37" s="684"/>
      <c r="H37" s="684"/>
      <c r="J37" s="497" t="s">
        <v>1644</v>
      </c>
      <c r="K37" s="473">
        <f>SUM(K4:K7,K23:K29)</f>
        <v>534687533</v>
      </c>
      <c r="L37" s="473">
        <f>SUM(K8:K14,K18:K22)</f>
        <v>130426009</v>
      </c>
      <c r="M37" s="473">
        <f>SUM(K15:K17)</f>
        <v>45612060</v>
      </c>
      <c r="N37" s="473">
        <f>SUM(K37:M37)</f>
        <v>710725602</v>
      </c>
      <c r="O37" s="684"/>
      <c r="P37" s="684"/>
      <c r="R37" s="497" t="s">
        <v>1644</v>
      </c>
      <c r="S37" s="473">
        <f>SUM(S4:S7,S23:S29)</f>
        <v>548823686</v>
      </c>
      <c r="T37" s="473">
        <f>SUM(S8:S14,S18:S22)</f>
        <v>136542752</v>
      </c>
      <c r="U37" s="473">
        <f>SUM(S15:S17)</f>
        <v>46172903</v>
      </c>
      <c r="V37" s="473">
        <f>SUM(S37:U37)</f>
        <v>731539341</v>
      </c>
      <c r="W37" s="684"/>
      <c r="X37" s="685"/>
    </row>
    <row r="38" spans="2:24" x14ac:dyDescent="0.25">
      <c r="B38" s="497" t="s">
        <v>1649</v>
      </c>
      <c r="C38" s="473">
        <f>SUM(D4:D7,D23:D29)</f>
        <v>1055687168</v>
      </c>
      <c r="D38" s="473">
        <f>SUM(D8:D14,D18:D22)</f>
        <v>235036198</v>
      </c>
      <c r="E38" s="473">
        <f>SUM(D15:D17)</f>
        <v>128130956</v>
      </c>
      <c r="F38" s="473">
        <f t="shared" ref="F38:F42" si="6">SUM(C38:E38)</f>
        <v>1418854322</v>
      </c>
      <c r="G38" s="684"/>
      <c r="H38" s="684"/>
      <c r="J38" s="497" t="s">
        <v>1649</v>
      </c>
      <c r="K38" s="473">
        <f>SUM(L4:L7,L23:L29)</f>
        <v>1078819491</v>
      </c>
      <c r="L38" s="473">
        <f>SUM(L8:L14,L18:L22)</f>
        <v>240635485</v>
      </c>
      <c r="M38" s="473">
        <f>SUM(L15:L17)</f>
        <v>122562215</v>
      </c>
      <c r="N38" s="473">
        <f t="shared" ref="N38:N42" si="7">SUM(K38:M38)</f>
        <v>1442017191</v>
      </c>
      <c r="O38" s="684"/>
      <c r="P38" s="684"/>
      <c r="R38" s="497" t="s">
        <v>1649</v>
      </c>
      <c r="S38" s="473">
        <f>SUM(T4:T7,T23:T29)</f>
        <v>1095286574</v>
      </c>
      <c r="T38" s="473">
        <f>SUM(T8:T14,T18:T22)</f>
        <v>267110675</v>
      </c>
      <c r="U38" s="473">
        <f>SUM(T15:T17)</f>
        <v>110995771</v>
      </c>
      <c r="V38" s="473">
        <f t="shared" ref="V38:V42" si="8">SUM(S38:U38)</f>
        <v>1473393020</v>
      </c>
      <c r="W38" s="684"/>
      <c r="X38" s="685"/>
    </row>
    <row r="39" spans="2:24" x14ac:dyDescent="0.25">
      <c r="B39" s="497" t="s">
        <v>1650</v>
      </c>
      <c r="C39" s="473">
        <f>SUM(E4:E7,E23:E29)</f>
        <v>924431277</v>
      </c>
      <c r="D39" s="473">
        <f>SUM(E8:E14,E18:E22)</f>
        <v>799360154</v>
      </c>
      <c r="E39" s="473">
        <f>SUM(E15:E17)</f>
        <v>47868554</v>
      </c>
      <c r="F39" s="473">
        <f t="shared" si="6"/>
        <v>1771659985</v>
      </c>
      <c r="G39" s="684"/>
      <c r="H39" s="684"/>
      <c r="J39" s="497" t="s">
        <v>1650</v>
      </c>
      <c r="K39" s="473">
        <f>SUM(M4:M7,M23:M29)</f>
        <v>944470972</v>
      </c>
      <c r="L39" s="473">
        <f>SUM(M8:M14,M18:M22)</f>
        <v>709626903</v>
      </c>
      <c r="M39" s="473">
        <f>SUM(M15:M17)</f>
        <v>39696590</v>
      </c>
      <c r="N39" s="473">
        <f t="shared" si="7"/>
        <v>1693794465</v>
      </c>
      <c r="O39" s="684"/>
      <c r="P39" s="684"/>
      <c r="R39" s="497" t="s">
        <v>1650</v>
      </c>
      <c r="S39" s="473">
        <f>SUM(U4:U7,U23:U29)</f>
        <v>973706873</v>
      </c>
      <c r="T39" s="473">
        <f>SUM(U8:U14,U18:U22)</f>
        <v>813952670</v>
      </c>
      <c r="U39" s="473">
        <f>SUM(U15:U17)</f>
        <v>30686216</v>
      </c>
      <c r="V39" s="473">
        <f t="shared" si="8"/>
        <v>1818345759</v>
      </c>
      <c r="W39" s="684"/>
      <c r="X39" s="685"/>
    </row>
    <row r="40" spans="2:24" x14ac:dyDescent="0.25">
      <c r="B40" s="497" t="s">
        <v>1651</v>
      </c>
      <c r="C40" s="473">
        <f>SUM(F4:F7,F23:F29)</f>
        <v>883000741</v>
      </c>
      <c r="D40" s="473">
        <f>SUM(F8:F14,F18:F22)</f>
        <v>183709140</v>
      </c>
      <c r="E40" s="473">
        <f>SUM(F15:F17)</f>
        <v>107726671</v>
      </c>
      <c r="F40" s="473">
        <f t="shared" si="6"/>
        <v>1174436552</v>
      </c>
      <c r="G40" s="684"/>
      <c r="H40" s="684"/>
      <c r="J40" s="497" t="s">
        <v>1651</v>
      </c>
      <c r="K40" s="473">
        <f>SUM(N4:N7,N23:N29)</f>
        <v>905001398</v>
      </c>
      <c r="L40" s="473">
        <f>SUM(N8:N14,N18:N22)</f>
        <v>184890678</v>
      </c>
      <c r="M40" s="473">
        <f>SUM(N15:N17)</f>
        <v>110907394</v>
      </c>
      <c r="N40" s="473">
        <f t="shared" si="7"/>
        <v>1200799470</v>
      </c>
      <c r="O40" s="684"/>
      <c r="P40" s="684"/>
      <c r="R40" s="497" t="s">
        <v>1651</v>
      </c>
      <c r="S40" s="473">
        <f>SUM(V4:V7,V23:V29)</f>
        <v>899339771</v>
      </c>
      <c r="T40" s="473">
        <f>SUM(V8:V14,V18:V22)</f>
        <v>206490818</v>
      </c>
      <c r="U40" s="473">
        <f>SUM(V15:V17)</f>
        <v>104403942</v>
      </c>
      <c r="V40" s="473">
        <f t="shared" si="8"/>
        <v>1210234531</v>
      </c>
      <c r="W40" s="684"/>
      <c r="X40" s="685"/>
    </row>
    <row r="41" spans="2:24" x14ac:dyDescent="0.25">
      <c r="B41" s="497" t="s">
        <v>1844</v>
      </c>
      <c r="C41" s="473">
        <f>SUM(G4:G7,G23:G29)</f>
        <v>234376195</v>
      </c>
      <c r="D41" s="473">
        <f>SUM(G8:G14,G18:G22)</f>
        <v>72314639</v>
      </c>
      <c r="E41" s="473">
        <f>SUM(G15:G17)</f>
        <v>11397675</v>
      </c>
      <c r="F41" s="473">
        <f t="shared" si="6"/>
        <v>318088509</v>
      </c>
      <c r="G41" s="684"/>
      <c r="H41" s="684"/>
      <c r="J41" s="497" t="s">
        <v>1844</v>
      </c>
      <c r="K41" s="473">
        <f>SUM(O4:O7,O23:O29)</f>
        <v>239682296</v>
      </c>
      <c r="L41" s="473">
        <f>SUM(O8:O14,O18:O22)</f>
        <v>72524997</v>
      </c>
      <c r="M41" s="473">
        <f>SUM(O15:O17)</f>
        <v>10784854</v>
      </c>
      <c r="N41" s="473">
        <f t="shared" si="7"/>
        <v>322992147</v>
      </c>
      <c r="O41" s="684"/>
      <c r="P41" s="684"/>
      <c r="R41" s="497" t="s">
        <v>1844</v>
      </c>
      <c r="S41" s="473">
        <f>SUM(W4:W7,W23:W29)</f>
        <v>226625223</v>
      </c>
      <c r="T41" s="473">
        <f>SUM(W8:W14,W18:W22)</f>
        <v>48774016</v>
      </c>
      <c r="U41" s="473">
        <f>SUM(W15:W17)</f>
        <v>14294246</v>
      </c>
      <c r="V41" s="473">
        <f t="shared" si="8"/>
        <v>289693485</v>
      </c>
      <c r="W41" s="684"/>
      <c r="X41" s="685"/>
    </row>
    <row r="42" spans="2:24" x14ac:dyDescent="0.25">
      <c r="B42" s="374" t="s">
        <v>1653</v>
      </c>
      <c r="C42" s="473">
        <f>SUM(C37:C41)</f>
        <v>3623414787</v>
      </c>
      <c r="D42" s="473">
        <f>SUM(D37:D41)</f>
        <v>1416817954</v>
      </c>
      <c r="E42" s="473">
        <f>SUM(E37:E41)</f>
        <v>339622722</v>
      </c>
      <c r="F42" s="473">
        <f t="shared" si="6"/>
        <v>5379855463</v>
      </c>
      <c r="G42" s="684"/>
      <c r="H42" s="684"/>
      <c r="J42" s="374" t="s">
        <v>1653</v>
      </c>
      <c r="K42" s="473">
        <f>SUM(K37:K41)</f>
        <v>3702661690</v>
      </c>
      <c r="L42" s="473">
        <f>SUM(L37:L41)</f>
        <v>1338104072</v>
      </c>
      <c r="M42" s="473">
        <f>SUM(M37:M41)</f>
        <v>329563113</v>
      </c>
      <c r="N42" s="473">
        <f t="shared" si="7"/>
        <v>5370328875</v>
      </c>
      <c r="O42" s="684"/>
      <c r="P42" s="684"/>
      <c r="R42" s="374" t="s">
        <v>1653</v>
      </c>
      <c r="S42" s="473">
        <f>SUM(S37:S41)</f>
        <v>3743782127</v>
      </c>
      <c r="T42" s="473">
        <f>SUM(T37:T41)</f>
        <v>1472870931</v>
      </c>
      <c r="U42" s="473">
        <f>SUM(U37:U41)</f>
        <v>306553078</v>
      </c>
      <c r="V42" s="473">
        <f t="shared" si="8"/>
        <v>5523206136</v>
      </c>
      <c r="W42" s="684"/>
      <c r="X42" s="685"/>
    </row>
    <row r="43" spans="2:24" x14ac:dyDescent="0.25">
      <c r="B43" s="488"/>
      <c r="C43" s="493"/>
      <c r="D43" s="493"/>
      <c r="E43" s="493"/>
      <c r="F43" s="493"/>
      <c r="G43" s="684"/>
      <c r="H43" s="684"/>
      <c r="J43" s="488"/>
      <c r="K43" s="493"/>
      <c r="L43" s="493"/>
      <c r="M43" s="493"/>
      <c r="N43" s="493"/>
      <c r="O43" s="684"/>
      <c r="P43" s="684"/>
      <c r="R43" s="488"/>
      <c r="S43" s="493"/>
      <c r="T43" s="493"/>
      <c r="U43" s="493"/>
      <c r="V43" s="493"/>
      <c r="W43" s="684"/>
      <c r="X43" s="685"/>
    </row>
    <row r="44" spans="2:24" x14ac:dyDescent="0.25">
      <c r="B44" s="478" t="s">
        <v>1915</v>
      </c>
      <c r="C44" s="494" t="s">
        <v>1635</v>
      </c>
      <c r="D44" s="494" t="s">
        <v>1636</v>
      </c>
      <c r="E44" s="494" t="s">
        <v>1637</v>
      </c>
      <c r="F44" s="488"/>
      <c r="G44" s="684"/>
      <c r="H44" s="684"/>
      <c r="J44" s="478" t="s">
        <v>1915</v>
      </c>
      <c r="K44" s="494" t="s">
        <v>1635</v>
      </c>
      <c r="L44" s="494" t="s">
        <v>1636</v>
      </c>
      <c r="M44" s="494" t="s">
        <v>1637</v>
      </c>
      <c r="N44" s="493"/>
      <c r="O44" s="684"/>
      <c r="P44" s="684"/>
      <c r="R44" s="478" t="s">
        <v>1915</v>
      </c>
      <c r="S44" s="494" t="s">
        <v>1635</v>
      </c>
      <c r="T44" s="494" t="s">
        <v>1636</v>
      </c>
      <c r="U44" s="494" t="s">
        <v>1637</v>
      </c>
      <c r="V44" s="493"/>
      <c r="W44" s="684"/>
      <c r="X44" s="685"/>
    </row>
    <row r="45" spans="2:24" x14ac:dyDescent="0.25">
      <c r="B45" s="497" t="s">
        <v>1644</v>
      </c>
      <c r="C45" s="452">
        <f>C37/C$42</f>
        <v>0.14514468724002588</v>
      </c>
      <c r="D45" s="452">
        <f t="shared" ref="D45" si="9">D37/D$42</f>
        <v>8.9212465612219363E-2</v>
      </c>
      <c r="E45" s="452">
        <f>E37/E$42</f>
        <v>0.13102440772499316</v>
      </c>
      <c r="F45" s="686"/>
      <c r="G45" s="684"/>
      <c r="H45" s="684"/>
      <c r="J45" s="497" t="s">
        <v>1644</v>
      </c>
      <c r="K45" s="452">
        <f>K37/K$42</f>
        <v>0.14440626170197041</v>
      </c>
      <c r="L45" s="452">
        <f t="shared" ref="L45:M45" si="10">L37/L$42</f>
        <v>9.747075113900408E-2</v>
      </c>
      <c r="M45" s="452">
        <f t="shared" si="10"/>
        <v>0.13840159350600623</v>
      </c>
      <c r="N45" s="493"/>
      <c r="O45" s="684"/>
      <c r="P45" s="684"/>
      <c r="R45" s="497" t="s">
        <v>1644</v>
      </c>
      <c r="S45" s="452">
        <f>S37/S$42</f>
        <v>0.14659605377190796</v>
      </c>
      <c r="T45" s="452">
        <f t="shared" ref="T45:U45" si="11">T37/T$42</f>
        <v>9.270517132638012E-2</v>
      </c>
      <c r="U45" s="452">
        <f t="shared" si="11"/>
        <v>0.15061960330406468</v>
      </c>
      <c r="V45" s="493"/>
      <c r="W45" s="684"/>
      <c r="X45" s="685"/>
    </row>
    <row r="46" spans="2:24" x14ac:dyDescent="0.25">
      <c r="B46" s="497" t="s">
        <v>1649</v>
      </c>
      <c r="C46" s="452">
        <f t="shared" ref="C46:E49" si="12">C38/C$42</f>
        <v>0.29135145437601262</v>
      </c>
      <c r="D46" s="452">
        <f t="shared" si="12"/>
        <v>0.16589018888166912</v>
      </c>
      <c r="E46" s="452">
        <f t="shared" si="12"/>
        <v>0.37727439214152464</v>
      </c>
      <c r="F46" s="686"/>
      <c r="G46" s="684"/>
      <c r="H46" s="684"/>
      <c r="J46" s="497" t="s">
        <v>1649</v>
      </c>
      <c r="K46" s="452">
        <f t="shared" ref="K46:M49" si="13">K38/K$42</f>
        <v>0.29136323578079854</v>
      </c>
      <c r="L46" s="452">
        <f t="shared" si="13"/>
        <v>0.17983316098899069</v>
      </c>
      <c r="M46" s="452">
        <f t="shared" si="13"/>
        <v>0.3718930006587236</v>
      </c>
      <c r="N46" s="493"/>
      <c r="O46" s="684"/>
      <c r="P46" s="684"/>
      <c r="R46" s="497" t="s">
        <v>1649</v>
      </c>
      <c r="S46" s="452">
        <f t="shared" ref="S46:U49" si="14">S38/S$42</f>
        <v>0.29256151582669276</v>
      </c>
      <c r="T46" s="452">
        <f t="shared" si="14"/>
        <v>0.18135375570121834</v>
      </c>
      <c r="U46" s="452">
        <f t="shared" si="14"/>
        <v>0.36207684399763229</v>
      </c>
      <c r="V46" s="493"/>
      <c r="W46" s="684"/>
      <c r="X46" s="685"/>
    </row>
    <row r="47" spans="2:24" x14ac:dyDescent="0.25">
      <c r="B47" s="497" t="s">
        <v>1650</v>
      </c>
      <c r="C47" s="452">
        <f t="shared" si="12"/>
        <v>0.25512709180209014</v>
      </c>
      <c r="D47" s="452">
        <f t="shared" si="12"/>
        <v>0.56419397548091776</v>
      </c>
      <c r="E47" s="452">
        <f t="shared" si="12"/>
        <v>0.14094626448462422</v>
      </c>
      <c r="F47" s="686"/>
      <c r="G47" s="684"/>
      <c r="H47" s="684"/>
      <c r="J47" s="497" t="s">
        <v>1650</v>
      </c>
      <c r="K47" s="452">
        <f t="shared" si="13"/>
        <v>0.25507892728919557</v>
      </c>
      <c r="L47" s="452">
        <f t="shared" si="13"/>
        <v>0.53032265415600643</v>
      </c>
      <c r="M47" s="452">
        <f t="shared" si="13"/>
        <v>0.12045216358907254</v>
      </c>
      <c r="N47" s="493"/>
      <c r="O47" s="684"/>
      <c r="P47" s="684"/>
      <c r="R47" s="497" t="s">
        <v>1650</v>
      </c>
      <c r="S47" s="452">
        <f t="shared" si="14"/>
        <v>0.26008641527979603</v>
      </c>
      <c r="T47" s="452">
        <f t="shared" si="14"/>
        <v>0.55263000502519932</v>
      </c>
      <c r="U47" s="452">
        <f t="shared" si="14"/>
        <v>0.10010082495403945</v>
      </c>
      <c r="V47" s="493"/>
      <c r="W47" s="684"/>
      <c r="X47" s="685"/>
    </row>
    <row r="48" spans="2:24" x14ac:dyDescent="0.25">
      <c r="B48" s="497" t="s">
        <v>1651</v>
      </c>
      <c r="C48" s="452">
        <f t="shared" si="12"/>
        <v>0.24369297828336098</v>
      </c>
      <c r="D48" s="452">
        <f t="shared" si="12"/>
        <v>0.12966319313031519</v>
      </c>
      <c r="E48" s="452">
        <f t="shared" si="12"/>
        <v>0.31719512276920037</v>
      </c>
      <c r="F48" s="686"/>
      <c r="G48" s="684"/>
      <c r="H48" s="684"/>
      <c r="J48" s="497" t="s">
        <v>1651</v>
      </c>
      <c r="K48" s="452">
        <f t="shared" si="13"/>
        <v>0.24441914324611169</v>
      </c>
      <c r="L48" s="452">
        <f t="shared" si="13"/>
        <v>0.13817361584114513</v>
      </c>
      <c r="M48" s="452">
        <f t="shared" si="13"/>
        <v>0.33652854225830792</v>
      </c>
      <c r="N48" s="493"/>
      <c r="O48" s="684"/>
      <c r="P48" s="684"/>
      <c r="R48" s="497" t="s">
        <v>1651</v>
      </c>
      <c r="S48" s="452">
        <f t="shared" si="14"/>
        <v>0.2402222513201287</v>
      </c>
      <c r="T48" s="452">
        <f t="shared" si="14"/>
        <v>0.14019613915511514</v>
      </c>
      <c r="U48" s="452">
        <f t="shared" si="14"/>
        <v>0.34057378474601385</v>
      </c>
      <c r="V48" s="493"/>
      <c r="W48" s="684"/>
      <c r="X48" s="685"/>
    </row>
    <row r="49" spans="2:24" x14ac:dyDescent="0.25">
      <c r="B49" s="497" t="s">
        <v>1844</v>
      </c>
      <c r="C49" s="452">
        <f t="shared" si="12"/>
        <v>6.4683788298510361E-2</v>
      </c>
      <c r="D49" s="452">
        <f t="shared" si="12"/>
        <v>5.1040176894878622E-2</v>
      </c>
      <c r="E49" s="452">
        <f t="shared" si="12"/>
        <v>3.3559812879657681E-2</v>
      </c>
      <c r="F49" s="686"/>
      <c r="G49" s="684"/>
      <c r="H49" s="684"/>
      <c r="J49" s="497" t="s">
        <v>1844</v>
      </c>
      <c r="K49" s="452">
        <f t="shared" si="13"/>
        <v>6.4732431981923799E-2</v>
      </c>
      <c r="L49" s="452">
        <f t="shared" si="13"/>
        <v>5.4199817874853611E-2</v>
      </c>
      <c r="M49" s="452">
        <f t="shared" si="13"/>
        <v>3.2724699987889724E-2</v>
      </c>
      <c r="N49" s="493"/>
      <c r="O49" s="684"/>
      <c r="P49" s="684"/>
      <c r="R49" s="497" t="s">
        <v>1844</v>
      </c>
      <c r="S49" s="452">
        <f t="shared" si="14"/>
        <v>6.0533763801474551E-2</v>
      </c>
      <c r="T49" s="452">
        <f t="shared" si="14"/>
        <v>3.3114928792087078E-2</v>
      </c>
      <c r="U49" s="452">
        <f t="shared" si="14"/>
        <v>4.6628942998249719E-2</v>
      </c>
      <c r="V49" s="493"/>
      <c r="W49" s="684"/>
      <c r="X49" s="685"/>
    </row>
    <row r="50" spans="2:24" x14ac:dyDescent="0.25">
      <c r="B50" s="679"/>
      <c r="C50" s="680"/>
      <c r="D50" s="680"/>
      <c r="E50" s="680"/>
      <c r="F50" s="680"/>
      <c r="G50" s="680"/>
      <c r="H50" s="680"/>
    </row>
    <row r="51" spans="2:24" x14ac:dyDescent="0.25">
      <c r="B51" s="681"/>
      <c r="C51" s="682"/>
      <c r="D51" s="682"/>
      <c r="E51" s="682"/>
      <c r="F51" s="682"/>
      <c r="G51" s="682"/>
      <c r="H51" s="682"/>
    </row>
    <row r="52" spans="2:24" x14ac:dyDescent="0.25">
      <c r="B52" s="681"/>
      <c r="C52" s="682"/>
      <c r="D52" s="682"/>
      <c r="E52" s="682"/>
      <c r="F52" s="682"/>
      <c r="G52" s="682"/>
      <c r="H52" s="682"/>
    </row>
    <row r="53" spans="2:24" x14ac:dyDescent="0.25">
      <c r="B53" s="14" t="s">
        <v>1916</v>
      </c>
      <c r="C53" s="14"/>
      <c r="D53" s="14"/>
      <c r="E53" s="14"/>
      <c r="F53" s="682"/>
      <c r="G53" s="682"/>
      <c r="H53" s="682"/>
    </row>
    <row r="54" spans="2:24" x14ac:dyDescent="0.25">
      <c r="B54" s="297" t="s">
        <v>1917</v>
      </c>
      <c r="C54" s="297" t="s">
        <v>1918</v>
      </c>
      <c r="D54" s="297" t="s">
        <v>1919</v>
      </c>
      <c r="E54" s="297" t="s">
        <v>1920</v>
      </c>
      <c r="F54" s="682"/>
      <c r="G54" s="682"/>
      <c r="H54" s="682"/>
    </row>
    <row r="55" spans="2:24" x14ac:dyDescent="0.25">
      <c r="B55" s="296" t="s">
        <v>1921</v>
      </c>
      <c r="C55" s="296">
        <v>2023</v>
      </c>
      <c r="D55" s="296" t="s">
        <v>1922</v>
      </c>
      <c r="E55" s="500">
        <v>1150879.8600000001</v>
      </c>
    </row>
    <row r="56" spans="2:24" x14ac:dyDescent="0.25">
      <c r="B56" s="296" t="s">
        <v>1921</v>
      </c>
      <c r="C56" s="296">
        <v>2023</v>
      </c>
      <c r="D56" s="296" t="s">
        <v>1923</v>
      </c>
      <c r="E56" s="500">
        <v>1559142.03</v>
      </c>
    </row>
    <row r="57" spans="2:24" x14ac:dyDescent="0.25">
      <c r="B57" s="296" t="s">
        <v>1921</v>
      </c>
      <c r="C57" s="296">
        <v>2023</v>
      </c>
      <c r="D57" s="296" t="s">
        <v>1924</v>
      </c>
      <c r="E57" s="500">
        <v>388214.52</v>
      </c>
    </row>
    <row r="58" spans="2:24" x14ac:dyDescent="0.25">
      <c r="B58" s="296" t="s">
        <v>1921</v>
      </c>
      <c r="C58" s="296">
        <v>2023</v>
      </c>
      <c r="D58" s="296" t="s">
        <v>1925</v>
      </c>
      <c r="E58" s="500">
        <v>1239186.43</v>
      </c>
    </row>
    <row r="59" spans="2:24" x14ac:dyDescent="0.25">
      <c r="B59" s="296" t="s">
        <v>1921</v>
      </c>
      <c r="C59" s="296">
        <v>2023</v>
      </c>
      <c r="D59" s="296" t="s">
        <v>1926</v>
      </c>
      <c r="E59" s="500">
        <v>188137.42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FC8F3-C0C4-4364-93CF-51E133B18679}">
  <sheetPr>
    <tabColor theme="9"/>
  </sheetPr>
  <dimension ref="B2:V98"/>
  <sheetViews>
    <sheetView workbookViewId="0">
      <selection activeCell="R8" sqref="R8"/>
    </sheetView>
  </sheetViews>
  <sheetFormatPr defaultColWidth="9.140625" defaultRowHeight="12.75" x14ac:dyDescent="0.2"/>
  <cols>
    <col min="1" max="1" width="9.140625" style="14"/>
    <col min="2" max="2" width="55" style="14" customWidth="1"/>
    <col min="3" max="3" width="5.7109375" style="14" bestFit="1" customWidth="1"/>
    <col min="4" max="4" width="7.5703125" style="14" bestFit="1" customWidth="1"/>
    <col min="5" max="5" width="14" style="14" bestFit="1" customWidth="1"/>
    <col min="6" max="6" width="11.5703125" style="14" bestFit="1" customWidth="1"/>
    <col min="7" max="7" width="13.28515625" style="14" bestFit="1" customWidth="1"/>
    <col min="8" max="8" width="13.85546875" style="14" bestFit="1" customWidth="1"/>
    <col min="9" max="9" width="11.140625" style="14" bestFit="1" customWidth="1"/>
    <col min="10" max="10" width="13.28515625" style="14" bestFit="1" customWidth="1"/>
    <col min="11" max="12" width="14.28515625" style="14" bestFit="1" customWidth="1"/>
    <col min="13" max="13" width="4.7109375" style="14" customWidth="1"/>
    <col min="14" max="14" width="24" style="14" bestFit="1" customWidth="1"/>
    <col min="15" max="17" width="7.28515625" style="14" bestFit="1" customWidth="1"/>
    <col min="18" max="19" width="5.7109375" style="14" bestFit="1" customWidth="1"/>
    <col min="20" max="22" width="9.28515625" style="14" bestFit="1" customWidth="1"/>
    <col min="23" max="16384" width="9.140625" style="14"/>
  </cols>
  <sheetData>
    <row r="2" spans="2:22" x14ac:dyDescent="0.2">
      <c r="E2" s="915" t="s">
        <v>1927</v>
      </c>
      <c r="F2" s="915"/>
      <c r="G2" s="915"/>
      <c r="H2" s="915" t="s">
        <v>1928</v>
      </c>
      <c r="I2" s="915"/>
      <c r="J2" s="915"/>
      <c r="O2" s="918" t="s">
        <v>1929</v>
      </c>
      <c r="P2" s="918"/>
      <c r="Q2" s="918"/>
    </row>
    <row r="3" spans="2:22" x14ac:dyDescent="0.2">
      <c r="B3" s="543" t="s">
        <v>1930</v>
      </c>
      <c r="C3" s="543" t="s">
        <v>1931</v>
      </c>
      <c r="D3" s="543" t="s">
        <v>14</v>
      </c>
      <c r="E3" s="543" t="s">
        <v>1932</v>
      </c>
      <c r="F3" s="543" t="s">
        <v>1455</v>
      </c>
      <c r="G3" s="543" t="s">
        <v>1933</v>
      </c>
      <c r="H3" s="543" t="s">
        <v>1932</v>
      </c>
      <c r="I3" s="543" t="s">
        <v>1455</v>
      </c>
      <c r="J3" s="543" t="s">
        <v>1933</v>
      </c>
      <c r="K3" s="544" t="s">
        <v>1934</v>
      </c>
      <c r="L3" s="544" t="s">
        <v>1934</v>
      </c>
      <c r="N3" s="708" t="s">
        <v>1935</v>
      </c>
      <c r="O3" s="708">
        <v>2010</v>
      </c>
      <c r="P3" s="286">
        <v>2015</v>
      </c>
      <c r="Q3" s="286">
        <v>2020</v>
      </c>
      <c r="R3" s="708" t="s">
        <v>1936</v>
      </c>
      <c r="S3" s="708" t="s">
        <v>1667</v>
      </c>
      <c r="T3" s="708">
        <v>2010</v>
      </c>
      <c r="U3" s="286">
        <v>2015</v>
      </c>
      <c r="V3" s="286">
        <v>2020</v>
      </c>
    </row>
    <row r="4" spans="2:22" x14ac:dyDescent="0.2">
      <c r="B4" s="709" t="s">
        <v>1935</v>
      </c>
      <c r="C4" s="543"/>
      <c r="D4" s="543"/>
      <c r="E4" s="543"/>
      <c r="F4" s="543"/>
      <c r="G4" s="543"/>
      <c r="H4" s="543"/>
      <c r="I4" s="543"/>
      <c r="J4" s="543"/>
      <c r="K4" s="544" t="s">
        <v>1937</v>
      </c>
      <c r="L4" s="544" t="s">
        <v>1938</v>
      </c>
      <c r="N4" s="708"/>
      <c r="O4" s="708"/>
      <c r="P4" s="708"/>
      <c r="Q4" s="708"/>
      <c r="R4" s="708"/>
      <c r="S4" s="708"/>
      <c r="T4" s="708"/>
      <c r="U4" s="285"/>
      <c r="V4" s="285"/>
    </row>
    <row r="5" spans="2:22" x14ac:dyDescent="0.2">
      <c r="B5" s="294" t="s">
        <v>1939</v>
      </c>
      <c r="C5" s="294">
        <v>2020</v>
      </c>
      <c r="D5" s="294">
        <v>2</v>
      </c>
      <c r="E5" s="710">
        <v>464402</v>
      </c>
      <c r="F5" s="710">
        <v>1232882</v>
      </c>
      <c r="G5" s="710">
        <v>46167</v>
      </c>
      <c r="H5" s="710">
        <v>22.986000000000001</v>
      </c>
      <c r="I5" s="710">
        <v>8.3019999999999996</v>
      </c>
      <c r="J5" s="710">
        <v>28.295999999999999</v>
      </c>
      <c r="K5" s="291">
        <f>SUMPRODUCT(E5:G5,H5:J5)</f>
        <v>22216472.168000001</v>
      </c>
      <c r="L5" s="687">
        <f t="shared" ref="L5:L16" si="0">K5*MMBtu_to_PJ</f>
        <v>23.439618985417741</v>
      </c>
      <c r="N5" s="711" t="s">
        <v>1940</v>
      </c>
      <c r="O5" s="712">
        <f>SUM(C54,C57,C58)/C44</f>
        <v>0.22875816993464052</v>
      </c>
      <c r="P5" s="712">
        <f t="shared" ref="P5:Q5" si="1">SUM(D54,D57,D58)/D44</f>
        <v>9.7402597402597407E-2</v>
      </c>
      <c r="Q5" s="712">
        <f t="shared" si="1"/>
        <v>0.13048933500627352</v>
      </c>
      <c r="R5" s="713">
        <f>TechData_DMD!J10</f>
        <v>1</v>
      </c>
      <c r="S5" s="714">
        <f>TechData_DMD!L10</f>
        <v>0.16</v>
      </c>
      <c r="T5" s="687">
        <f t="shared" ref="T5:T10" si="2">L11*R5/S5</f>
        <v>135.05002493406798</v>
      </c>
      <c r="U5" s="721">
        <f>T5 + (($U$3 - $T$3) / ($V$3 - $T$3)) * (V5 - T5)</f>
        <v>140.77382179646443</v>
      </c>
      <c r="V5" s="721">
        <f>L5*R5/S5</f>
        <v>146.49761865886089</v>
      </c>
    </row>
    <row r="6" spans="2:22" x14ac:dyDescent="0.2">
      <c r="B6" s="294" t="s">
        <v>1941</v>
      </c>
      <c r="C6" s="294">
        <v>2020</v>
      </c>
      <c r="D6" s="294">
        <v>2</v>
      </c>
      <c r="E6" s="710">
        <v>338390</v>
      </c>
      <c r="F6" s="710">
        <v>113587</v>
      </c>
      <c r="G6" s="710">
        <v>0</v>
      </c>
      <c r="H6" s="710">
        <v>26.341999999999999</v>
      </c>
      <c r="I6" s="710">
        <v>5.2309999999999999</v>
      </c>
      <c r="J6" s="710">
        <v>0</v>
      </c>
      <c r="K6" s="291">
        <f t="shared" ref="K6:K38" si="3">SUMPRODUCT(E6:G6,H6:J6)</f>
        <v>9508042.9769999981</v>
      </c>
      <c r="L6" s="687">
        <f t="shared" si="0"/>
        <v>10.031516389846336</v>
      </c>
      <c r="N6" s="711" t="s">
        <v>1942</v>
      </c>
      <c r="O6" s="712">
        <f>SUM(C55,C56)/C44</f>
        <v>1.3071895424836602E-2</v>
      </c>
      <c r="P6" s="712">
        <f>SUM(D55,D56)/D44</f>
        <v>3.896103896103896E-2</v>
      </c>
      <c r="Q6" s="712">
        <f>SUM(E55,E56)/E44</f>
        <v>5.3324968632371399E-2</v>
      </c>
      <c r="R6" s="713">
        <f>TechData_DMD!J13</f>
        <v>2.2599999999999998</v>
      </c>
      <c r="S6" s="714">
        <f>TechData_DMD!L13</f>
        <v>0.16</v>
      </c>
      <c r="T6" s="687">
        <f t="shared" si="2"/>
        <v>30.569150448345095</v>
      </c>
      <c r="U6" s="721">
        <f t="shared" ref="U6:U10" si="4">T6 + (($U$3 - $T$3) / ($V$3 - $T$3)) * (V6 - T6)</f>
        <v>86.13215972746228</v>
      </c>
      <c r="V6" s="721">
        <f>L6*R6/S6</f>
        <v>141.69516900657948</v>
      </c>
    </row>
    <row r="7" spans="2:22" x14ac:dyDescent="0.2">
      <c r="B7" s="294" t="s">
        <v>1943</v>
      </c>
      <c r="C7" s="294">
        <v>2020</v>
      </c>
      <c r="D7" s="294">
        <v>2</v>
      </c>
      <c r="E7" s="710">
        <v>4157034</v>
      </c>
      <c r="F7" s="710">
        <v>1290664</v>
      </c>
      <c r="G7" s="710">
        <v>139383</v>
      </c>
      <c r="H7" s="710">
        <v>70.210999999999999</v>
      </c>
      <c r="I7" s="710">
        <v>34.176000000000002</v>
      </c>
      <c r="J7" s="710">
        <v>45.838999999999999</v>
      </c>
      <c r="K7" s="291">
        <f t="shared" si="3"/>
        <v>342368424.375</v>
      </c>
      <c r="L7" s="687">
        <f t="shared" si="0"/>
        <v>361.21780988913162</v>
      </c>
      <c r="N7" s="711" t="s">
        <v>1944</v>
      </c>
      <c r="O7" s="712">
        <f>C49/C44</f>
        <v>0.56209150326797386</v>
      </c>
      <c r="P7" s="712">
        <f t="shared" ref="P7" si="5">D49/D44</f>
        <v>0.36363636363636359</v>
      </c>
      <c r="Q7" s="712">
        <f>E49/E44</f>
        <v>0.37390213299874531</v>
      </c>
      <c r="R7" s="713">
        <f>TechData_DMD!J15</f>
        <v>0.78</v>
      </c>
      <c r="S7" s="714">
        <v>0.16</v>
      </c>
      <c r="T7" s="687">
        <f t="shared" si="2"/>
        <v>1670.1372151976609</v>
      </c>
      <c r="U7" s="721">
        <f>T7 + (($U$3 - $T$3) / ($V$3 - $T$3)) * (V7 - T7)</f>
        <v>1715.5370192035889</v>
      </c>
      <c r="V7" s="721">
        <f>L7*R7/S7</f>
        <v>1760.9368232095167</v>
      </c>
    </row>
    <row r="8" spans="2:22" x14ac:dyDescent="0.2">
      <c r="B8" s="294" t="s">
        <v>1945</v>
      </c>
      <c r="C8" s="294">
        <v>2020</v>
      </c>
      <c r="D8" s="294">
        <v>2</v>
      </c>
      <c r="E8" s="710">
        <v>1583008</v>
      </c>
      <c r="F8" s="710">
        <v>2127516</v>
      </c>
      <c r="G8" s="710">
        <v>0</v>
      </c>
      <c r="H8" s="710">
        <v>88.412999999999997</v>
      </c>
      <c r="I8" s="710">
        <v>22.731999999999999</v>
      </c>
      <c r="J8" s="710">
        <v>0</v>
      </c>
      <c r="K8" s="291">
        <f t="shared" si="3"/>
        <v>188321180.01599997</v>
      </c>
      <c r="L8" s="687">
        <f t="shared" si="0"/>
        <v>198.68936314818535</v>
      </c>
      <c r="N8" s="711" t="s">
        <v>1946</v>
      </c>
      <c r="O8" s="712">
        <f>SUM(C50,C51)/C44</f>
        <v>0.13725490196078433</v>
      </c>
      <c r="P8" s="712">
        <f>SUM(D50,D51)/D44</f>
        <v>0.22727272727272727</v>
      </c>
      <c r="Q8" s="712">
        <f>SUM(E50,E51)/E44</f>
        <v>0.23713927227101633</v>
      </c>
      <c r="R8" s="713">
        <f>TechData_DMD!J17</f>
        <v>0.8</v>
      </c>
      <c r="S8" s="714">
        <v>0.16</v>
      </c>
      <c r="T8" s="687">
        <f t="shared" si="2"/>
        <v>1017.5392999033267</v>
      </c>
      <c r="U8" s="721">
        <f t="shared" si="4"/>
        <v>1005.4930578221267</v>
      </c>
      <c r="V8" s="721">
        <f t="shared" ref="V8:V10" si="6">L8*R8/S8</f>
        <v>993.44681574092681</v>
      </c>
    </row>
    <row r="9" spans="2:22" x14ac:dyDescent="0.2">
      <c r="B9" s="294" t="s">
        <v>1947</v>
      </c>
      <c r="C9" s="294">
        <v>2020</v>
      </c>
      <c r="D9" s="294">
        <v>2</v>
      </c>
      <c r="E9" s="710">
        <v>1014521</v>
      </c>
      <c r="F9" s="710">
        <v>102264</v>
      </c>
      <c r="G9" s="710">
        <v>133334</v>
      </c>
      <c r="H9" s="710">
        <v>84.370999999999995</v>
      </c>
      <c r="I9" s="710">
        <v>17.166</v>
      </c>
      <c r="J9" s="710">
        <v>41.430999999999997</v>
      </c>
      <c r="K9" s="291">
        <f t="shared" si="3"/>
        <v>92875776.068999991</v>
      </c>
      <c r="L9" s="687">
        <f t="shared" si="0"/>
        <v>97.989131108222978</v>
      </c>
      <c r="N9" s="711" t="s">
        <v>1948</v>
      </c>
      <c r="O9" s="712">
        <f>SUM(C61,C63)/C44</f>
        <v>0.13071895424836602</v>
      </c>
      <c r="P9" s="712">
        <f>SUM(D61,D63)/D44</f>
        <v>8.4415584415584416E-2</v>
      </c>
      <c r="Q9" s="712">
        <f>SUM(E61,E63)/E44</f>
        <v>7.5909661229611042E-2</v>
      </c>
      <c r="R9" s="713">
        <f>TechData_DMD!J21</f>
        <v>0.8</v>
      </c>
      <c r="S9" s="714">
        <v>0.16</v>
      </c>
      <c r="T9" s="687">
        <f t="shared" si="2"/>
        <v>381.260924539477</v>
      </c>
      <c r="U9" s="721">
        <f t="shared" si="4"/>
        <v>435.60329004029597</v>
      </c>
      <c r="V9" s="721">
        <f t="shared" si="6"/>
        <v>489.94565554111489</v>
      </c>
    </row>
    <row r="10" spans="2:22" x14ac:dyDescent="0.2">
      <c r="B10" s="294" t="s">
        <v>1949</v>
      </c>
      <c r="C10" s="294">
        <v>2020</v>
      </c>
      <c r="D10" s="294">
        <v>2</v>
      </c>
      <c r="E10" s="710">
        <v>485929</v>
      </c>
      <c r="F10" s="710">
        <v>806741</v>
      </c>
      <c r="G10" s="710">
        <v>42622</v>
      </c>
      <c r="H10" s="710">
        <v>73.295000000000002</v>
      </c>
      <c r="I10" s="710">
        <v>21.283999999999999</v>
      </c>
      <c r="J10" s="710">
        <v>36.286000000000001</v>
      </c>
      <c r="K10" s="291">
        <f t="shared" si="3"/>
        <v>54333423.390999995</v>
      </c>
      <c r="L10" s="687">
        <f t="shared" si="0"/>
        <v>57.324796341554951</v>
      </c>
      <c r="N10" s="711" t="s">
        <v>1950</v>
      </c>
      <c r="O10" s="712">
        <f>C62/C44</f>
        <v>0.22222222222222221</v>
      </c>
      <c r="P10" s="712">
        <f>D62/D44</f>
        <v>6.4935064935064929E-2</v>
      </c>
      <c r="Q10" s="712">
        <f t="shared" ref="Q10" si="7">E62/E44</f>
        <v>5.3324968632371392E-2</v>
      </c>
      <c r="R10" s="713">
        <f>TechData_DMD!J23</f>
        <v>0.85</v>
      </c>
      <c r="S10" s="714">
        <v>0.16</v>
      </c>
      <c r="T10" s="687">
        <f t="shared" si="2"/>
        <v>884.77006526088735</v>
      </c>
      <c r="U10" s="721">
        <f t="shared" si="4"/>
        <v>594.65402291269902</v>
      </c>
      <c r="V10" s="721">
        <f t="shared" si="6"/>
        <v>304.53798056451069</v>
      </c>
    </row>
    <row r="11" spans="2:22" x14ac:dyDescent="0.2">
      <c r="B11" s="541" t="s">
        <v>1951</v>
      </c>
      <c r="C11" s="294">
        <v>2010</v>
      </c>
      <c r="D11" s="541">
        <v>2</v>
      </c>
      <c r="E11" s="542">
        <v>668621</v>
      </c>
      <c r="F11" s="542">
        <v>853248</v>
      </c>
      <c r="G11" s="542">
        <v>51609</v>
      </c>
      <c r="H11" s="700">
        <v>15.621</v>
      </c>
      <c r="I11" s="700">
        <v>10.884</v>
      </c>
      <c r="J11" s="700">
        <v>14.516</v>
      </c>
      <c r="K11" s="291">
        <f t="shared" ref="K11:K16" si="8">SUMPRODUCT(E11:G11,H11:J11)</f>
        <v>20480436.117000002</v>
      </c>
      <c r="L11" s="687">
        <f t="shared" si="0"/>
        <v>21.608003989450879</v>
      </c>
      <c r="N11" s="719" t="s">
        <v>1952</v>
      </c>
      <c r="O11" s="708"/>
      <c r="P11" s="708"/>
      <c r="Q11" s="708"/>
      <c r="R11" s="708"/>
      <c r="S11" s="708"/>
      <c r="T11" s="708"/>
      <c r="U11" s="286"/>
      <c r="V11" s="286"/>
    </row>
    <row r="12" spans="2:22" x14ac:dyDescent="0.2">
      <c r="B12" s="541" t="s">
        <v>1953</v>
      </c>
      <c r="C12" s="294">
        <v>2010</v>
      </c>
      <c r="D12" s="541">
        <v>2</v>
      </c>
      <c r="E12" s="542">
        <v>205579</v>
      </c>
      <c r="F12" s="542">
        <v>80453</v>
      </c>
      <c r="G12" s="542">
        <v>0</v>
      </c>
      <c r="H12" s="700">
        <v>7.84</v>
      </c>
      <c r="I12" s="700">
        <v>5.4630000000000001</v>
      </c>
      <c r="J12" s="700">
        <v>0</v>
      </c>
      <c r="K12" s="291">
        <f t="shared" si="8"/>
        <v>2051254.0989999999</v>
      </c>
      <c r="L12" s="687">
        <f t="shared" si="0"/>
        <v>2.1641876423607149</v>
      </c>
      <c r="N12" s="711" t="s">
        <v>1954</v>
      </c>
      <c r="O12" s="712">
        <f>C83/C77</f>
        <v>0.53174603174603174</v>
      </c>
      <c r="P12" s="712">
        <f t="shared" ref="P12:Q12" si="9">D83/D77</f>
        <v>0.625</v>
      </c>
      <c r="Q12" s="712">
        <f t="shared" si="9"/>
        <v>0.44597384721266348</v>
      </c>
      <c r="R12" s="720">
        <v>2.7435958263219513</v>
      </c>
      <c r="S12" s="714">
        <v>0.15</v>
      </c>
      <c r="T12" s="687">
        <f>L23*R12/S12</f>
        <v>226.98831732512878</v>
      </c>
      <c r="U12" s="721">
        <f>T12 + (($U$3 - $T$3) / ($V$3 - $T$3)) * (V12 - T12)</f>
        <v>342.60337626426724</v>
      </c>
      <c r="V12" s="687">
        <f>L18*R12/S12</f>
        <v>458.21843520340576</v>
      </c>
    </row>
    <row r="13" spans="2:22" x14ac:dyDescent="0.2">
      <c r="B13" s="541" t="s">
        <v>1943</v>
      </c>
      <c r="C13" s="294">
        <v>2010</v>
      </c>
      <c r="D13" s="541">
        <v>2</v>
      </c>
      <c r="E13" s="542">
        <v>3969078</v>
      </c>
      <c r="F13" s="542">
        <v>1142480</v>
      </c>
      <c r="G13" s="542">
        <v>65568</v>
      </c>
      <c r="H13" s="700">
        <v>67.391000000000005</v>
      </c>
      <c r="I13" s="700">
        <v>48.192</v>
      </c>
      <c r="J13" s="700">
        <v>33.191000000000003</v>
      </c>
      <c r="K13" s="291">
        <f t="shared" si="8"/>
        <v>324714799.14600003</v>
      </c>
      <c r="L13" s="687">
        <f t="shared" si="0"/>
        <v>342.5922492713151</v>
      </c>
      <c r="N13" s="711" t="s">
        <v>1955</v>
      </c>
      <c r="O13" s="712">
        <f>C81/C77</f>
        <v>0.44444444444444442</v>
      </c>
      <c r="P13" s="712">
        <f t="shared" ref="P13:Q13" si="10">D81/D77</f>
        <v>0.33823529411764702</v>
      </c>
      <c r="Q13" s="712">
        <f t="shared" si="10"/>
        <v>0.44597384721266342</v>
      </c>
      <c r="R13" s="720">
        <v>2.9175658769245518</v>
      </c>
      <c r="S13" s="714">
        <v>0.15</v>
      </c>
      <c r="T13" s="687">
        <f>L24*R13/S13</f>
        <v>429.69893399748923</v>
      </c>
      <c r="U13" s="721">
        <f>T13 + (($U$3 - $T$3) / ($V$3 - $T$3)) * (V13 - T13)</f>
        <v>437.73960080653586</v>
      </c>
      <c r="V13" s="687">
        <f>L19*R13/S13</f>
        <v>445.78026761558249</v>
      </c>
    </row>
    <row r="14" spans="2:22" x14ac:dyDescent="0.2">
      <c r="B14" s="541" t="s">
        <v>1510</v>
      </c>
      <c r="C14" s="294">
        <v>2010</v>
      </c>
      <c r="D14" s="541">
        <v>2</v>
      </c>
      <c r="E14" s="542">
        <v>1421102</v>
      </c>
      <c r="F14" s="542">
        <v>1915210</v>
      </c>
      <c r="G14" s="542">
        <v>0</v>
      </c>
      <c r="H14" s="700">
        <v>69.119</v>
      </c>
      <c r="I14" s="700">
        <v>49.427</v>
      </c>
      <c r="J14" s="700">
        <v>0</v>
      </c>
      <c r="K14" s="291">
        <f t="shared" si="8"/>
        <v>192888233.808</v>
      </c>
      <c r="L14" s="687">
        <f t="shared" si="0"/>
        <v>203.50785998066533</v>
      </c>
      <c r="N14" s="711" t="s">
        <v>1942</v>
      </c>
      <c r="O14" s="712">
        <f>C82/C75</f>
        <v>3.9215686274509803E-2</v>
      </c>
      <c r="P14" s="712">
        <f>D82/D75</f>
        <v>8.4415584415584416E-2</v>
      </c>
      <c r="Q14" s="712">
        <f>E82/E75</f>
        <v>2.8054862842892769E-2</v>
      </c>
      <c r="R14" s="720">
        <v>2.9980069977321731</v>
      </c>
      <c r="S14" s="714">
        <v>0.15</v>
      </c>
      <c r="T14" s="687">
        <f>L25*R14/S14</f>
        <v>19.169252481954935</v>
      </c>
      <c r="U14" s="721">
        <f>T14 + (($U$3 - $T$3) / ($V$3 - $T$3)) * (V14 - T14)</f>
        <v>57.847518750362546</v>
      </c>
      <c r="V14" s="687">
        <f>L20*R14/S14</f>
        <v>96.525785018770151</v>
      </c>
    </row>
    <row r="15" spans="2:22" x14ac:dyDescent="0.2">
      <c r="B15" s="541" t="s">
        <v>1956</v>
      </c>
      <c r="C15" s="294">
        <v>2010</v>
      </c>
      <c r="D15" s="541">
        <v>2</v>
      </c>
      <c r="E15" s="542">
        <v>786526</v>
      </c>
      <c r="F15" s="542">
        <v>203501</v>
      </c>
      <c r="G15" s="542">
        <v>16064</v>
      </c>
      <c r="H15" s="700">
        <v>78.772000000000006</v>
      </c>
      <c r="I15" s="700">
        <v>47.048999999999999</v>
      </c>
      <c r="J15" s="700">
        <v>46.213999999999999</v>
      </c>
      <c r="K15" s="291">
        <f t="shared" si="8"/>
        <v>72273126.317000002</v>
      </c>
      <c r="L15" s="687">
        <f t="shared" si="0"/>
        <v>76.252184907895398</v>
      </c>
      <c r="N15" s="711" t="s">
        <v>1957</v>
      </c>
      <c r="O15" s="712"/>
      <c r="P15" s="712"/>
      <c r="Q15" s="712"/>
      <c r="R15" s="713"/>
      <c r="S15" s="714"/>
      <c r="T15" s="687"/>
      <c r="U15" s="721"/>
      <c r="V15" s="687"/>
    </row>
    <row r="16" spans="2:22" x14ac:dyDescent="0.2">
      <c r="B16" s="541" t="s">
        <v>1958</v>
      </c>
      <c r="C16" s="294">
        <v>2010</v>
      </c>
      <c r="D16" s="541">
        <v>2</v>
      </c>
      <c r="E16" s="542">
        <v>1271386</v>
      </c>
      <c r="F16" s="542">
        <v>1142580</v>
      </c>
      <c r="G16" s="542">
        <v>0</v>
      </c>
      <c r="H16" s="700">
        <v>80.792000000000002</v>
      </c>
      <c r="I16" s="700">
        <v>48.256</v>
      </c>
      <c r="J16" s="700">
        <v>0</v>
      </c>
      <c r="K16" s="291">
        <f t="shared" si="8"/>
        <v>157854158.192</v>
      </c>
      <c r="L16" s="687">
        <f t="shared" si="0"/>
        <v>166.5449534608729</v>
      </c>
      <c r="N16" s="711" t="s">
        <v>1959</v>
      </c>
      <c r="O16" s="712">
        <f>C82/C77</f>
        <v>4.7619047619047616E-2</v>
      </c>
      <c r="P16" s="712">
        <f t="shared" ref="P16:Q16" si="11">D82/D77</f>
        <v>9.5588235294117654E-2</v>
      </c>
      <c r="Q16" s="712">
        <f t="shared" si="11"/>
        <v>3.0970406056434963E-2</v>
      </c>
      <c r="R16" s="713">
        <f>Resid!J96</f>
        <v>0.6</v>
      </c>
      <c r="S16" s="714">
        <f>Resid!M96</f>
        <v>0.15</v>
      </c>
      <c r="T16" s="687">
        <f>L27*R16/S16</f>
        <v>1.7695813085182086</v>
      </c>
      <c r="U16" s="721">
        <f>T16 + (($U$3 - $T$3) / ($V$3 - $T$3)) * (V16 - T16)</f>
        <v>4.6744018471996247</v>
      </c>
      <c r="V16" s="687">
        <f>L22*R16/S16</f>
        <v>7.5792223858810415</v>
      </c>
    </row>
    <row r="17" spans="2:22" x14ac:dyDescent="0.2">
      <c r="B17" s="715" t="s">
        <v>1952</v>
      </c>
      <c r="C17" s="292"/>
      <c r="D17" s="292"/>
      <c r="E17" s="716"/>
      <c r="F17" s="716"/>
      <c r="G17" s="716"/>
      <c r="H17" s="716"/>
      <c r="I17" s="716"/>
      <c r="J17" s="716"/>
      <c r="K17" s="717"/>
      <c r="L17" s="718"/>
      <c r="N17" s="719" t="s">
        <v>1960</v>
      </c>
      <c r="O17" s="708"/>
      <c r="P17" s="708"/>
      <c r="Q17" s="708"/>
      <c r="R17" s="708"/>
      <c r="S17" s="708"/>
      <c r="T17" s="708"/>
      <c r="U17" s="286"/>
      <c r="V17" s="286"/>
    </row>
    <row r="18" spans="2:22" x14ac:dyDescent="0.2">
      <c r="B18" s="294" t="s">
        <v>1961</v>
      </c>
      <c r="C18" s="294">
        <v>2020</v>
      </c>
      <c r="D18" s="294">
        <v>2</v>
      </c>
      <c r="E18" s="710">
        <v>9402200</v>
      </c>
      <c r="F18" s="710">
        <v>7746171</v>
      </c>
      <c r="G18" s="710">
        <v>305134</v>
      </c>
      <c r="H18" s="710">
        <v>1.4330000000000001</v>
      </c>
      <c r="I18" s="710">
        <v>1.2949999999999999</v>
      </c>
      <c r="J18" s="710">
        <v>0.78700000000000003</v>
      </c>
      <c r="K18" s="291">
        <f t="shared" si="3"/>
        <v>23744784.503000002</v>
      </c>
      <c r="L18" s="687">
        <f t="shared" ref="L18:L27" si="12">K18*MMBtu_to_PJ</f>
        <v>25.052073859090829</v>
      </c>
      <c r="N18" s="711" t="s">
        <v>1962</v>
      </c>
      <c r="O18" s="712">
        <f>C93/C91</f>
        <v>0.59477124183006536</v>
      </c>
      <c r="P18" s="712">
        <f>D93/D91</f>
        <v>0.55844155844155841</v>
      </c>
      <c r="Q18" s="712">
        <f>E93/E91</f>
        <v>0.56109725685785539</v>
      </c>
      <c r="R18" s="713">
        <v>0.57569998502731301</v>
      </c>
      <c r="S18" s="714">
        <v>0.1</v>
      </c>
      <c r="T18" s="687">
        <f>L34*R18/S18</f>
        <v>1190.0515261300607</v>
      </c>
      <c r="U18" s="721">
        <f>T18 + (($U$3 - $T$3) / ($V$3 - $T$3)) * (V18 - T18)</f>
        <v>1109.6771740329441</v>
      </c>
      <c r="V18" s="687">
        <f>L29*R18/S18</f>
        <v>1029.3028219358273</v>
      </c>
    </row>
    <row r="19" spans="2:22" x14ac:dyDescent="0.2">
      <c r="B19" s="294" t="s">
        <v>1515</v>
      </c>
      <c r="C19" s="294">
        <v>2020</v>
      </c>
      <c r="D19" s="294">
        <v>2</v>
      </c>
      <c r="E19" s="710">
        <v>4050183</v>
      </c>
      <c r="F19" s="710">
        <v>490885</v>
      </c>
      <c r="G19" s="710">
        <v>45612</v>
      </c>
      <c r="H19" s="710">
        <v>5.1050000000000004</v>
      </c>
      <c r="I19" s="710">
        <v>1.7230000000000001</v>
      </c>
      <c r="J19" s="710">
        <v>4.4029999999999996</v>
      </c>
      <c r="K19" s="291">
        <f t="shared" si="3"/>
        <v>21722808.706000004</v>
      </c>
      <c r="L19" s="687">
        <f t="shared" si="12"/>
        <v>22.918776460609994</v>
      </c>
      <c r="N19" s="711" t="s">
        <v>1963</v>
      </c>
      <c r="O19" s="712">
        <f>C94/C91</f>
        <v>0.23529411764705882</v>
      </c>
      <c r="P19" s="712">
        <f>D94/D91</f>
        <v>0.31168831168831168</v>
      </c>
      <c r="Q19" s="712">
        <f>E94/E91</f>
        <v>0.32793017456359103</v>
      </c>
      <c r="R19" s="713">
        <v>0.88819998502731301</v>
      </c>
      <c r="S19" s="714">
        <v>0.1</v>
      </c>
      <c r="T19" s="687">
        <f>L35*R19/S19</f>
        <v>303.49751415278604</v>
      </c>
      <c r="U19" s="721">
        <f>T19 + (($U$3 - $T$3) / ($V$3 - $T$3)) * (V19 - T19)</f>
        <v>397.663374646958</v>
      </c>
      <c r="V19" s="687">
        <f>L30*R19/S19</f>
        <v>491.82923514112997</v>
      </c>
    </row>
    <row r="20" spans="2:22" x14ac:dyDescent="0.2">
      <c r="B20" s="294" t="s">
        <v>1964</v>
      </c>
      <c r="C20" s="294">
        <v>2020</v>
      </c>
      <c r="D20" s="294">
        <v>2</v>
      </c>
      <c r="E20" s="710">
        <v>338390</v>
      </c>
      <c r="F20" s="710">
        <v>113587</v>
      </c>
      <c r="G20" s="710">
        <v>0</v>
      </c>
      <c r="H20" s="710">
        <v>12.295999999999999</v>
      </c>
      <c r="I20" s="710">
        <v>3.6680000000000001</v>
      </c>
      <c r="J20" s="710">
        <v>0</v>
      </c>
      <c r="K20" s="291">
        <f t="shared" si="3"/>
        <v>4577480.5559999999</v>
      </c>
      <c r="L20" s="687">
        <f t="shared" si="12"/>
        <v>4.8294976508620513</v>
      </c>
      <c r="N20" s="711" t="s">
        <v>1965</v>
      </c>
      <c r="O20" s="712">
        <f>C96/C91</f>
        <v>0.1241830065359477</v>
      </c>
      <c r="P20" s="712">
        <f>D96/D91</f>
        <v>9.0909090909090898E-2</v>
      </c>
      <c r="Q20" s="712">
        <f>E96/E91</f>
        <v>7.6683291770573564E-2</v>
      </c>
      <c r="R20" s="720">
        <v>0.54500001668930098</v>
      </c>
      <c r="S20" s="714">
        <v>0.1</v>
      </c>
      <c r="T20" s="687">
        <f>L36*R20/S20</f>
        <v>200.69874522636559</v>
      </c>
      <c r="U20" s="721">
        <f>T20 + (($U$3 - $T$3) / ($V$3 - $T$3)) * (V20 - T20)</f>
        <v>184.56360457654222</v>
      </c>
      <c r="V20" s="687">
        <f>L31*R20/S20</f>
        <v>168.42846392671882</v>
      </c>
    </row>
    <row r="21" spans="2:22" x14ac:dyDescent="0.2">
      <c r="B21" s="294" t="s">
        <v>1966</v>
      </c>
      <c r="C21" s="294">
        <v>2020</v>
      </c>
      <c r="D21" s="294">
        <v>2</v>
      </c>
      <c r="E21" s="710">
        <v>112797</v>
      </c>
      <c r="F21" s="710">
        <v>16227</v>
      </c>
      <c r="G21" s="710">
        <v>0</v>
      </c>
      <c r="H21" s="710">
        <v>10.391</v>
      </c>
      <c r="I21" s="710">
        <v>3.1</v>
      </c>
      <c r="J21" s="710">
        <v>0</v>
      </c>
      <c r="K21" s="291">
        <f t="shared" si="3"/>
        <v>1222377.327</v>
      </c>
      <c r="L21" s="687">
        <f t="shared" si="12"/>
        <v>1.2896763529613415</v>
      </c>
      <c r="N21" s="711" t="s">
        <v>1967</v>
      </c>
      <c r="O21" s="712">
        <f>C95/C91</f>
        <v>3.2679738562091505E-2</v>
      </c>
      <c r="P21" s="712">
        <f>D95/D91</f>
        <v>3.2467532467532464E-2</v>
      </c>
      <c r="Q21" s="712">
        <f>E95/E91</f>
        <v>3.0548628428927683E-2</v>
      </c>
      <c r="R21" s="720">
        <v>0.57480001449585005</v>
      </c>
      <c r="S21" s="714">
        <v>0.1</v>
      </c>
      <c r="T21" s="687">
        <f>L37*R21/S21</f>
        <v>51.179586794439373</v>
      </c>
      <c r="U21" s="721">
        <f>T21 + (($U$3 - $T$3) / ($V$3 - $T$3)) * (V21 - T21)</f>
        <v>52.146545200938917</v>
      </c>
      <c r="V21" s="687">
        <f>L32*R21/S21</f>
        <v>53.11350360743846</v>
      </c>
    </row>
    <row r="22" spans="2:22" x14ac:dyDescent="0.2">
      <c r="B22" s="294" t="s">
        <v>1968</v>
      </c>
      <c r="C22" s="294">
        <v>2020</v>
      </c>
      <c r="D22" s="294">
        <v>2</v>
      </c>
      <c r="E22" s="710">
        <v>74638</v>
      </c>
      <c r="F22" s="710">
        <v>39086</v>
      </c>
      <c r="G22" s="710">
        <v>0</v>
      </c>
      <c r="H22" s="710">
        <v>19.099</v>
      </c>
      <c r="I22" s="710">
        <v>9.4770000000000003</v>
      </c>
      <c r="J22" s="710">
        <v>12.904999999999999</v>
      </c>
      <c r="K22" s="291">
        <f t="shared" si="3"/>
        <v>1795929.1839999999</v>
      </c>
      <c r="L22" s="687">
        <f t="shared" si="12"/>
        <v>1.8948055964702606</v>
      </c>
      <c r="N22" s="711" t="s">
        <v>1969</v>
      </c>
      <c r="O22" s="712"/>
      <c r="P22" s="712"/>
      <c r="Q22" s="712"/>
      <c r="R22" s="720"/>
      <c r="S22" s="687"/>
      <c r="T22" s="687">
        <v>0</v>
      </c>
      <c r="U22" s="721"/>
      <c r="V22" s="433"/>
    </row>
    <row r="23" spans="2:22" x14ac:dyDescent="0.2">
      <c r="B23" s="541" t="s">
        <v>1516</v>
      </c>
      <c r="C23" s="294">
        <v>2010</v>
      </c>
      <c r="D23" s="541">
        <v>2</v>
      </c>
      <c r="E23" s="542">
        <v>7855170</v>
      </c>
      <c r="F23" s="542">
        <v>6229371</v>
      </c>
      <c r="G23" s="542">
        <v>153356</v>
      </c>
      <c r="H23" s="700">
        <v>0.78200000000000003</v>
      </c>
      <c r="I23" s="700">
        <v>0.89</v>
      </c>
      <c r="J23" s="700">
        <v>0.49299999999999999</v>
      </c>
      <c r="K23" s="291">
        <f>SUMPRODUCT(E23:G23,H23:J23)</f>
        <v>11762487.638</v>
      </c>
      <c r="L23" s="687">
        <f t="shared" si="12"/>
        <v>12.4100814238423</v>
      </c>
      <c r="N23" s="726"/>
      <c r="O23" s="727"/>
      <c r="P23" s="727"/>
      <c r="Q23" s="727"/>
      <c r="R23" s="728"/>
      <c r="U23" s="137"/>
    </row>
    <row r="24" spans="2:22" x14ac:dyDescent="0.2">
      <c r="B24" s="541" t="s">
        <v>1515</v>
      </c>
      <c r="C24" s="294">
        <v>2010</v>
      </c>
      <c r="D24" s="541">
        <v>2</v>
      </c>
      <c r="E24" s="542">
        <v>4832816</v>
      </c>
      <c r="F24" s="542">
        <v>906252</v>
      </c>
      <c r="G24" s="542">
        <v>288262</v>
      </c>
      <c r="H24" s="700">
        <v>3.8079999999999998</v>
      </c>
      <c r="I24" s="700">
        <v>1.89</v>
      </c>
      <c r="J24" s="700">
        <v>2.855</v>
      </c>
      <c r="K24" s="291">
        <f>SUMPRODUCT(E24:G24,H24:J24)</f>
        <v>20939167.618000001</v>
      </c>
      <c r="L24" s="687">
        <f t="shared" si="12"/>
        <v>22.091991344362086</v>
      </c>
      <c r="N24" s="726"/>
      <c r="O24" s="727"/>
      <c r="P24" s="727"/>
      <c r="Q24" s="727"/>
      <c r="R24" s="728"/>
      <c r="U24" s="137"/>
    </row>
    <row r="25" spans="2:22" x14ac:dyDescent="0.2">
      <c r="B25" s="541" t="s">
        <v>1970</v>
      </c>
      <c r="C25" s="294">
        <v>2010</v>
      </c>
      <c r="D25" s="541">
        <v>2</v>
      </c>
      <c r="E25" s="542">
        <v>205579</v>
      </c>
      <c r="F25" s="542">
        <v>80453</v>
      </c>
      <c r="G25" s="542">
        <v>0</v>
      </c>
      <c r="H25" s="700">
        <v>3.7029999999999998</v>
      </c>
      <c r="I25" s="700">
        <v>1.837</v>
      </c>
      <c r="J25" s="700">
        <v>0</v>
      </c>
      <c r="K25" s="291">
        <f>SUMPRODUCT(E25:G25,H25:J25)</f>
        <v>909051.19799999997</v>
      </c>
      <c r="L25" s="687">
        <f t="shared" si="12"/>
        <v>0.9590997867811224</v>
      </c>
      <c r="N25" s="726"/>
      <c r="O25" s="727"/>
      <c r="P25" s="727"/>
      <c r="Q25" s="727"/>
      <c r="R25" s="728"/>
      <c r="U25" s="137"/>
    </row>
    <row r="26" spans="2:22" x14ac:dyDescent="0.2">
      <c r="B26" s="541" t="s">
        <v>1971</v>
      </c>
      <c r="C26" s="294">
        <v>2010</v>
      </c>
      <c r="D26" s="541">
        <v>2</v>
      </c>
      <c r="E26" s="542">
        <v>99423</v>
      </c>
      <c r="F26" s="542">
        <v>0</v>
      </c>
      <c r="G26" s="542">
        <v>0</v>
      </c>
      <c r="H26" s="700">
        <v>2.7770000000000001</v>
      </c>
      <c r="I26" s="700">
        <v>0</v>
      </c>
      <c r="J26" s="700">
        <v>0</v>
      </c>
      <c r="K26" s="291">
        <f>SUMPRODUCT(E26:G26,H26:J26)</f>
        <v>276097.67100000003</v>
      </c>
      <c r="L26" s="687">
        <f t="shared" si="12"/>
        <v>0.29129846368330126</v>
      </c>
    </row>
    <row r="27" spans="2:22" x14ac:dyDescent="0.2">
      <c r="B27" s="541" t="s">
        <v>1972</v>
      </c>
      <c r="C27" s="294">
        <v>2010</v>
      </c>
      <c r="D27" s="541">
        <v>2</v>
      </c>
      <c r="E27" s="542">
        <v>0</v>
      </c>
      <c r="F27" s="542">
        <v>44245</v>
      </c>
      <c r="G27" s="542">
        <v>0</v>
      </c>
      <c r="H27" s="700">
        <v>19.099</v>
      </c>
      <c r="I27" s="700">
        <v>9.4770000000000003</v>
      </c>
      <c r="J27" s="700">
        <v>12.904999999999999</v>
      </c>
      <c r="K27" s="291">
        <f>SUMPRODUCT(E27:G27,H27:J27)</f>
        <v>419309.86499999999</v>
      </c>
      <c r="L27" s="687">
        <f t="shared" si="12"/>
        <v>0.4423953271295521</v>
      </c>
    </row>
    <row r="28" spans="2:22" x14ac:dyDescent="0.2">
      <c r="B28" s="715" t="s">
        <v>1960</v>
      </c>
      <c r="C28" s="292"/>
      <c r="D28" s="292"/>
      <c r="E28" s="716"/>
      <c r="F28" s="716"/>
      <c r="G28" s="716"/>
      <c r="H28" s="716"/>
      <c r="I28" s="716"/>
      <c r="J28" s="716"/>
      <c r="K28" s="717"/>
      <c r="L28" s="718"/>
    </row>
    <row r="29" spans="2:22" x14ac:dyDescent="0.2">
      <c r="B29" s="294" t="s">
        <v>1973</v>
      </c>
      <c r="C29" s="294">
        <v>2020</v>
      </c>
      <c r="D29" s="294">
        <v>2</v>
      </c>
      <c r="E29" s="710">
        <v>5389023</v>
      </c>
      <c r="F29" s="710">
        <v>3309673</v>
      </c>
      <c r="G29" s="710">
        <v>25539</v>
      </c>
      <c r="H29" s="710">
        <v>20.529</v>
      </c>
      <c r="I29" s="710">
        <v>17.7</v>
      </c>
      <c r="J29" s="710">
        <v>9.7579999999999991</v>
      </c>
      <c r="K29" s="291">
        <f t="shared" si="3"/>
        <v>169461674.829</v>
      </c>
      <c r="L29" s="687">
        <f t="shared" ref="L29:L38" si="13">K29*MMBtu_to_PJ</f>
        <v>178.79153182312379</v>
      </c>
      <c r="Q29" s="725"/>
      <c r="R29" s="725"/>
    </row>
    <row r="30" spans="2:22" x14ac:dyDescent="0.2">
      <c r="B30" s="294" t="s">
        <v>1974</v>
      </c>
      <c r="C30" s="294">
        <v>2020</v>
      </c>
      <c r="D30" s="294">
        <v>2</v>
      </c>
      <c r="E30" s="710">
        <v>2792835</v>
      </c>
      <c r="F30" s="710">
        <v>1864664</v>
      </c>
      <c r="G30" s="710">
        <v>313953</v>
      </c>
      <c r="H30" s="710">
        <v>12.013999999999999</v>
      </c>
      <c r="I30" s="710">
        <v>7.4489999999999998</v>
      </c>
      <c r="J30" s="710">
        <v>16.056999999999999</v>
      </c>
      <c r="K30" s="291">
        <f t="shared" si="3"/>
        <v>52484145.147</v>
      </c>
      <c r="L30" s="687">
        <f t="shared" si="13"/>
        <v>55.373704507099916</v>
      </c>
      <c r="Q30" s="25"/>
      <c r="R30" s="25"/>
    </row>
    <row r="31" spans="2:22" x14ac:dyDescent="0.2">
      <c r="B31" s="294" t="s">
        <v>1975</v>
      </c>
      <c r="C31" s="294">
        <v>2020</v>
      </c>
      <c r="D31" s="294">
        <v>2</v>
      </c>
      <c r="E31" s="710">
        <v>737847</v>
      </c>
      <c r="F31" s="710">
        <v>650015</v>
      </c>
      <c r="G31" s="710">
        <v>0</v>
      </c>
      <c r="H31" s="710">
        <v>19.745000000000001</v>
      </c>
      <c r="I31" s="710">
        <v>22.65</v>
      </c>
      <c r="J31" s="710">
        <v>0</v>
      </c>
      <c r="K31" s="291">
        <f t="shared" si="3"/>
        <v>29291628.765000001</v>
      </c>
      <c r="L31" s="687">
        <f t="shared" si="13"/>
        <v>30.904304361285593</v>
      </c>
      <c r="R31" s="15"/>
    </row>
    <row r="32" spans="2:22" x14ac:dyDescent="0.2">
      <c r="B32" s="294" t="s">
        <v>1976</v>
      </c>
      <c r="C32" s="294">
        <v>2020</v>
      </c>
      <c r="D32" s="294">
        <v>2</v>
      </c>
      <c r="E32" s="710">
        <v>406081</v>
      </c>
      <c r="F32" s="710">
        <v>78473</v>
      </c>
      <c r="G32" s="710">
        <v>22014</v>
      </c>
      <c r="H32" s="710">
        <v>18.006</v>
      </c>
      <c r="I32" s="710">
        <v>15.45</v>
      </c>
      <c r="J32" s="710">
        <v>10.622999999999999</v>
      </c>
      <c r="K32" s="291">
        <f t="shared" si="3"/>
        <v>8758157.0580000002</v>
      </c>
      <c r="L32" s="687">
        <f t="shared" si="13"/>
        <v>9.24034486220806</v>
      </c>
    </row>
    <row r="33" spans="2:18" x14ac:dyDescent="0.2">
      <c r="B33" s="294" t="s">
        <v>1977</v>
      </c>
      <c r="C33" s="294">
        <v>2020</v>
      </c>
      <c r="D33" s="294">
        <v>2</v>
      </c>
      <c r="E33" s="710">
        <v>0</v>
      </c>
      <c r="F33" s="710">
        <v>0</v>
      </c>
      <c r="G33" s="710">
        <v>0</v>
      </c>
      <c r="H33" s="710">
        <v>0</v>
      </c>
      <c r="I33" s="710">
        <v>0</v>
      </c>
      <c r="J33" s="710">
        <v>0</v>
      </c>
      <c r="K33" s="291">
        <f t="shared" si="3"/>
        <v>0</v>
      </c>
      <c r="L33" s="687">
        <f t="shared" si="13"/>
        <v>0</v>
      </c>
    </row>
    <row r="34" spans="2:18" x14ac:dyDescent="0.2">
      <c r="B34" s="541" t="s">
        <v>1978</v>
      </c>
      <c r="C34" s="294">
        <v>2010</v>
      </c>
      <c r="D34" s="541">
        <v>2</v>
      </c>
      <c r="E34" s="542">
        <v>5437710</v>
      </c>
      <c r="F34" s="542">
        <v>3587206</v>
      </c>
      <c r="G34" s="542">
        <v>65568</v>
      </c>
      <c r="H34" s="700">
        <v>25.742999999999999</v>
      </c>
      <c r="I34" s="700">
        <v>15.231999999999999</v>
      </c>
      <c r="J34" s="700">
        <v>19.882000000000001</v>
      </c>
      <c r="K34" s="291">
        <f t="shared" si="3"/>
        <v>195926913.29800001</v>
      </c>
      <c r="L34" s="687">
        <f t="shared" si="13"/>
        <v>206.71383656082619</v>
      </c>
    </row>
    <row r="35" spans="2:18" x14ac:dyDescent="0.2">
      <c r="B35" s="541" t="s">
        <v>1979</v>
      </c>
      <c r="C35" s="294">
        <v>2010</v>
      </c>
      <c r="D35" s="541">
        <v>2</v>
      </c>
      <c r="E35" s="542">
        <v>2156116</v>
      </c>
      <c r="F35" s="542">
        <v>1197216</v>
      </c>
      <c r="G35" s="542">
        <v>295020</v>
      </c>
      <c r="H35" s="700">
        <v>9.7430000000000003</v>
      </c>
      <c r="I35" s="700">
        <v>7.3010000000000002</v>
      </c>
      <c r="J35" s="700">
        <v>8.9450000000000003</v>
      </c>
      <c r="K35" s="291">
        <f t="shared" si="3"/>
        <v>32386866.104000002</v>
      </c>
      <c r="L35" s="687">
        <f t="shared" si="13"/>
        <v>34.169952631045497</v>
      </c>
    </row>
    <row r="36" spans="2:18" x14ac:dyDescent="0.2">
      <c r="B36" s="541" t="s">
        <v>1980</v>
      </c>
      <c r="C36" s="294">
        <v>2010</v>
      </c>
      <c r="D36" s="541">
        <v>2</v>
      </c>
      <c r="E36" s="542">
        <v>1262916</v>
      </c>
      <c r="F36" s="542">
        <v>679214</v>
      </c>
      <c r="G36" s="542">
        <v>7659</v>
      </c>
      <c r="H36" s="700">
        <v>20.105</v>
      </c>
      <c r="I36" s="700">
        <v>13.896000000000001</v>
      </c>
      <c r="J36" s="700">
        <v>9.7289999999999992</v>
      </c>
      <c r="K36" s="291">
        <f t="shared" si="3"/>
        <v>34903798.335000001</v>
      </c>
      <c r="L36" s="687">
        <f t="shared" si="13"/>
        <v>36.825456712009959</v>
      </c>
    </row>
    <row r="37" spans="2:18" x14ac:dyDescent="0.2">
      <c r="B37" s="541" t="s">
        <v>1981</v>
      </c>
      <c r="C37" s="294">
        <v>2010</v>
      </c>
      <c r="D37" s="541">
        <v>2</v>
      </c>
      <c r="E37" s="542">
        <v>380341</v>
      </c>
      <c r="F37" s="542">
        <v>50703</v>
      </c>
      <c r="G37" s="542">
        <v>57803</v>
      </c>
      <c r="H37" s="700">
        <v>19.585000000000001</v>
      </c>
      <c r="I37" s="700">
        <v>10.176</v>
      </c>
      <c r="J37" s="700">
        <v>8.2059999999999995</v>
      </c>
      <c r="K37" s="291">
        <f t="shared" si="3"/>
        <v>8439263.631000001</v>
      </c>
      <c r="L37" s="687">
        <f t="shared" si="13"/>
        <v>8.903894485689662</v>
      </c>
    </row>
    <row r="38" spans="2:18" x14ac:dyDescent="0.2">
      <c r="B38" s="541" t="s">
        <v>1982</v>
      </c>
      <c r="C38" s="294">
        <v>2010</v>
      </c>
      <c r="D38" s="541">
        <v>2</v>
      </c>
      <c r="E38" s="542">
        <v>0</v>
      </c>
      <c r="F38" s="542">
        <v>0</v>
      </c>
      <c r="G38" s="542">
        <v>0</v>
      </c>
      <c r="H38" s="700">
        <v>4.8719999999999999</v>
      </c>
      <c r="I38" s="700">
        <v>3.65</v>
      </c>
      <c r="J38" s="700">
        <v>4.4729999999999999</v>
      </c>
      <c r="K38" s="291">
        <f t="shared" si="3"/>
        <v>0</v>
      </c>
      <c r="L38" s="687">
        <f t="shared" si="13"/>
        <v>0</v>
      </c>
      <c r="Q38" s="15"/>
      <c r="R38" s="15"/>
    </row>
    <row r="40" spans="2:18" x14ac:dyDescent="0.2">
      <c r="B40" s="730" t="s">
        <v>1983</v>
      </c>
      <c r="C40" s="729"/>
      <c r="D40" s="729"/>
      <c r="E40" s="729"/>
    </row>
    <row r="41" spans="2:18" x14ac:dyDescent="0.2">
      <c r="B41" s="730" t="s">
        <v>1984</v>
      </c>
      <c r="C41" s="731">
        <v>2009</v>
      </c>
      <c r="D41" s="731">
        <v>2015</v>
      </c>
      <c r="E41" s="731">
        <v>2020</v>
      </c>
    </row>
    <row r="42" spans="2:18" x14ac:dyDescent="0.2">
      <c r="B42" s="747" t="s">
        <v>1985</v>
      </c>
      <c r="C42" s="748">
        <v>15.3</v>
      </c>
      <c r="D42" s="748">
        <v>15.4</v>
      </c>
      <c r="E42" s="748">
        <v>16.04</v>
      </c>
    </row>
    <row r="43" spans="2:18" x14ac:dyDescent="0.2">
      <c r="B43" s="749" t="s">
        <v>1986</v>
      </c>
      <c r="C43" s="748"/>
      <c r="D43" s="748" t="s">
        <v>514</v>
      </c>
      <c r="E43" s="748" t="s">
        <v>514</v>
      </c>
    </row>
    <row r="44" spans="2:18" x14ac:dyDescent="0.2">
      <c r="B44" s="750" t="s">
        <v>1987</v>
      </c>
      <c r="C44" s="748">
        <v>15.3</v>
      </c>
      <c r="D44" s="748">
        <v>15.4</v>
      </c>
      <c r="E44" s="748">
        <v>15.94</v>
      </c>
    </row>
    <row r="45" spans="2:18" x14ac:dyDescent="0.2">
      <c r="B45" s="751" t="s">
        <v>1988</v>
      </c>
      <c r="C45" s="748"/>
      <c r="D45" s="748" t="s">
        <v>1559</v>
      </c>
      <c r="E45" s="748" t="s">
        <v>1567</v>
      </c>
    </row>
    <row r="46" spans="2:18" x14ac:dyDescent="0.2">
      <c r="B46" s="750" t="s">
        <v>1989</v>
      </c>
      <c r="C46" s="748" t="s">
        <v>1559</v>
      </c>
      <c r="D46" s="748" t="s">
        <v>1559</v>
      </c>
      <c r="E46" s="748" t="s">
        <v>1567</v>
      </c>
    </row>
    <row r="47" spans="2:18" ht="15" x14ac:dyDescent="0.2">
      <c r="B47" s="749" t="s">
        <v>1990</v>
      </c>
      <c r="C47" s="748"/>
      <c r="D47" s="748" t="s">
        <v>514</v>
      </c>
      <c r="E47" s="748" t="s">
        <v>514</v>
      </c>
    </row>
    <row r="48" spans="2:18" x14ac:dyDescent="0.2">
      <c r="B48" s="752" t="s">
        <v>1483</v>
      </c>
      <c r="C48" s="748"/>
      <c r="D48" s="748">
        <v>9.3000000000000007</v>
      </c>
      <c r="E48" s="748">
        <v>9.76</v>
      </c>
    </row>
    <row r="49" spans="2:8" x14ac:dyDescent="0.2">
      <c r="B49" s="753" t="s">
        <v>1991</v>
      </c>
      <c r="C49" s="748">
        <v>8.6</v>
      </c>
      <c r="D49" s="748">
        <v>5.6</v>
      </c>
      <c r="E49" s="748">
        <v>5.96</v>
      </c>
    </row>
    <row r="50" spans="2:8" x14ac:dyDescent="0.2">
      <c r="B50" s="753" t="s">
        <v>1992</v>
      </c>
      <c r="C50" s="748">
        <v>0.5</v>
      </c>
      <c r="D50" s="748">
        <v>3.2</v>
      </c>
      <c r="E50" s="748">
        <v>3.41</v>
      </c>
    </row>
    <row r="51" spans="2:8" x14ac:dyDescent="0.2">
      <c r="B51" s="753" t="s">
        <v>1993</v>
      </c>
      <c r="C51" s="748">
        <v>1.6</v>
      </c>
      <c r="D51" s="748">
        <v>0.3</v>
      </c>
      <c r="E51" s="748">
        <v>0.37</v>
      </c>
    </row>
    <row r="52" spans="2:8" x14ac:dyDescent="0.2">
      <c r="B52" s="753" t="s">
        <v>1994</v>
      </c>
      <c r="C52" s="748">
        <v>0.1</v>
      </c>
      <c r="D52" s="748" t="s">
        <v>1567</v>
      </c>
      <c r="E52" s="748" t="s">
        <v>1567</v>
      </c>
    </row>
    <row r="53" spans="2:8" x14ac:dyDescent="0.2">
      <c r="B53" s="752" t="s">
        <v>138</v>
      </c>
      <c r="C53" s="748">
        <f>SUM(C54:C59)</f>
        <v>3.7</v>
      </c>
      <c r="D53" s="748">
        <f t="shared" ref="D53" si="14">SUM(D54:D59)</f>
        <v>2.0999999999999996</v>
      </c>
      <c r="E53" s="748">
        <f>SUM(E54:E59)</f>
        <v>3.09</v>
      </c>
    </row>
    <row r="54" spans="2:8" x14ac:dyDescent="0.2">
      <c r="B54" s="753" t="s">
        <v>1991</v>
      </c>
      <c r="C54" s="748">
        <v>2</v>
      </c>
      <c r="D54" s="748">
        <v>0.3</v>
      </c>
      <c r="E54" s="748">
        <v>0.51</v>
      </c>
    </row>
    <row r="55" spans="2:8" x14ac:dyDescent="0.2">
      <c r="B55" s="753" t="s">
        <v>1995</v>
      </c>
      <c r="C55" s="748">
        <v>0.2</v>
      </c>
      <c r="D55" s="748">
        <v>0.6</v>
      </c>
      <c r="E55" s="748">
        <v>0.68</v>
      </c>
    </row>
    <row r="56" spans="2:8" x14ac:dyDescent="0.2">
      <c r="B56" s="753" t="s">
        <v>1996</v>
      </c>
      <c r="C56" s="748">
        <v>0</v>
      </c>
      <c r="D56" s="748">
        <v>0</v>
      </c>
      <c r="E56" s="748">
        <v>0.17</v>
      </c>
    </row>
    <row r="57" spans="2:8" x14ac:dyDescent="0.2">
      <c r="B57" s="753" t="s">
        <v>1997</v>
      </c>
      <c r="C57" s="748">
        <v>0.4</v>
      </c>
      <c r="D57" s="748">
        <v>1.2</v>
      </c>
      <c r="E57" s="748">
        <v>1.38</v>
      </c>
      <c r="G57" s="916"/>
      <c r="H57" s="917"/>
    </row>
    <row r="58" spans="2:8" x14ac:dyDescent="0.2">
      <c r="B58" s="753" t="s">
        <v>1998</v>
      </c>
      <c r="C58" s="748">
        <v>1.1000000000000001</v>
      </c>
      <c r="D58" s="748" t="s">
        <v>1567</v>
      </c>
      <c r="E58" s="748">
        <v>0.19</v>
      </c>
      <c r="G58" s="916"/>
      <c r="H58" s="917"/>
    </row>
    <row r="59" spans="2:8" ht="15" x14ac:dyDescent="0.25">
      <c r="B59" s="753" t="s">
        <v>1994</v>
      </c>
      <c r="C59" s="748" t="s">
        <v>1567</v>
      </c>
      <c r="D59" s="748" t="s">
        <v>1567</v>
      </c>
      <c r="E59" s="748">
        <v>0.16</v>
      </c>
      <c r="G59" s="722"/>
      <c r="H59" s="308"/>
    </row>
    <row r="60" spans="2:8" ht="14.25" x14ac:dyDescent="0.2">
      <c r="B60" s="752" t="s">
        <v>1757</v>
      </c>
      <c r="C60" s="748">
        <v>0.1</v>
      </c>
      <c r="D60" s="748">
        <v>2.6</v>
      </c>
      <c r="E60" s="748">
        <v>2.12</v>
      </c>
      <c r="G60" s="537"/>
      <c r="H60" s="308"/>
    </row>
    <row r="61" spans="2:8" ht="15" x14ac:dyDescent="0.25">
      <c r="B61" s="753" t="s">
        <v>1991</v>
      </c>
      <c r="C61" s="748">
        <v>1</v>
      </c>
      <c r="D61" s="748">
        <v>1.3</v>
      </c>
      <c r="E61" s="748">
        <v>1.21</v>
      </c>
      <c r="G61" s="538"/>
      <c r="H61" s="308"/>
    </row>
    <row r="62" spans="2:8" ht="14.25" x14ac:dyDescent="0.2">
      <c r="B62" s="753" t="s">
        <v>1992</v>
      </c>
      <c r="C62" s="748">
        <v>3.4</v>
      </c>
      <c r="D62" s="748">
        <v>1</v>
      </c>
      <c r="E62" s="748">
        <v>0.85</v>
      </c>
      <c r="G62" s="307"/>
      <c r="H62" s="308"/>
    </row>
    <row r="63" spans="2:8" ht="14.25" x14ac:dyDescent="0.2">
      <c r="B63" s="753" t="s">
        <v>1994</v>
      </c>
      <c r="C63" s="748">
        <v>1</v>
      </c>
      <c r="D63" s="748" t="s">
        <v>1567</v>
      </c>
      <c r="E63" s="748" t="s">
        <v>1567</v>
      </c>
      <c r="G63" s="307"/>
      <c r="H63" s="308"/>
    </row>
    <row r="64" spans="2:8" ht="14.25" x14ac:dyDescent="0.2">
      <c r="B64" s="752" t="s">
        <v>1999</v>
      </c>
      <c r="C64" s="748">
        <v>0.2</v>
      </c>
      <c r="D64" s="748">
        <v>0.4</v>
      </c>
      <c r="E64" s="748">
        <v>0.64</v>
      </c>
      <c r="G64" s="307"/>
      <c r="H64" s="308"/>
    </row>
    <row r="65" spans="2:8" ht="14.25" x14ac:dyDescent="0.2">
      <c r="B65" s="753" t="s">
        <v>1991</v>
      </c>
      <c r="C65" s="748">
        <v>0.6</v>
      </c>
      <c r="D65" s="748">
        <v>0.4</v>
      </c>
      <c r="E65" s="748">
        <v>0.52</v>
      </c>
      <c r="G65" s="537"/>
      <c r="H65" s="308"/>
    </row>
    <row r="66" spans="2:8" ht="15" x14ac:dyDescent="0.25">
      <c r="B66" s="753" t="s">
        <v>1994</v>
      </c>
      <c r="C66" s="748">
        <v>0.5</v>
      </c>
      <c r="D66" s="748" t="s">
        <v>1567</v>
      </c>
      <c r="E66" s="748">
        <v>0.12</v>
      </c>
      <c r="G66" s="538"/>
      <c r="H66" s="308"/>
    </row>
    <row r="67" spans="2:8" ht="14.25" x14ac:dyDescent="0.2">
      <c r="B67" s="752" t="s">
        <v>1572</v>
      </c>
      <c r="C67" s="748" t="s">
        <v>1567</v>
      </c>
      <c r="D67" s="748">
        <v>0.6</v>
      </c>
      <c r="E67" s="748">
        <v>0.27</v>
      </c>
      <c r="G67" s="307"/>
      <c r="H67" s="308"/>
    </row>
    <row r="68" spans="2:8" ht="14.25" x14ac:dyDescent="0.2">
      <c r="B68" s="753" t="s">
        <v>2000</v>
      </c>
      <c r="C68" s="748">
        <v>0.4</v>
      </c>
      <c r="D68" s="748">
        <v>0.4</v>
      </c>
      <c r="E68" s="748">
        <v>0.24</v>
      </c>
      <c r="G68" s="307"/>
      <c r="H68" s="308"/>
    </row>
    <row r="69" spans="2:8" ht="14.25" x14ac:dyDescent="0.2">
      <c r="B69" s="753" t="s">
        <v>1994</v>
      </c>
      <c r="C69" s="748">
        <v>0.3</v>
      </c>
      <c r="D69" s="748" t="s">
        <v>1567</v>
      </c>
      <c r="E69" s="748" t="s">
        <v>1567</v>
      </c>
      <c r="G69" s="307"/>
      <c r="H69" s="308"/>
    </row>
    <row r="70" spans="2:8" x14ac:dyDescent="0.2">
      <c r="B70" s="752" t="s">
        <v>2001</v>
      </c>
      <c r="C70" s="748">
        <v>0.2</v>
      </c>
      <c r="D70" s="748" t="s">
        <v>1567</v>
      </c>
      <c r="E70" s="748" t="s">
        <v>1567</v>
      </c>
      <c r="G70" s="536"/>
      <c r="H70" s="536"/>
    </row>
    <row r="71" spans="2:8" ht="15" x14ac:dyDescent="0.25">
      <c r="B71" s="750" t="s">
        <v>2002</v>
      </c>
      <c r="C71" s="748">
        <v>0.1</v>
      </c>
      <c r="D71" s="748" t="s">
        <v>1559</v>
      </c>
      <c r="E71" s="748">
        <v>0.11</v>
      </c>
      <c r="G71" s="538"/>
      <c r="H71" s="308"/>
    </row>
    <row r="72" spans="2:8" ht="15" x14ac:dyDescent="0.25">
      <c r="G72" s="723"/>
      <c r="H72" s="309"/>
    </row>
    <row r="73" spans="2:8" ht="15.75" x14ac:dyDescent="0.25">
      <c r="B73" s="730" t="s">
        <v>2003</v>
      </c>
      <c r="C73" s="733"/>
      <c r="D73" s="734"/>
      <c r="E73" s="292"/>
      <c r="G73" s="724"/>
      <c r="H73" s="308"/>
    </row>
    <row r="74" spans="2:8" ht="14.25" x14ac:dyDescent="0.2">
      <c r="B74" s="732" t="s">
        <v>2004</v>
      </c>
      <c r="C74" s="735">
        <v>2009</v>
      </c>
      <c r="D74" s="735">
        <v>2015</v>
      </c>
      <c r="E74" s="735">
        <v>2020</v>
      </c>
      <c r="G74" s="724"/>
      <c r="H74" s="308"/>
    </row>
    <row r="75" spans="2:8" ht="14.25" x14ac:dyDescent="0.2">
      <c r="B75" s="737" t="s">
        <v>1985</v>
      </c>
      <c r="C75" s="738">
        <v>15.3</v>
      </c>
      <c r="D75" s="739">
        <v>15.4</v>
      </c>
      <c r="E75" s="740">
        <v>16.04</v>
      </c>
      <c r="G75" s="724"/>
      <c r="H75" s="308"/>
    </row>
    <row r="76" spans="2:8" ht="14.25" x14ac:dyDescent="0.2">
      <c r="B76" s="744" t="s">
        <v>2005</v>
      </c>
      <c r="C76" s="738"/>
      <c r="D76" s="742" t="s">
        <v>514</v>
      </c>
      <c r="E76" s="745" t="s">
        <v>514</v>
      </c>
      <c r="G76" s="724"/>
      <c r="H76" s="308"/>
    </row>
    <row r="77" spans="2:8" ht="15" x14ac:dyDescent="0.25">
      <c r="B77" s="746" t="s">
        <v>2006</v>
      </c>
      <c r="C77" s="738">
        <v>12.6</v>
      </c>
      <c r="D77" s="739">
        <v>13.6</v>
      </c>
      <c r="E77" s="740">
        <v>14.53</v>
      </c>
      <c r="G77" s="723"/>
      <c r="H77" s="309"/>
    </row>
    <row r="78" spans="2:8" ht="14.25" x14ac:dyDescent="0.2">
      <c r="B78" s="746" t="s">
        <v>2007</v>
      </c>
      <c r="C78" s="738">
        <v>1.7</v>
      </c>
      <c r="D78" s="739">
        <v>1.8</v>
      </c>
      <c r="E78" s="740">
        <v>1.51</v>
      </c>
      <c r="G78" s="724"/>
      <c r="H78" s="308"/>
    </row>
    <row r="79" spans="2:8" ht="14.25" x14ac:dyDescent="0.2">
      <c r="B79" s="744" t="s">
        <v>2008</v>
      </c>
      <c r="C79" s="738"/>
      <c r="D79" s="742" t="s">
        <v>514</v>
      </c>
      <c r="E79" s="745" t="s">
        <v>514</v>
      </c>
      <c r="G79" s="724"/>
      <c r="H79" s="308"/>
    </row>
    <row r="80" spans="2:8" ht="15" x14ac:dyDescent="0.25">
      <c r="B80" s="746" t="s">
        <v>2009</v>
      </c>
      <c r="C80" s="738">
        <v>6.2</v>
      </c>
      <c r="D80" s="739">
        <v>5.9</v>
      </c>
      <c r="E80" s="740">
        <v>6.93</v>
      </c>
      <c r="G80" s="723"/>
      <c r="H80" s="309"/>
    </row>
    <row r="81" spans="2:8" ht="14.25" x14ac:dyDescent="0.2">
      <c r="B81" s="743" t="s">
        <v>2010</v>
      </c>
      <c r="C81" s="738">
        <v>5.6</v>
      </c>
      <c r="D81" s="739">
        <v>4.5999999999999996</v>
      </c>
      <c r="E81" s="739">
        <f>E80-E82</f>
        <v>6.4799999999999995</v>
      </c>
      <c r="G81" s="307"/>
      <c r="H81" s="308"/>
    </row>
    <row r="82" spans="2:8" ht="14.25" x14ac:dyDescent="0.2">
      <c r="B82" s="743" t="s">
        <v>2011</v>
      </c>
      <c r="C82" s="738">
        <v>0.6</v>
      </c>
      <c r="D82" s="739">
        <v>1.3</v>
      </c>
      <c r="E82" s="740">
        <v>0.45</v>
      </c>
      <c r="G82" s="307"/>
      <c r="H82" s="308"/>
    </row>
    <row r="83" spans="2:8" x14ac:dyDescent="0.2">
      <c r="B83" s="746" t="s">
        <v>2012</v>
      </c>
      <c r="C83" s="738">
        <v>6.7</v>
      </c>
      <c r="D83" s="739">
        <v>8.5</v>
      </c>
      <c r="E83" s="740">
        <v>6.48</v>
      </c>
      <c r="G83" s="15"/>
      <c r="H83" s="15"/>
    </row>
    <row r="84" spans="2:8" x14ac:dyDescent="0.2">
      <c r="B84" s="743" t="s">
        <v>2013</v>
      </c>
      <c r="C84" s="738">
        <v>2.4</v>
      </c>
      <c r="D84" s="739">
        <v>3.3</v>
      </c>
      <c r="E84" s="740">
        <v>2.37</v>
      </c>
    </row>
    <row r="85" spans="2:8" x14ac:dyDescent="0.2">
      <c r="B85" s="743" t="s">
        <v>2014</v>
      </c>
      <c r="C85" s="738">
        <v>2.5</v>
      </c>
      <c r="D85" s="739">
        <v>2.9</v>
      </c>
      <c r="E85" s="740">
        <v>2.72</v>
      </c>
    </row>
    <row r="86" spans="2:8" x14ac:dyDescent="0.2">
      <c r="B86" s="743" t="s">
        <v>2015</v>
      </c>
      <c r="C86" s="738">
        <v>1.7</v>
      </c>
      <c r="D86" s="739">
        <v>2.2000000000000002</v>
      </c>
      <c r="E86" s="740">
        <v>2.0700000000000003</v>
      </c>
    </row>
    <row r="87" spans="2:8" x14ac:dyDescent="0.2">
      <c r="B87" s="746" t="s">
        <v>2007</v>
      </c>
      <c r="C87" s="738">
        <v>1.7</v>
      </c>
      <c r="D87" s="739">
        <v>1.8</v>
      </c>
      <c r="E87" s="740">
        <v>1.51</v>
      </c>
    </row>
    <row r="89" spans="2:8" ht="15.75" x14ac:dyDescent="0.25">
      <c r="B89" s="730" t="s">
        <v>2016</v>
      </c>
      <c r="C89" s="733"/>
      <c r="D89" s="736"/>
      <c r="E89" s="292"/>
    </row>
    <row r="90" spans="2:8" x14ac:dyDescent="0.2">
      <c r="B90" s="732" t="s">
        <v>2017</v>
      </c>
      <c r="C90" s="735">
        <v>2009</v>
      </c>
      <c r="D90" s="735">
        <v>2015</v>
      </c>
      <c r="E90" s="735">
        <v>2020</v>
      </c>
    </row>
    <row r="91" spans="2:8" x14ac:dyDescent="0.2">
      <c r="B91" s="737" t="s">
        <v>1985</v>
      </c>
      <c r="C91" s="738">
        <v>15.3</v>
      </c>
      <c r="D91" s="739">
        <v>15.4</v>
      </c>
      <c r="E91" s="740">
        <v>16.04</v>
      </c>
    </row>
    <row r="92" spans="2:8" x14ac:dyDescent="0.2">
      <c r="B92" s="741" t="s">
        <v>2018</v>
      </c>
      <c r="C92" s="738"/>
      <c r="D92" s="742" t="s">
        <v>514</v>
      </c>
      <c r="E92" s="306"/>
    </row>
    <row r="93" spans="2:8" x14ac:dyDescent="0.2">
      <c r="B93" s="743" t="s">
        <v>1483</v>
      </c>
      <c r="C93" s="738">
        <v>9.1</v>
      </c>
      <c r="D93" s="739">
        <v>8.6</v>
      </c>
      <c r="E93" s="740">
        <v>9</v>
      </c>
    </row>
    <row r="94" spans="2:8" x14ac:dyDescent="0.2">
      <c r="B94" s="743" t="s">
        <v>138</v>
      </c>
      <c r="C94" s="738">
        <v>3.6</v>
      </c>
      <c r="D94" s="739">
        <v>4.8</v>
      </c>
      <c r="E94" s="740">
        <v>5.26</v>
      </c>
    </row>
    <row r="95" spans="2:8" x14ac:dyDescent="0.2">
      <c r="B95" s="743" t="s">
        <v>1999</v>
      </c>
      <c r="C95" s="738">
        <v>0.5</v>
      </c>
      <c r="D95" s="739">
        <v>0.5</v>
      </c>
      <c r="E95" s="740">
        <v>0.49</v>
      </c>
    </row>
    <row r="96" spans="2:8" x14ac:dyDescent="0.2">
      <c r="B96" s="743" t="s">
        <v>1757</v>
      </c>
      <c r="C96" s="738">
        <v>1.9</v>
      </c>
      <c r="D96" s="739">
        <v>1.4</v>
      </c>
      <c r="E96" s="740">
        <v>1.23</v>
      </c>
    </row>
    <row r="97" spans="2:5" x14ac:dyDescent="0.2">
      <c r="B97" s="743" t="s">
        <v>1723</v>
      </c>
      <c r="C97" s="738" t="s">
        <v>1567</v>
      </c>
      <c r="D97" s="739" t="s">
        <v>1567</v>
      </c>
      <c r="E97" s="740" t="s">
        <v>1567</v>
      </c>
    </row>
    <row r="98" spans="2:5" x14ac:dyDescent="0.2">
      <c r="B98" s="743" t="s">
        <v>2019</v>
      </c>
      <c r="C98" s="738" t="s">
        <v>1567</v>
      </c>
      <c r="D98" s="306"/>
      <c r="E98" s="294"/>
    </row>
  </sheetData>
  <mergeCells count="5">
    <mergeCell ref="E2:G2"/>
    <mergeCell ref="H2:J2"/>
    <mergeCell ref="G57:G58"/>
    <mergeCell ref="H57:H58"/>
    <mergeCell ref="O2:Q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9"/>
    <pageSetUpPr fitToPage="1"/>
  </sheetPr>
  <dimension ref="B1:AC126"/>
  <sheetViews>
    <sheetView zoomScale="85" workbookViewId="0">
      <selection activeCell="P123" sqref="P123"/>
    </sheetView>
  </sheetViews>
  <sheetFormatPr defaultColWidth="9.140625" defaultRowHeight="12.75" x14ac:dyDescent="0.2"/>
  <cols>
    <col min="1" max="1" width="9.140625" style="18"/>
    <col min="2" max="2" width="14.5703125" style="27" customWidth="1"/>
    <col min="3" max="3" width="14.42578125" style="27" customWidth="1"/>
    <col min="4" max="4" width="12.28515625" style="27" bestFit="1" customWidth="1"/>
    <col min="5" max="5" width="13.5703125" style="27" bestFit="1" customWidth="1"/>
    <col min="6" max="6" width="6.42578125" style="27" bestFit="1" customWidth="1"/>
    <col min="7" max="7" width="9.28515625" style="27" bestFit="1" customWidth="1"/>
    <col min="8" max="8" width="4.140625" style="27" bestFit="1" customWidth="1"/>
    <col min="9" max="9" width="11.42578125" style="27" bestFit="1" customWidth="1"/>
    <col min="10" max="10" width="9.7109375" style="27" bestFit="1" customWidth="1"/>
    <col min="11" max="11" width="11.42578125" style="27" bestFit="1" customWidth="1"/>
    <col min="12" max="12" width="15.42578125" style="27" bestFit="1" customWidth="1"/>
    <col min="13" max="13" width="11.5703125" style="19" bestFit="1" customWidth="1"/>
    <col min="14" max="14" width="9.85546875" style="19" bestFit="1" customWidth="1"/>
    <col min="15" max="15" width="11.28515625" style="18" bestFit="1" customWidth="1"/>
    <col min="16" max="16" width="6.7109375" style="18" bestFit="1" customWidth="1"/>
    <col min="17" max="17" width="8.85546875" style="18" bestFit="1" customWidth="1"/>
    <col min="18" max="18" width="5.85546875" style="19" bestFit="1" customWidth="1"/>
    <col min="19" max="19" width="12.5703125" style="18" customWidth="1"/>
    <col min="20" max="20" width="14.85546875" style="18" customWidth="1"/>
    <col min="21" max="21" width="9.140625" style="18"/>
    <col min="22" max="22" width="12.140625" style="18" customWidth="1"/>
    <col min="23" max="26" width="9.140625" style="18"/>
    <col min="27" max="27" width="16" style="18" bestFit="1" customWidth="1"/>
    <col min="28" max="29" width="15.28515625" style="18" bestFit="1" customWidth="1"/>
    <col min="30" max="16384" width="9.140625" style="18"/>
  </cols>
  <sheetData>
    <row r="1" spans="2:18" x14ac:dyDescent="0.2">
      <c r="R1" s="18"/>
    </row>
    <row r="2" spans="2:18" x14ac:dyDescent="0.2">
      <c r="B2" s="324" t="s">
        <v>2020</v>
      </c>
      <c r="C2" s="324"/>
      <c r="D2" s="324"/>
      <c r="E2" s="324"/>
      <c r="F2" s="324"/>
      <c r="G2" s="324"/>
      <c r="H2" s="324"/>
      <c r="I2" s="324"/>
      <c r="J2" s="628">
        <v>41540</v>
      </c>
      <c r="K2" s="324"/>
      <c r="L2" s="324"/>
      <c r="R2" s="18"/>
    </row>
    <row r="3" spans="2:18" x14ac:dyDescent="0.2">
      <c r="B3" s="324" t="s">
        <v>2021</v>
      </c>
      <c r="C3" s="324"/>
      <c r="D3" s="324"/>
      <c r="E3" s="324"/>
      <c r="F3" s="324"/>
      <c r="G3" s="324"/>
      <c r="H3" s="324"/>
      <c r="I3" s="324"/>
      <c r="J3" s="324"/>
      <c r="K3" s="324"/>
      <c r="L3" s="324"/>
    </row>
    <row r="4" spans="2:18" x14ac:dyDescent="0.2">
      <c r="B4" s="324" t="s">
        <v>2022</v>
      </c>
      <c r="C4" s="324" t="s">
        <v>2023</v>
      </c>
      <c r="D4" s="324"/>
      <c r="E4" s="324"/>
      <c r="F4" s="324"/>
      <c r="G4" s="324"/>
      <c r="H4" s="324"/>
      <c r="I4" s="324"/>
      <c r="J4" s="324"/>
      <c r="K4" s="324"/>
      <c r="L4" s="324"/>
    </row>
    <row r="5" spans="2:18" x14ac:dyDescent="0.2">
      <c r="B5" s="324" t="s">
        <v>2024</v>
      </c>
      <c r="C5" s="324" t="s">
        <v>2025</v>
      </c>
      <c r="D5" s="324"/>
      <c r="E5" s="324"/>
      <c r="F5" s="324"/>
      <c r="G5" s="324"/>
      <c r="H5" s="324"/>
      <c r="I5" s="324"/>
      <c r="J5" s="324"/>
      <c r="K5" s="324"/>
      <c r="L5" s="324"/>
    </row>
    <row r="6" spans="2:18" x14ac:dyDescent="0.2">
      <c r="B6" s="324" t="s">
        <v>2026</v>
      </c>
      <c r="C6" s="324" t="s">
        <v>2027</v>
      </c>
      <c r="D6" s="324"/>
      <c r="E6" s="324"/>
      <c r="F6" s="324"/>
      <c r="G6" s="324"/>
      <c r="H6" s="324"/>
      <c r="I6" s="324"/>
      <c r="J6" s="324"/>
      <c r="K6" s="324"/>
      <c r="L6" s="324"/>
    </row>
    <row r="7" spans="2:18" x14ac:dyDescent="0.2">
      <c r="B7" s="324"/>
      <c r="C7" s="324" t="s">
        <v>2028</v>
      </c>
      <c r="D7" s="629"/>
      <c r="E7" s="324"/>
      <c r="F7" s="324"/>
      <c r="G7" s="324"/>
      <c r="H7" s="324"/>
      <c r="I7" s="324"/>
      <c r="J7" s="324"/>
      <c r="K7" s="324"/>
      <c r="L7" s="324"/>
    </row>
    <row r="8" spans="2:18" x14ac:dyDescent="0.2">
      <c r="B8" s="324"/>
      <c r="C8" s="324" t="s">
        <v>2029</v>
      </c>
      <c r="D8" s="629"/>
      <c r="E8" s="324"/>
      <c r="F8" s="324"/>
      <c r="G8" s="324"/>
      <c r="H8" s="324"/>
      <c r="I8" s="324"/>
      <c r="J8" s="324"/>
      <c r="K8" s="324"/>
      <c r="L8" s="324"/>
    </row>
    <row r="9" spans="2:18" x14ac:dyDescent="0.2">
      <c r="B9" s="324"/>
      <c r="C9" s="324" t="s">
        <v>2030</v>
      </c>
      <c r="D9" s="629"/>
      <c r="E9" s="324"/>
      <c r="F9" s="324"/>
      <c r="G9" s="324"/>
      <c r="H9" s="324"/>
      <c r="I9" s="324"/>
      <c r="J9" s="324"/>
      <c r="K9" s="324"/>
      <c r="L9" s="324"/>
    </row>
    <row r="10" spans="2:18" x14ac:dyDescent="0.2">
      <c r="B10" s="324"/>
      <c r="C10" s="324" t="s">
        <v>2031</v>
      </c>
      <c r="D10" s="629"/>
      <c r="E10" s="324"/>
      <c r="F10" s="324"/>
      <c r="G10" s="324"/>
      <c r="H10" s="324"/>
      <c r="I10" s="324"/>
      <c r="J10" s="324"/>
      <c r="K10" s="324"/>
      <c r="L10" s="324"/>
    </row>
    <row r="11" spans="2:18" x14ac:dyDescent="0.2">
      <c r="B11" s="324"/>
      <c r="C11" s="324" t="s">
        <v>2032</v>
      </c>
      <c r="D11" s="629"/>
      <c r="E11" s="324"/>
      <c r="F11" s="324"/>
      <c r="G11" s="324"/>
      <c r="H11" s="324"/>
      <c r="I11" s="324"/>
      <c r="J11" s="324"/>
      <c r="K11" s="324"/>
      <c r="L11" s="324"/>
    </row>
    <row r="12" spans="2:18" x14ac:dyDescent="0.2">
      <c r="B12" s="324" t="s">
        <v>2033</v>
      </c>
      <c r="C12" s="324" t="s">
        <v>2034</v>
      </c>
      <c r="D12" s="629"/>
      <c r="E12" s="324"/>
      <c r="F12" s="324"/>
      <c r="G12" s="324"/>
      <c r="H12" s="324"/>
      <c r="I12" s="324"/>
      <c r="J12" s="324"/>
      <c r="K12" s="324"/>
      <c r="L12" s="324"/>
    </row>
    <row r="13" spans="2:18" x14ac:dyDescent="0.2">
      <c r="B13" s="324" t="s">
        <v>2035</v>
      </c>
      <c r="C13" s="324" t="s">
        <v>2036</v>
      </c>
      <c r="D13" s="629"/>
      <c r="E13" s="324"/>
      <c r="F13" s="324"/>
      <c r="G13" s="324"/>
      <c r="H13" s="324"/>
      <c r="I13" s="324"/>
      <c r="J13" s="324"/>
      <c r="K13" s="324"/>
      <c r="L13" s="324"/>
    </row>
    <row r="14" spans="2:18" x14ac:dyDescent="0.2">
      <c r="B14" s="324"/>
      <c r="C14" s="324" t="s">
        <v>2037</v>
      </c>
      <c r="D14" s="629"/>
      <c r="E14" s="324"/>
      <c r="F14" s="324"/>
      <c r="G14" s="324"/>
      <c r="H14" s="324"/>
      <c r="I14" s="324"/>
      <c r="J14" s="324"/>
      <c r="K14" s="324"/>
      <c r="L14" s="324"/>
    </row>
    <row r="15" spans="2:18" x14ac:dyDescent="0.2">
      <c r="B15" s="324"/>
      <c r="C15" s="324" t="s">
        <v>2038</v>
      </c>
      <c r="D15" s="324"/>
      <c r="E15" s="324"/>
      <c r="F15" s="324"/>
      <c r="G15" s="324"/>
      <c r="H15" s="324"/>
      <c r="I15" s="324"/>
      <c r="J15" s="324"/>
      <c r="K15" s="324"/>
      <c r="L15" s="324"/>
    </row>
    <row r="16" spans="2:18" x14ac:dyDescent="0.2">
      <c r="B16" s="324"/>
      <c r="C16" s="324"/>
      <c r="D16" s="324"/>
      <c r="E16" s="324"/>
      <c r="F16" s="324"/>
      <c r="G16" s="324"/>
      <c r="H16" s="324"/>
      <c r="I16" s="324"/>
      <c r="J16" s="324"/>
      <c r="K16" s="324"/>
      <c r="L16" s="324"/>
    </row>
    <row r="17" spans="2:29" x14ac:dyDescent="0.2">
      <c r="B17" s="324" t="s">
        <v>2039</v>
      </c>
      <c r="C17" s="324"/>
      <c r="D17" s="324"/>
      <c r="E17" s="324"/>
      <c r="F17" s="324"/>
      <c r="G17" s="324"/>
      <c r="H17" s="324"/>
      <c r="I17" s="324"/>
      <c r="J17" s="324"/>
      <c r="K17" s="324"/>
      <c r="L17" s="324"/>
    </row>
    <row r="18" spans="2:29" x14ac:dyDescent="0.2">
      <c r="B18" s="324" t="s">
        <v>1833</v>
      </c>
      <c r="C18" s="324"/>
      <c r="D18" s="324"/>
      <c r="E18" s="324"/>
      <c r="F18" s="324"/>
      <c r="G18" s="324"/>
      <c r="H18" s="324"/>
      <c r="I18" s="324"/>
      <c r="J18" s="324"/>
      <c r="K18" s="324"/>
      <c r="L18" s="324"/>
      <c r="S18" s="18">
        <v>2010</v>
      </c>
    </row>
    <row r="19" spans="2:29" x14ac:dyDescent="0.2">
      <c r="B19" s="329"/>
      <c r="C19" s="329"/>
      <c r="D19" s="543" t="s">
        <v>2040</v>
      </c>
      <c r="E19" s="543" t="s">
        <v>2041</v>
      </c>
      <c r="F19" s="329"/>
      <c r="G19" s="329"/>
      <c r="H19" s="329"/>
      <c r="I19" s="329"/>
      <c r="J19" s="329"/>
      <c r="K19" s="329"/>
      <c r="L19" s="329"/>
      <c r="M19" s="544" t="s">
        <v>472</v>
      </c>
      <c r="N19" s="544" t="s">
        <v>1664</v>
      </c>
      <c r="O19" s="544" t="s">
        <v>2042</v>
      </c>
      <c r="P19" s="544" t="s">
        <v>1663</v>
      </c>
      <c r="S19" s="514" t="s">
        <v>1474</v>
      </c>
      <c r="T19" s="515"/>
      <c r="U19" s="515"/>
      <c r="V19" s="515"/>
      <c r="W19" s="515"/>
      <c r="X19" s="919" t="s">
        <v>2043</v>
      </c>
      <c r="Y19" s="515"/>
      <c r="Z19" s="515"/>
      <c r="AA19" s="402"/>
      <c r="AB19" s="515"/>
      <c r="AC19" s="515"/>
    </row>
    <row r="20" spans="2:29" x14ac:dyDescent="0.2">
      <c r="B20" s="314" t="s">
        <v>2044</v>
      </c>
      <c r="C20" s="314" t="s">
        <v>2045</v>
      </c>
      <c r="D20" s="543" t="s">
        <v>2046</v>
      </c>
      <c r="E20" s="314" t="s">
        <v>2047</v>
      </c>
      <c r="F20" s="314" t="s">
        <v>2048</v>
      </c>
      <c r="G20" s="314" t="s">
        <v>2049</v>
      </c>
      <c r="H20" s="314" t="s">
        <v>2050</v>
      </c>
      <c r="I20" s="314" t="s">
        <v>2051</v>
      </c>
      <c r="J20" s="314" t="s">
        <v>2052</v>
      </c>
      <c r="K20" s="314"/>
      <c r="L20" s="314"/>
      <c r="M20" s="544" t="s">
        <v>2053</v>
      </c>
      <c r="N20" s="544" t="s">
        <v>2054</v>
      </c>
      <c r="O20" s="544" t="s">
        <v>2055</v>
      </c>
      <c r="P20" s="544" t="s">
        <v>2056</v>
      </c>
      <c r="S20" s="403"/>
      <c r="T20" s="403"/>
      <c r="U20" s="403" t="s">
        <v>2057</v>
      </c>
      <c r="V20" s="403" t="s">
        <v>472</v>
      </c>
      <c r="W20" s="403"/>
      <c r="X20" s="919"/>
      <c r="Y20" s="403"/>
      <c r="Z20" s="402"/>
      <c r="AA20" s="402">
        <v>2010</v>
      </c>
      <c r="AB20" s="403">
        <v>2015</v>
      </c>
      <c r="AC20" s="403">
        <v>2020</v>
      </c>
    </row>
    <row r="21" spans="2:29" x14ac:dyDescent="0.2">
      <c r="B21" s="654" t="s">
        <v>2058</v>
      </c>
      <c r="C21" s="657"/>
      <c r="D21" s="658"/>
      <c r="E21" s="657"/>
      <c r="F21" s="657"/>
      <c r="G21" s="657"/>
      <c r="H21" s="657"/>
      <c r="I21" s="657"/>
      <c r="J21" s="657"/>
      <c r="K21" s="657"/>
      <c r="L21" s="657"/>
      <c r="M21" s="659"/>
      <c r="N21" s="659"/>
      <c r="O21" s="659"/>
      <c r="P21" s="659"/>
      <c r="S21" s="404" t="s">
        <v>2059</v>
      </c>
      <c r="T21" s="495">
        <f>$AA$22*U21</f>
        <v>5.7169511765873073</v>
      </c>
      <c r="U21" s="418">
        <f>F24*1.058/100</f>
        <v>0.60306000000000004</v>
      </c>
      <c r="V21" s="418">
        <f>Lighting!M24</f>
        <v>0.45981100563498845</v>
      </c>
      <c r="W21" s="418">
        <f>U21/V21</f>
        <v>1.3115388553329383</v>
      </c>
      <c r="X21" s="418">
        <f>1/(U21/V21+U22/V22+U23/V23+U24/V24+U25/V25)</f>
        <v>0.64118024481071334</v>
      </c>
      <c r="Y21" s="400"/>
      <c r="Z21" s="516" t="s">
        <v>1834</v>
      </c>
      <c r="AA21" s="418">
        <f>'Fuel Share'!G45</f>
        <v>14.785085044364042</v>
      </c>
      <c r="AB21" s="418">
        <f>'Fuel Share'!Q45</f>
        <v>14.293114971891894</v>
      </c>
      <c r="AC21" s="418">
        <f>'Fuel Share'!AA45</f>
        <v>13.266325010220045</v>
      </c>
    </row>
    <row r="22" spans="2:29" x14ac:dyDescent="0.2">
      <c r="B22" s="617" t="s">
        <v>2060</v>
      </c>
      <c r="C22" s="618"/>
      <c r="D22" s="619"/>
      <c r="E22" s="618"/>
      <c r="F22" s="618"/>
      <c r="G22" s="618"/>
      <c r="H22" s="618"/>
      <c r="I22" s="618"/>
      <c r="J22" s="618"/>
      <c r="K22" s="618"/>
      <c r="L22" s="618"/>
      <c r="M22" s="620"/>
      <c r="N22" s="620"/>
      <c r="O22" s="620"/>
      <c r="P22" s="620"/>
      <c r="S22" s="404" t="s">
        <v>2061</v>
      </c>
      <c r="T22" s="495">
        <f>$AA$22*U22</f>
        <v>1.1091488204502287</v>
      </c>
      <c r="U22" s="418">
        <f>F30*0.9/100</f>
        <v>0.11700000000000001</v>
      </c>
      <c r="V22" s="418">
        <f>Lighting!M30</f>
        <v>2.1309861778393948</v>
      </c>
      <c r="W22" s="418">
        <f>U22/V22</f>
        <v>5.4904157153485719E-2</v>
      </c>
      <c r="X22" s="418"/>
      <c r="Y22" s="400"/>
      <c r="Z22" s="516" t="s">
        <v>2062</v>
      </c>
      <c r="AA22" s="418">
        <f>AA21*X21</f>
        <v>9.4799044482925527</v>
      </c>
      <c r="AB22" s="418">
        <f>AB21*X21</f>
        <v>9.1644629567853162</v>
      </c>
      <c r="AC22" s="418">
        <f>AC21*X21</f>
        <v>8.5061055177913776</v>
      </c>
    </row>
    <row r="23" spans="2:29" x14ac:dyDescent="0.2">
      <c r="B23" s="611"/>
      <c r="C23" s="611"/>
      <c r="D23" s="611"/>
      <c r="E23" s="612">
        <f>E24*0.98</f>
        <v>14.209999999999999</v>
      </c>
      <c r="F23" s="611"/>
      <c r="G23" s="611">
        <f>G24</f>
        <v>850</v>
      </c>
      <c r="H23" s="611"/>
      <c r="I23" s="610" t="s">
        <v>2063</v>
      </c>
      <c r="J23" s="610" t="s">
        <v>2064</v>
      </c>
      <c r="K23" s="610" t="s">
        <v>1098</v>
      </c>
      <c r="L23" s="610" t="s">
        <v>1099</v>
      </c>
      <c r="M23" s="613">
        <f>E23/'Conv Factors'!$C$6/'Conv Factors'!$C$3/'Conv Factors'!$C$4/'Conv Factors'!$C$10/'Conv Factors'!$C$5*'Conv Factors'!$C$7</f>
        <v>0.45061478552228867</v>
      </c>
      <c r="N23" s="614"/>
      <c r="O23" s="615">
        <f>O24</f>
        <v>0.85</v>
      </c>
      <c r="P23" s="614">
        <f>O23*1000/'Conv Factors'!$C$16/'Conv Factors'!$C$4</f>
        <v>1.1643835616438356</v>
      </c>
      <c r="S23" s="404" t="s">
        <v>2065</v>
      </c>
      <c r="T23" s="495">
        <f>$AA$22*U23</f>
        <v>1.7063828006926594</v>
      </c>
      <c r="U23" s="418">
        <f>F36/100</f>
        <v>0.18</v>
      </c>
      <c r="V23" s="418">
        <f>Lighting!M84</f>
        <v>2.0009706521081223</v>
      </c>
      <c r="W23" s="418">
        <f t="shared" ref="W23:W25" si="0">U23/V23</f>
        <v>8.9956341843575274E-2</v>
      </c>
      <c r="X23" s="418"/>
      <c r="Y23" s="372"/>
      <c r="Z23" s="516" t="s">
        <v>2066</v>
      </c>
      <c r="AA23" s="418">
        <f>AA22*10^12/Pop!D28/Pop!D49</f>
        <v>2616.2901587486826</v>
      </c>
      <c r="AB23" s="418">
        <f>AB22*10^12/Pop!E28/Pop!E49</f>
        <v>2475.1013525044241</v>
      </c>
      <c r="AC23" s="418">
        <f>AC22*10^12/Pop!F28/Pop!F49</f>
        <v>2272.0621097167223</v>
      </c>
    </row>
    <row r="24" spans="2:29" x14ac:dyDescent="0.2">
      <c r="B24" s="610">
        <v>2005</v>
      </c>
      <c r="C24" s="610">
        <v>2012</v>
      </c>
      <c r="D24" s="610">
        <v>0.33</v>
      </c>
      <c r="E24" s="610">
        <v>14.5</v>
      </c>
      <c r="F24" s="610">
        <v>57</v>
      </c>
      <c r="G24" s="610">
        <v>850</v>
      </c>
      <c r="H24" s="610">
        <v>100</v>
      </c>
      <c r="I24" s="610" t="s">
        <v>2063</v>
      </c>
      <c r="J24" s="610" t="s">
        <v>2064</v>
      </c>
      <c r="K24" s="610" t="s">
        <v>563</v>
      </c>
      <c r="L24" s="610" t="s">
        <v>564</v>
      </c>
      <c r="M24" s="613">
        <f>E24/'Conv Factors'!$C$6/'Conv Factors'!$C$3/'Conv Factors'!$C$4/'Conv Factors'!$C$10/'Conv Factors'!$C$5*'Conv Factors'!$C$7</f>
        <v>0.45981100563498845</v>
      </c>
      <c r="N24" s="614">
        <f>D24*'Conv Factors'!$D$63/1000/'Conv Factors'!$C$8*'Conv Factors'!$C$10</f>
        <v>0.29993805021193348</v>
      </c>
      <c r="O24" s="615">
        <f>G24/1000</f>
        <v>0.85</v>
      </c>
      <c r="P24" s="614">
        <f>O24*1000/'Conv Factors'!$C$16/'Conv Factors'!$C$4</f>
        <v>1.1643835616438356</v>
      </c>
      <c r="S24" s="404" t="s">
        <v>2067</v>
      </c>
      <c r="T24" s="495">
        <f>$AA$22*U24</f>
        <v>0.47399522241462766</v>
      </c>
      <c r="U24" s="418">
        <v>0.05</v>
      </c>
      <c r="V24" s="418">
        <f>Lighting!M51</f>
        <v>0.76793723125015889</v>
      </c>
      <c r="W24" s="418">
        <f>U24/V24</f>
        <v>6.5109488074439101E-2</v>
      </c>
      <c r="X24" s="418"/>
      <c r="Y24" s="418"/>
      <c r="Z24" s="418"/>
      <c r="AA24" s="418"/>
      <c r="AB24" s="418"/>
      <c r="AC24" s="418"/>
    </row>
    <row r="25" spans="2:29" x14ac:dyDescent="0.2">
      <c r="B25" s="610">
        <v>2013</v>
      </c>
      <c r="C25" s="610">
        <v>2013</v>
      </c>
      <c r="D25" s="610">
        <v>0.74</v>
      </c>
      <c r="E25" s="610">
        <v>16.100000000000001</v>
      </c>
      <c r="F25" s="610">
        <v>52.5</v>
      </c>
      <c r="G25" s="610">
        <v>895</v>
      </c>
      <c r="H25" s="610">
        <v>100</v>
      </c>
      <c r="I25" s="610" t="s">
        <v>2063</v>
      </c>
      <c r="J25" s="610" t="s">
        <v>2064</v>
      </c>
      <c r="K25" s="610"/>
      <c r="L25" s="610"/>
      <c r="M25" s="613"/>
      <c r="N25" s="616"/>
      <c r="O25" s="404"/>
      <c r="P25" s="404"/>
      <c r="S25" s="404" t="s">
        <v>2068</v>
      </c>
      <c r="T25" s="495">
        <f>$AA$22*U25</f>
        <v>0.47342642814773006</v>
      </c>
      <c r="U25" s="418">
        <v>4.9939999999999998E-2</v>
      </c>
      <c r="V25" s="418">
        <f>Lighting!M96</f>
        <v>1.3102451539881022</v>
      </c>
      <c r="W25" s="418">
        <f t="shared" si="0"/>
        <v>3.8115004545518423E-2</v>
      </c>
      <c r="X25" s="418"/>
      <c r="Y25" s="418"/>
      <c r="Z25" s="418"/>
      <c r="AA25" s="418"/>
      <c r="AB25" s="418"/>
      <c r="AC25" s="418"/>
    </row>
    <row r="26" spans="2:29" x14ac:dyDescent="0.2">
      <c r="B26" s="610">
        <v>2014</v>
      </c>
      <c r="C26" s="610">
        <v>2019</v>
      </c>
      <c r="D26" s="610">
        <v>1.71</v>
      </c>
      <c r="E26" s="610">
        <v>19.8</v>
      </c>
      <c r="F26" s="610">
        <v>42</v>
      </c>
      <c r="G26" s="610">
        <v>1000</v>
      </c>
      <c r="H26" s="610">
        <v>100</v>
      </c>
      <c r="I26" s="610" t="s">
        <v>2063</v>
      </c>
      <c r="J26" s="610" t="s">
        <v>2064</v>
      </c>
      <c r="K26" s="610" t="s">
        <v>1100</v>
      </c>
      <c r="L26" s="610" t="s">
        <v>1101</v>
      </c>
      <c r="M26" s="613">
        <f>E26/'Conv Factors'!$C$6/'Conv Factors'!$C$3/'Conv Factors'!$C$4/'Conv Factors'!$C$10/'Conv Factors'!$C$5*'Conv Factors'!$C$7</f>
        <v>0.62787985597053608</v>
      </c>
      <c r="N26" s="614">
        <f>D26*'Conv Factors'!$D$63/1000/'Conv Factors'!$C$8*'Conv Factors'!$C$10</f>
        <v>1.5542244420072919</v>
      </c>
      <c r="O26" s="615">
        <f>G26/1000</f>
        <v>1</v>
      </c>
      <c r="P26" s="614">
        <f>O26*1000/'Conv Factors'!$C$16/'Conv Factors'!$C$4</f>
        <v>1.3698630136986301</v>
      </c>
      <c r="S26" s="404"/>
      <c r="T26" s="404"/>
      <c r="U26" s="418">
        <f>SUM(U21:U25)</f>
        <v>1.0000000000000002</v>
      </c>
      <c r="V26" s="418"/>
      <c r="W26" s="418">
        <f>SUM(W21:W25)</f>
        <v>1.559623846949957</v>
      </c>
      <c r="X26" s="418"/>
      <c r="Y26" s="372"/>
      <c r="Z26" s="372"/>
      <c r="AA26" s="418"/>
      <c r="AB26" s="418"/>
      <c r="AC26" s="418"/>
    </row>
    <row r="27" spans="2:29" x14ac:dyDescent="0.2">
      <c r="B27" s="610">
        <v>2020</v>
      </c>
      <c r="C27" s="610">
        <v>2050</v>
      </c>
      <c r="D27" s="610">
        <v>99</v>
      </c>
      <c r="E27" s="610">
        <v>99</v>
      </c>
      <c r="F27" s="610">
        <v>99</v>
      </c>
      <c r="G27" s="610">
        <v>9999</v>
      </c>
      <c r="H27" s="610">
        <v>100</v>
      </c>
      <c r="I27" s="610" t="s">
        <v>2063</v>
      </c>
      <c r="J27" s="610" t="s">
        <v>2064</v>
      </c>
      <c r="K27" s="610"/>
      <c r="L27" s="610"/>
      <c r="M27" s="613"/>
      <c r="N27" s="616"/>
      <c r="O27" s="615"/>
      <c r="P27" s="616"/>
      <c r="S27" s="884" t="s">
        <v>2069</v>
      </c>
      <c r="T27" s="884"/>
      <c r="X27" s="18" t="s">
        <v>2070</v>
      </c>
    </row>
    <row r="28" spans="2:29" x14ac:dyDescent="0.2">
      <c r="B28" s="617" t="s">
        <v>2071</v>
      </c>
      <c r="C28" s="621"/>
      <c r="D28" s="621"/>
      <c r="E28" s="621"/>
      <c r="F28" s="621"/>
      <c r="G28" s="621"/>
      <c r="H28" s="621"/>
      <c r="I28" s="621"/>
      <c r="J28" s="621"/>
      <c r="K28" s="621"/>
      <c r="L28" s="621"/>
      <c r="M28" s="624"/>
      <c r="N28" s="625"/>
      <c r="O28" s="626"/>
      <c r="P28" s="625"/>
      <c r="S28" s="18" t="s">
        <v>2072</v>
      </c>
    </row>
    <row r="29" spans="2:29" x14ac:dyDescent="0.2">
      <c r="B29" s="610" t="s">
        <v>2073</v>
      </c>
      <c r="C29" s="610"/>
      <c r="D29" s="610"/>
      <c r="E29" s="612">
        <f>E30*0.95</f>
        <v>63.839999999999996</v>
      </c>
      <c r="F29" s="610"/>
      <c r="G29" s="610"/>
      <c r="H29" s="610"/>
      <c r="I29" s="610"/>
      <c r="J29" s="610"/>
      <c r="K29" s="610"/>
      <c r="L29" s="610"/>
      <c r="M29" s="613"/>
      <c r="N29" s="614"/>
      <c r="O29" s="615">
        <f>O30</f>
        <v>10</v>
      </c>
      <c r="P29" s="614">
        <f>O29*1000/'Conv Factors'!$C$16/'Conv Factors'!$C$4</f>
        <v>13.698630136986301</v>
      </c>
    </row>
    <row r="30" spans="2:29" x14ac:dyDescent="0.2">
      <c r="B30" s="610">
        <v>2009</v>
      </c>
      <c r="C30" s="610">
        <v>2010</v>
      </c>
      <c r="D30" s="610">
        <v>3.07</v>
      </c>
      <c r="E30" s="610">
        <v>67.2</v>
      </c>
      <c r="F30" s="610">
        <v>13</v>
      </c>
      <c r="G30" s="610">
        <v>10000</v>
      </c>
      <c r="H30" s="610">
        <v>82</v>
      </c>
      <c r="I30" s="610" t="s">
        <v>2063</v>
      </c>
      <c r="J30" s="610" t="s">
        <v>2061</v>
      </c>
      <c r="K30" s="610" t="s">
        <v>565</v>
      </c>
      <c r="L30" s="610" t="s">
        <v>566</v>
      </c>
      <c r="M30" s="613">
        <f>E30/'Conv Factors'!$C$6/'Conv Factors'!$C$3/'Conv Factors'!$C$4/'Conv Factors'!$C$10/'Conv Factors'!$C$5*'Conv Factors'!$C$7</f>
        <v>2.1309861778393948</v>
      </c>
      <c r="N30" s="614">
        <f>D30*'Conv Factors'!$D$63/1000/'Conv Factors'!$C$8*'Conv Factors'!$C$10</f>
        <v>2.7903327701534422</v>
      </c>
      <c r="O30" s="615">
        <f>G30/1000</f>
        <v>10</v>
      </c>
      <c r="P30" s="614">
        <f>O30*1000/'Conv Factors'!$C$16/'Conv Factors'!$C$4</f>
        <v>13.698630136986301</v>
      </c>
      <c r="S30" s="18">
        <v>2015</v>
      </c>
      <c r="T30" s="883" t="s">
        <v>2074</v>
      </c>
    </row>
    <row r="31" spans="2:29" x14ac:dyDescent="0.2">
      <c r="B31" s="610">
        <v>2011</v>
      </c>
      <c r="C31" s="610">
        <v>2019</v>
      </c>
      <c r="D31" s="610">
        <v>2.33</v>
      </c>
      <c r="E31" s="610">
        <v>67.2</v>
      </c>
      <c r="F31" s="610">
        <v>13</v>
      </c>
      <c r="G31" s="610">
        <v>10000</v>
      </c>
      <c r="H31" s="610">
        <v>82</v>
      </c>
      <c r="I31" s="610" t="s">
        <v>2063</v>
      </c>
      <c r="J31" s="610" t="s">
        <v>2061</v>
      </c>
      <c r="K31" s="610" t="s">
        <v>1102</v>
      </c>
      <c r="L31" s="610" t="s">
        <v>1103</v>
      </c>
      <c r="M31" s="613">
        <f>E31/'Conv Factors'!$C$6/'Conv Factors'!$C$3/'Conv Factors'!$C$4/'Conv Factors'!$C$10/'Conv Factors'!$C$5*'Conv Factors'!$C$7</f>
        <v>2.1309861778393948</v>
      </c>
      <c r="N31" s="614">
        <f>D31*'Conv Factors'!$D$63/1000/'Conv Factors'!$C$8*'Conv Factors'!$C$10</f>
        <v>2.1177444151327425</v>
      </c>
      <c r="O31" s="615">
        <f>G31/1000</f>
        <v>10</v>
      </c>
      <c r="P31" s="614">
        <f>O31*1000/'Conv Factors'!$C$16/'Conv Factors'!$C$4</f>
        <v>13.698630136986301</v>
      </c>
      <c r="S31" s="514" t="s">
        <v>1474</v>
      </c>
      <c r="T31" s="515"/>
      <c r="U31" s="515"/>
      <c r="V31" s="515"/>
      <c r="W31" s="515"/>
      <c r="X31" s="919" t="s">
        <v>2043</v>
      </c>
      <c r="AC31"/>
    </row>
    <row r="32" spans="2:29" x14ac:dyDescent="0.2">
      <c r="B32" s="610">
        <v>2020</v>
      </c>
      <c r="C32" s="610">
        <v>2029</v>
      </c>
      <c r="D32" s="610">
        <v>2.27</v>
      </c>
      <c r="E32" s="610">
        <v>69</v>
      </c>
      <c r="F32" s="610">
        <v>13</v>
      </c>
      <c r="G32" s="610">
        <v>10000</v>
      </c>
      <c r="H32" s="610">
        <v>82</v>
      </c>
      <c r="I32" s="610" t="s">
        <v>2063</v>
      </c>
      <c r="J32" s="610" t="s">
        <v>2061</v>
      </c>
      <c r="K32" s="610" t="s">
        <v>1104</v>
      </c>
      <c r="L32" s="610" t="s">
        <v>1105</v>
      </c>
      <c r="M32" s="613">
        <f>E32/'Conv Factors'!$C$6/'Conv Factors'!$C$3/'Conv Factors'!$C$4/'Conv Factors'!$C$10/'Conv Factors'!$C$5*'Conv Factors'!$C$7</f>
        <v>2.1880661647458073</v>
      </c>
      <c r="N32" s="614">
        <f>D32*'Conv Factors'!$D$63/1000/'Conv Factors'!$C$8*'Conv Factors'!$C$10</f>
        <v>2.0632102241851182</v>
      </c>
      <c r="O32" s="615">
        <f>G32/1000</f>
        <v>10</v>
      </c>
      <c r="P32" s="614">
        <f>O32*1000/'Conv Factors'!$C$16/'Conv Factors'!$C$4</f>
        <v>13.698630136986301</v>
      </c>
      <c r="S32" s="403"/>
      <c r="T32" s="403"/>
      <c r="U32" s="403" t="s">
        <v>2057</v>
      </c>
      <c r="V32" s="403" t="s">
        <v>472</v>
      </c>
      <c r="W32" s="403"/>
      <c r="X32" s="919"/>
      <c r="AB32"/>
    </row>
    <row r="33" spans="2:26" x14ac:dyDescent="0.2">
      <c r="B33" s="610">
        <v>2030</v>
      </c>
      <c r="C33" s="610">
        <v>2039</v>
      </c>
      <c r="D33" s="610">
        <v>2.21</v>
      </c>
      <c r="E33" s="610">
        <v>70.7</v>
      </c>
      <c r="F33" s="610">
        <v>13</v>
      </c>
      <c r="G33" s="610">
        <v>10000</v>
      </c>
      <c r="H33" s="610">
        <v>82</v>
      </c>
      <c r="I33" s="610" t="s">
        <v>2063</v>
      </c>
      <c r="J33" s="610" t="s">
        <v>2061</v>
      </c>
      <c r="K33" s="610" t="s">
        <v>1106</v>
      </c>
      <c r="L33" s="610" t="s">
        <v>1107</v>
      </c>
      <c r="M33" s="613">
        <f>E33/'Conv Factors'!$C$6/'Conv Factors'!$C$3/'Conv Factors'!$C$4/'Conv Factors'!$C$10/'Conv Factors'!$C$5*'Conv Factors'!$C$7</f>
        <v>2.24197504126853</v>
      </c>
      <c r="N33" s="614">
        <f>D33*'Conv Factors'!$D$63/1000/'Conv Factors'!$C$8*'Conv Factors'!$C$10</f>
        <v>2.008676033237494</v>
      </c>
      <c r="O33" s="615">
        <f>G33/1000</f>
        <v>10</v>
      </c>
      <c r="P33" s="614">
        <f>O33*1000/'Conv Factors'!$C$16/'Conv Factors'!$C$4</f>
        <v>13.698630136986301</v>
      </c>
      <c r="S33" s="404" t="s">
        <v>2059</v>
      </c>
      <c r="T33" s="495">
        <f>$AB$22*U33</f>
        <v>2.8409835166034481</v>
      </c>
      <c r="U33" s="418">
        <v>0.31</v>
      </c>
      <c r="V33" s="418">
        <f>Lighting!M24</f>
        <v>0.45981100563498845</v>
      </c>
      <c r="W33" s="418">
        <f>U33/V33</f>
        <v>0.67419003938780697</v>
      </c>
      <c r="X33" s="418">
        <f>1/(U33/V33+U34/V34+U35/V35+U36/V36+U37/V37)</f>
        <v>0.84378395187834421</v>
      </c>
    </row>
    <row r="34" spans="2:26" x14ac:dyDescent="0.2">
      <c r="B34" s="610">
        <v>2040</v>
      </c>
      <c r="C34" s="610">
        <v>2050</v>
      </c>
      <c r="D34" s="610">
        <v>2.16</v>
      </c>
      <c r="E34" s="610">
        <v>72.5</v>
      </c>
      <c r="F34" s="610">
        <v>13</v>
      </c>
      <c r="G34" s="610">
        <v>10000</v>
      </c>
      <c r="H34" s="610">
        <v>82</v>
      </c>
      <c r="I34" s="610" t="s">
        <v>2063</v>
      </c>
      <c r="J34" s="610" t="s">
        <v>2061</v>
      </c>
      <c r="K34" s="610" t="s">
        <v>1108</v>
      </c>
      <c r="L34" s="610" t="s">
        <v>1109</v>
      </c>
      <c r="M34" s="613">
        <f>E34/'Conv Factors'!$C$6/'Conv Factors'!$C$3/'Conv Factors'!$C$4/'Conv Factors'!$C$10/'Conv Factors'!$C$5*'Conv Factors'!$C$7</f>
        <v>2.2990550281749424</v>
      </c>
      <c r="N34" s="614">
        <f>D34*'Conv Factors'!$D$63/1000/'Conv Factors'!$C$8*'Conv Factors'!$C$10</f>
        <v>1.9632308741144737</v>
      </c>
      <c r="O34" s="615">
        <f>G34/1000</f>
        <v>10</v>
      </c>
      <c r="P34" s="614">
        <f>O34*1000/'Conv Factors'!$C$16/'Conv Factors'!$C$4</f>
        <v>13.698630136986301</v>
      </c>
      <c r="S34" s="404" t="s">
        <v>2061</v>
      </c>
      <c r="T34" s="495">
        <f>$AB$22*U34</f>
        <v>2.9326281461713011</v>
      </c>
      <c r="U34" s="418">
        <v>0.32</v>
      </c>
      <c r="V34" s="418">
        <f>Lighting!M30</f>
        <v>2.1309861778393948</v>
      </c>
      <c r="W34" s="418">
        <f>U34/V34</f>
        <v>0.15016521614628572</v>
      </c>
      <c r="X34" s="418"/>
      <c r="Z34"/>
    </row>
    <row r="35" spans="2:26" x14ac:dyDescent="0.2">
      <c r="B35" s="617" t="s">
        <v>2075</v>
      </c>
      <c r="C35" s="621"/>
      <c r="D35" s="621"/>
      <c r="E35" s="621"/>
      <c r="F35" s="621"/>
      <c r="G35" s="621"/>
      <c r="H35" s="621"/>
      <c r="I35" s="621"/>
      <c r="J35" s="621"/>
      <c r="K35" s="621"/>
      <c r="L35" s="621"/>
      <c r="M35" s="624"/>
      <c r="N35" s="627"/>
      <c r="O35" s="626"/>
      <c r="P35" s="627"/>
      <c r="S35" s="404" t="s">
        <v>2065</v>
      </c>
      <c r="T35" s="495">
        <f>$AB$22*U35</f>
        <v>0.36657851827141263</v>
      </c>
      <c r="U35" s="418">
        <v>0.04</v>
      </c>
      <c r="V35" s="418">
        <f>Lighting!M84</f>
        <v>2.0009706521081223</v>
      </c>
      <c r="W35" s="418">
        <f t="shared" ref="W35" si="1">U35/V35</f>
        <v>1.9990298187461175E-2</v>
      </c>
      <c r="X35" s="418"/>
    </row>
    <row r="36" spans="2:26" x14ac:dyDescent="0.2">
      <c r="B36" s="610">
        <v>2005</v>
      </c>
      <c r="C36" s="610">
        <v>2010</v>
      </c>
      <c r="D36" s="610">
        <v>66.58</v>
      </c>
      <c r="E36" s="610">
        <v>44</v>
      </c>
      <c r="F36" s="610">
        <v>18</v>
      </c>
      <c r="G36" s="610">
        <v>20000</v>
      </c>
      <c r="H36" s="610">
        <v>92</v>
      </c>
      <c r="I36" s="610" t="s">
        <v>2063</v>
      </c>
      <c r="J36" s="610" t="s">
        <v>2076</v>
      </c>
      <c r="K36" s="610"/>
      <c r="L36" s="610"/>
      <c r="M36" s="613"/>
      <c r="N36" s="616"/>
      <c r="O36" s="615"/>
      <c r="P36" s="616"/>
      <c r="S36" s="404" t="s">
        <v>2067</v>
      </c>
      <c r="T36" s="495">
        <f>$AB$22*U36</f>
        <v>1.512136387869577</v>
      </c>
      <c r="U36" s="418">
        <f>(1-SUM(U33:U35))/2</f>
        <v>0.16499999999999998</v>
      </c>
      <c r="V36" s="418">
        <f>Lighting!M51</f>
        <v>0.76793723125015889</v>
      </c>
      <c r="W36" s="418">
        <f>U36/V36</f>
        <v>0.21486131064564901</v>
      </c>
      <c r="X36" s="418"/>
    </row>
    <row r="37" spans="2:26" x14ac:dyDescent="0.2">
      <c r="B37" s="610">
        <v>2011</v>
      </c>
      <c r="C37" s="610">
        <v>2011</v>
      </c>
      <c r="D37" s="610">
        <v>25.85</v>
      </c>
      <c r="E37" s="610">
        <v>60</v>
      </c>
      <c r="F37" s="610">
        <v>13</v>
      </c>
      <c r="G37" s="610">
        <v>25000</v>
      </c>
      <c r="H37" s="610">
        <v>92</v>
      </c>
      <c r="I37" s="610" t="s">
        <v>2063</v>
      </c>
      <c r="J37" s="610" t="s">
        <v>2076</v>
      </c>
      <c r="K37" s="610" t="s">
        <v>1122</v>
      </c>
      <c r="L37" s="610" t="s">
        <v>1123</v>
      </c>
      <c r="M37" s="613">
        <f>E37/'Conv Factors'!$C$6/'Conv Factors'!$C$3/'Conv Factors'!$C$4/'Conv Factors'!$C$10/'Conv Factors'!$C$5*'Conv Factors'!$C$7</f>
        <v>1.9026662302137451</v>
      </c>
      <c r="N37" s="614">
        <f>D37*'Conv Factors'!$D$63/1000/'Conv Factors'!$C$8*'Conv Factors'!$C$10</f>
        <v>23.495147266601457</v>
      </c>
      <c r="O37" s="615">
        <f>G37/1000</f>
        <v>25</v>
      </c>
      <c r="P37" s="614">
        <f>O37*1000/'Conv Factors'!$C$16/'Conv Factors'!$C$4</f>
        <v>34.246575342465754</v>
      </c>
      <c r="S37" s="404" t="s">
        <v>2068</v>
      </c>
      <c r="T37" s="495">
        <f>$AB$22*U37</f>
        <v>1.512136387869577</v>
      </c>
      <c r="U37" s="418">
        <f>(1-SUM(U33:U35))/2</f>
        <v>0.16499999999999998</v>
      </c>
      <c r="V37" s="418">
        <f>Lighting!M96</f>
        <v>1.3102451539881022</v>
      </c>
      <c r="W37" s="418">
        <f t="shared" ref="W37" si="2">U37/V37</f>
        <v>0.12593063175832075</v>
      </c>
      <c r="X37" s="418"/>
    </row>
    <row r="38" spans="2:26" x14ac:dyDescent="0.2">
      <c r="B38" s="610">
        <v>2012</v>
      </c>
      <c r="C38" s="610">
        <v>2012</v>
      </c>
      <c r="D38" s="610">
        <v>19.07</v>
      </c>
      <c r="E38" s="610">
        <v>66.8</v>
      </c>
      <c r="F38" s="610">
        <v>11.7</v>
      </c>
      <c r="G38" s="610">
        <v>27001</v>
      </c>
      <c r="H38" s="610">
        <v>92</v>
      </c>
      <c r="I38" s="610" t="s">
        <v>2063</v>
      </c>
      <c r="J38" s="610" t="s">
        <v>2076</v>
      </c>
      <c r="K38" s="610"/>
      <c r="L38" s="610"/>
      <c r="M38" s="613"/>
      <c r="N38" s="614"/>
      <c r="O38" s="615"/>
      <c r="P38" s="614"/>
      <c r="S38" s="404"/>
      <c r="T38" s="404"/>
      <c r="U38" s="418">
        <f>SUM(U33:U37)</f>
        <v>1</v>
      </c>
      <c r="V38" s="418"/>
      <c r="W38" s="418">
        <f>SUM(W33:W37)</f>
        <v>1.1851374961255234</v>
      </c>
      <c r="X38" s="418"/>
    </row>
    <row r="39" spans="2:26" x14ac:dyDescent="0.2">
      <c r="B39" s="610">
        <v>2013</v>
      </c>
      <c r="C39" s="610">
        <v>2013</v>
      </c>
      <c r="D39" s="610">
        <v>14.07</v>
      </c>
      <c r="E39" s="610">
        <v>74.3</v>
      </c>
      <c r="F39" s="610">
        <v>10.5</v>
      </c>
      <c r="G39" s="610">
        <v>29163</v>
      </c>
      <c r="H39" s="610">
        <v>92</v>
      </c>
      <c r="I39" s="610" t="s">
        <v>2063</v>
      </c>
      <c r="J39" s="610" t="s">
        <v>2076</v>
      </c>
      <c r="K39" s="610"/>
      <c r="L39" s="610"/>
      <c r="M39" s="613"/>
      <c r="N39" s="614"/>
      <c r="O39" s="615"/>
      <c r="P39" s="614"/>
      <c r="S39" s="18">
        <v>2020</v>
      </c>
      <c r="T39" s="883" t="s">
        <v>2074</v>
      </c>
    </row>
    <row r="40" spans="2:26" x14ac:dyDescent="0.2">
      <c r="B40" s="610">
        <v>2014</v>
      </c>
      <c r="C40" s="610">
        <v>2014</v>
      </c>
      <c r="D40" s="610">
        <v>10.38</v>
      </c>
      <c r="E40" s="610">
        <v>82.7</v>
      </c>
      <c r="F40" s="610">
        <v>9.5</v>
      </c>
      <c r="G40" s="610">
        <v>31498</v>
      </c>
      <c r="H40" s="610">
        <v>92</v>
      </c>
      <c r="I40" s="610" t="s">
        <v>2063</v>
      </c>
      <c r="J40" s="610" t="s">
        <v>2076</v>
      </c>
      <c r="K40" s="610"/>
      <c r="L40" s="610"/>
      <c r="M40" s="613"/>
      <c r="N40" s="614"/>
      <c r="O40" s="615"/>
      <c r="P40" s="614"/>
      <c r="S40" s="514" t="s">
        <v>1474</v>
      </c>
      <c r="T40" s="515"/>
      <c r="U40" s="515"/>
      <c r="V40" s="515"/>
      <c r="W40" s="515"/>
      <c r="X40" s="919" t="s">
        <v>2043</v>
      </c>
    </row>
    <row r="41" spans="2:26" x14ac:dyDescent="0.2">
      <c r="B41" s="610">
        <v>2015</v>
      </c>
      <c r="C41" s="610">
        <v>2015</v>
      </c>
      <c r="D41" s="610">
        <v>7.66</v>
      </c>
      <c r="E41" s="610">
        <v>92</v>
      </c>
      <c r="F41" s="610">
        <v>8.5</v>
      </c>
      <c r="G41" s="610">
        <v>34020</v>
      </c>
      <c r="H41" s="610">
        <v>92</v>
      </c>
      <c r="I41" s="610" t="s">
        <v>2063</v>
      </c>
      <c r="J41" s="610" t="s">
        <v>2076</v>
      </c>
      <c r="K41" s="610" t="s">
        <v>1110</v>
      </c>
      <c r="L41" s="610" t="s">
        <v>1111</v>
      </c>
      <c r="M41" s="613">
        <f>E41/'Conv Factors'!$C$6/'Conv Factors'!$C$3/'Conv Factors'!$C$4/'Conv Factors'!$C$10/'Conv Factors'!$C$5*'Conv Factors'!$C$7</f>
        <v>2.9174215529944094</v>
      </c>
      <c r="N41" s="614">
        <f>D41*'Conv Factors'!$D$63/1000/'Conv Factors'!$C$8*'Conv Factors'!$C$10</f>
        <v>6.9621983776466987</v>
      </c>
      <c r="O41" s="615">
        <f>G41/1000</f>
        <v>34.020000000000003</v>
      </c>
      <c r="P41" s="614">
        <f>O41*1000/'Conv Factors'!$C$16/'Conv Factors'!$C$4</f>
        <v>46.602739726027394</v>
      </c>
      <c r="S41" s="403"/>
      <c r="T41" s="403"/>
      <c r="U41" s="403" t="s">
        <v>2057</v>
      </c>
      <c r="V41" s="403" t="s">
        <v>472</v>
      </c>
      <c r="W41" s="403"/>
      <c r="X41" s="919"/>
    </row>
    <row r="42" spans="2:26" x14ac:dyDescent="0.2">
      <c r="B42" s="610">
        <v>2016</v>
      </c>
      <c r="C42" s="610">
        <v>2016</v>
      </c>
      <c r="D42" s="610">
        <v>6.7</v>
      </c>
      <c r="E42" s="610">
        <v>102.4</v>
      </c>
      <c r="F42" s="610">
        <v>7.6</v>
      </c>
      <c r="G42" s="610">
        <v>36743</v>
      </c>
      <c r="H42" s="610">
        <v>92</v>
      </c>
      <c r="I42" s="610" t="s">
        <v>2063</v>
      </c>
      <c r="J42" s="610" t="s">
        <v>2076</v>
      </c>
      <c r="K42" s="610"/>
      <c r="L42" s="610"/>
      <c r="M42" s="613"/>
      <c r="N42" s="614"/>
      <c r="O42" s="615"/>
      <c r="P42" s="614"/>
      <c r="S42" s="404" t="s">
        <v>2059</v>
      </c>
      <c r="T42" s="495">
        <f>$AC$22*U42</f>
        <v>1.2759158276687066</v>
      </c>
      <c r="U42" s="418">
        <v>0.15</v>
      </c>
      <c r="V42" s="418">
        <f>Lighting!M24</f>
        <v>0.45981100563498845</v>
      </c>
      <c r="W42" s="418">
        <f>U42/V42</f>
        <v>0.32622098680055178</v>
      </c>
      <c r="X42" s="418">
        <f>1/(U42/V42+U43/V43+U44/V44+U45/V45+U46/V46)</f>
        <v>1.128767940045696</v>
      </c>
    </row>
    <row r="43" spans="2:26" x14ac:dyDescent="0.2">
      <c r="B43" s="610">
        <v>2017</v>
      </c>
      <c r="C43" s="610">
        <v>2017</v>
      </c>
      <c r="D43" s="610">
        <v>5.86</v>
      </c>
      <c r="E43" s="610">
        <v>113.9</v>
      </c>
      <c r="F43" s="610">
        <v>6.9</v>
      </c>
      <c r="G43" s="610">
        <v>39685</v>
      </c>
      <c r="H43" s="610">
        <v>92</v>
      </c>
      <c r="I43" s="610" t="s">
        <v>2063</v>
      </c>
      <c r="J43" s="610" t="s">
        <v>2076</v>
      </c>
      <c r="K43" s="610"/>
      <c r="L43" s="610"/>
      <c r="M43" s="613"/>
      <c r="N43" s="614"/>
      <c r="O43" s="615"/>
      <c r="P43" s="614"/>
      <c r="S43" s="404" t="s">
        <v>2061</v>
      </c>
      <c r="T43" s="495">
        <f t="shared" ref="T43:T46" si="3">$AC$22*U43</f>
        <v>1.0207326621349653</v>
      </c>
      <c r="U43" s="418">
        <v>0.12</v>
      </c>
      <c r="V43" s="418">
        <f>Lighting!M30</f>
        <v>2.1309861778393948</v>
      </c>
      <c r="W43" s="418">
        <f>U43/V43</f>
        <v>5.6311956054857143E-2</v>
      </c>
      <c r="X43" s="418"/>
    </row>
    <row r="44" spans="2:26" x14ac:dyDescent="0.2">
      <c r="B44" s="610">
        <v>2018</v>
      </c>
      <c r="C44" s="610">
        <v>2018</v>
      </c>
      <c r="D44" s="610">
        <v>5.12</v>
      </c>
      <c r="E44" s="610">
        <v>126.8</v>
      </c>
      <c r="F44" s="610">
        <v>6.2</v>
      </c>
      <c r="G44" s="610">
        <v>42862</v>
      </c>
      <c r="H44" s="610">
        <v>92</v>
      </c>
      <c r="I44" s="610" t="s">
        <v>2063</v>
      </c>
      <c r="J44" s="610" t="s">
        <v>2076</v>
      </c>
      <c r="K44" s="610"/>
      <c r="L44" s="610"/>
      <c r="M44" s="613"/>
      <c r="N44" s="614"/>
      <c r="O44" s="615"/>
      <c r="P44" s="614"/>
      <c r="S44" s="404" t="s">
        <v>2065</v>
      </c>
      <c r="T44" s="495">
        <f t="shared" si="3"/>
        <v>3.9978695933619472</v>
      </c>
      <c r="U44" s="418">
        <v>0.47</v>
      </c>
      <c r="V44" s="418">
        <f>Lighting!M84</f>
        <v>2.0009706521081223</v>
      </c>
      <c r="W44" s="418">
        <f t="shared" ref="W44" si="4">U44/V44</f>
        <v>0.23488600370266877</v>
      </c>
      <c r="X44" s="418"/>
    </row>
    <row r="45" spans="2:26" x14ac:dyDescent="0.2">
      <c r="B45" s="610">
        <v>2019</v>
      </c>
      <c r="C45" s="610">
        <v>2019</v>
      </c>
      <c r="D45" s="610">
        <v>4.47</v>
      </c>
      <c r="E45" s="610">
        <v>141.1</v>
      </c>
      <c r="F45" s="610">
        <v>5.6</v>
      </c>
      <c r="G45" s="610">
        <v>46294</v>
      </c>
      <c r="H45" s="610">
        <v>92</v>
      </c>
      <c r="I45" s="610" t="s">
        <v>2063</v>
      </c>
      <c r="J45" s="610" t="s">
        <v>2076</v>
      </c>
      <c r="K45" s="610"/>
      <c r="L45" s="610"/>
      <c r="M45" s="613"/>
      <c r="N45" s="614"/>
      <c r="O45" s="615"/>
      <c r="P45" s="614"/>
      <c r="S45" s="404" t="s">
        <v>2067</v>
      </c>
      <c r="T45" s="495">
        <f t="shared" si="3"/>
        <v>1.1057937173128791</v>
      </c>
      <c r="U45" s="418">
        <f>(1-SUM(U42:U44))/2</f>
        <v>0.13</v>
      </c>
      <c r="V45" s="418">
        <f>Lighting!M51</f>
        <v>0.76793723125015889</v>
      </c>
      <c r="W45" s="418">
        <f>U45/V45</f>
        <v>0.16928466899354166</v>
      </c>
      <c r="X45" s="418"/>
    </row>
    <row r="46" spans="2:26" x14ac:dyDescent="0.2">
      <c r="B46" s="610">
        <v>2020</v>
      </c>
      <c r="C46" s="610">
        <v>2024</v>
      </c>
      <c r="D46" s="610">
        <v>3.92</v>
      </c>
      <c r="E46" s="610">
        <v>157</v>
      </c>
      <c r="F46" s="610">
        <v>5</v>
      </c>
      <c r="G46" s="610">
        <v>50000</v>
      </c>
      <c r="H46" s="610">
        <v>95</v>
      </c>
      <c r="I46" s="610" t="s">
        <v>2063</v>
      </c>
      <c r="J46" s="610" t="s">
        <v>2076</v>
      </c>
      <c r="K46" s="610" t="s">
        <v>1112</v>
      </c>
      <c r="L46" s="610" t="s">
        <v>1113</v>
      </c>
      <c r="M46" s="613">
        <f>E46/'Conv Factors'!$C$6/'Conv Factors'!$C$3/'Conv Factors'!$C$4/'Conv Factors'!$C$10/'Conv Factors'!$C$5*'Conv Factors'!$C$7</f>
        <v>4.9786433023926335</v>
      </c>
      <c r="N46" s="614">
        <f>D46*'Conv Factors'!$D$63/1000/'Conv Factors'!$C$8*'Conv Factors'!$C$10</f>
        <v>3.5629004752447853</v>
      </c>
      <c r="O46" s="615">
        <f>G46/1000</f>
        <v>50</v>
      </c>
      <c r="P46" s="614">
        <f>O46*1000/'Conv Factors'!$C$16/'Conv Factors'!$C$4</f>
        <v>68.493150684931507</v>
      </c>
      <c r="S46" s="404" t="s">
        <v>2068</v>
      </c>
      <c r="T46" s="495">
        <f t="shared" si="3"/>
        <v>1.1057937173128791</v>
      </c>
      <c r="U46" s="418">
        <f>(1-SUM(U42:U44))/2</f>
        <v>0.13</v>
      </c>
      <c r="V46" s="418">
        <f>Lighting!M96</f>
        <v>1.3102451539881022</v>
      </c>
      <c r="W46" s="418">
        <f t="shared" ref="W46" si="5">U46/V46</f>
        <v>9.9218073506555773E-2</v>
      </c>
      <c r="X46" s="418"/>
    </row>
    <row r="47" spans="2:26" x14ac:dyDescent="0.2">
      <c r="B47" s="610">
        <v>2025</v>
      </c>
      <c r="C47" s="610">
        <v>2029</v>
      </c>
      <c r="D47" s="610">
        <v>2.79</v>
      </c>
      <c r="E47" s="610">
        <v>179.5</v>
      </c>
      <c r="F47" s="610">
        <v>4.5</v>
      </c>
      <c r="G47" s="610">
        <v>50000</v>
      </c>
      <c r="H47" s="610">
        <v>97</v>
      </c>
      <c r="I47" s="610" t="s">
        <v>2063</v>
      </c>
      <c r="J47" s="610" t="s">
        <v>2076</v>
      </c>
      <c r="K47" s="610" t="s">
        <v>1114</v>
      </c>
      <c r="L47" s="610" t="s">
        <v>1115</v>
      </c>
      <c r="M47" s="613">
        <f>E47/'Conv Factors'!$C$6/'Conv Factors'!$C$3/'Conv Factors'!$C$4/'Conv Factors'!$C$10/'Conv Factors'!$C$5*'Conv Factors'!$C$7</f>
        <v>5.6921431387227885</v>
      </c>
      <c r="N47" s="614">
        <f>D47*'Conv Factors'!$D$63/1000/'Conv Factors'!$C$8*'Conv Factors'!$C$10</f>
        <v>2.5358398790645285</v>
      </c>
      <c r="O47" s="615">
        <f>G47/1000</f>
        <v>50</v>
      </c>
      <c r="P47" s="614">
        <f>O47*1000/'Conv Factors'!$C$16/'Conv Factors'!$C$4</f>
        <v>68.493150684931507</v>
      </c>
      <c r="S47" s="404"/>
      <c r="T47" s="404"/>
      <c r="U47" s="418">
        <f>SUM(U42:U46)</f>
        <v>1</v>
      </c>
      <c r="V47" s="418"/>
      <c r="W47" s="418">
        <f>SUM(W42:W46)</f>
        <v>0.88592168905817514</v>
      </c>
      <c r="X47" s="418"/>
    </row>
    <row r="48" spans="2:26" x14ac:dyDescent="0.2">
      <c r="B48" s="610">
        <v>2030</v>
      </c>
      <c r="C48" s="610">
        <v>2039</v>
      </c>
      <c r="D48" s="610">
        <v>2.35</v>
      </c>
      <c r="E48" s="610">
        <v>202</v>
      </c>
      <c r="F48" s="610">
        <v>4</v>
      </c>
      <c r="G48" s="610">
        <v>50000</v>
      </c>
      <c r="H48" s="610">
        <v>98</v>
      </c>
      <c r="I48" s="610" t="s">
        <v>2063</v>
      </c>
      <c r="J48" s="610" t="s">
        <v>2076</v>
      </c>
      <c r="K48" s="610" t="s">
        <v>1116</v>
      </c>
      <c r="L48" s="610" t="s">
        <v>1117</v>
      </c>
      <c r="M48" s="613">
        <f>E48/'Conv Factors'!$C$6/'Conv Factors'!$C$3/'Conv Factors'!$C$4/'Conv Factors'!$C$10/'Conv Factors'!$C$5*'Conv Factors'!$C$7</f>
        <v>6.4056429750529427</v>
      </c>
      <c r="N48" s="614">
        <f>D48*'Conv Factors'!$D$63/1000/'Conv Factors'!$C$8*'Conv Factors'!$C$10</f>
        <v>2.1359224787819504</v>
      </c>
      <c r="O48" s="615">
        <f>G48/1000</f>
        <v>50</v>
      </c>
      <c r="P48" s="614">
        <f>O48*1000/'Conv Factors'!$C$16/'Conv Factors'!$C$4</f>
        <v>68.493150684931507</v>
      </c>
    </row>
    <row r="49" spans="2:16" x14ac:dyDescent="0.2">
      <c r="B49" s="610">
        <v>2040</v>
      </c>
      <c r="C49" s="610">
        <v>2050</v>
      </c>
      <c r="D49" s="610">
        <v>2.35</v>
      </c>
      <c r="E49" s="610">
        <v>202</v>
      </c>
      <c r="F49" s="610">
        <v>4</v>
      </c>
      <c r="G49" s="610">
        <v>50000</v>
      </c>
      <c r="H49" s="610">
        <v>99</v>
      </c>
      <c r="I49" s="610" t="s">
        <v>2063</v>
      </c>
      <c r="J49" s="610" t="s">
        <v>2076</v>
      </c>
      <c r="K49" s="610" t="s">
        <v>1118</v>
      </c>
      <c r="L49" s="610" t="s">
        <v>1119</v>
      </c>
      <c r="M49" s="613">
        <f>E49/'Conv Factors'!$C$6/'Conv Factors'!$C$3/'Conv Factors'!$C$4/'Conv Factors'!$C$10/'Conv Factors'!$C$5*'Conv Factors'!$C$7</f>
        <v>6.4056429750529427</v>
      </c>
      <c r="N49" s="614">
        <f>D49*'Conv Factors'!$D$63/1000/'Conv Factors'!$C$8*'Conv Factors'!$C$10</f>
        <v>2.1359224787819504</v>
      </c>
      <c r="O49" s="615">
        <f>G49/1000</f>
        <v>50</v>
      </c>
      <c r="P49" s="614">
        <f>O49*1000/'Conv Factors'!$C$16/'Conv Factors'!$C$4</f>
        <v>68.493150684931507</v>
      </c>
    </row>
    <row r="50" spans="2:16" x14ac:dyDescent="0.2">
      <c r="B50" s="654" t="s">
        <v>2077</v>
      </c>
      <c r="C50" s="656"/>
      <c r="D50" s="656"/>
      <c r="E50" s="656"/>
      <c r="F50" s="656"/>
      <c r="G50" s="656"/>
      <c r="H50" s="656"/>
      <c r="I50" s="656"/>
      <c r="J50" s="656"/>
      <c r="K50" s="656"/>
      <c r="L50" s="656"/>
      <c r="M50" s="660"/>
      <c r="N50" s="661"/>
      <c r="O50" s="662"/>
      <c r="P50" s="661"/>
    </row>
    <row r="51" spans="2:16" x14ac:dyDescent="0.2">
      <c r="B51" s="610"/>
      <c r="C51" s="610"/>
      <c r="D51" s="610"/>
      <c r="E51" s="610"/>
      <c r="F51" s="610"/>
      <c r="G51" s="610"/>
      <c r="H51" s="610"/>
      <c r="I51" s="610"/>
      <c r="J51" s="610"/>
      <c r="K51" s="610" t="s">
        <v>2078</v>
      </c>
      <c r="L51" s="610" t="s">
        <v>2079</v>
      </c>
      <c r="M51" s="613">
        <f>AVERAGE(M53:M66)</f>
        <v>0.76793723125015889</v>
      </c>
      <c r="N51" s="614"/>
      <c r="O51" s="615"/>
      <c r="P51" s="614">
        <f>AVERAGE(P53:P66)</f>
        <v>5.5251141552511411</v>
      </c>
    </row>
    <row r="52" spans="2:16" ht="13.5" customHeight="1" x14ac:dyDescent="0.2">
      <c r="B52" s="617" t="s">
        <v>2060</v>
      </c>
      <c r="C52" s="621"/>
      <c r="D52" s="621"/>
      <c r="E52" s="621"/>
      <c r="F52" s="621"/>
      <c r="G52" s="621"/>
      <c r="H52" s="621"/>
      <c r="I52" s="621"/>
      <c r="J52" s="621"/>
      <c r="K52" s="621"/>
      <c r="L52" s="621"/>
      <c r="M52" s="624"/>
      <c r="N52" s="627"/>
      <c r="O52" s="626"/>
      <c r="P52" s="627"/>
    </row>
    <row r="53" spans="2:16" x14ac:dyDescent="0.2">
      <c r="B53" s="610">
        <v>2005</v>
      </c>
      <c r="C53" s="610">
        <v>2019</v>
      </c>
      <c r="D53" s="610">
        <v>3.31</v>
      </c>
      <c r="E53" s="610">
        <v>9.6999999999999993</v>
      </c>
      <c r="F53" s="610">
        <v>65</v>
      </c>
      <c r="G53" s="610">
        <v>850</v>
      </c>
      <c r="H53" s="610">
        <v>100</v>
      </c>
      <c r="I53" s="610" t="s">
        <v>2080</v>
      </c>
      <c r="J53" s="610" t="s">
        <v>2064</v>
      </c>
      <c r="K53" s="610" t="s">
        <v>567</v>
      </c>
      <c r="L53" s="610" t="s">
        <v>568</v>
      </c>
      <c r="M53" s="613">
        <f>E53/'Conv Factors'!$C$6/'Conv Factors'!$C$3/'Conv Factors'!$C$4/'Conv Factors'!$C$10/'Conv Factors'!$C$5*'Conv Factors'!$C$7</f>
        <v>0.30759770721788882</v>
      </c>
      <c r="N53" s="614">
        <f>D53*'Conv Factors'!$D$63/1000/'Conv Factors'!$C$8*'Conv Factors'!$C$10</f>
        <v>3.0084695339439387</v>
      </c>
      <c r="O53" s="615">
        <f>G53/1000</f>
        <v>0.85</v>
      </c>
      <c r="P53" s="614">
        <f>O53*1000/'Conv Factors'!$C$16/'Conv Factors'!$C$4</f>
        <v>1.1643835616438356</v>
      </c>
    </row>
    <row r="54" spans="2:16" x14ac:dyDescent="0.2">
      <c r="B54" s="610">
        <v>2020</v>
      </c>
      <c r="C54" s="610">
        <v>2029</v>
      </c>
      <c r="D54" s="610">
        <v>3.23</v>
      </c>
      <c r="E54" s="610">
        <v>9.8000000000000007</v>
      </c>
      <c r="F54" s="610">
        <v>65</v>
      </c>
      <c r="G54" s="610">
        <v>850</v>
      </c>
      <c r="H54" s="610">
        <v>100</v>
      </c>
      <c r="I54" s="610" t="s">
        <v>2080</v>
      </c>
      <c r="J54" s="610" t="s">
        <v>2064</v>
      </c>
      <c r="K54" s="610" t="s">
        <v>1124</v>
      </c>
      <c r="L54" s="610" t="s">
        <v>1125</v>
      </c>
      <c r="M54" s="613">
        <f>E54/'Conv Factors'!$C$6/'Conv Factors'!$C$3/'Conv Factors'!$C$4/'Conv Factors'!$C$10/'Conv Factors'!$C$5*'Conv Factors'!$C$7</f>
        <v>0.31076881760157848</v>
      </c>
      <c r="N54" s="614">
        <f>D54*'Conv Factors'!$D$63/1000/'Conv Factors'!$C$8*'Conv Factors'!$C$10</f>
        <v>2.9357572793471065</v>
      </c>
      <c r="O54" s="615">
        <f>G54/1000</f>
        <v>0.85</v>
      </c>
      <c r="P54" s="614">
        <f>O54*1000/'Conv Factors'!$C$16/'Conv Factors'!$C$4</f>
        <v>1.1643835616438356</v>
      </c>
    </row>
    <row r="55" spans="2:16" x14ac:dyDescent="0.2">
      <c r="B55" s="610">
        <v>2030</v>
      </c>
      <c r="C55" s="610">
        <v>2039</v>
      </c>
      <c r="D55" s="610">
        <v>3.14</v>
      </c>
      <c r="E55" s="610">
        <v>9.9</v>
      </c>
      <c r="F55" s="610">
        <v>65</v>
      </c>
      <c r="G55" s="610">
        <v>850</v>
      </c>
      <c r="H55" s="610">
        <v>100</v>
      </c>
      <c r="I55" s="610" t="s">
        <v>2080</v>
      </c>
      <c r="J55" s="610" t="s">
        <v>2064</v>
      </c>
      <c r="K55" s="610" t="s">
        <v>1126</v>
      </c>
      <c r="L55" s="610" t="s">
        <v>1127</v>
      </c>
      <c r="M55" s="613">
        <f>E55/'Conv Factors'!$C$6/'Conv Factors'!$C$3/'Conv Factors'!$C$4/'Conv Factors'!$C$10/'Conv Factors'!$C$5*'Conv Factors'!$C$7</f>
        <v>0.31393992798526804</v>
      </c>
      <c r="N55" s="614">
        <f>D55*'Conv Factors'!$D$63/1000/'Conv Factors'!$C$8*'Conv Factors'!$C$10</f>
        <v>2.8539559929256701</v>
      </c>
      <c r="O55" s="615">
        <f>G55/1000</f>
        <v>0.85</v>
      </c>
      <c r="P55" s="614">
        <f>O55*1000/'Conv Factors'!$C$16/'Conv Factors'!$C$4</f>
        <v>1.1643835616438356</v>
      </c>
    </row>
    <row r="56" spans="2:16" x14ac:dyDescent="0.2">
      <c r="B56" s="610">
        <v>2040</v>
      </c>
      <c r="C56" s="610">
        <v>2050</v>
      </c>
      <c r="D56" s="610">
        <v>3.06</v>
      </c>
      <c r="E56" s="610">
        <v>10</v>
      </c>
      <c r="F56" s="610">
        <v>65</v>
      </c>
      <c r="G56" s="610">
        <v>850</v>
      </c>
      <c r="H56" s="610">
        <v>100</v>
      </c>
      <c r="I56" s="610" t="s">
        <v>2080</v>
      </c>
      <c r="J56" s="610" t="s">
        <v>2064</v>
      </c>
      <c r="K56" s="610" t="s">
        <v>1128</v>
      </c>
      <c r="L56" s="610" t="s">
        <v>1129</v>
      </c>
      <c r="M56" s="613">
        <f>E56/'Conv Factors'!$C$6/'Conv Factors'!$C$3/'Conv Factors'!$C$4/'Conv Factors'!$C$10/'Conv Factors'!$C$5*'Conv Factors'!$C$7</f>
        <v>0.3171110383689576</v>
      </c>
      <c r="N56" s="614">
        <f>D56*'Conv Factors'!$D$63/1000/'Conv Factors'!$C$8*'Conv Factors'!$C$10</f>
        <v>2.7812437383288375</v>
      </c>
      <c r="O56" s="615">
        <f>G56/1000</f>
        <v>0.85</v>
      </c>
      <c r="P56" s="614">
        <f>O56*1000/'Conv Factors'!$C$16/'Conv Factors'!$C$4</f>
        <v>1.1643835616438356</v>
      </c>
    </row>
    <row r="57" spans="2:16" x14ac:dyDescent="0.2">
      <c r="B57" s="617" t="s">
        <v>2071</v>
      </c>
      <c r="C57" s="621"/>
      <c r="D57" s="621"/>
      <c r="E57" s="621"/>
      <c r="F57" s="621"/>
      <c r="G57" s="621"/>
      <c r="H57" s="621"/>
      <c r="I57" s="621"/>
      <c r="J57" s="621"/>
      <c r="K57" s="621"/>
      <c r="L57" s="621"/>
      <c r="M57" s="624"/>
      <c r="N57" s="627"/>
      <c r="O57" s="626"/>
      <c r="P57" s="627"/>
    </row>
    <row r="58" spans="2:16" x14ac:dyDescent="0.2">
      <c r="B58" s="610">
        <v>2005</v>
      </c>
      <c r="C58" s="610">
        <v>2019</v>
      </c>
      <c r="D58" s="610">
        <v>6.23</v>
      </c>
      <c r="E58" s="610">
        <v>48</v>
      </c>
      <c r="F58" s="610">
        <v>15</v>
      </c>
      <c r="G58" s="610">
        <v>8000</v>
      </c>
      <c r="H58" s="610">
        <v>82</v>
      </c>
      <c r="I58" s="610" t="s">
        <v>2080</v>
      </c>
      <c r="J58" s="610" t="s">
        <v>2061</v>
      </c>
      <c r="K58" s="610" t="s">
        <v>1150</v>
      </c>
      <c r="L58" s="610" t="s">
        <v>1151</v>
      </c>
      <c r="M58" s="613">
        <f>E58/'Conv Factors'!$C$6/'Conv Factors'!$C$3/'Conv Factors'!$C$4/'Conv Factors'!$C$10/'Conv Factors'!$C$5*'Conv Factors'!$C$7</f>
        <v>1.5221329841709963</v>
      </c>
      <c r="N58" s="614">
        <f>D58*'Conv Factors'!$D$63/1000/'Conv Factors'!$C$8*'Conv Factors'!$C$10</f>
        <v>5.6624668267283207</v>
      </c>
      <c r="O58" s="615">
        <f>G58/1000</f>
        <v>8</v>
      </c>
      <c r="P58" s="614">
        <f>O58*1000/'Conv Factors'!$C$16/'Conv Factors'!$C$4</f>
        <v>10.95890410958904</v>
      </c>
    </row>
    <row r="59" spans="2:16" x14ac:dyDescent="0.2">
      <c r="B59" s="610">
        <v>2020</v>
      </c>
      <c r="C59" s="610">
        <v>2029</v>
      </c>
      <c r="D59" s="610">
        <v>6.07</v>
      </c>
      <c r="E59" s="610">
        <v>50.4</v>
      </c>
      <c r="F59" s="610">
        <v>15</v>
      </c>
      <c r="G59" s="610">
        <v>8000</v>
      </c>
      <c r="H59" s="610">
        <v>83</v>
      </c>
      <c r="I59" s="610" t="s">
        <v>2080</v>
      </c>
      <c r="J59" s="610" t="s">
        <v>2061</v>
      </c>
      <c r="K59" s="610" t="s">
        <v>1130</v>
      </c>
      <c r="L59" s="610" t="s">
        <v>1131</v>
      </c>
      <c r="M59" s="613">
        <f>E59/'Conv Factors'!$C$6/'Conv Factors'!$C$3/'Conv Factors'!$C$4/'Conv Factors'!$C$10/'Conv Factors'!$C$5*'Conv Factors'!$C$7</f>
        <v>1.5982396333795463</v>
      </c>
      <c r="N59" s="614">
        <f>D59*'Conv Factors'!$D$63/1000/'Conv Factors'!$C$8*'Conv Factors'!$C$10</f>
        <v>5.5170423175346555</v>
      </c>
      <c r="O59" s="615">
        <f>G59/1000</f>
        <v>8</v>
      </c>
      <c r="P59" s="614">
        <f>O59*1000/'Conv Factors'!$C$16/'Conv Factors'!$C$4</f>
        <v>10.95890410958904</v>
      </c>
    </row>
    <row r="60" spans="2:16" x14ac:dyDescent="0.2">
      <c r="B60" s="610">
        <v>2030</v>
      </c>
      <c r="C60" s="610">
        <v>2039</v>
      </c>
      <c r="D60" s="610">
        <v>5.92</v>
      </c>
      <c r="E60" s="610">
        <v>42.9</v>
      </c>
      <c r="F60" s="610">
        <v>15</v>
      </c>
      <c r="G60" s="610">
        <v>8000</v>
      </c>
      <c r="H60" s="610">
        <v>84</v>
      </c>
      <c r="I60" s="610" t="s">
        <v>2080</v>
      </c>
      <c r="J60" s="610" t="s">
        <v>2061</v>
      </c>
      <c r="K60" s="610" t="s">
        <v>1132</v>
      </c>
      <c r="L60" s="610" t="s">
        <v>1133</v>
      </c>
      <c r="M60" s="613">
        <f>E60/'Conv Factors'!$C$6/'Conv Factors'!$C$3/'Conv Factors'!$C$4/'Conv Factors'!$C$10/'Conv Factors'!$C$5*'Conv Factors'!$C$7</f>
        <v>1.3604063546028278</v>
      </c>
      <c r="N60" s="614">
        <f>D60*'Conv Factors'!$D$63/1000/'Conv Factors'!$C$8*'Conv Factors'!$C$10</f>
        <v>5.380706840165594</v>
      </c>
      <c r="O60" s="615">
        <f>G60/1000</f>
        <v>8</v>
      </c>
      <c r="P60" s="614">
        <f>O60*1000/'Conv Factors'!$C$16/'Conv Factors'!$C$4</f>
        <v>10.95890410958904</v>
      </c>
    </row>
    <row r="61" spans="2:16" x14ac:dyDescent="0.2">
      <c r="B61" s="610">
        <v>2040</v>
      </c>
      <c r="C61" s="610">
        <v>2050</v>
      </c>
      <c r="D61" s="610">
        <v>5.77</v>
      </c>
      <c r="E61" s="610">
        <v>55.6</v>
      </c>
      <c r="F61" s="610">
        <v>15</v>
      </c>
      <c r="G61" s="610">
        <v>9000</v>
      </c>
      <c r="H61" s="610">
        <v>85</v>
      </c>
      <c r="I61" s="610" t="s">
        <v>2080</v>
      </c>
      <c r="J61" s="610" t="s">
        <v>2061</v>
      </c>
      <c r="K61" s="610" t="s">
        <v>1134</v>
      </c>
      <c r="L61" s="610" t="s">
        <v>1135</v>
      </c>
      <c r="M61" s="613">
        <f>E61/'Conv Factors'!$C$6/'Conv Factors'!$C$3/'Conv Factors'!$C$4/'Conv Factors'!$C$10/'Conv Factors'!$C$5*'Conv Factors'!$C$7</f>
        <v>1.7631373733314042</v>
      </c>
      <c r="N61" s="614">
        <f>D61*'Conv Factors'!$D$63/1000/'Conv Factors'!$C$8*'Conv Factors'!$C$10</f>
        <v>5.2443713627965334</v>
      </c>
      <c r="O61" s="615">
        <f>G61/1000</f>
        <v>9</v>
      </c>
      <c r="P61" s="614">
        <f>O61*1000/'Conv Factors'!$C$16/'Conv Factors'!$C$4</f>
        <v>12.328767123287671</v>
      </c>
    </row>
    <row r="62" spans="2:16" x14ac:dyDescent="0.2">
      <c r="B62" s="617" t="s">
        <v>2081</v>
      </c>
      <c r="C62" s="621"/>
      <c r="D62" s="621"/>
      <c r="E62" s="621"/>
      <c r="F62" s="621"/>
      <c r="G62" s="621"/>
      <c r="H62" s="621"/>
      <c r="I62" s="621"/>
      <c r="J62" s="621"/>
      <c r="K62" s="621"/>
      <c r="L62" s="621"/>
      <c r="M62" s="624"/>
      <c r="N62" s="627"/>
      <c r="O62" s="626"/>
      <c r="P62" s="627"/>
    </row>
    <row r="63" spans="2:16" x14ac:dyDescent="0.2">
      <c r="B63" s="610">
        <v>2005</v>
      </c>
      <c r="C63" s="610">
        <v>2019</v>
      </c>
      <c r="D63" s="610">
        <v>5.99</v>
      </c>
      <c r="E63" s="610">
        <v>12.6</v>
      </c>
      <c r="F63" s="610">
        <v>50</v>
      </c>
      <c r="G63" s="610">
        <v>3000</v>
      </c>
      <c r="H63" s="610">
        <v>100</v>
      </c>
      <c r="I63" s="610" t="s">
        <v>2080</v>
      </c>
      <c r="J63" s="610" t="s">
        <v>2082</v>
      </c>
      <c r="K63" s="610" t="s">
        <v>1152</v>
      </c>
      <c r="L63" s="610" t="s">
        <v>1153</v>
      </c>
      <c r="M63" s="613">
        <f>E63/'Conv Factors'!$C$6/'Conv Factors'!$C$3/'Conv Factors'!$C$4/'Conv Factors'!$C$10/'Conv Factors'!$C$5*'Conv Factors'!$C$7</f>
        <v>0.39955990834488658</v>
      </c>
      <c r="N63" s="614">
        <f>D63*'Conv Factors'!$D$63/1000/'Conv Factors'!$C$8*'Conv Factors'!$C$10</f>
        <v>5.4443300629378237</v>
      </c>
      <c r="O63" s="615">
        <f>G63/1000</f>
        <v>3</v>
      </c>
      <c r="P63" s="614">
        <f>O63*1000/'Conv Factors'!$C$16/'Conv Factors'!$C$4</f>
        <v>4.1095890410958908</v>
      </c>
    </row>
    <row r="64" spans="2:16" x14ac:dyDescent="0.2">
      <c r="B64" s="610">
        <v>2020</v>
      </c>
      <c r="C64" s="610">
        <v>2029</v>
      </c>
      <c r="D64" s="610">
        <v>5.85</v>
      </c>
      <c r="E64" s="610">
        <v>13.2</v>
      </c>
      <c r="F64" s="610">
        <v>50</v>
      </c>
      <c r="G64" s="610">
        <v>3000</v>
      </c>
      <c r="H64" s="610">
        <v>100</v>
      </c>
      <c r="I64" s="610" t="s">
        <v>2080</v>
      </c>
      <c r="J64" s="610" t="s">
        <v>2082</v>
      </c>
      <c r="K64" s="610" t="s">
        <v>1136</v>
      </c>
      <c r="L64" s="610" t="s">
        <v>1137</v>
      </c>
      <c r="M64" s="613">
        <f>E64/'Conv Factors'!$C$6/'Conv Factors'!$C$3/'Conv Factors'!$C$4/'Conv Factors'!$C$10/'Conv Factors'!$C$5*'Conv Factors'!$C$7</f>
        <v>0.41858657064702398</v>
      </c>
      <c r="N64" s="614">
        <f>D64*'Conv Factors'!$D$63/1000/'Conv Factors'!$C$8*'Conv Factors'!$C$10</f>
        <v>5.317083617393366</v>
      </c>
      <c r="O64" s="615">
        <f>G64/1000</f>
        <v>3</v>
      </c>
      <c r="P64" s="614">
        <f>O64*1000/'Conv Factors'!$C$16/'Conv Factors'!$C$4</f>
        <v>4.1095890410958908</v>
      </c>
    </row>
    <row r="65" spans="2:16" x14ac:dyDescent="0.2">
      <c r="B65" s="610">
        <v>2030</v>
      </c>
      <c r="C65" s="610">
        <v>2039</v>
      </c>
      <c r="D65" s="610">
        <v>5.7</v>
      </c>
      <c r="E65" s="610">
        <v>13.9</v>
      </c>
      <c r="F65" s="610">
        <v>50</v>
      </c>
      <c r="G65" s="610">
        <v>3000</v>
      </c>
      <c r="H65" s="610">
        <v>100</v>
      </c>
      <c r="I65" s="610" t="s">
        <v>2080</v>
      </c>
      <c r="J65" s="610" t="s">
        <v>2082</v>
      </c>
      <c r="K65" s="610" t="s">
        <v>1138</v>
      </c>
      <c r="L65" s="610" t="s">
        <v>1139</v>
      </c>
      <c r="M65" s="613">
        <f>E65/'Conv Factors'!$C$6/'Conv Factors'!$C$3/'Conv Factors'!$C$4/'Conv Factors'!$C$10/'Conv Factors'!$C$5*'Conv Factors'!$C$7</f>
        <v>0.44078434333285105</v>
      </c>
      <c r="N65" s="614">
        <f>D65*'Conv Factors'!$D$63/1000/'Conv Factors'!$C$8*'Conv Factors'!$C$10</f>
        <v>5.1807481400243054</v>
      </c>
      <c r="O65" s="615">
        <f>G65/1000</f>
        <v>3</v>
      </c>
      <c r="P65" s="614">
        <f>O65*1000/'Conv Factors'!$C$16/'Conv Factors'!$C$4</f>
        <v>4.1095890410958908</v>
      </c>
    </row>
    <row r="66" spans="2:16" x14ac:dyDescent="0.2">
      <c r="B66" s="610">
        <v>2040</v>
      </c>
      <c r="C66" s="610">
        <v>2050</v>
      </c>
      <c r="D66" s="610">
        <v>5.55</v>
      </c>
      <c r="E66" s="610">
        <v>14.6</v>
      </c>
      <c r="F66" s="610">
        <v>50</v>
      </c>
      <c r="G66" s="610">
        <v>3000</v>
      </c>
      <c r="H66" s="610">
        <v>100</v>
      </c>
      <c r="I66" s="610" t="s">
        <v>2080</v>
      </c>
      <c r="J66" s="610" t="s">
        <v>2082</v>
      </c>
      <c r="K66" s="610" t="s">
        <v>1140</v>
      </c>
      <c r="L66" s="610" t="s">
        <v>1141</v>
      </c>
      <c r="M66" s="613">
        <f>E66/'Conv Factors'!$C$6/'Conv Factors'!$C$3/'Conv Factors'!$C$4/'Conv Factors'!$C$10/'Conv Factors'!$C$5*'Conv Factors'!$C$7</f>
        <v>0.46298211601867806</v>
      </c>
      <c r="N66" s="614">
        <f>D66*'Conv Factors'!$D$63/1000/'Conv Factors'!$C$8*'Conv Factors'!$C$10</f>
        <v>5.0444126626552448</v>
      </c>
      <c r="O66" s="615">
        <f>G66/1000</f>
        <v>3</v>
      </c>
      <c r="P66" s="614">
        <f>O66*1000/'Conv Factors'!$C$16/'Conv Factors'!$C$4</f>
        <v>4.1095890410958908</v>
      </c>
    </row>
    <row r="67" spans="2:16" x14ac:dyDescent="0.2">
      <c r="B67" s="617" t="s">
        <v>2075</v>
      </c>
      <c r="C67" s="621"/>
      <c r="D67" s="621"/>
      <c r="E67" s="621"/>
      <c r="F67" s="621"/>
      <c r="G67" s="621"/>
      <c r="H67" s="621"/>
      <c r="I67" s="621"/>
      <c r="J67" s="621"/>
      <c r="K67" s="621"/>
      <c r="L67" s="621"/>
      <c r="M67" s="624"/>
      <c r="N67" s="627"/>
      <c r="O67" s="626"/>
      <c r="P67" s="627"/>
    </row>
    <row r="68" spans="2:16" x14ac:dyDescent="0.2">
      <c r="B68" s="610">
        <v>2005</v>
      </c>
      <c r="C68" s="610">
        <v>2010</v>
      </c>
      <c r="D68" s="610">
        <v>160.58000000000001</v>
      </c>
      <c r="E68" s="610">
        <v>36</v>
      </c>
      <c r="F68" s="610">
        <v>28</v>
      </c>
      <c r="G68" s="610">
        <v>10000</v>
      </c>
      <c r="H68" s="610">
        <v>92</v>
      </c>
      <c r="I68" s="610" t="s">
        <v>2080</v>
      </c>
      <c r="J68" s="610" t="s">
        <v>2076</v>
      </c>
      <c r="K68" s="610"/>
      <c r="L68" s="610"/>
      <c r="M68" s="613"/>
      <c r="N68" s="614"/>
      <c r="O68" s="615"/>
      <c r="P68" s="614"/>
    </row>
    <row r="69" spans="2:16" x14ac:dyDescent="0.2">
      <c r="B69" s="610">
        <v>2011</v>
      </c>
      <c r="C69" s="610">
        <v>2011</v>
      </c>
      <c r="D69" s="610">
        <v>49.93</v>
      </c>
      <c r="E69" s="610">
        <v>50</v>
      </c>
      <c r="F69" s="610">
        <v>20</v>
      </c>
      <c r="G69" s="610">
        <v>25000</v>
      </c>
      <c r="H69" s="610">
        <v>92</v>
      </c>
      <c r="I69" s="610" t="s">
        <v>2080</v>
      </c>
      <c r="J69" s="610" t="s">
        <v>2076</v>
      </c>
      <c r="K69" s="610" t="s">
        <v>1154</v>
      </c>
      <c r="L69" s="610" t="s">
        <v>1155</v>
      </c>
      <c r="M69" s="613">
        <f>E69/'Conv Factors'!$C$6/'Conv Factors'!$C$3/'Conv Factors'!$C$4/'Conv Factors'!$C$10/'Conv Factors'!$C$5*'Conv Factors'!$C$7</f>
        <v>1.5855551918447879</v>
      </c>
      <c r="N69" s="614">
        <f>D69*'Conv Factors'!$D$63/1000/'Conv Factors'!$C$8*'Conv Factors'!$C$10</f>
        <v>45.381535900247997</v>
      </c>
      <c r="O69" s="615">
        <f>G69/1000</f>
        <v>25</v>
      </c>
      <c r="P69" s="614">
        <f>O69*1000/'Conv Factors'!$C$16/'Conv Factors'!$C$4</f>
        <v>34.246575342465754</v>
      </c>
    </row>
    <row r="70" spans="2:16" x14ac:dyDescent="0.2">
      <c r="B70" s="610">
        <v>2012</v>
      </c>
      <c r="C70" s="610">
        <v>2012</v>
      </c>
      <c r="D70" s="610">
        <v>40.049999999999997</v>
      </c>
      <c r="E70" s="610">
        <v>56.8</v>
      </c>
      <c r="F70" s="610">
        <v>17.5</v>
      </c>
      <c r="G70" s="610">
        <v>27001</v>
      </c>
      <c r="H70" s="610">
        <v>92</v>
      </c>
      <c r="I70" s="610" t="s">
        <v>2080</v>
      </c>
      <c r="J70" s="610" t="s">
        <v>2076</v>
      </c>
      <c r="K70" s="610"/>
      <c r="L70" s="610"/>
      <c r="M70" s="613"/>
      <c r="N70" s="614"/>
      <c r="O70" s="615"/>
      <c r="P70" s="614"/>
    </row>
    <row r="71" spans="2:16" x14ac:dyDescent="0.2">
      <c r="B71" s="610">
        <v>2013</v>
      </c>
      <c r="C71" s="610">
        <v>2013</v>
      </c>
      <c r="D71" s="610">
        <v>32.119999999999997</v>
      </c>
      <c r="E71" s="610">
        <v>64.5</v>
      </c>
      <c r="F71" s="610">
        <v>15.3</v>
      </c>
      <c r="G71" s="610">
        <v>29163</v>
      </c>
      <c r="H71" s="610">
        <v>92</v>
      </c>
      <c r="I71" s="610" t="s">
        <v>2080</v>
      </c>
      <c r="J71" s="610" t="s">
        <v>2076</v>
      </c>
      <c r="K71" s="610"/>
      <c r="L71" s="610"/>
      <c r="M71" s="613"/>
      <c r="N71" s="614"/>
      <c r="O71" s="615"/>
      <c r="P71" s="614"/>
    </row>
    <row r="72" spans="2:16" x14ac:dyDescent="0.2">
      <c r="B72" s="610">
        <v>2014</v>
      </c>
      <c r="C72" s="610">
        <v>2014</v>
      </c>
      <c r="D72" s="610">
        <v>25.76</v>
      </c>
      <c r="E72" s="610">
        <v>73.2</v>
      </c>
      <c r="F72" s="610">
        <v>13.4</v>
      </c>
      <c r="G72" s="610">
        <v>31498</v>
      </c>
      <c r="H72" s="610">
        <v>92</v>
      </c>
      <c r="I72" s="610" t="s">
        <v>2080</v>
      </c>
      <c r="J72" s="610" t="s">
        <v>2076</v>
      </c>
      <c r="K72" s="610"/>
      <c r="L72" s="610"/>
      <c r="M72" s="613"/>
      <c r="N72" s="614"/>
      <c r="O72" s="615"/>
      <c r="P72" s="614"/>
    </row>
    <row r="73" spans="2:16" x14ac:dyDescent="0.2">
      <c r="B73" s="610">
        <v>2015</v>
      </c>
      <c r="C73" s="610">
        <v>2015</v>
      </c>
      <c r="D73" s="610">
        <v>20.66</v>
      </c>
      <c r="E73" s="610">
        <v>83.1</v>
      </c>
      <c r="F73" s="610">
        <v>11.7</v>
      </c>
      <c r="G73" s="610">
        <v>34020</v>
      </c>
      <c r="H73" s="610">
        <v>92</v>
      </c>
      <c r="I73" s="610" t="s">
        <v>2080</v>
      </c>
      <c r="J73" s="610" t="s">
        <v>2076</v>
      </c>
      <c r="K73" s="610" t="s">
        <v>1142</v>
      </c>
      <c r="L73" s="610" t="s">
        <v>1143</v>
      </c>
      <c r="M73" s="613">
        <f>E73/'Conv Factors'!$C$6/'Conv Factors'!$C$3/'Conv Factors'!$C$4/'Conv Factors'!$C$10/'Conv Factors'!$C$5*'Conv Factors'!$C$7</f>
        <v>2.6351927288460373</v>
      </c>
      <c r="N73" s="614">
        <f>D73*'Conv Factors'!$D$63/1000/'Conv Factors'!$C$8*'Conv Factors'!$C$10</f>
        <v>18.777939749631958</v>
      </c>
      <c r="O73" s="615">
        <f>G73/1000</f>
        <v>34.020000000000003</v>
      </c>
      <c r="P73" s="614">
        <f>O73*1000/'Conv Factors'!$C$16/'Conv Factors'!$C$4</f>
        <v>46.602739726027394</v>
      </c>
    </row>
    <row r="74" spans="2:16" x14ac:dyDescent="0.2">
      <c r="B74" s="610">
        <v>2016</v>
      </c>
      <c r="C74" s="610">
        <v>2016</v>
      </c>
      <c r="D74" s="610">
        <v>16.57</v>
      </c>
      <c r="E74" s="610">
        <v>94.4</v>
      </c>
      <c r="F74" s="610">
        <v>10.199999999999999</v>
      </c>
      <c r="G74" s="610">
        <v>36743</v>
      </c>
      <c r="H74" s="610">
        <v>92</v>
      </c>
      <c r="I74" s="610" t="s">
        <v>2080</v>
      </c>
      <c r="J74" s="610" t="s">
        <v>2076</v>
      </c>
      <c r="K74" s="610"/>
      <c r="L74" s="610"/>
      <c r="M74" s="613"/>
      <c r="N74" s="614"/>
      <c r="O74" s="615"/>
      <c r="P74" s="614"/>
    </row>
    <row r="75" spans="2:16" x14ac:dyDescent="0.2">
      <c r="B75" s="610">
        <v>2017</v>
      </c>
      <c r="C75" s="610">
        <v>2017</v>
      </c>
      <c r="D75" s="610">
        <v>13.29</v>
      </c>
      <c r="E75" s="610">
        <v>107.2</v>
      </c>
      <c r="F75" s="610">
        <v>9</v>
      </c>
      <c r="G75" s="610">
        <v>39685</v>
      </c>
      <c r="H75" s="610">
        <v>92</v>
      </c>
      <c r="I75" s="610" t="s">
        <v>2080</v>
      </c>
      <c r="J75" s="610" t="s">
        <v>2076</v>
      </c>
      <c r="K75" s="610"/>
      <c r="L75" s="610"/>
      <c r="M75" s="613"/>
      <c r="N75" s="614"/>
      <c r="O75" s="615"/>
      <c r="P75" s="614"/>
    </row>
    <row r="76" spans="2:16" x14ac:dyDescent="0.2">
      <c r="B76" s="610">
        <v>2018</v>
      </c>
      <c r="C76" s="610">
        <v>2018</v>
      </c>
      <c r="D76" s="610">
        <v>10.65</v>
      </c>
      <c r="E76" s="610">
        <v>121.8</v>
      </c>
      <c r="F76" s="610">
        <v>7.8</v>
      </c>
      <c r="G76" s="610">
        <v>42862</v>
      </c>
      <c r="H76" s="610">
        <v>92</v>
      </c>
      <c r="I76" s="610" t="s">
        <v>2080</v>
      </c>
      <c r="J76" s="610" t="s">
        <v>2076</v>
      </c>
      <c r="K76" s="610"/>
      <c r="L76" s="610"/>
      <c r="M76" s="613"/>
      <c r="N76" s="614"/>
      <c r="O76" s="615"/>
      <c r="P76" s="614"/>
    </row>
    <row r="77" spans="2:16" x14ac:dyDescent="0.2">
      <c r="B77" s="610">
        <v>2019</v>
      </c>
      <c r="C77" s="610">
        <v>2019</v>
      </c>
      <c r="D77" s="610">
        <v>8.5500000000000007</v>
      </c>
      <c r="E77" s="610">
        <v>138.30000000000001</v>
      </c>
      <c r="F77" s="610">
        <v>6.9</v>
      </c>
      <c r="G77" s="610">
        <v>46294</v>
      </c>
      <c r="H77" s="610">
        <v>92</v>
      </c>
      <c r="I77" s="610" t="s">
        <v>2080</v>
      </c>
      <c r="J77" s="610" t="s">
        <v>2076</v>
      </c>
      <c r="K77" s="610"/>
      <c r="L77" s="610"/>
      <c r="M77" s="613"/>
      <c r="N77" s="614"/>
      <c r="O77" s="615"/>
      <c r="P77" s="614"/>
    </row>
    <row r="78" spans="2:16" x14ac:dyDescent="0.2">
      <c r="B78" s="610">
        <v>2020</v>
      </c>
      <c r="C78" s="610">
        <v>2024</v>
      </c>
      <c r="D78" s="610">
        <v>6.85</v>
      </c>
      <c r="E78" s="610">
        <v>157</v>
      </c>
      <c r="F78" s="610">
        <v>6</v>
      </c>
      <c r="G78" s="610">
        <v>50000</v>
      </c>
      <c r="H78" s="610">
        <v>95</v>
      </c>
      <c r="I78" s="610" t="s">
        <v>2080</v>
      </c>
      <c r="J78" s="610" t="s">
        <v>2076</v>
      </c>
      <c r="K78" s="610" t="s">
        <v>1144</v>
      </c>
      <c r="L78" s="610" t="s">
        <v>1145</v>
      </c>
      <c r="M78" s="613">
        <f>E78/'Conv Factors'!$C$6/'Conv Factors'!$C$3/'Conv Factors'!$C$4/'Conv Factors'!$C$10/'Conv Factors'!$C$5*'Conv Factors'!$C$7</f>
        <v>4.9786433023926335</v>
      </c>
      <c r="N78" s="614">
        <f>D78*'Conv Factors'!$D$63/1000/'Conv Factors'!$C$8*'Conv Factors'!$C$10</f>
        <v>6.2259867998537697</v>
      </c>
      <c r="O78" s="615">
        <f>G78/1000</f>
        <v>50</v>
      </c>
      <c r="P78" s="614">
        <f>O78*1000/'Conv Factors'!$C$16/'Conv Factors'!$C$4</f>
        <v>68.493150684931507</v>
      </c>
    </row>
    <row r="79" spans="2:16" x14ac:dyDescent="0.2">
      <c r="B79" s="610">
        <v>2025</v>
      </c>
      <c r="C79" s="610">
        <v>2029</v>
      </c>
      <c r="D79" s="610">
        <v>5.87</v>
      </c>
      <c r="E79" s="610">
        <v>180</v>
      </c>
      <c r="F79" s="610">
        <v>5.5</v>
      </c>
      <c r="G79" s="610">
        <v>50000</v>
      </c>
      <c r="H79" s="610">
        <v>97</v>
      </c>
      <c r="I79" s="610" t="s">
        <v>2080</v>
      </c>
      <c r="J79" s="610" t="s">
        <v>2076</v>
      </c>
      <c r="K79" s="610" t="s">
        <v>1146</v>
      </c>
      <c r="L79" s="610" t="s">
        <v>1147</v>
      </c>
      <c r="M79" s="613">
        <f>E79/'Conv Factors'!$C$6/'Conv Factors'!$C$3/'Conv Factors'!$C$4/'Conv Factors'!$C$10/'Conv Factors'!$C$5*'Conv Factors'!$C$7</f>
        <v>5.7079986906412357</v>
      </c>
      <c r="N79" s="614">
        <f>D79*'Conv Factors'!$D$63/1000/'Conv Factors'!$C$8*'Conv Factors'!$C$10</f>
        <v>5.3352616810425744</v>
      </c>
      <c r="O79" s="615">
        <f>G79/1000</f>
        <v>50</v>
      </c>
      <c r="P79" s="614">
        <f>O79*1000/'Conv Factors'!$C$16/'Conv Factors'!$C$4</f>
        <v>68.493150684931507</v>
      </c>
    </row>
    <row r="80" spans="2:16" x14ac:dyDescent="0.2">
      <c r="B80" s="610">
        <v>2030</v>
      </c>
      <c r="C80" s="610">
        <v>2039</v>
      </c>
      <c r="D80" s="610">
        <v>4.9000000000000004</v>
      </c>
      <c r="E80" s="610">
        <v>202</v>
      </c>
      <c r="F80" s="610">
        <v>5</v>
      </c>
      <c r="G80" s="610">
        <v>50000</v>
      </c>
      <c r="H80" s="610">
        <v>98</v>
      </c>
      <c r="I80" s="610" t="s">
        <v>2080</v>
      </c>
      <c r="J80" s="610" t="s">
        <v>2076</v>
      </c>
      <c r="K80" s="610" t="s">
        <v>1148</v>
      </c>
      <c r="L80" s="610" t="s">
        <v>1149</v>
      </c>
      <c r="M80" s="613">
        <f>E80/'Conv Factors'!$C$6/'Conv Factors'!$C$3/'Conv Factors'!$C$4/'Conv Factors'!$C$10/'Conv Factors'!$C$5*'Conv Factors'!$C$7</f>
        <v>6.4056429750529427</v>
      </c>
      <c r="N80" s="614">
        <f>D80*'Conv Factors'!$D$63/1000/'Conv Factors'!$C$8*'Conv Factors'!$C$10</f>
        <v>4.453625594055981</v>
      </c>
      <c r="O80" s="615">
        <f>G80/1000</f>
        <v>50</v>
      </c>
      <c r="P80" s="614">
        <f>O80*1000/'Conv Factors'!$C$16/'Conv Factors'!$C$4</f>
        <v>68.493150684931507</v>
      </c>
    </row>
    <row r="81" spans="2:16" x14ac:dyDescent="0.2">
      <c r="B81" s="610">
        <v>2040</v>
      </c>
      <c r="C81" s="610">
        <v>2050</v>
      </c>
      <c r="D81" s="610">
        <v>4.9000000000000004</v>
      </c>
      <c r="E81" s="610">
        <v>202</v>
      </c>
      <c r="F81" s="610">
        <v>5</v>
      </c>
      <c r="G81" s="610">
        <v>50000</v>
      </c>
      <c r="H81" s="610">
        <v>98</v>
      </c>
      <c r="I81" s="610" t="s">
        <v>2080</v>
      </c>
      <c r="J81" s="610" t="s">
        <v>2076</v>
      </c>
      <c r="K81" s="610"/>
      <c r="L81" s="610"/>
      <c r="M81" s="613"/>
      <c r="N81" s="614"/>
      <c r="O81" s="615"/>
      <c r="P81" s="614"/>
    </row>
    <row r="82" spans="2:16" x14ac:dyDescent="0.2">
      <c r="B82" s="617" t="s">
        <v>2083</v>
      </c>
      <c r="C82" s="621"/>
      <c r="D82" s="621"/>
      <c r="E82" s="621"/>
      <c r="F82" s="621"/>
      <c r="G82" s="621"/>
      <c r="H82" s="621"/>
      <c r="I82" s="621"/>
      <c r="J82" s="621"/>
      <c r="K82" s="621"/>
      <c r="L82" s="621"/>
      <c r="M82" s="624"/>
      <c r="N82" s="627"/>
      <c r="O82" s="626"/>
      <c r="P82" s="627"/>
    </row>
    <row r="83" spans="2:16" x14ac:dyDescent="0.2">
      <c r="B83" s="623"/>
      <c r="C83" s="610"/>
      <c r="D83" s="610"/>
      <c r="E83" s="622">
        <f>AVERAGE(E84,E86,E88)</f>
        <v>71.533333333333346</v>
      </c>
      <c r="F83" s="610"/>
      <c r="G83" s="610"/>
      <c r="H83" s="610"/>
      <c r="I83" s="610"/>
      <c r="J83" s="610"/>
      <c r="K83" s="610" t="s">
        <v>2084</v>
      </c>
      <c r="L83" s="610" t="s">
        <v>2085</v>
      </c>
      <c r="M83" s="613">
        <f>E83/'Conv Factors'!$C$6/'Conv Factors'!$C$3/'Conv Factors'!$C$4/'Conv Factors'!$C$10/'Conv Factors'!$C$5*'Conv Factors'!$C$7</f>
        <v>2.2684009611326106</v>
      </c>
      <c r="N83" s="614"/>
      <c r="O83" s="615">
        <f>O84</f>
        <v>24</v>
      </c>
      <c r="P83" s="614">
        <f>O83*1000/'Conv Factors'!$C$16/'Conv Factors'!$C$4</f>
        <v>32.876712328767127</v>
      </c>
    </row>
    <row r="84" spans="2:16" x14ac:dyDescent="0.2">
      <c r="B84" s="610">
        <v>2005</v>
      </c>
      <c r="C84" s="610">
        <v>2019</v>
      </c>
      <c r="D84" s="610">
        <v>5.79</v>
      </c>
      <c r="E84" s="610">
        <v>63.1</v>
      </c>
      <c r="F84" s="610">
        <v>35</v>
      </c>
      <c r="G84" s="610">
        <v>24000</v>
      </c>
      <c r="H84" s="610">
        <v>82</v>
      </c>
      <c r="I84" s="610" t="s">
        <v>2065</v>
      </c>
      <c r="J84" s="610" t="s">
        <v>2086</v>
      </c>
      <c r="K84" s="610" t="s">
        <v>1164</v>
      </c>
      <c r="L84" s="610" t="s">
        <v>1165</v>
      </c>
      <c r="M84" s="613">
        <f>E84/'Conv Factors'!$C$6/'Conv Factors'!$C$3/'Conv Factors'!$C$4/'Conv Factors'!$C$10/'Conv Factors'!$C$5*'Conv Factors'!$C$7</f>
        <v>2.0009706521081223</v>
      </c>
      <c r="N84" s="614">
        <f>D84*'Conv Factors'!$D$63/1000/'Conv Factors'!$C$8*'Conv Factors'!$C$10</f>
        <v>5.2625494264457418</v>
      </c>
      <c r="O84" s="615">
        <f>G84/1000</f>
        <v>24</v>
      </c>
      <c r="P84" s="614">
        <f>O84*1000/'Conv Factors'!$C$16/'Conv Factors'!$C$4</f>
        <v>32.876712328767127</v>
      </c>
    </row>
    <row r="85" spans="2:16" x14ac:dyDescent="0.2">
      <c r="B85" s="610">
        <v>2020</v>
      </c>
      <c r="C85" s="610">
        <v>2050</v>
      </c>
      <c r="D85" s="610">
        <v>96.9</v>
      </c>
      <c r="E85" s="610">
        <v>99</v>
      </c>
      <c r="F85" s="610">
        <v>99</v>
      </c>
      <c r="G85" s="610">
        <v>9999</v>
      </c>
      <c r="H85" s="610">
        <v>82</v>
      </c>
      <c r="I85" s="610" t="s">
        <v>2065</v>
      </c>
      <c r="J85" s="610" t="s">
        <v>2086</v>
      </c>
      <c r="K85" s="610"/>
      <c r="L85" s="610"/>
      <c r="M85" s="613"/>
      <c r="N85" s="614"/>
      <c r="O85" s="615"/>
      <c r="P85" s="614"/>
    </row>
    <row r="86" spans="2:16" x14ac:dyDescent="0.2">
      <c r="B86" s="610">
        <v>2005</v>
      </c>
      <c r="C86" s="610">
        <v>2019</v>
      </c>
      <c r="D86" s="610">
        <v>2.61</v>
      </c>
      <c r="E86" s="610">
        <v>73.8</v>
      </c>
      <c r="F86" s="610">
        <v>33</v>
      </c>
      <c r="G86" s="610">
        <v>24000</v>
      </c>
      <c r="H86" s="610">
        <v>82</v>
      </c>
      <c r="I86" s="610" t="s">
        <v>2065</v>
      </c>
      <c r="J86" s="610" t="s">
        <v>2087</v>
      </c>
      <c r="K86" s="610" t="s">
        <v>1166</v>
      </c>
      <c r="L86" s="610" t="s">
        <v>1167</v>
      </c>
      <c r="M86" s="613">
        <f>E86/'Conv Factors'!$C$6/'Conv Factors'!$C$3/'Conv Factors'!$C$4/'Conv Factors'!$C$10/'Conv Factors'!$C$5*'Conv Factors'!$C$7</f>
        <v>2.3402794631629069</v>
      </c>
      <c r="N86" s="614">
        <f>D86*'Conv Factors'!$D$63/1000/'Conv Factors'!$C$8*'Conv Factors'!$C$10</f>
        <v>2.3722373062216562</v>
      </c>
      <c r="O86" s="615">
        <f>G86/1000</f>
        <v>24</v>
      </c>
      <c r="P86" s="614">
        <f>O86*1000/'Conv Factors'!$C$16/'Conv Factors'!$C$4</f>
        <v>32.876712328767127</v>
      </c>
    </row>
    <row r="87" spans="2:16" x14ac:dyDescent="0.2">
      <c r="B87" s="610">
        <v>2020</v>
      </c>
      <c r="C87" s="610">
        <v>2029</v>
      </c>
      <c r="D87" s="610">
        <v>2.7</v>
      </c>
      <c r="E87" s="610">
        <v>77</v>
      </c>
      <c r="F87" s="610">
        <v>33</v>
      </c>
      <c r="G87" s="610">
        <v>25000</v>
      </c>
      <c r="H87" s="610">
        <v>82</v>
      </c>
      <c r="I87" s="610" t="s">
        <v>2065</v>
      </c>
      <c r="J87" s="610" t="s">
        <v>2087</v>
      </c>
      <c r="K87" s="610"/>
      <c r="L87" s="610"/>
      <c r="M87" s="613"/>
      <c r="N87" s="614"/>
      <c r="O87" s="615"/>
      <c r="P87" s="614"/>
    </row>
    <row r="88" spans="2:16" x14ac:dyDescent="0.2">
      <c r="B88" s="610">
        <v>2030</v>
      </c>
      <c r="C88" s="610">
        <v>2039</v>
      </c>
      <c r="D88" s="610">
        <v>2.65</v>
      </c>
      <c r="E88" s="610">
        <v>77.7</v>
      </c>
      <c r="F88" s="610">
        <v>33</v>
      </c>
      <c r="G88" s="610">
        <v>26000</v>
      </c>
      <c r="H88" s="610">
        <v>82</v>
      </c>
      <c r="I88" s="610" t="s">
        <v>2065</v>
      </c>
      <c r="J88" s="610" t="s">
        <v>2087</v>
      </c>
      <c r="K88" s="610" t="s">
        <v>1156</v>
      </c>
      <c r="L88" s="610" t="s">
        <v>1157</v>
      </c>
      <c r="M88" s="613">
        <f>E88/'Conv Factors'!$C$6/'Conv Factors'!$C$3/'Conv Factors'!$C$4/'Conv Factors'!$C$10/'Conv Factors'!$C$5*'Conv Factors'!$C$7</f>
        <v>2.4639527681268003</v>
      </c>
      <c r="N88" s="614">
        <f>D88*'Conv Factors'!$D$63/1000/'Conv Factors'!$C$8*'Conv Factors'!$C$10</f>
        <v>2.4085934335200716</v>
      </c>
      <c r="O88" s="615">
        <f>G88/1000</f>
        <v>26</v>
      </c>
      <c r="P88" s="614">
        <f>O88*1000/'Conv Factors'!$C$16/'Conv Factors'!$C$4</f>
        <v>35.61643835616438</v>
      </c>
    </row>
    <row r="89" spans="2:16" x14ac:dyDescent="0.2">
      <c r="B89" s="610">
        <v>2040</v>
      </c>
      <c r="C89" s="610">
        <v>2050</v>
      </c>
      <c r="D89" s="610">
        <v>2.61</v>
      </c>
      <c r="E89" s="610">
        <v>77.7</v>
      </c>
      <c r="F89" s="610">
        <v>33</v>
      </c>
      <c r="G89" s="610">
        <v>26000</v>
      </c>
      <c r="H89" s="610">
        <v>82</v>
      </c>
      <c r="I89" s="610" t="s">
        <v>2065</v>
      </c>
      <c r="J89" s="610" t="s">
        <v>2087</v>
      </c>
      <c r="K89" s="610"/>
      <c r="L89" s="610"/>
      <c r="M89" s="613"/>
      <c r="N89" s="614"/>
      <c r="O89" s="615"/>
      <c r="P89" s="614"/>
    </row>
    <row r="90" spans="2:16" x14ac:dyDescent="0.2">
      <c r="B90" s="610" t="s">
        <v>2073</v>
      </c>
      <c r="C90" s="610"/>
      <c r="D90" s="610"/>
      <c r="E90" s="610"/>
      <c r="F90" s="610"/>
      <c r="G90" s="610"/>
      <c r="H90" s="610"/>
      <c r="I90" s="610"/>
      <c r="J90" s="610"/>
      <c r="K90" s="610"/>
      <c r="L90" s="610"/>
      <c r="M90" s="613"/>
      <c r="N90" s="614"/>
      <c r="O90" s="615"/>
      <c r="P90" s="614"/>
    </row>
    <row r="91" spans="2:16" x14ac:dyDescent="0.2">
      <c r="B91" s="610">
        <v>2005</v>
      </c>
      <c r="C91" s="610">
        <v>2012</v>
      </c>
      <c r="D91" s="610">
        <v>99</v>
      </c>
      <c r="E91" s="610">
        <v>50</v>
      </c>
      <c r="F91" s="610">
        <v>25</v>
      </c>
      <c r="G91" s="610">
        <v>50000</v>
      </c>
      <c r="H91" s="610">
        <v>72</v>
      </c>
      <c r="I91" s="610" t="s">
        <v>2065</v>
      </c>
      <c r="J91" s="610" t="s">
        <v>2076</v>
      </c>
      <c r="K91" s="610" t="s">
        <v>1168</v>
      </c>
      <c r="L91" s="610" t="s">
        <v>1169</v>
      </c>
      <c r="M91" s="613">
        <f>E91/'Conv Factors'!$C$6/'Conv Factors'!$C$3/'Conv Factors'!$C$4/'Conv Factors'!$C$10/'Conv Factors'!$C$5*'Conv Factors'!$C$7</f>
        <v>1.5855551918447879</v>
      </c>
      <c r="N91" s="614">
        <f>D91*'Conv Factors'!$D$63/1000/'Conv Factors'!$C$8*'Conv Factors'!$C$10</f>
        <v>89.981415063580044</v>
      </c>
      <c r="O91" s="615">
        <f>G91/1000</f>
        <v>50</v>
      </c>
      <c r="P91" s="614">
        <f>O91*1000/'Conv Factors'!$C$16/'Conv Factors'!$C$4</f>
        <v>68.493150684931507</v>
      </c>
    </row>
    <row r="92" spans="2:16" x14ac:dyDescent="0.2">
      <c r="B92" s="610">
        <v>2013</v>
      </c>
      <c r="C92" s="610">
        <v>2019</v>
      </c>
      <c r="D92" s="610">
        <v>60</v>
      </c>
      <c r="E92" s="610">
        <v>107</v>
      </c>
      <c r="F92" s="610">
        <v>19</v>
      </c>
      <c r="G92" s="610">
        <v>50000</v>
      </c>
      <c r="H92" s="610">
        <v>72</v>
      </c>
      <c r="I92" s="610" t="s">
        <v>2065</v>
      </c>
      <c r="J92" s="610" t="s">
        <v>2076</v>
      </c>
      <c r="K92" s="610" t="s">
        <v>1158</v>
      </c>
      <c r="L92" s="610" t="s">
        <v>1159</v>
      </c>
      <c r="M92" s="613">
        <f>E92/'Conv Factors'!$C$6/'Conv Factors'!$C$3/'Conv Factors'!$C$4/'Conv Factors'!$C$10/'Conv Factors'!$C$5*'Conv Factors'!$C$7</f>
        <v>3.3930881105478461</v>
      </c>
      <c r="N92" s="614">
        <f>D92*'Conv Factors'!$D$63/1000/'Conv Factors'!$C$8*'Conv Factors'!$C$10</f>
        <v>54.534190947624268</v>
      </c>
      <c r="O92" s="615">
        <f>G92/1000</f>
        <v>50</v>
      </c>
      <c r="P92" s="614">
        <f>O92*1000/'Conv Factors'!$C$16/'Conv Factors'!$C$4</f>
        <v>68.493150684931507</v>
      </c>
    </row>
    <row r="93" spans="2:16" x14ac:dyDescent="0.2">
      <c r="B93" s="610">
        <v>2020</v>
      </c>
      <c r="C93" s="610">
        <v>2029</v>
      </c>
      <c r="D93" s="610">
        <v>15</v>
      </c>
      <c r="E93" s="610">
        <v>157</v>
      </c>
      <c r="F93" s="610">
        <v>15</v>
      </c>
      <c r="G93" s="610">
        <v>50000</v>
      </c>
      <c r="H93" s="610">
        <v>92</v>
      </c>
      <c r="I93" s="610" t="s">
        <v>2065</v>
      </c>
      <c r="J93" s="610" t="s">
        <v>2076</v>
      </c>
      <c r="K93" s="610" t="s">
        <v>1160</v>
      </c>
      <c r="L93" s="610" t="s">
        <v>1161</v>
      </c>
      <c r="M93" s="613">
        <f>E93/'Conv Factors'!$C$6/'Conv Factors'!$C$3/'Conv Factors'!$C$4/'Conv Factors'!$C$10/'Conv Factors'!$C$5*'Conv Factors'!$C$7</f>
        <v>4.9786433023926335</v>
      </c>
      <c r="N93" s="614">
        <f>D93*'Conv Factors'!$D$63/1000/'Conv Factors'!$C$8*'Conv Factors'!$C$10</f>
        <v>13.633547736906067</v>
      </c>
      <c r="O93" s="615">
        <f>G93/1000</f>
        <v>50</v>
      </c>
      <c r="P93" s="614">
        <f>O93*1000/'Conv Factors'!$C$16/'Conv Factors'!$C$4</f>
        <v>68.493150684931507</v>
      </c>
    </row>
    <row r="94" spans="2:16" x14ac:dyDescent="0.2">
      <c r="B94" s="610">
        <v>2030</v>
      </c>
      <c r="C94" s="610">
        <v>2050</v>
      </c>
      <c r="D94" s="610">
        <v>12</v>
      </c>
      <c r="E94" s="610">
        <v>157</v>
      </c>
      <c r="F94" s="610">
        <v>15</v>
      </c>
      <c r="G94" s="610">
        <v>50000</v>
      </c>
      <c r="H94" s="610">
        <v>92</v>
      </c>
      <c r="I94" s="610" t="s">
        <v>2065</v>
      </c>
      <c r="J94" s="610" t="s">
        <v>2076</v>
      </c>
      <c r="K94" s="610" t="s">
        <v>1162</v>
      </c>
      <c r="L94" s="610" t="s">
        <v>1163</v>
      </c>
      <c r="M94" s="613">
        <f>E94/'Conv Factors'!$C$6/'Conv Factors'!$C$3/'Conv Factors'!$C$4/'Conv Factors'!$C$10/'Conv Factors'!$C$5*'Conv Factors'!$C$7</f>
        <v>4.9786433023926335</v>
      </c>
      <c r="N94" s="614">
        <f>D94*'Conv Factors'!$D$63/1000/'Conv Factors'!$C$8*'Conv Factors'!$C$10</f>
        <v>10.906838189524851</v>
      </c>
      <c r="O94" s="615">
        <f>G94/1000</f>
        <v>50</v>
      </c>
      <c r="P94" s="614">
        <f>O94*1000/'Conv Factors'!$C$16/'Conv Factors'!$C$4</f>
        <v>68.493150684931507</v>
      </c>
    </row>
    <row r="95" spans="2:16" x14ac:dyDescent="0.2">
      <c r="B95" s="654" t="s">
        <v>2088</v>
      </c>
      <c r="C95" s="655"/>
      <c r="D95" s="656"/>
      <c r="E95" s="656"/>
      <c r="F95" s="656"/>
      <c r="G95" s="656"/>
      <c r="H95" s="656"/>
      <c r="I95" s="656"/>
      <c r="J95" s="656"/>
      <c r="K95" s="656"/>
      <c r="L95" s="656"/>
      <c r="M95" s="660"/>
      <c r="N95" s="661"/>
      <c r="O95" s="662"/>
      <c r="P95" s="661"/>
    </row>
    <row r="96" spans="2:16" x14ac:dyDescent="0.2">
      <c r="B96" s="623"/>
      <c r="C96" s="623"/>
      <c r="D96" s="610"/>
      <c r="E96" s="610"/>
      <c r="F96" s="610"/>
      <c r="G96" s="610"/>
      <c r="H96" s="610"/>
      <c r="I96" s="610"/>
      <c r="J96" s="610"/>
      <c r="K96" s="610" t="s">
        <v>571</v>
      </c>
      <c r="L96" s="610" t="s">
        <v>572</v>
      </c>
      <c r="M96" s="613">
        <f>AVERAGE(M98:M111)</f>
        <v>1.3102451539881022</v>
      </c>
      <c r="N96" s="614"/>
      <c r="O96" s="615"/>
      <c r="P96" s="614">
        <f>AVERAGE(P98:P111)</f>
        <v>11.202864259028644</v>
      </c>
    </row>
    <row r="97" spans="2:16" x14ac:dyDescent="0.2">
      <c r="B97" s="617" t="s">
        <v>2060</v>
      </c>
      <c r="C97" s="621"/>
      <c r="D97" s="621"/>
      <c r="E97" s="621"/>
      <c r="F97" s="621"/>
      <c r="G97" s="621"/>
      <c r="H97" s="621"/>
      <c r="I97" s="621"/>
      <c r="J97" s="621"/>
      <c r="K97" s="621"/>
      <c r="L97" s="621"/>
      <c r="M97" s="624"/>
      <c r="N97" s="627"/>
      <c r="O97" s="626"/>
      <c r="P97" s="627"/>
    </row>
    <row r="98" spans="2:16" x14ac:dyDescent="0.2">
      <c r="B98" s="610">
        <v>2005</v>
      </c>
      <c r="C98" s="610">
        <v>2012</v>
      </c>
      <c r="D98" s="610">
        <v>3.21</v>
      </c>
      <c r="E98" s="610">
        <v>12.27</v>
      </c>
      <c r="F98" s="610">
        <v>57.3</v>
      </c>
      <c r="G98" s="610">
        <v>1567</v>
      </c>
      <c r="H98" s="610">
        <v>100</v>
      </c>
      <c r="I98" s="610" t="s">
        <v>2089</v>
      </c>
      <c r="J98" s="610" t="s">
        <v>2064</v>
      </c>
      <c r="K98" s="610" t="s">
        <v>1194</v>
      </c>
      <c r="L98" s="610" t="s">
        <v>1195</v>
      </c>
      <c r="M98" s="613">
        <f>E98/'Conv Factors'!$C$6/'Conv Factors'!$C$3/'Conv Factors'!$C$4/'Conv Factors'!$C$10/'Conv Factors'!$C$5*'Conv Factors'!$C$7</f>
        <v>0.38909524407871099</v>
      </c>
      <c r="N98" s="614">
        <f>D98*'Conv Factors'!$D$63/1000/'Conv Factors'!$C$8*'Conv Factors'!$C$10</f>
        <v>2.9175792156978977</v>
      </c>
      <c r="O98" s="615">
        <f>G98/1000</f>
        <v>1.5669999999999999</v>
      </c>
      <c r="P98" s="614">
        <f>O98*1000/'Conv Factors'!$C$16/'Conv Factors'!$C$4</f>
        <v>2.1465753424657534</v>
      </c>
    </row>
    <row r="99" spans="2:16" x14ac:dyDescent="0.2">
      <c r="B99" s="610">
        <v>2013</v>
      </c>
      <c r="C99" s="610">
        <v>2013</v>
      </c>
      <c r="D99" s="610">
        <v>3.35</v>
      </c>
      <c r="E99" s="610">
        <v>12.8</v>
      </c>
      <c r="F99" s="610">
        <v>55.8</v>
      </c>
      <c r="G99" s="610">
        <v>1582</v>
      </c>
      <c r="H99" s="610">
        <v>101</v>
      </c>
      <c r="I99" s="610" t="s">
        <v>2089</v>
      </c>
      <c r="J99" s="610" t="s">
        <v>2064</v>
      </c>
      <c r="K99" s="610"/>
      <c r="L99" s="610"/>
      <c r="M99" s="613"/>
      <c r="N99" s="614"/>
      <c r="O99" s="615"/>
      <c r="P99" s="614"/>
    </row>
    <row r="100" spans="2:16" x14ac:dyDescent="0.2">
      <c r="B100" s="610">
        <v>2014</v>
      </c>
      <c r="C100" s="610">
        <v>2019</v>
      </c>
      <c r="D100" s="610">
        <v>3.67</v>
      </c>
      <c r="E100" s="610">
        <v>14.03</v>
      </c>
      <c r="F100" s="610">
        <v>52.3</v>
      </c>
      <c r="G100" s="610">
        <v>1617</v>
      </c>
      <c r="H100" s="610">
        <v>102</v>
      </c>
      <c r="I100" s="610" t="s">
        <v>2089</v>
      </c>
      <c r="J100" s="610" t="s">
        <v>2064</v>
      </c>
      <c r="K100" s="610" t="s">
        <v>1170</v>
      </c>
      <c r="L100" s="610" t="s">
        <v>1171</v>
      </c>
      <c r="M100" s="613">
        <f>E100/'Conv Factors'!$C$6/'Conv Factors'!$C$3/'Conv Factors'!$C$4/'Conv Factors'!$C$10/'Conv Factors'!$C$5*'Conv Factors'!$C$7</f>
        <v>0.44490678683164742</v>
      </c>
      <c r="N100" s="614">
        <f>D100*'Conv Factors'!$D$63/1000/'Conv Factors'!$C$8*'Conv Factors'!$C$10</f>
        <v>3.3356746796296841</v>
      </c>
      <c r="O100" s="615">
        <f>G100/1000</f>
        <v>1.617</v>
      </c>
      <c r="P100" s="614">
        <f>O100*1000/'Conv Factors'!$C$16/'Conv Factors'!$C$4</f>
        <v>2.2150684931506848</v>
      </c>
    </row>
    <row r="101" spans="2:16" x14ac:dyDescent="0.2">
      <c r="B101" s="610">
        <v>2020</v>
      </c>
      <c r="C101" s="610">
        <v>2029</v>
      </c>
      <c r="D101" s="610">
        <v>4.54</v>
      </c>
      <c r="E101" s="610">
        <v>11.5</v>
      </c>
      <c r="F101" s="610">
        <v>57.5</v>
      </c>
      <c r="G101" s="610">
        <v>1925</v>
      </c>
      <c r="H101" s="610">
        <v>103</v>
      </c>
      <c r="I101" s="610" t="s">
        <v>2089</v>
      </c>
      <c r="J101" s="610" t="s">
        <v>2064</v>
      </c>
      <c r="K101" s="610" t="s">
        <v>1172</v>
      </c>
      <c r="L101" s="610" t="s">
        <v>1173</v>
      </c>
      <c r="M101" s="613">
        <f>E101/'Conv Factors'!$C$6/'Conv Factors'!$C$3/'Conv Factors'!$C$4/'Conv Factors'!$C$10/'Conv Factors'!$C$5*'Conv Factors'!$C$7</f>
        <v>0.36467769412430118</v>
      </c>
      <c r="N101" s="614">
        <f>D101*'Conv Factors'!$D$63/1000/'Conv Factors'!$C$8*'Conv Factors'!$C$10</f>
        <v>4.1264204483702365</v>
      </c>
      <c r="O101" s="615">
        <f>G101/1000</f>
        <v>1.925</v>
      </c>
      <c r="P101" s="614">
        <f>O101*1000/'Conv Factors'!$C$16/'Conv Factors'!$C$4</f>
        <v>2.6369863013698631</v>
      </c>
    </row>
    <row r="102" spans="2:16" x14ac:dyDescent="0.2">
      <c r="B102" s="610">
        <v>2030</v>
      </c>
      <c r="C102" s="610">
        <v>2039</v>
      </c>
      <c r="D102" s="610">
        <v>4.43</v>
      </c>
      <c r="E102" s="610">
        <v>11.9</v>
      </c>
      <c r="F102" s="610">
        <v>57.5</v>
      </c>
      <c r="G102" s="610">
        <v>1925</v>
      </c>
      <c r="H102" s="610">
        <v>104</v>
      </c>
      <c r="I102" s="610" t="s">
        <v>2089</v>
      </c>
      <c r="J102" s="610" t="s">
        <v>2064</v>
      </c>
      <c r="K102" s="610" t="s">
        <v>1174</v>
      </c>
      <c r="L102" s="610" t="s">
        <v>1175</v>
      </c>
      <c r="M102" s="613">
        <f>E102/'Conv Factors'!$C$6/'Conv Factors'!$C$3/'Conv Factors'!$C$4/'Conv Factors'!$C$10/'Conv Factors'!$C$5*'Conv Factors'!$C$7</f>
        <v>0.37736213565905952</v>
      </c>
      <c r="N102" s="614">
        <f>D102*'Conv Factors'!$D$63/1000/'Conv Factors'!$C$8*'Conv Factors'!$C$10</f>
        <v>4.0264410982995917</v>
      </c>
      <c r="O102" s="615">
        <f>G102/1000</f>
        <v>1.925</v>
      </c>
      <c r="P102" s="614">
        <f>O102*1000/'Conv Factors'!$C$16/'Conv Factors'!$C$4</f>
        <v>2.6369863013698631</v>
      </c>
    </row>
    <row r="103" spans="2:16" x14ac:dyDescent="0.2">
      <c r="B103" s="610">
        <v>2040</v>
      </c>
      <c r="C103" s="610">
        <v>2050</v>
      </c>
      <c r="D103" s="610">
        <v>4.3099999999999996</v>
      </c>
      <c r="E103" s="610">
        <v>12.3</v>
      </c>
      <c r="F103" s="610">
        <v>57.5</v>
      </c>
      <c r="G103" s="610">
        <v>1925</v>
      </c>
      <c r="H103" s="610">
        <v>105</v>
      </c>
      <c r="I103" s="610" t="s">
        <v>2089</v>
      </c>
      <c r="J103" s="610" t="s">
        <v>2064</v>
      </c>
      <c r="K103" s="610" t="s">
        <v>1176</v>
      </c>
      <c r="L103" s="610" t="s">
        <v>1177</v>
      </c>
      <c r="M103" s="613">
        <f>E103/'Conv Factors'!$C$6/'Conv Factors'!$C$3/'Conv Factors'!$C$4/'Conv Factors'!$C$10/'Conv Factors'!$C$5*'Conv Factors'!$C$7</f>
        <v>0.39004657719381786</v>
      </c>
      <c r="N103" s="614">
        <f>D103*'Conv Factors'!$D$63/1000/'Conv Factors'!$C$8*'Conv Factors'!$C$10</f>
        <v>3.9173727164043424</v>
      </c>
      <c r="O103" s="615">
        <f>G103/1000</f>
        <v>1.925</v>
      </c>
      <c r="P103" s="614">
        <f>O103*1000/'Conv Factors'!$C$16/'Conv Factors'!$C$4</f>
        <v>2.6369863013698631</v>
      </c>
    </row>
    <row r="104" spans="2:16" x14ac:dyDescent="0.2">
      <c r="B104" s="617" t="s">
        <v>2071</v>
      </c>
      <c r="C104" s="621"/>
      <c r="D104" s="621"/>
      <c r="E104" s="621"/>
      <c r="F104" s="621"/>
      <c r="G104" s="621"/>
      <c r="H104" s="621"/>
      <c r="I104" s="621"/>
      <c r="J104" s="621"/>
      <c r="K104" s="621"/>
      <c r="L104" s="621"/>
      <c r="M104" s="624"/>
      <c r="N104" s="627"/>
      <c r="O104" s="626"/>
      <c r="P104" s="627"/>
    </row>
    <row r="105" spans="2:16" x14ac:dyDescent="0.2">
      <c r="B105" s="610">
        <v>2005</v>
      </c>
      <c r="C105" s="610">
        <v>2019</v>
      </c>
      <c r="D105" s="610">
        <v>6.23</v>
      </c>
      <c r="E105" s="610">
        <v>48</v>
      </c>
      <c r="F105" s="610">
        <v>15</v>
      </c>
      <c r="G105" s="610">
        <v>8000</v>
      </c>
      <c r="H105" s="610">
        <v>82</v>
      </c>
      <c r="I105" s="610" t="s">
        <v>2089</v>
      </c>
      <c r="J105" s="610" t="s">
        <v>2061</v>
      </c>
      <c r="K105" s="610" t="s">
        <v>1196</v>
      </c>
      <c r="L105" s="610" t="s">
        <v>1197</v>
      </c>
      <c r="M105" s="613">
        <f>E105/'Conv Factors'!$C$6/'Conv Factors'!$C$3/'Conv Factors'!$C$4/'Conv Factors'!$C$10/'Conv Factors'!$C$5*'Conv Factors'!$C$7</f>
        <v>1.5221329841709963</v>
      </c>
      <c r="N105" s="614">
        <f>D105*'Conv Factors'!$D$63/1000/'Conv Factors'!$C$8*'Conv Factors'!$C$10</f>
        <v>5.6624668267283207</v>
      </c>
      <c r="O105" s="615">
        <f>G105/1000</f>
        <v>8</v>
      </c>
      <c r="P105" s="614">
        <f>O105*1000/'Conv Factors'!$C$16/'Conv Factors'!$C$4</f>
        <v>10.95890410958904</v>
      </c>
    </row>
    <row r="106" spans="2:16" x14ac:dyDescent="0.2">
      <c r="B106" s="610">
        <v>2020</v>
      </c>
      <c r="C106" s="610">
        <v>2029</v>
      </c>
      <c r="D106" s="610">
        <v>6.07</v>
      </c>
      <c r="E106" s="610">
        <v>50.4</v>
      </c>
      <c r="F106" s="610">
        <v>15</v>
      </c>
      <c r="G106" s="610">
        <v>8000</v>
      </c>
      <c r="H106" s="610">
        <v>82</v>
      </c>
      <c r="I106" s="610" t="s">
        <v>2089</v>
      </c>
      <c r="J106" s="610" t="s">
        <v>2061</v>
      </c>
      <c r="K106" s="610" t="s">
        <v>1178</v>
      </c>
      <c r="L106" s="610" t="s">
        <v>1179</v>
      </c>
      <c r="M106" s="613">
        <f>E106/'Conv Factors'!$C$6/'Conv Factors'!$C$3/'Conv Factors'!$C$4/'Conv Factors'!$C$10/'Conv Factors'!$C$5*'Conv Factors'!$C$7</f>
        <v>1.5982396333795463</v>
      </c>
      <c r="N106" s="614">
        <f>D106*'Conv Factors'!$D$63/1000/'Conv Factors'!$C$8*'Conv Factors'!$C$10</f>
        <v>5.5170423175346555</v>
      </c>
      <c r="O106" s="615">
        <f>G106/1000</f>
        <v>8</v>
      </c>
      <c r="P106" s="614">
        <f>O106*1000/'Conv Factors'!$C$16/'Conv Factors'!$C$4</f>
        <v>10.95890410958904</v>
      </c>
    </row>
    <row r="107" spans="2:16" x14ac:dyDescent="0.2">
      <c r="B107" s="610">
        <v>2030</v>
      </c>
      <c r="C107" s="610">
        <v>2039</v>
      </c>
      <c r="D107" s="610">
        <v>5.92</v>
      </c>
      <c r="E107" s="610">
        <v>52.9</v>
      </c>
      <c r="F107" s="610">
        <v>15</v>
      </c>
      <c r="G107" s="610">
        <v>8000</v>
      </c>
      <c r="H107" s="610">
        <v>82</v>
      </c>
      <c r="I107" s="610" t="s">
        <v>2089</v>
      </c>
      <c r="J107" s="610" t="s">
        <v>2061</v>
      </c>
      <c r="K107" s="610" t="s">
        <v>1180</v>
      </c>
      <c r="L107" s="610" t="s">
        <v>1181</v>
      </c>
      <c r="M107" s="613">
        <f>E107/'Conv Factors'!$C$6/'Conv Factors'!$C$3/'Conv Factors'!$C$4/'Conv Factors'!$C$10/'Conv Factors'!$C$5*'Conv Factors'!$C$7</f>
        <v>1.6775173929717853</v>
      </c>
      <c r="N107" s="614">
        <f>D107*'Conv Factors'!$D$63/1000/'Conv Factors'!$C$8*'Conv Factors'!$C$10</f>
        <v>5.380706840165594</v>
      </c>
      <c r="O107" s="615">
        <f>G107/1000</f>
        <v>8</v>
      </c>
      <c r="P107" s="614">
        <f>O107*1000/'Conv Factors'!$C$16/'Conv Factors'!$C$4</f>
        <v>10.95890410958904</v>
      </c>
    </row>
    <row r="108" spans="2:16" x14ac:dyDescent="0.2">
      <c r="B108" s="610">
        <v>2040</v>
      </c>
      <c r="C108" s="610">
        <v>2050</v>
      </c>
      <c r="D108" s="610">
        <v>5.77</v>
      </c>
      <c r="E108" s="610">
        <v>55.6</v>
      </c>
      <c r="F108" s="610">
        <v>15</v>
      </c>
      <c r="G108" s="610">
        <v>9000</v>
      </c>
      <c r="H108" s="610">
        <v>82</v>
      </c>
      <c r="I108" s="610" t="s">
        <v>2089</v>
      </c>
      <c r="J108" s="610" t="s">
        <v>2061</v>
      </c>
      <c r="K108" s="610" t="s">
        <v>1182</v>
      </c>
      <c r="L108" s="610" t="s">
        <v>1183</v>
      </c>
      <c r="M108" s="613">
        <f>E108/'Conv Factors'!$C$6/'Conv Factors'!$C$3/'Conv Factors'!$C$4/'Conv Factors'!$C$10/'Conv Factors'!$C$5*'Conv Factors'!$C$7</f>
        <v>1.7631373733314042</v>
      </c>
      <c r="N108" s="614">
        <f>D108*'Conv Factors'!$D$63/1000/'Conv Factors'!$C$8*'Conv Factors'!$C$10</f>
        <v>5.2443713627965334</v>
      </c>
      <c r="O108" s="615">
        <f>G108/1000</f>
        <v>9</v>
      </c>
      <c r="P108" s="614">
        <f>O108*1000/'Conv Factors'!$C$16/'Conv Factors'!$C$4</f>
        <v>12.328767123287671</v>
      </c>
    </row>
    <row r="109" spans="2:16" x14ac:dyDescent="0.2">
      <c r="B109" s="617" t="s">
        <v>2081</v>
      </c>
      <c r="C109" s="621"/>
      <c r="D109" s="621"/>
      <c r="E109" s="621"/>
      <c r="F109" s="621"/>
      <c r="G109" s="621"/>
      <c r="H109" s="621"/>
      <c r="I109" s="621"/>
      <c r="J109" s="621"/>
      <c r="K109" s="621"/>
      <c r="L109" s="621"/>
      <c r="M109" s="624"/>
      <c r="N109" s="627"/>
      <c r="O109" s="626"/>
      <c r="P109" s="627"/>
    </row>
    <row r="110" spans="2:16" x14ac:dyDescent="0.2">
      <c r="B110" s="610">
        <v>2005</v>
      </c>
      <c r="C110" s="610">
        <v>2019</v>
      </c>
      <c r="D110" s="610">
        <v>15</v>
      </c>
      <c r="E110" s="610">
        <v>92.8</v>
      </c>
      <c r="F110" s="610">
        <v>70</v>
      </c>
      <c r="G110" s="610">
        <v>24000</v>
      </c>
      <c r="H110" s="610">
        <v>100</v>
      </c>
      <c r="I110" s="610" t="s">
        <v>2089</v>
      </c>
      <c r="J110" s="610" t="s">
        <v>2090</v>
      </c>
      <c r="K110" s="610" t="s">
        <v>1198</v>
      </c>
      <c r="L110" s="610" t="s">
        <v>1199</v>
      </c>
      <c r="M110" s="613">
        <f>E110/'Conv Factors'!$C$6/'Conv Factors'!$C$3/'Conv Factors'!$C$4/'Conv Factors'!$C$10/'Conv Factors'!$C$5*'Conv Factors'!$C$7</f>
        <v>2.9427904360639263</v>
      </c>
      <c r="N110" s="614">
        <f>D110*'Conv Factors'!$D$63/1000/'Conv Factors'!$C$8*'Conv Factors'!$C$10</f>
        <v>13.633547736906067</v>
      </c>
      <c r="O110" s="615">
        <f>G110/1000</f>
        <v>24</v>
      </c>
      <c r="P110" s="614">
        <f>O110*1000/'Conv Factors'!$C$16/'Conv Factors'!$C$4</f>
        <v>32.876712328767127</v>
      </c>
    </row>
    <row r="111" spans="2:16" x14ac:dyDescent="0.2">
      <c r="B111" s="610">
        <v>2020</v>
      </c>
      <c r="C111" s="610">
        <v>2029</v>
      </c>
      <c r="D111" s="610">
        <v>10</v>
      </c>
      <c r="E111" s="610">
        <v>92.8</v>
      </c>
      <c r="F111" s="610">
        <v>70</v>
      </c>
      <c r="G111" s="610">
        <v>24000</v>
      </c>
      <c r="H111" s="610">
        <v>100</v>
      </c>
      <c r="I111" s="610" t="s">
        <v>2089</v>
      </c>
      <c r="J111" s="610" t="s">
        <v>2090</v>
      </c>
      <c r="K111" s="610" t="s">
        <v>1184</v>
      </c>
      <c r="L111" s="610" t="s">
        <v>1185</v>
      </c>
      <c r="M111" s="613">
        <f>E111/'Conv Factors'!$C$6/'Conv Factors'!$C$3/'Conv Factors'!$C$4/'Conv Factors'!$C$10/'Conv Factors'!$C$5*'Conv Factors'!$C$7</f>
        <v>2.9427904360639263</v>
      </c>
      <c r="N111" s="614">
        <f>D111*'Conv Factors'!$D$63/1000/'Conv Factors'!$C$8*'Conv Factors'!$C$10</f>
        <v>9.089031824604044</v>
      </c>
      <c r="O111" s="615">
        <f>G111/1000</f>
        <v>24</v>
      </c>
      <c r="P111" s="614">
        <f>O111*1000/'Conv Factors'!$C$16/'Conv Factors'!$C$4</f>
        <v>32.876712328767127</v>
      </c>
    </row>
    <row r="112" spans="2:16" x14ac:dyDescent="0.2">
      <c r="B112" s="617" t="s">
        <v>2075</v>
      </c>
      <c r="C112" s="621"/>
      <c r="D112" s="621"/>
      <c r="E112" s="621"/>
      <c r="F112" s="621"/>
      <c r="G112" s="621"/>
      <c r="H112" s="621"/>
      <c r="I112" s="621"/>
      <c r="J112" s="621"/>
      <c r="K112" s="621"/>
      <c r="L112" s="621"/>
      <c r="M112" s="624"/>
      <c r="N112" s="627"/>
      <c r="O112" s="626"/>
      <c r="P112" s="627"/>
    </row>
    <row r="113" spans="2:16" x14ac:dyDescent="0.2">
      <c r="B113" s="610">
        <v>2005</v>
      </c>
      <c r="C113" s="610">
        <v>2010</v>
      </c>
      <c r="D113" s="610">
        <v>192.69</v>
      </c>
      <c r="E113" s="610">
        <v>36</v>
      </c>
      <c r="F113" s="610">
        <v>28</v>
      </c>
      <c r="G113" s="610">
        <v>10000</v>
      </c>
      <c r="H113" s="610">
        <v>92</v>
      </c>
      <c r="I113" s="610" t="s">
        <v>2089</v>
      </c>
      <c r="J113" s="610" t="s">
        <v>2076</v>
      </c>
      <c r="K113" s="610"/>
      <c r="L113" s="610"/>
      <c r="M113" s="613"/>
      <c r="N113" s="614"/>
      <c r="O113" s="615"/>
      <c r="P113" s="614"/>
    </row>
    <row r="114" spans="2:16" x14ac:dyDescent="0.2">
      <c r="B114" s="610">
        <v>2011</v>
      </c>
      <c r="C114" s="610">
        <v>2011</v>
      </c>
      <c r="D114" s="610">
        <v>59.92</v>
      </c>
      <c r="E114" s="610">
        <v>50</v>
      </c>
      <c r="F114" s="610">
        <v>20</v>
      </c>
      <c r="G114" s="610">
        <v>25000</v>
      </c>
      <c r="H114" s="610">
        <v>92</v>
      </c>
      <c r="I114" s="610" t="s">
        <v>2089</v>
      </c>
      <c r="J114" s="610" t="s">
        <v>2076</v>
      </c>
      <c r="K114" s="610" t="s">
        <v>1200</v>
      </c>
      <c r="L114" s="610" t="s">
        <v>1201</v>
      </c>
      <c r="M114" s="613">
        <f>E114/'Conv Factors'!$C$6/'Conv Factors'!$C$3/'Conv Factors'!$C$4/'Conv Factors'!$C$10/'Conv Factors'!$C$5*'Conv Factors'!$C$7</f>
        <v>1.5855551918447879</v>
      </c>
      <c r="N114" s="614">
        <f>D114*'Conv Factors'!$D$63/1000/'Conv Factors'!$C$8*'Conv Factors'!$C$10</f>
        <v>54.461478693027438</v>
      </c>
      <c r="O114" s="615">
        <f>G114/1000</f>
        <v>25</v>
      </c>
      <c r="P114" s="614">
        <f>O114*1000/'Conv Factors'!$C$16/'Conv Factors'!$C$4</f>
        <v>34.246575342465754</v>
      </c>
    </row>
    <row r="115" spans="2:16" x14ac:dyDescent="0.2">
      <c r="B115" s="610">
        <v>2012</v>
      </c>
      <c r="C115" s="610">
        <v>2012</v>
      </c>
      <c r="D115" s="610">
        <v>48.06</v>
      </c>
      <c r="E115" s="610">
        <v>56.8</v>
      </c>
      <c r="F115" s="610">
        <v>17.5</v>
      </c>
      <c r="G115" s="610">
        <v>27789</v>
      </c>
      <c r="H115" s="610">
        <v>92</v>
      </c>
      <c r="I115" s="610" t="s">
        <v>2089</v>
      </c>
      <c r="J115" s="610" t="s">
        <v>2076</v>
      </c>
      <c r="K115" s="610"/>
      <c r="L115" s="610"/>
      <c r="M115" s="613"/>
      <c r="N115" s="614"/>
      <c r="O115" s="615"/>
      <c r="P115" s="614"/>
    </row>
    <row r="116" spans="2:16" x14ac:dyDescent="0.2">
      <c r="B116" s="610">
        <v>2013</v>
      </c>
      <c r="C116" s="610">
        <v>2013</v>
      </c>
      <c r="D116" s="610">
        <v>38.54</v>
      </c>
      <c r="E116" s="610">
        <v>64.5</v>
      </c>
      <c r="F116" s="610">
        <v>15.3</v>
      </c>
      <c r="G116" s="610">
        <v>30556</v>
      </c>
      <c r="H116" s="610">
        <v>92</v>
      </c>
      <c r="I116" s="610" t="s">
        <v>2089</v>
      </c>
      <c r="J116" s="610" t="s">
        <v>2076</v>
      </c>
      <c r="K116" s="610"/>
      <c r="L116" s="610"/>
      <c r="M116" s="613"/>
      <c r="N116" s="614"/>
      <c r="O116" s="615"/>
      <c r="P116" s="614"/>
    </row>
    <row r="117" spans="2:16" x14ac:dyDescent="0.2">
      <c r="B117" s="610">
        <v>2014</v>
      </c>
      <c r="C117" s="610">
        <v>2014</v>
      </c>
      <c r="D117" s="610">
        <v>30.91</v>
      </c>
      <c r="E117" s="610">
        <v>73.2</v>
      </c>
      <c r="F117" s="610">
        <v>13.4</v>
      </c>
      <c r="G117" s="610">
        <v>33333</v>
      </c>
      <c r="H117" s="610">
        <v>92</v>
      </c>
      <c r="I117" s="610" t="s">
        <v>2089</v>
      </c>
      <c r="J117" s="610" t="s">
        <v>2076</v>
      </c>
      <c r="K117" s="610"/>
      <c r="L117" s="610"/>
      <c r="M117" s="613"/>
      <c r="N117" s="614"/>
      <c r="O117" s="615"/>
      <c r="P117" s="614"/>
    </row>
    <row r="118" spans="2:16" x14ac:dyDescent="0.2">
      <c r="B118" s="610">
        <v>2015</v>
      </c>
      <c r="C118" s="610">
        <v>2015</v>
      </c>
      <c r="D118" s="610">
        <v>24.79</v>
      </c>
      <c r="E118" s="610">
        <v>83.1</v>
      </c>
      <c r="F118" s="610">
        <v>11.7</v>
      </c>
      <c r="G118" s="610">
        <v>36111</v>
      </c>
      <c r="H118" s="610">
        <v>92</v>
      </c>
      <c r="I118" s="610" t="s">
        <v>2089</v>
      </c>
      <c r="J118" s="610" t="s">
        <v>2076</v>
      </c>
      <c r="K118" s="610" t="s">
        <v>1186</v>
      </c>
      <c r="L118" s="610" t="s">
        <v>1187</v>
      </c>
      <c r="M118" s="613">
        <f>E118/'Conv Factors'!$C$6/'Conv Factors'!$C$3/'Conv Factors'!$C$4/'Conv Factors'!$C$10/'Conv Factors'!$C$5*'Conv Factors'!$C$7</f>
        <v>2.6351927288460373</v>
      </c>
      <c r="N118" s="614">
        <f>D118*'Conv Factors'!$D$63/1000/'Conv Factors'!$C$8*'Conv Factors'!$C$10</f>
        <v>22.531709893193426</v>
      </c>
      <c r="O118" s="615">
        <f>G118/1000</f>
        <v>36.110999999999997</v>
      </c>
      <c r="P118" s="614">
        <f>O118*1000/'Conv Factors'!$C$16/'Conv Factors'!$C$4</f>
        <v>49.467123287671235</v>
      </c>
    </row>
    <row r="119" spans="2:16" x14ac:dyDescent="0.2">
      <c r="B119" s="610">
        <v>2016</v>
      </c>
      <c r="C119" s="610">
        <v>2016</v>
      </c>
      <c r="D119" s="610">
        <v>19.88</v>
      </c>
      <c r="E119" s="610">
        <v>94.4</v>
      </c>
      <c r="F119" s="610">
        <v>10.199999999999999</v>
      </c>
      <c r="G119" s="610">
        <v>38889</v>
      </c>
      <c r="H119" s="610">
        <v>92</v>
      </c>
      <c r="I119" s="610" t="s">
        <v>2089</v>
      </c>
      <c r="J119" s="610" t="s">
        <v>2076</v>
      </c>
      <c r="K119" s="610"/>
      <c r="L119" s="610"/>
      <c r="M119" s="613"/>
      <c r="N119" s="614"/>
      <c r="O119" s="615"/>
      <c r="P119" s="614"/>
    </row>
    <row r="120" spans="2:16" x14ac:dyDescent="0.2">
      <c r="B120" s="610">
        <v>2017</v>
      </c>
      <c r="C120" s="610">
        <v>2017</v>
      </c>
      <c r="D120" s="610">
        <v>15.94</v>
      </c>
      <c r="E120" s="610">
        <v>107.2</v>
      </c>
      <c r="F120" s="610">
        <v>9</v>
      </c>
      <c r="G120" s="610">
        <v>41667</v>
      </c>
      <c r="H120" s="610">
        <v>92</v>
      </c>
      <c r="I120" s="610" t="s">
        <v>2089</v>
      </c>
      <c r="J120" s="610" t="s">
        <v>2076</v>
      </c>
      <c r="K120" s="610"/>
      <c r="L120" s="610"/>
      <c r="M120" s="613"/>
      <c r="N120" s="614"/>
      <c r="O120" s="615"/>
      <c r="P120" s="614"/>
    </row>
    <row r="121" spans="2:16" x14ac:dyDescent="0.2">
      <c r="B121" s="610">
        <v>2018</v>
      </c>
      <c r="C121" s="610">
        <v>2018</v>
      </c>
      <c r="D121" s="610">
        <v>12.79</v>
      </c>
      <c r="E121" s="610">
        <v>121.8</v>
      </c>
      <c r="F121" s="610">
        <v>7.8</v>
      </c>
      <c r="G121" s="610">
        <v>44444</v>
      </c>
      <c r="H121" s="610">
        <v>92</v>
      </c>
      <c r="I121" s="610" t="s">
        <v>2089</v>
      </c>
      <c r="J121" s="610" t="s">
        <v>2076</v>
      </c>
      <c r="K121" s="610"/>
      <c r="L121" s="610"/>
      <c r="M121" s="613"/>
      <c r="N121" s="614"/>
      <c r="O121" s="615"/>
      <c r="P121" s="614"/>
    </row>
    <row r="122" spans="2:16" x14ac:dyDescent="0.2">
      <c r="B122" s="610">
        <v>2019</v>
      </c>
      <c r="C122" s="610">
        <v>2019</v>
      </c>
      <c r="D122" s="610">
        <v>10.25</v>
      </c>
      <c r="E122" s="610">
        <v>138.30000000000001</v>
      </c>
      <c r="F122" s="610">
        <v>6.9</v>
      </c>
      <c r="G122" s="610">
        <v>47222</v>
      </c>
      <c r="H122" s="610">
        <v>92</v>
      </c>
      <c r="I122" s="610" t="s">
        <v>2089</v>
      </c>
      <c r="J122" s="610" t="s">
        <v>2076</v>
      </c>
      <c r="K122" s="610"/>
      <c r="L122" s="610"/>
      <c r="M122" s="613"/>
      <c r="N122" s="614"/>
      <c r="O122" s="615"/>
      <c r="P122" s="614"/>
    </row>
    <row r="123" spans="2:16" x14ac:dyDescent="0.2">
      <c r="B123" s="610">
        <v>2020</v>
      </c>
      <c r="C123" s="610">
        <v>2024</v>
      </c>
      <c r="D123" s="610">
        <v>8.2200000000000006</v>
      </c>
      <c r="E123" s="610">
        <v>157</v>
      </c>
      <c r="F123" s="610">
        <v>6</v>
      </c>
      <c r="G123" s="610">
        <v>50000</v>
      </c>
      <c r="H123" s="610">
        <v>92</v>
      </c>
      <c r="I123" s="610" t="s">
        <v>2089</v>
      </c>
      <c r="J123" s="610" t="s">
        <v>2076</v>
      </c>
      <c r="K123" s="610" t="s">
        <v>1188</v>
      </c>
      <c r="L123" s="610" t="s">
        <v>1189</v>
      </c>
      <c r="M123" s="613">
        <f>E123/'Conv Factors'!$C$6/'Conv Factors'!$C$3/'Conv Factors'!$C$4/'Conv Factors'!$C$10/'Conv Factors'!$C$5*'Conv Factors'!$C$7</f>
        <v>4.9786433023926335</v>
      </c>
      <c r="N123" s="614">
        <f>D123*'Conv Factors'!$D$63/1000/'Conv Factors'!$C$8*'Conv Factors'!$C$10</f>
        <v>7.4711841598245261</v>
      </c>
      <c r="O123" s="615">
        <f>G123/1000</f>
        <v>50</v>
      </c>
      <c r="P123" s="614">
        <f>O123*1000/'Conv Factors'!$C$16/'Conv Factors'!$C$4</f>
        <v>68.493150684931507</v>
      </c>
    </row>
    <row r="124" spans="2:16" x14ac:dyDescent="0.2">
      <c r="B124" s="610">
        <v>2025</v>
      </c>
      <c r="C124" s="610">
        <v>2029</v>
      </c>
      <c r="D124" s="610">
        <v>7.05</v>
      </c>
      <c r="E124" s="610">
        <v>180</v>
      </c>
      <c r="F124" s="610">
        <v>5.5</v>
      </c>
      <c r="G124" s="610">
        <v>50000</v>
      </c>
      <c r="H124" s="610">
        <v>92</v>
      </c>
      <c r="I124" s="610" t="s">
        <v>2089</v>
      </c>
      <c r="J124" s="610" t="s">
        <v>2076</v>
      </c>
      <c r="K124" s="610" t="s">
        <v>1190</v>
      </c>
      <c r="L124" s="610" t="s">
        <v>1191</v>
      </c>
      <c r="M124" s="613">
        <f>E124/'Conv Factors'!$C$6/'Conv Factors'!$C$3/'Conv Factors'!$C$4/'Conv Factors'!$C$10/'Conv Factors'!$C$5*'Conv Factors'!$C$7</f>
        <v>5.7079986906412357</v>
      </c>
      <c r="N124" s="614">
        <f>D124*'Conv Factors'!$D$63/1000/'Conv Factors'!$C$8*'Conv Factors'!$C$10</f>
        <v>6.4077674363458517</v>
      </c>
      <c r="O124" s="615">
        <f>G124/1000</f>
        <v>50</v>
      </c>
      <c r="P124" s="614">
        <f>O124*1000/'Conv Factors'!$C$16/'Conv Factors'!$C$4</f>
        <v>68.493150684931507</v>
      </c>
    </row>
    <row r="125" spans="2:16" x14ac:dyDescent="0.2">
      <c r="B125" s="610">
        <v>2030</v>
      </c>
      <c r="C125" s="610">
        <v>2039</v>
      </c>
      <c r="D125" s="610">
        <v>5.87</v>
      </c>
      <c r="E125" s="610">
        <v>202</v>
      </c>
      <c r="F125" s="610">
        <v>5</v>
      </c>
      <c r="G125" s="610">
        <v>50000</v>
      </c>
      <c r="H125" s="610">
        <v>92</v>
      </c>
      <c r="I125" s="610" t="s">
        <v>2089</v>
      </c>
      <c r="J125" s="610" t="s">
        <v>2076</v>
      </c>
      <c r="K125" s="610" t="s">
        <v>1192</v>
      </c>
      <c r="L125" s="610" t="s">
        <v>1193</v>
      </c>
      <c r="M125" s="613">
        <f>E125/'Conv Factors'!$C$6/'Conv Factors'!$C$3/'Conv Factors'!$C$4/'Conv Factors'!$C$10/'Conv Factors'!$C$5*'Conv Factors'!$C$7</f>
        <v>6.4056429750529427</v>
      </c>
      <c r="N125" s="614">
        <f>D125*'Conv Factors'!$D$63/1000/'Conv Factors'!$C$8*'Conv Factors'!$C$10</f>
        <v>5.3352616810425744</v>
      </c>
      <c r="O125" s="615">
        <f>G125/1000</f>
        <v>50</v>
      </c>
      <c r="P125" s="614">
        <f>O125*1000/'Conv Factors'!$C$16/'Conv Factors'!$C$4</f>
        <v>68.493150684931507</v>
      </c>
    </row>
    <row r="126" spans="2:16" x14ac:dyDescent="0.2">
      <c r="B126" s="610">
        <v>2040</v>
      </c>
      <c r="C126" s="610">
        <v>2050</v>
      </c>
      <c r="D126" s="610">
        <v>5.87</v>
      </c>
      <c r="E126" s="610">
        <v>202</v>
      </c>
      <c r="F126" s="610">
        <v>5</v>
      </c>
      <c r="G126" s="610">
        <v>50000</v>
      </c>
      <c r="H126" s="610">
        <v>92</v>
      </c>
      <c r="I126" s="610" t="s">
        <v>2089</v>
      </c>
      <c r="J126" s="610" t="s">
        <v>2076</v>
      </c>
      <c r="K126" s="610" t="s">
        <v>2091</v>
      </c>
      <c r="L126" s="610" t="s">
        <v>2092</v>
      </c>
      <c r="M126" s="613"/>
      <c r="N126" s="616"/>
      <c r="O126" s="404"/>
      <c r="P126" s="404"/>
    </row>
  </sheetData>
  <mergeCells count="3">
    <mergeCell ref="X19:X20"/>
    <mergeCell ref="X31:X32"/>
    <mergeCell ref="X40:X41"/>
  </mergeCells>
  <phoneticPr fontId="17" type="noConversion"/>
  <hyperlinks>
    <hyperlink ref="T30" r:id="rId1" display="https://www.eia.gov/todayinenergy/detail.php?id=51858" xr:uid="{A19B9D6F-5EE2-4754-97FC-4153872BE3EE}"/>
    <hyperlink ref="T39" r:id="rId2" display="https://www.eia.gov/todayinenergy/detail.php?id=51858" xr:uid="{7EF3CE3A-C37A-42C0-8C67-D9F295A6D18D}"/>
  </hyperlinks>
  <pageMargins left="0.25" right="0.25" top="0.5" bottom="0.5" header="0.5" footer="0.5"/>
  <pageSetup scale="66" fitToHeight="0" orientation="landscape" r:id="rId3"/>
  <headerFooter alignWithMargins="0"/>
  <drawing r:id="rId4"/>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078BC-3BBF-417C-ABE6-85B011832C66}">
  <sheetPr>
    <tabColor theme="9"/>
  </sheetPr>
  <dimension ref="B2:AD137"/>
  <sheetViews>
    <sheetView workbookViewId="0">
      <selection activeCell="N77" sqref="N77"/>
    </sheetView>
  </sheetViews>
  <sheetFormatPr defaultColWidth="9.140625" defaultRowHeight="14.25" x14ac:dyDescent="0.2"/>
  <cols>
    <col min="1" max="1" width="4" style="597" customWidth="1"/>
    <col min="2" max="2" width="13.140625" style="597" bestFit="1" customWidth="1"/>
    <col min="3" max="3" width="18.85546875" style="597" customWidth="1"/>
    <col min="4" max="4" width="28" style="597" bestFit="1" customWidth="1"/>
    <col min="5" max="5" width="18.140625" style="597" customWidth="1"/>
    <col min="6" max="6" width="14.140625" style="597" customWidth="1"/>
    <col min="7" max="8" width="14.5703125" style="597" bestFit="1" customWidth="1"/>
    <col min="9" max="9" width="14.28515625" style="597" bestFit="1" customWidth="1"/>
    <col min="10" max="11" width="5.5703125" style="597" bestFit="1" customWidth="1"/>
    <col min="12" max="12" width="21.85546875" style="597" bestFit="1" customWidth="1"/>
    <col min="13" max="13" width="18.42578125" style="597" bestFit="1" customWidth="1"/>
    <col min="14" max="16" width="11.5703125" style="597" bestFit="1" customWidth="1"/>
    <col min="17" max="17" width="14.28515625" style="597" customWidth="1"/>
    <col min="18" max="19" width="13.140625" style="597" bestFit="1" customWidth="1"/>
    <col min="20" max="20" width="7.42578125" style="597" bestFit="1" customWidth="1"/>
    <col min="21" max="21" width="17.85546875" style="597" customWidth="1"/>
    <col min="22" max="22" width="11" style="597" bestFit="1" customWidth="1"/>
    <col min="23" max="23" width="10.5703125" style="597" bestFit="1" customWidth="1"/>
    <col min="24" max="24" width="7.28515625" style="597" bestFit="1" customWidth="1"/>
    <col min="25" max="25" width="8.42578125" style="597" bestFit="1" customWidth="1"/>
    <col min="26" max="26" width="7.7109375" style="597" bestFit="1" customWidth="1"/>
    <col min="27" max="27" width="5" style="597" bestFit="1" customWidth="1"/>
    <col min="28" max="28" width="3.140625" style="597" customWidth="1"/>
    <col min="29" max="29" width="36" style="597" bestFit="1" customWidth="1"/>
    <col min="30" max="30" width="9" style="597" bestFit="1" customWidth="1"/>
    <col min="31" max="31" width="7.28515625" style="597" bestFit="1" customWidth="1"/>
    <col min="32" max="32" width="10.5703125" style="597" bestFit="1" customWidth="1"/>
    <col min="33" max="33" width="7.28515625" style="597" bestFit="1" customWidth="1"/>
    <col min="34" max="35" width="8.42578125" style="597" bestFit="1" customWidth="1"/>
    <col min="36" max="36" width="5.5703125" style="597" customWidth="1"/>
    <col min="37" max="37" width="37.28515625" style="597" bestFit="1" customWidth="1"/>
    <col min="38" max="38" width="9" style="597" bestFit="1" customWidth="1"/>
    <col min="39" max="39" width="7.28515625" style="597" bestFit="1" customWidth="1"/>
    <col min="40" max="40" width="10.5703125" style="597" bestFit="1" customWidth="1"/>
    <col min="41" max="41" width="7.28515625" style="597" bestFit="1" customWidth="1"/>
    <col min="42" max="43" width="8.42578125" style="597" bestFit="1" customWidth="1"/>
    <col min="44" max="16384" width="9.140625" style="597"/>
  </cols>
  <sheetData>
    <row r="2" spans="2:19" ht="15" x14ac:dyDescent="0.25">
      <c r="B2" s="644" t="s">
        <v>2093</v>
      </c>
      <c r="C2" s="638"/>
      <c r="D2" s="638"/>
      <c r="E2" s="638"/>
      <c r="F2" s="638"/>
      <c r="G2" s="638"/>
      <c r="H2" s="638"/>
      <c r="I2" s="638"/>
      <c r="J2" s="894"/>
      <c r="K2" s="894"/>
      <c r="L2" s="643" t="s">
        <v>2094</v>
      </c>
      <c r="M2" s="643" t="s">
        <v>2095</v>
      </c>
      <c r="N2" s="643"/>
      <c r="O2" s="643"/>
      <c r="P2" s="643"/>
      <c r="Q2" s="643"/>
      <c r="R2" s="643"/>
      <c r="S2" s="894"/>
    </row>
    <row r="3" spans="2:19" ht="15" x14ac:dyDescent="0.25">
      <c r="B3" s="644" t="s">
        <v>1919</v>
      </c>
      <c r="C3" s="644" t="s">
        <v>2096</v>
      </c>
      <c r="D3" s="644" t="s">
        <v>2097</v>
      </c>
      <c r="E3" s="644" t="s">
        <v>2098</v>
      </c>
      <c r="F3" s="644" t="s">
        <v>2099</v>
      </c>
      <c r="G3" s="644" t="s">
        <v>2100</v>
      </c>
      <c r="H3" s="644" t="s">
        <v>2101</v>
      </c>
      <c r="I3" s="644" t="s">
        <v>2102</v>
      </c>
      <c r="J3" s="894"/>
      <c r="K3" s="894"/>
      <c r="L3" s="643" t="s">
        <v>2103</v>
      </c>
      <c r="M3" s="643" t="s">
        <v>1644</v>
      </c>
      <c r="N3" s="643" t="s">
        <v>1649</v>
      </c>
      <c r="O3" s="643" t="s">
        <v>1650</v>
      </c>
      <c r="P3" s="643" t="s">
        <v>1651</v>
      </c>
      <c r="Q3" s="643" t="s">
        <v>1844</v>
      </c>
      <c r="R3" s="643" t="s">
        <v>2104</v>
      </c>
      <c r="S3" s="894"/>
    </row>
    <row r="4" spans="2:19" x14ac:dyDescent="0.2">
      <c r="B4" s="894" t="s">
        <v>1644</v>
      </c>
      <c r="C4" s="894" t="s">
        <v>1635</v>
      </c>
      <c r="D4" s="894" t="s">
        <v>2105</v>
      </c>
      <c r="E4" s="639">
        <v>540775.87804322469</v>
      </c>
      <c r="F4" s="639">
        <f>E4*0.75</f>
        <v>405581.90853241854</v>
      </c>
      <c r="G4" s="639">
        <f>E4*0.5</f>
        <v>270387.93902161234</v>
      </c>
      <c r="H4" s="639">
        <f>E4*0.25</f>
        <v>135193.96951080617</v>
      </c>
      <c r="I4" s="639">
        <f>E4*0.1</f>
        <v>54077.587804322473</v>
      </c>
      <c r="J4" s="894"/>
      <c r="K4" s="894"/>
      <c r="L4" s="643" t="s">
        <v>1636</v>
      </c>
      <c r="M4" s="648">
        <v>331670.10467056569</v>
      </c>
      <c r="N4" s="648">
        <v>582704.58734917839</v>
      </c>
      <c r="O4" s="648">
        <v>322227.95117456425</v>
      </c>
      <c r="P4" s="648">
        <v>642979.06521327246</v>
      </c>
      <c r="Q4" s="648">
        <v>40028.159951073838</v>
      </c>
      <c r="R4" s="648">
        <v>1919609.8683586547</v>
      </c>
      <c r="S4" s="894"/>
    </row>
    <row r="5" spans="2:19" x14ac:dyDescent="0.2">
      <c r="B5" s="894" t="s">
        <v>1644</v>
      </c>
      <c r="C5" s="894" t="s">
        <v>1717</v>
      </c>
      <c r="D5" s="894" t="s">
        <v>2106</v>
      </c>
      <c r="E5" s="639">
        <v>0</v>
      </c>
      <c r="F5" s="639">
        <f t="shared" ref="F5:F68" si="0">E5*0.75</f>
        <v>0</v>
      </c>
      <c r="G5" s="639">
        <f t="shared" ref="G5:G68" si="1">E5*0.5</f>
        <v>0</v>
      </c>
      <c r="H5" s="639">
        <f t="shared" ref="H5:H68" si="2">E5*0.25</f>
        <v>0</v>
      </c>
      <c r="I5" s="639">
        <f t="shared" ref="I5:I68" si="3">E5*0.1</f>
        <v>0</v>
      </c>
      <c r="J5" s="894"/>
      <c r="K5" s="894"/>
      <c r="L5" s="643" t="s">
        <v>2107</v>
      </c>
      <c r="M5" s="648">
        <v>19729.787694444425</v>
      </c>
      <c r="N5" s="648">
        <v>143673.41048051949</v>
      </c>
      <c r="O5" s="648">
        <v>29358.960374602568</v>
      </c>
      <c r="P5" s="648">
        <v>15440.311959093609</v>
      </c>
      <c r="Q5" s="648">
        <v>1325.2537987987987</v>
      </c>
      <c r="R5" s="648">
        <v>209527.72430745888</v>
      </c>
      <c r="S5" s="894"/>
    </row>
    <row r="6" spans="2:19" x14ac:dyDescent="0.2">
      <c r="B6" s="894" t="s">
        <v>1644</v>
      </c>
      <c r="C6" s="894" t="s">
        <v>1636</v>
      </c>
      <c r="D6" s="894" t="s">
        <v>2108</v>
      </c>
      <c r="E6" s="639">
        <v>77690.061166666681</v>
      </c>
      <c r="F6" s="639">
        <f t="shared" si="0"/>
        <v>58267.545875000011</v>
      </c>
      <c r="G6" s="639">
        <f t="shared" si="1"/>
        <v>38845.03058333334</v>
      </c>
      <c r="H6" s="639">
        <f t="shared" si="2"/>
        <v>19422.51529166667</v>
      </c>
      <c r="I6" s="639">
        <f t="shared" si="3"/>
        <v>7769.0061166666683</v>
      </c>
      <c r="J6" s="894"/>
      <c r="K6" s="894"/>
      <c r="L6" s="643" t="s">
        <v>1637</v>
      </c>
      <c r="M6" s="648">
        <v>33620.030285714267</v>
      </c>
      <c r="N6" s="648">
        <v>84109.013290043251</v>
      </c>
      <c r="O6" s="648">
        <v>6402.9995892857123</v>
      </c>
      <c r="P6" s="648">
        <v>97762.301552988487</v>
      </c>
      <c r="Q6" s="648">
        <v>659.03250000000014</v>
      </c>
      <c r="R6" s="648">
        <v>222553.3772180317</v>
      </c>
      <c r="S6" s="894"/>
    </row>
    <row r="7" spans="2:19" x14ac:dyDescent="0.2">
      <c r="B7" s="894" t="s">
        <v>1644</v>
      </c>
      <c r="C7" s="894" t="s">
        <v>1636</v>
      </c>
      <c r="D7" s="894" t="s">
        <v>2109</v>
      </c>
      <c r="E7" s="639">
        <v>51817.496197691216</v>
      </c>
      <c r="F7" s="639">
        <f t="shared" si="0"/>
        <v>38863.122148268412</v>
      </c>
      <c r="G7" s="639">
        <f t="shared" si="1"/>
        <v>25908.748098845608</v>
      </c>
      <c r="H7" s="639">
        <f t="shared" si="2"/>
        <v>12954.374049422804</v>
      </c>
      <c r="I7" s="639">
        <f t="shared" si="3"/>
        <v>5181.7496197691216</v>
      </c>
      <c r="J7" s="894"/>
      <c r="K7" s="894"/>
      <c r="L7" s="643" t="s">
        <v>2110</v>
      </c>
      <c r="M7" s="648">
        <v>6053.0287500000022</v>
      </c>
      <c r="N7" s="648">
        <v>3604.8270833333345</v>
      </c>
      <c r="O7" s="648">
        <v>3773.1327888888877</v>
      </c>
      <c r="P7" s="648">
        <v>1723.6733333333332</v>
      </c>
      <c r="Q7" s="648">
        <v>803.80507142857164</v>
      </c>
      <c r="R7" s="648">
        <v>15958.46702698413</v>
      </c>
      <c r="S7" s="894"/>
    </row>
    <row r="8" spans="2:19" x14ac:dyDescent="0.2">
      <c r="B8" s="894" t="s">
        <v>1644</v>
      </c>
      <c r="C8" s="894" t="s">
        <v>1636</v>
      </c>
      <c r="D8" s="894" t="s">
        <v>2111</v>
      </c>
      <c r="E8" s="639">
        <v>29964.876491342002</v>
      </c>
      <c r="F8" s="639">
        <f t="shared" si="0"/>
        <v>22473.657368506501</v>
      </c>
      <c r="G8" s="639">
        <f t="shared" si="1"/>
        <v>14982.438245671001</v>
      </c>
      <c r="H8" s="639">
        <f t="shared" si="2"/>
        <v>7491.2191228355005</v>
      </c>
      <c r="I8" s="639">
        <f t="shared" si="3"/>
        <v>2996.4876491342002</v>
      </c>
      <c r="J8" s="894"/>
      <c r="K8" s="894"/>
      <c r="L8" s="643" t="s">
        <v>1635</v>
      </c>
      <c r="M8" s="648">
        <v>658592.7971964858</v>
      </c>
      <c r="N8" s="648">
        <v>1748367.2703294219</v>
      </c>
      <c r="O8" s="648">
        <v>573258.57783803763</v>
      </c>
      <c r="P8" s="648">
        <v>2609679.5033981609</v>
      </c>
      <c r="Q8" s="648">
        <v>584547.24149297224</v>
      </c>
      <c r="R8" s="648">
        <v>6174445.3902550787</v>
      </c>
      <c r="S8" s="894"/>
    </row>
    <row r="9" spans="2:19" x14ac:dyDescent="0.2">
      <c r="B9" s="894" t="s">
        <v>1644</v>
      </c>
      <c r="C9" s="894" t="s">
        <v>1636</v>
      </c>
      <c r="D9" s="894" t="s">
        <v>2112</v>
      </c>
      <c r="E9" s="639">
        <v>93476.642833333332</v>
      </c>
      <c r="F9" s="639">
        <f t="shared" si="0"/>
        <v>70107.482124999995</v>
      </c>
      <c r="G9" s="639">
        <f t="shared" si="1"/>
        <v>46738.321416666666</v>
      </c>
      <c r="H9" s="639">
        <f t="shared" si="2"/>
        <v>23369.160708333333</v>
      </c>
      <c r="I9" s="639">
        <f t="shared" si="3"/>
        <v>9347.6642833333335</v>
      </c>
      <c r="J9" s="894"/>
      <c r="K9" s="894"/>
      <c r="L9" s="643" t="s">
        <v>1717</v>
      </c>
      <c r="M9" s="648">
        <v>1467.5449999999998</v>
      </c>
      <c r="N9" s="648">
        <v>40343.432916666672</v>
      </c>
      <c r="O9" s="648">
        <v>19110.5975</v>
      </c>
      <c r="P9" s="648">
        <v>500.6752395400049</v>
      </c>
      <c r="Q9" s="648">
        <v>1807.540105263158</v>
      </c>
      <c r="R9" s="648">
        <v>63229.790761469834</v>
      </c>
      <c r="S9" s="894"/>
    </row>
    <row r="10" spans="2:19" x14ac:dyDescent="0.2">
      <c r="B10" s="894" t="s">
        <v>1644</v>
      </c>
      <c r="C10" s="894" t="s">
        <v>2107</v>
      </c>
      <c r="D10" s="894" t="s">
        <v>2107</v>
      </c>
      <c r="E10" s="639">
        <v>39459.57538888885</v>
      </c>
      <c r="F10" s="639">
        <f t="shared" si="0"/>
        <v>29594.681541666636</v>
      </c>
      <c r="G10" s="639">
        <f t="shared" si="1"/>
        <v>19729.787694444425</v>
      </c>
      <c r="H10" s="639">
        <f t="shared" si="2"/>
        <v>9864.8938472222126</v>
      </c>
      <c r="I10" s="639">
        <f t="shared" si="3"/>
        <v>3945.9575388888852</v>
      </c>
      <c r="J10" s="894"/>
      <c r="K10" s="894"/>
      <c r="L10" s="643" t="s">
        <v>2104</v>
      </c>
      <c r="M10" s="648">
        <v>1051133.2935972102</v>
      </c>
      <c r="N10" s="648">
        <v>2602802.5414491631</v>
      </c>
      <c r="O10" s="648">
        <v>954132.21926537913</v>
      </c>
      <c r="P10" s="648">
        <v>3368085.5306963888</v>
      </c>
      <c r="Q10" s="648">
        <v>629171.03291953658</v>
      </c>
      <c r="R10" s="648">
        <v>8605324.6179276779</v>
      </c>
      <c r="S10" s="15"/>
    </row>
    <row r="11" spans="2:19" x14ac:dyDescent="0.2">
      <c r="B11" s="894" t="s">
        <v>1644</v>
      </c>
      <c r="C11" s="894" t="s">
        <v>1636</v>
      </c>
      <c r="D11" s="894" t="s">
        <v>2113</v>
      </c>
      <c r="E11" s="639">
        <v>87.815000000000012</v>
      </c>
      <c r="F11" s="639">
        <f t="shared" si="0"/>
        <v>65.861250000000013</v>
      </c>
      <c r="G11" s="639">
        <f t="shared" si="1"/>
        <v>43.907500000000006</v>
      </c>
      <c r="H11" s="639">
        <f t="shared" si="2"/>
        <v>21.953750000000003</v>
      </c>
      <c r="I11" s="639">
        <f t="shared" si="3"/>
        <v>8.7815000000000012</v>
      </c>
      <c r="J11" s="894"/>
      <c r="K11" s="894"/>
      <c r="L11" s="15"/>
      <c r="M11" s="15"/>
      <c r="N11" s="15"/>
      <c r="O11" s="15"/>
      <c r="P11" s="15"/>
      <c r="Q11" s="15"/>
      <c r="R11" s="15"/>
      <c r="S11" s="15"/>
    </row>
    <row r="12" spans="2:19" x14ac:dyDescent="0.2">
      <c r="B12" s="894" t="s">
        <v>1644</v>
      </c>
      <c r="C12" s="894" t="s">
        <v>1637</v>
      </c>
      <c r="D12" s="894" t="s">
        <v>1637</v>
      </c>
      <c r="E12" s="639">
        <v>67240.060571428534</v>
      </c>
      <c r="F12" s="639">
        <f t="shared" si="0"/>
        <v>50430.0454285714</v>
      </c>
      <c r="G12" s="639">
        <f t="shared" si="1"/>
        <v>33620.030285714267</v>
      </c>
      <c r="H12" s="639">
        <f t="shared" si="2"/>
        <v>16810.015142857133</v>
      </c>
      <c r="I12" s="639">
        <f t="shared" si="3"/>
        <v>6724.0060571428539</v>
      </c>
      <c r="J12" s="894"/>
      <c r="K12" s="894"/>
      <c r="L12" s="15"/>
      <c r="M12" s="15"/>
      <c r="N12" s="15"/>
      <c r="O12" s="15"/>
      <c r="P12" s="15"/>
      <c r="Q12" s="15"/>
      <c r="R12" s="15"/>
      <c r="S12" s="15"/>
    </row>
    <row r="13" spans="2:19" ht="15" x14ac:dyDescent="0.25">
      <c r="B13" s="894" t="s">
        <v>1644</v>
      </c>
      <c r="C13" s="894" t="s">
        <v>1635</v>
      </c>
      <c r="D13" s="894" t="s">
        <v>2114</v>
      </c>
      <c r="E13" s="639">
        <v>309335.15236562811</v>
      </c>
      <c r="F13" s="639">
        <f t="shared" si="0"/>
        <v>232001.36427422106</v>
      </c>
      <c r="G13" s="639">
        <f t="shared" si="1"/>
        <v>154667.57618281405</v>
      </c>
      <c r="H13" s="639">
        <f t="shared" si="2"/>
        <v>77333.788091407027</v>
      </c>
      <c r="I13" s="639">
        <f t="shared" si="3"/>
        <v>30933.515236562813</v>
      </c>
      <c r="J13" s="894"/>
      <c r="K13" s="894"/>
      <c r="L13" s="645" t="s">
        <v>2103</v>
      </c>
      <c r="M13" s="645" t="s">
        <v>1644</v>
      </c>
      <c r="N13" s="645" t="s">
        <v>1649</v>
      </c>
      <c r="O13" s="645" t="s">
        <v>1650</v>
      </c>
      <c r="P13" s="645" t="s">
        <v>1651</v>
      </c>
      <c r="Q13" s="645" t="s">
        <v>1844</v>
      </c>
      <c r="R13" s="645" t="s">
        <v>2104</v>
      </c>
      <c r="S13" s="15"/>
    </row>
    <row r="14" spans="2:19" x14ac:dyDescent="0.2">
      <c r="B14" s="894" t="s">
        <v>1644</v>
      </c>
      <c r="C14" s="894" t="s">
        <v>1636</v>
      </c>
      <c r="D14" s="894" t="s">
        <v>2115</v>
      </c>
      <c r="E14" s="639">
        <v>83207.477619047597</v>
      </c>
      <c r="F14" s="639">
        <f t="shared" si="0"/>
        <v>62405.608214285698</v>
      </c>
      <c r="G14" s="639">
        <f t="shared" si="1"/>
        <v>41603.738809523798</v>
      </c>
      <c r="H14" s="639">
        <f t="shared" si="2"/>
        <v>20801.869404761899</v>
      </c>
      <c r="I14" s="639">
        <f t="shared" si="3"/>
        <v>8320.7477619047604</v>
      </c>
      <c r="J14" s="894"/>
      <c r="K14" s="894"/>
      <c r="L14" s="642" t="s">
        <v>1636</v>
      </c>
      <c r="M14" s="647">
        <v>331670.10467056569</v>
      </c>
      <c r="N14" s="647">
        <v>582704.58734917839</v>
      </c>
      <c r="O14" s="647">
        <v>322227.95117456425</v>
      </c>
      <c r="P14" s="647">
        <v>642979.06521327246</v>
      </c>
      <c r="Q14" s="647">
        <v>40028.159951073838</v>
      </c>
      <c r="R14" s="647">
        <v>1919609.8683586547</v>
      </c>
      <c r="S14" s="15"/>
    </row>
    <row r="15" spans="2:19" x14ac:dyDescent="0.2">
      <c r="B15" s="894" t="s">
        <v>1644</v>
      </c>
      <c r="C15" s="894" t="s">
        <v>2110</v>
      </c>
      <c r="D15" s="894" t="s">
        <v>1723</v>
      </c>
      <c r="E15" s="639">
        <v>12106.057500000004</v>
      </c>
      <c r="F15" s="639">
        <f t="shared" si="0"/>
        <v>9079.5431250000038</v>
      </c>
      <c r="G15" s="639">
        <f t="shared" si="1"/>
        <v>6053.0287500000022</v>
      </c>
      <c r="H15" s="639">
        <f t="shared" si="2"/>
        <v>3026.5143750000011</v>
      </c>
      <c r="I15" s="639">
        <f t="shared" si="3"/>
        <v>1210.6057500000004</v>
      </c>
      <c r="J15" s="894"/>
      <c r="K15" s="894"/>
      <c r="L15" s="642" t="s">
        <v>2107</v>
      </c>
      <c r="M15" s="647">
        <v>19729.787694444425</v>
      </c>
      <c r="N15" s="647">
        <v>143673.41048051949</v>
      </c>
      <c r="O15" s="647">
        <v>29358.960374602568</v>
      </c>
      <c r="P15" s="647">
        <v>15440.311959093609</v>
      </c>
      <c r="Q15" s="647">
        <v>1325.2537987987987</v>
      </c>
      <c r="R15" s="647">
        <v>209527.72430745888</v>
      </c>
      <c r="S15" s="15"/>
    </row>
    <row r="16" spans="2:19" x14ac:dyDescent="0.2">
      <c r="B16" s="894" t="s">
        <v>1644</v>
      </c>
      <c r="C16" s="894" t="s">
        <v>2110</v>
      </c>
      <c r="D16" s="894" t="s">
        <v>2116</v>
      </c>
      <c r="E16" s="639">
        <v>0</v>
      </c>
      <c r="F16" s="639">
        <f t="shared" si="0"/>
        <v>0</v>
      </c>
      <c r="G16" s="639">
        <f t="shared" si="1"/>
        <v>0</v>
      </c>
      <c r="H16" s="639">
        <f t="shared" si="2"/>
        <v>0</v>
      </c>
      <c r="I16" s="639">
        <f t="shared" si="3"/>
        <v>0</v>
      </c>
      <c r="J16" s="894"/>
      <c r="K16" s="894"/>
      <c r="L16" s="642" t="s">
        <v>1637</v>
      </c>
      <c r="M16" s="647">
        <v>33620.030285714267</v>
      </c>
      <c r="N16" s="647">
        <v>84109.013290043251</v>
      </c>
      <c r="O16" s="647">
        <v>6402.9995892857123</v>
      </c>
      <c r="P16" s="647">
        <v>97762.301552988487</v>
      </c>
      <c r="Q16" s="647">
        <v>659.03250000000014</v>
      </c>
      <c r="R16" s="647">
        <v>222553.3772180317</v>
      </c>
      <c r="S16" s="15"/>
    </row>
    <row r="17" spans="2:30" x14ac:dyDescent="0.2">
      <c r="B17" s="894" t="s">
        <v>1644</v>
      </c>
      <c r="C17" s="894" t="s">
        <v>1636</v>
      </c>
      <c r="D17" s="894" t="s">
        <v>2117</v>
      </c>
      <c r="E17" s="639">
        <v>4538.383333333335</v>
      </c>
      <c r="F17" s="639">
        <f t="shared" si="0"/>
        <v>3403.7875000000013</v>
      </c>
      <c r="G17" s="639">
        <f t="shared" si="1"/>
        <v>2269.1916666666675</v>
      </c>
      <c r="H17" s="639">
        <f t="shared" si="2"/>
        <v>1134.5958333333338</v>
      </c>
      <c r="I17" s="639">
        <f t="shared" si="3"/>
        <v>453.83833333333354</v>
      </c>
      <c r="J17" s="894"/>
      <c r="K17" s="894"/>
      <c r="L17" s="642" t="s">
        <v>1635</v>
      </c>
      <c r="M17" s="647">
        <v>658592.7971964858</v>
      </c>
      <c r="N17" s="647">
        <v>1748367.2703294219</v>
      </c>
      <c r="O17" s="647">
        <v>573258.57783803763</v>
      </c>
      <c r="P17" s="647">
        <v>2609679.5033981609</v>
      </c>
      <c r="Q17" s="647">
        <v>584547.24149297224</v>
      </c>
      <c r="R17" s="647">
        <v>6174445.3902550787</v>
      </c>
      <c r="S17" s="15"/>
      <c r="T17" s="894"/>
      <c r="U17" s="894"/>
      <c r="V17" s="894"/>
      <c r="W17" s="894"/>
      <c r="X17" s="894"/>
      <c r="Y17" s="894"/>
      <c r="Z17" s="894"/>
      <c r="AA17" s="894"/>
      <c r="AB17" s="894"/>
      <c r="AC17" s="894"/>
      <c r="AD17" s="894"/>
    </row>
    <row r="18" spans="2:30" x14ac:dyDescent="0.2">
      <c r="B18" s="894" t="s">
        <v>1644</v>
      </c>
      <c r="C18" s="894" t="s">
        <v>1717</v>
      </c>
      <c r="D18" s="894" t="s">
        <v>2118</v>
      </c>
      <c r="E18" s="639">
        <v>2935.0899999999997</v>
      </c>
      <c r="F18" s="639">
        <f t="shared" si="0"/>
        <v>2201.3174999999997</v>
      </c>
      <c r="G18" s="639">
        <f t="shared" si="1"/>
        <v>1467.5449999999998</v>
      </c>
      <c r="H18" s="639">
        <f t="shared" si="2"/>
        <v>733.77249999999992</v>
      </c>
      <c r="I18" s="639">
        <f t="shared" si="3"/>
        <v>293.50899999999996</v>
      </c>
      <c r="J18" s="894"/>
      <c r="K18" s="894"/>
      <c r="L18" s="642" t="s">
        <v>1717</v>
      </c>
      <c r="M18" s="647">
        <v>1467.5449999999998</v>
      </c>
      <c r="N18" s="647">
        <v>40343.432916666672</v>
      </c>
      <c r="O18" s="647">
        <v>19110.5975</v>
      </c>
      <c r="P18" s="647">
        <v>500.6752395400049</v>
      </c>
      <c r="Q18" s="647">
        <v>1807.540105263158</v>
      </c>
      <c r="R18" s="647">
        <v>63229.790761469834</v>
      </c>
      <c r="S18" s="15"/>
      <c r="T18" s="894"/>
      <c r="U18" s="894"/>
      <c r="V18" s="894"/>
      <c r="W18" s="894"/>
      <c r="X18" s="894"/>
      <c r="Y18" s="894"/>
      <c r="Z18" s="894"/>
      <c r="AA18" s="894"/>
      <c r="AB18" s="894"/>
      <c r="AC18" s="894"/>
      <c r="AD18" s="894"/>
    </row>
    <row r="19" spans="2:30" x14ac:dyDescent="0.2">
      <c r="B19" s="894" t="s">
        <v>1644</v>
      </c>
      <c r="C19" s="894" t="s">
        <v>1635</v>
      </c>
      <c r="D19" s="894" t="s">
        <v>2119</v>
      </c>
      <c r="E19" s="639">
        <v>467074.56398411881</v>
      </c>
      <c r="F19" s="639">
        <f t="shared" si="0"/>
        <v>350305.92298808909</v>
      </c>
      <c r="G19" s="639">
        <f t="shared" si="1"/>
        <v>233537.2819920594</v>
      </c>
      <c r="H19" s="639">
        <f t="shared" si="2"/>
        <v>116768.6409960297</v>
      </c>
      <c r="I19" s="639">
        <f t="shared" si="3"/>
        <v>46707.456398411887</v>
      </c>
      <c r="J19" s="894"/>
      <c r="K19" s="894"/>
      <c r="L19" s="894"/>
      <c r="M19" s="894"/>
      <c r="N19" s="894"/>
      <c r="O19" s="894"/>
      <c r="P19" s="894"/>
      <c r="Q19" s="894"/>
      <c r="R19" s="894"/>
      <c r="S19" s="15"/>
      <c r="T19" s="894"/>
      <c r="U19" s="894"/>
      <c r="V19" s="894"/>
      <c r="W19" s="894"/>
      <c r="X19" s="894"/>
      <c r="Y19" s="894"/>
      <c r="Z19" s="894"/>
      <c r="AA19" s="894"/>
      <c r="AB19" s="894"/>
      <c r="AC19" s="894"/>
      <c r="AD19" s="894"/>
    </row>
    <row r="20" spans="2:30" x14ac:dyDescent="0.2">
      <c r="B20" s="894" t="s">
        <v>1644</v>
      </c>
      <c r="C20" s="894" t="s">
        <v>1636</v>
      </c>
      <c r="D20" s="894" t="s">
        <v>2120</v>
      </c>
      <c r="E20" s="639">
        <v>152929.31454387298</v>
      </c>
      <c r="F20" s="639">
        <f t="shared" si="0"/>
        <v>114696.98590790475</v>
      </c>
      <c r="G20" s="639">
        <f t="shared" si="1"/>
        <v>76464.657271936492</v>
      </c>
      <c r="H20" s="639">
        <f t="shared" si="2"/>
        <v>38232.328635968246</v>
      </c>
      <c r="I20" s="639">
        <f t="shared" si="3"/>
        <v>15292.931454387299</v>
      </c>
      <c r="J20" s="894"/>
      <c r="K20" s="894"/>
      <c r="L20" s="641" t="s">
        <v>2103</v>
      </c>
      <c r="M20" s="641" t="s">
        <v>1644</v>
      </c>
      <c r="N20" s="641" t="s">
        <v>1649</v>
      </c>
      <c r="O20" s="641" t="s">
        <v>1650</v>
      </c>
      <c r="P20" s="641" t="s">
        <v>1651</v>
      </c>
      <c r="Q20" s="641" t="s">
        <v>1844</v>
      </c>
      <c r="R20" s="894"/>
      <c r="S20" s="15"/>
      <c r="T20" s="894"/>
      <c r="U20" s="894"/>
      <c r="V20" s="894"/>
      <c r="W20" s="894"/>
      <c r="X20" s="894"/>
      <c r="Y20" s="894"/>
      <c r="Z20" s="894"/>
      <c r="AA20" s="894"/>
      <c r="AB20" s="894"/>
      <c r="AC20" s="894"/>
      <c r="AD20" s="894"/>
    </row>
    <row r="21" spans="2:30" x14ac:dyDescent="0.2">
      <c r="B21" s="894" t="s">
        <v>1644</v>
      </c>
      <c r="C21" s="894" t="s">
        <v>1636</v>
      </c>
      <c r="D21" s="894" t="s">
        <v>2121</v>
      </c>
      <c r="E21" s="639">
        <v>51941.221155844156</v>
      </c>
      <c r="F21" s="639">
        <f t="shared" si="0"/>
        <v>38955.915866883115</v>
      </c>
      <c r="G21" s="639">
        <f t="shared" si="1"/>
        <v>25970.610577922078</v>
      </c>
      <c r="H21" s="639">
        <f t="shared" si="2"/>
        <v>12985.305288961039</v>
      </c>
      <c r="I21" s="639">
        <f t="shared" si="3"/>
        <v>5194.122115584416</v>
      </c>
      <c r="J21" s="894"/>
      <c r="K21" s="894"/>
      <c r="L21" s="642" t="s">
        <v>2122</v>
      </c>
      <c r="M21" s="647">
        <f>M17</f>
        <v>658592.7971964858</v>
      </c>
      <c r="N21" s="647">
        <f>N17</f>
        <v>1748367.2703294219</v>
      </c>
      <c r="O21" s="647">
        <f>O17</f>
        <v>573258.57783803763</v>
      </c>
      <c r="P21" s="647">
        <f>P17</f>
        <v>2609679.5033981609</v>
      </c>
      <c r="Q21" s="647">
        <f>Q17</f>
        <v>584547.24149297224</v>
      </c>
      <c r="R21" s="894"/>
      <c r="S21" s="894"/>
      <c r="T21" s="894"/>
      <c r="U21" s="894"/>
      <c r="V21" s="894"/>
      <c r="W21" s="894"/>
      <c r="X21" s="894"/>
      <c r="Y21" s="894"/>
      <c r="Z21" s="894"/>
      <c r="AA21" s="894"/>
      <c r="AB21" s="894"/>
      <c r="AC21" s="894"/>
      <c r="AD21" s="894"/>
    </row>
    <row r="22" spans="2:30" x14ac:dyDescent="0.2">
      <c r="B22" s="894" t="s">
        <v>1644</v>
      </c>
      <c r="C22" s="894" t="s">
        <v>1636</v>
      </c>
      <c r="D22" s="894" t="s">
        <v>2123</v>
      </c>
      <c r="E22" s="639">
        <v>0</v>
      </c>
      <c r="F22" s="639">
        <f t="shared" si="0"/>
        <v>0</v>
      </c>
      <c r="G22" s="639">
        <f t="shared" si="1"/>
        <v>0</v>
      </c>
      <c r="H22" s="639">
        <f t="shared" si="2"/>
        <v>0</v>
      </c>
      <c r="I22" s="639">
        <f t="shared" si="3"/>
        <v>0</v>
      </c>
      <c r="J22" s="894"/>
      <c r="K22" s="894"/>
      <c r="L22" s="642" t="s">
        <v>2124</v>
      </c>
      <c r="M22" s="647">
        <f>M14+M18+M15+M16</f>
        <v>386487.46765072434</v>
      </c>
      <c r="N22" s="647">
        <f>N14+N18+N15+N16</f>
        <v>850830.44403640786</v>
      </c>
      <c r="O22" s="647">
        <f>O14+O18+O15+O16</f>
        <v>377100.50863845251</v>
      </c>
      <c r="P22" s="647">
        <f>P14+P18+P15+P16</f>
        <v>756682.35396489454</v>
      </c>
      <c r="Q22" s="647">
        <f>Q14+Q18+Q15+Q16</f>
        <v>43819.986355135792</v>
      </c>
      <c r="R22" s="894"/>
      <c r="S22" s="894"/>
      <c r="T22" s="893" t="s">
        <v>2125</v>
      </c>
      <c r="U22" s="894"/>
      <c r="V22" s="894"/>
      <c r="W22" s="894"/>
      <c r="X22" s="894"/>
      <c r="Y22" s="894"/>
      <c r="Z22" s="894"/>
      <c r="AA22" s="894"/>
      <c r="AB22" s="894"/>
      <c r="AC22" s="894"/>
      <c r="AD22" s="894"/>
    </row>
    <row r="23" spans="2:30" x14ac:dyDescent="0.2">
      <c r="B23" s="894" t="s">
        <v>1644</v>
      </c>
      <c r="C23" s="894" t="s">
        <v>1636</v>
      </c>
      <c r="D23" s="894" t="s">
        <v>2126</v>
      </c>
      <c r="E23" s="639">
        <v>0</v>
      </c>
      <c r="F23" s="639">
        <f t="shared" si="0"/>
        <v>0</v>
      </c>
      <c r="G23" s="639">
        <f t="shared" si="1"/>
        <v>0</v>
      </c>
      <c r="H23" s="639">
        <f t="shared" si="2"/>
        <v>0</v>
      </c>
      <c r="I23" s="639">
        <f t="shared" si="3"/>
        <v>0</v>
      </c>
      <c r="J23" s="894"/>
      <c r="K23" s="894"/>
      <c r="L23" s="894"/>
      <c r="M23" s="894"/>
      <c r="N23" s="894"/>
      <c r="O23" s="894"/>
      <c r="P23" s="894"/>
      <c r="Q23" s="894"/>
      <c r="R23" s="894"/>
      <c r="S23" s="894"/>
      <c r="T23" s="920" t="s">
        <v>2127</v>
      </c>
      <c r="U23" s="921"/>
      <c r="V23" s="921"/>
      <c r="W23" s="921"/>
      <c r="X23" s="921"/>
      <c r="Y23" s="921"/>
      <c r="Z23" s="921"/>
      <c r="AA23" s="921"/>
      <c r="AB23" s="921"/>
      <c r="AC23" s="921"/>
      <c r="AD23" s="921"/>
    </row>
    <row r="24" spans="2:30" x14ac:dyDescent="0.2">
      <c r="B24" s="894" t="s">
        <v>1644</v>
      </c>
      <c r="C24" s="894" t="s">
        <v>1636</v>
      </c>
      <c r="D24" s="894" t="s">
        <v>2128</v>
      </c>
      <c r="E24" s="639">
        <v>117686.92100000002</v>
      </c>
      <c r="F24" s="639">
        <f t="shared" si="0"/>
        <v>88265.190750000009</v>
      </c>
      <c r="G24" s="639">
        <f t="shared" si="1"/>
        <v>58843.460500000008</v>
      </c>
      <c r="H24" s="639">
        <f t="shared" si="2"/>
        <v>29421.730250000004</v>
      </c>
      <c r="I24" s="639">
        <f t="shared" si="3"/>
        <v>11768.692100000002</v>
      </c>
      <c r="J24" s="894"/>
      <c r="K24" s="894"/>
      <c r="L24" s="641" t="s">
        <v>2103</v>
      </c>
      <c r="M24" s="641" t="s">
        <v>1644</v>
      </c>
      <c r="N24" s="641" t="s">
        <v>1649</v>
      </c>
      <c r="O24" s="641" t="s">
        <v>1650</v>
      </c>
      <c r="P24" s="641" t="s">
        <v>1651</v>
      </c>
      <c r="Q24" s="641" t="s">
        <v>1844</v>
      </c>
      <c r="R24" s="894"/>
      <c r="S24" s="894"/>
      <c r="T24" s="894"/>
      <c r="U24" s="894"/>
      <c r="V24" s="894"/>
      <c r="W24" s="894"/>
      <c r="X24" s="894"/>
      <c r="Y24" s="894"/>
      <c r="Z24" s="894"/>
      <c r="AA24" s="894"/>
      <c r="AB24" s="894"/>
      <c r="AC24" s="894"/>
      <c r="AD24" s="894"/>
    </row>
    <row r="25" spans="2:30" x14ac:dyDescent="0.2">
      <c r="B25" s="894" t="s">
        <v>1649</v>
      </c>
      <c r="C25" s="598" t="s">
        <v>1635</v>
      </c>
      <c r="D25" s="598" t="s">
        <v>2105</v>
      </c>
      <c r="E25" s="640">
        <v>1681893.1854580806</v>
      </c>
      <c r="F25" s="639">
        <f t="shared" si="0"/>
        <v>1261419.8890935604</v>
      </c>
      <c r="G25" s="639">
        <f t="shared" si="1"/>
        <v>840946.59272904031</v>
      </c>
      <c r="H25" s="639">
        <f t="shared" si="2"/>
        <v>420473.29636452015</v>
      </c>
      <c r="I25" s="639">
        <f t="shared" si="3"/>
        <v>168189.31854580808</v>
      </c>
      <c r="J25" s="894"/>
      <c r="K25" s="894"/>
      <c r="L25" s="642" t="s">
        <v>2122</v>
      </c>
      <c r="M25" s="646">
        <f>M21/(M21+M22)</f>
        <v>0.6301839383530714</v>
      </c>
      <c r="N25" s="646">
        <f>N21/(N21+N22)</f>
        <v>0.67265651268703142</v>
      </c>
      <c r="O25" s="646">
        <f t="shared" ref="O25:Q25" si="4">O21/(O21+O22)</f>
        <v>0.60320208013523191</v>
      </c>
      <c r="P25" s="646">
        <f t="shared" si="4"/>
        <v>0.77522251438601431</v>
      </c>
      <c r="Q25" s="646">
        <f t="shared" si="4"/>
        <v>0.93026373048575317</v>
      </c>
      <c r="R25" s="894"/>
      <c r="S25" s="894"/>
      <c r="T25" s="894"/>
      <c r="U25" s="894"/>
      <c r="V25" s="894"/>
      <c r="W25" s="894"/>
      <c r="X25" s="894"/>
      <c r="Y25" s="894"/>
      <c r="Z25" s="894"/>
      <c r="AA25" s="894"/>
      <c r="AB25" s="894"/>
      <c r="AC25" s="894"/>
      <c r="AD25" s="894"/>
    </row>
    <row r="26" spans="2:30" x14ac:dyDescent="0.2">
      <c r="B26" s="894" t="s">
        <v>1649</v>
      </c>
      <c r="C26" s="598" t="s">
        <v>1717</v>
      </c>
      <c r="D26" s="598" t="s">
        <v>2106</v>
      </c>
      <c r="E26" s="640">
        <v>35.07</v>
      </c>
      <c r="F26" s="639">
        <f t="shared" si="0"/>
        <v>26.302500000000002</v>
      </c>
      <c r="G26" s="639">
        <f t="shared" si="1"/>
        <v>17.535</v>
      </c>
      <c r="H26" s="639">
        <f t="shared" si="2"/>
        <v>8.7675000000000001</v>
      </c>
      <c r="I26" s="639">
        <f t="shared" si="3"/>
        <v>3.5070000000000001</v>
      </c>
      <c r="J26" s="894"/>
      <c r="K26" s="894"/>
      <c r="L26" s="642" t="s">
        <v>2124</v>
      </c>
      <c r="M26" s="646">
        <f>1-M25</f>
        <v>0.3698160616469286</v>
      </c>
      <c r="N26" s="646">
        <f t="shared" ref="N26:P26" si="5">1-N25</f>
        <v>0.32734348731296858</v>
      </c>
      <c r="O26" s="646">
        <f t="shared" si="5"/>
        <v>0.39679791986476809</v>
      </c>
      <c r="P26" s="646">
        <f t="shared" si="5"/>
        <v>0.22477748561398569</v>
      </c>
      <c r="Q26" s="646">
        <f>1-Q25</f>
        <v>6.9736269514246829E-2</v>
      </c>
      <c r="R26" s="894"/>
      <c r="S26" s="894"/>
      <c r="T26" s="894" t="s">
        <v>2129</v>
      </c>
      <c r="U26" s="894"/>
      <c r="V26" s="894"/>
      <c r="W26" s="894"/>
      <c r="X26" s="894"/>
      <c r="Y26" s="894"/>
      <c r="Z26" s="894"/>
      <c r="AA26" s="894"/>
      <c r="AB26" s="894"/>
      <c r="AC26" s="894"/>
      <c r="AD26" s="894"/>
    </row>
    <row r="27" spans="2:30" x14ac:dyDescent="0.2">
      <c r="B27" s="894" t="s">
        <v>1649</v>
      </c>
      <c r="C27" s="598" t="s">
        <v>1636</v>
      </c>
      <c r="D27" s="598" t="s">
        <v>2108</v>
      </c>
      <c r="E27" s="640">
        <v>51774.064166666642</v>
      </c>
      <c r="F27" s="639">
        <f t="shared" si="0"/>
        <v>38830.548124999979</v>
      </c>
      <c r="G27" s="639">
        <f t="shared" si="1"/>
        <v>25887.032083333321</v>
      </c>
      <c r="H27" s="639">
        <f t="shared" si="2"/>
        <v>12943.51604166666</v>
      </c>
      <c r="I27" s="639">
        <f t="shared" si="3"/>
        <v>5177.4064166666649</v>
      </c>
      <c r="J27" s="894"/>
      <c r="K27" s="894"/>
      <c r="L27" s="122" t="s">
        <v>2130</v>
      </c>
      <c r="M27" s="894"/>
      <c r="N27" s="894"/>
      <c r="O27" s="894"/>
      <c r="P27" s="894"/>
      <c r="Q27" s="894"/>
      <c r="R27" s="894"/>
      <c r="S27" s="894"/>
      <c r="T27" s="894" t="s">
        <v>2131</v>
      </c>
      <c r="U27" s="894"/>
      <c r="V27" s="894"/>
      <c r="W27" s="894"/>
      <c r="X27" s="894"/>
      <c r="Y27" s="894"/>
      <c r="Z27" s="894"/>
      <c r="AA27" s="894"/>
      <c r="AB27" s="894"/>
      <c r="AC27" s="894"/>
      <c r="AD27" s="894"/>
    </row>
    <row r="28" spans="2:30" x14ac:dyDescent="0.2">
      <c r="B28" s="894" t="s">
        <v>1649</v>
      </c>
      <c r="C28" s="598" t="s">
        <v>1636</v>
      </c>
      <c r="D28" s="598" t="s">
        <v>2109</v>
      </c>
      <c r="E28" s="640">
        <v>111602.51194465274</v>
      </c>
      <c r="F28" s="639">
        <f t="shared" si="0"/>
        <v>83701.883958489547</v>
      </c>
      <c r="G28" s="639">
        <f t="shared" si="1"/>
        <v>55801.255972326369</v>
      </c>
      <c r="H28" s="639">
        <f t="shared" si="2"/>
        <v>27900.627986163185</v>
      </c>
      <c r="I28" s="639">
        <f t="shared" si="3"/>
        <v>11160.251194465274</v>
      </c>
      <c r="J28" s="894"/>
      <c r="K28" s="894"/>
      <c r="L28" s="894"/>
      <c r="M28" s="894"/>
      <c r="N28" s="894"/>
      <c r="O28" s="894"/>
      <c r="P28" s="894"/>
      <c r="Q28" s="894"/>
      <c r="R28" s="894"/>
      <c r="S28" s="894"/>
      <c r="T28" s="894" t="s">
        <v>2132</v>
      </c>
      <c r="U28" s="894"/>
      <c r="V28" s="894"/>
      <c r="W28" s="894"/>
      <c r="X28" s="894"/>
      <c r="Y28" s="894"/>
      <c r="Z28" s="894"/>
      <c r="AA28" s="894"/>
      <c r="AB28" s="894"/>
      <c r="AC28" s="894"/>
      <c r="AD28" s="894"/>
    </row>
    <row r="29" spans="2:30" x14ac:dyDescent="0.2">
      <c r="B29" s="894" t="s">
        <v>1649</v>
      </c>
      <c r="C29" s="598" t="s">
        <v>1636</v>
      </c>
      <c r="D29" s="598" t="s">
        <v>2111</v>
      </c>
      <c r="E29" s="640">
        <v>33625.304278860029</v>
      </c>
      <c r="F29" s="639">
        <f t="shared" si="0"/>
        <v>25218.978209145022</v>
      </c>
      <c r="G29" s="639">
        <f t="shared" si="1"/>
        <v>16812.652139430014</v>
      </c>
      <c r="H29" s="639">
        <f t="shared" si="2"/>
        <v>8406.3260697150072</v>
      </c>
      <c r="I29" s="639">
        <f t="shared" si="3"/>
        <v>3362.5304278860031</v>
      </c>
      <c r="J29" s="894"/>
      <c r="K29" s="894"/>
      <c r="L29" s="894"/>
      <c r="M29" s="894"/>
      <c r="N29" s="894"/>
      <c r="O29" s="894"/>
      <c r="P29" s="894"/>
      <c r="Q29" s="894"/>
      <c r="R29" s="894"/>
      <c r="S29" s="894"/>
      <c r="T29" s="894"/>
      <c r="U29" s="894"/>
      <c r="V29" s="894"/>
      <c r="W29" s="894"/>
      <c r="X29" s="894"/>
      <c r="Y29" s="894"/>
      <c r="Z29" s="894"/>
      <c r="AA29" s="894"/>
      <c r="AB29" s="894"/>
      <c r="AC29" s="894"/>
      <c r="AD29" s="894"/>
    </row>
    <row r="30" spans="2:30" x14ac:dyDescent="0.2">
      <c r="B30" s="894" t="s">
        <v>1649</v>
      </c>
      <c r="C30" s="598" t="s">
        <v>1636</v>
      </c>
      <c r="D30" s="598" t="s">
        <v>2112</v>
      </c>
      <c r="E30" s="640">
        <v>155625.43434711071</v>
      </c>
      <c r="F30" s="639">
        <f t="shared" si="0"/>
        <v>116719.07576033304</v>
      </c>
      <c r="G30" s="639">
        <f t="shared" si="1"/>
        <v>77812.717173555357</v>
      </c>
      <c r="H30" s="639">
        <f t="shared" si="2"/>
        <v>38906.358586777678</v>
      </c>
      <c r="I30" s="639">
        <f t="shared" si="3"/>
        <v>15562.543434711071</v>
      </c>
      <c r="J30" s="894"/>
      <c r="K30" s="894"/>
      <c r="L30" s="894"/>
      <c r="M30" s="894" t="s">
        <v>2133</v>
      </c>
      <c r="N30" s="894"/>
      <c r="O30" s="894"/>
      <c r="P30" s="894"/>
      <c r="Q30" s="894"/>
      <c r="R30" s="894"/>
      <c r="S30" s="894"/>
      <c r="T30" s="894"/>
      <c r="U30" s="894"/>
      <c r="V30" s="894"/>
      <c r="W30" s="894"/>
      <c r="X30" s="894"/>
      <c r="Y30" s="894"/>
      <c r="Z30" s="894"/>
      <c r="AA30" s="894"/>
      <c r="AB30" s="894"/>
      <c r="AC30" s="894"/>
      <c r="AD30" s="894"/>
    </row>
    <row r="31" spans="2:30" x14ac:dyDescent="0.2">
      <c r="B31" s="894" t="s">
        <v>1649</v>
      </c>
      <c r="C31" s="598" t="s">
        <v>2107</v>
      </c>
      <c r="D31" s="598" t="s">
        <v>2107</v>
      </c>
      <c r="E31" s="640">
        <v>287346.82096103899</v>
      </c>
      <c r="F31" s="639">
        <f t="shared" si="0"/>
        <v>215510.11572077923</v>
      </c>
      <c r="G31" s="639">
        <f t="shared" si="1"/>
        <v>143673.41048051949</v>
      </c>
      <c r="H31" s="639">
        <f t="shared" si="2"/>
        <v>71836.705240259747</v>
      </c>
      <c r="I31" s="639">
        <f t="shared" si="3"/>
        <v>28734.682096103901</v>
      </c>
      <c r="J31" s="894"/>
      <c r="K31" s="894"/>
      <c r="L31" s="894"/>
      <c r="M31" s="599" t="s">
        <v>1649</v>
      </c>
      <c r="N31" s="599" t="s">
        <v>1644</v>
      </c>
      <c r="O31" s="599" t="s">
        <v>1650</v>
      </c>
      <c r="P31" s="599" t="s">
        <v>1675</v>
      </c>
      <c r="Q31" s="599" t="s">
        <v>1651</v>
      </c>
      <c r="R31" s="599" t="s">
        <v>1832</v>
      </c>
      <c r="S31" s="894"/>
      <c r="T31" s="894"/>
      <c r="U31" s="894"/>
      <c r="V31" s="894"/>
      <c r="W31" s="894"/>
      <c r="X31" s="894"/>
      <c r="Y31" s="894"/>
      <c r="Z31" s="894"/>
      <c r="AA31" s="894"/>
      <c r="AB31" s="894"/>
      <c r="AC31" s="894"/>
      <c r="AD31" s="894"/>
    </row>
    <row r="32" spans="2:30" x14ac:dyDescent="0.2">
      <c r="B32" s="894" t="s">
        <v>1649</v>
      </c>
      <c r="C32" s="598" t="s">
        <v>1636</v>
      </c>
      <c r="D32" s="598" t="s">
        <v>2113</v>
      </c>
      <c r="E32" s="640">
        <v>47130.734421384201</v>
      </c>
      <c r="F32" s="639">
        <f t="shared" si="0"/>
        <v>35348.050816038151</v>
      </c>
      <c r="G32" s="639">
        <f t="shared" si="1"/>
        <v>23565.3672106921</v>
      </c>
      <c r="H32" s="639">
        <f t="shared" si="2"/>
        <v>11782.68360534605</v>
      </c>
      <c r="I32" s="639">
        <f t="shared" si="3"/>
        <v>4713.0734421384204</v>
      </c>
      <c r="J32" s="894"/>
      <c r="K32" s="894"/>
      <c r="L32" s="894"/>
      <c r="M32" s="599">
        <v>0.97</v>
      </c>
      <c r="N32" s="599">
        <v>0.54</v>
      </c>
      <c r="O32" s="599">
        <v>0.18</v>
      </c>
      <c r="P32" s="599">
        <v>0.17</v>
      </c>
      <c r="Q32" s="599">
        <v>1.52</v>
      </c>
      <c r="R32" s="599">
        <f>SUM(M32:Q32)</f>
        <v>3.38</v>
      </c>
      <c r="S32" s="894"/>
      <c r="T32" s="894"/>
      <c r="U32" s="894"/>
      <c r="V32" s="894"/>
      <c r="W32" s="894"/>
      <c r="X32" s="894"/>
      <c r="Y32" s="894"/>
      <c r="Z32" s="894"/>
      <c r="AA32" s="894"/>
      <c r="AB32" s="894"/>
      <c r="AC32" s="894"/>
      <c r="AD32" s="894"/>
    </row>
    <row r="33" spans="2:18" x14ac:dyDescent="0.2">
      <c r="B33" s="894" t="s">
        <v>1649</v>
      </c>
      <c r="C33" s="598" t="s">
        <v>1637</v>
      </c>
      <c r="D33" s="598" t="s">
        <v>1637</v>
      </c>
      <c r="E33" s="640">
        <v>168218.0265800865</v>
      </c>
      <c r="F33" s="639">
        <f t="shared" si="0"/>
        <v>126163.51993506488</v>
      </c>
      <c r="G33" s="639">
        <f t="shared" si="1"/>
        <v>84109.013290043251</v>
      </c>
      <c r="H33" s="639">
        <f t="shared" si="2"/>
        <v>42054.506645021625</v>
      </c>
      <c r="I33" s="639">
        <f t="shared" si="3"/>
        <v>16821.802658008652</v>
      </c>
      <c r="J33" s="894"/>
      <c r="K33" s="894"/>
      <c r="L33" s="894" t="s">
        <v>2122</v>
      </c>
      <c r="M33" s="600">
        <f>M32*N25</f>
        <v>0.65247681730642049</v>
      </c>
      <c r="N33" s="600">
        <f>N32*M25</f>
        <v>0.3402993267106586</v>
      </c>
      <c r="O33" s="600">
        <f>O32*O25</f>
        <v>0.10857637442434175</v>
      </c>
      <c r="P33" s="600">
        <f>P32*Q25</f>
        <v>0.15814483418257805</v>
      </c>
      <c r="Q33" s="600">
        <f>Q32*P25</f>
        <v>1.1783382218667418</v>
      </c>
      <c r="R33" s="600">
        <f>SUM(M33:Q33)</f>
        <v>2.4378355744907405</v>
      </c>
    </row>
    <row r="34" spans="2:18" x14ac:dyDescent="0.2">
      <c r="B34" s="894" t="s">
        <v>1649</v>
      </c>
      <c r="C34" s="598" t="s">
        <v>1635</v>
      </c>
      <c r="D34" s="598" t="s">
        <v>2114</v>
      </c>
      <c r="E34" s="640">
        <v>414618.08359172504</v>
      </c>
      <c r="F34" s="639">
        <f t="shared" si="0"/>
        <v>310963.56269379379</v>
      </c>
      <c r="G34" s="639">
        <f t="shared" si="1"/>
        <v>207309.04179586252</v>
      </c>
      <c r="H34" s="639">
        <f t="shared" si="2"/>
        <v>103654.52089793126</v>
      </c>
      <c r="I34" s="639">
        <f t="shared" si="3"/>
        <v>41461.808359172508</v>
      </c>
      <c r="J34" s="894"/>
      <c r="K34" s="894"/>
      <c r="L34" s="894" t="s">
        <v>2124</v>
      </c>
      <c r="M34" s="600">
        <f>M32*N26</f>
        <v>0.31752318269357954</v>
      </c>
      <c r="N34" s="600">
        <f>N32*M26</f>
        <v>0.19970067328934146</v>
      </c>
      <c r="O34" s="600">
        <f>O32*O26</f>
        <v>7.1423625575658248E-2</v>
      </c>
      <c r="P34" s="600">
        <f>P32*Q26</f>
        <v>1.1855165817421963E-2</v>
      </c>
      <c r="Q34" s="600">
        <f>Q32*P26</f>
        <v>0.34166177813325826</v>
      </c>
      <c r="R34" s="600">
        <f>SUM(M34:Q34)</f>
        <v>0.9421644255092595</v>
      </c>
    </row>
    <row r="35" spans="2:18" x14ac:dyDescent="0.2">
      <c r="B35" s="894" t="s">
        <v>1649</v>
      </c>
      <c r="C35" s="598" t="s">
        <v>1636</v>
      </c>
      <c r="D35" s="598" t="s">
        <v>2115</v>
      </c>
      <c r="E35" s="640">
        <v>85942.197560051209</v>
      </c>
      <c r="F35" s="639">
        <f t="shared" si="0"/>
        <v>64456.648170038403</v>
      </c>
      <c r="G35" s="639">
        <f t="shared" si="1"/>
        <v>42971.098780025604</v>
      </c>
      <c r="H35" s="639">
        <f t="shared" si="2"/>
        <v>21485.549390012802</v>
      </c>
      <c r="I35" s="639">
        <f t="shared" si="3"/>
        <v>8594.2197560051209</v>
      </c>
      <c r="J35" s="894"/>
      <c r="K35" s="894"/>
      <c r="L35" s="894"/>
      <c r="M35" s="599"/>
      <c r="N35" s="599"/>
      <c r="O35" s="599"/>
      <c r="P35" s="599"/>
      <c r="Q35" s="599"/>
      <c r="R35" s="599"/>
    </row>
    <row r="36" spans="2:18" x14ac:dyDescent="0.2">
      <c r="B36" s="894" t="s">
        <v>1649</v>
      </c>
      <c r="C36" s="598" t="s">
        <v>2110</v>
      </c>
      <c r="D36" s="598" t="s">
        <v>1723</v>
      </c>
      <c r="E36" s="640">
        <v>7209.654166666669</v>
      </c>
      <c r="F36" s="639">
        <f t="shared" si="0"/>
        <v>5407.2406250000022</v>
      </c>
      <c r="G36" s="639">
        <f t="shared" si="1"/>
        <v>3604.8270833333345</v>
      </c>
      <c r="H36" s="639">
        <f t="shared" si="2"/>
        <v>1802.4135416666672</v>
      </c>
      <c r="I36" s="639">
        <f t="shared" si="3"/>
        <v>720.9654166666669</v>
      </c>
      <c r="J36" s="894"/>
      <c r="K36" s="894"/>
      <c r="L36" s="894"/>
      <c r="M36" s="894" t="s">
        <v>2134</v>
      </c>
      <c r="N36" s="599"/>
      <c r="O36" s="599"/>
      <c r="P36" s="599"/>
      <c r="Q36" s="599"/>
      <c r="R36" s="599"/>
    </row>
    <row r="37" spans="2:18" x14ac:dyDescent="0.2">
      <c r="B37" s="894" t="s">
        <v>1649</v>
      </c>
      <c r="C37" s="598" t="s">
        <v>2110</v>
      </c>
      <c r="D37" s="598" t="s">
        <v>2116</v>
      </c>
      <c r="E37" s="640">
        <v>0</v>
      </c>
      <c r="F37" s="639">
        <f t="shared" si="0"/>
        <v>0</v>
      </c>
      <c r="G37" s="639">
        <f t="shared" si="1"/>
        <v>0</v>
      </c>
      <c r="H37" s="639">
        <f t="shared" si="2"/>
        <v>0</v>
      </c>
      <c r="I37" s="639">
        <f t="shared" si="3"/>
        <v>0</v>
      </c>
      <c r="J37" s="894"/>
      <c r="K37" s="894"/>
      <c r="L37" s="894"/>
      <c r="M37" s="599" t="s">
        <v>1649</v>
      </c>
      <c r="N37" s="599" t="s">
        <v>1644</v>
      </c>
      <c r="O37" s="599" t="s">
        <v>1650</v>
      </c>
      <c r="P37" s="599" t="s">
        <v>1675</v>
      </c>
      <c r="Q37" s="599" t="s">
        <v>1651</v>
      </c>
      <c r="R37" s="599" t="s">
        <v>1832</v>
      </c>
    </row>
    <row r="38" spans="2:18" x14ac:dyDescent="0.2">
      <c r="B38" s="894" t="s">
        <v>1649</v>
      </c>
      <c r="C38" s="598" t="s">
        <v>1636</v>
      </c>
      <c r="D38" s="598" t="s">
        <v>2117</v>
      </c>
      <c r="E38" s="640">
        <v>59252.812333333386</v>
      </c>
      <c r="F38" s="639">
        <f t="shared" si="0"/>
        <v>44439.609250000038</v>
      </c>
      <c r="G38" s="639">
        <f t="shared" si="1"/>
        <v>29626.406166666693</v>
      </c>
      <c r="H38" s="639">
        <f t="shared" si="2"/>
        <v>14813.203083333347</v>
      </c>
      <c r="I38" s="639">
        <f t="shared" si="3"/>
        <v>5925.2812333333386</v>
      </c>
      <c r="J38" s="894"/>
      <c r="K38" s="894"/>
      <c r="L38" s="894"/>
      <c r="M38" s="599">
        <v>14.74</v>
      </c>
      <c r="N38" s="599">
        <v>10.57</v>
      </c>
      <c r="O38" s="599">
        <v>1.4</v>
      </c>
      <c r="P38" s="599">
        <v>31.23</v>
      </c>
      <c r="Q38" s="599">
        <v>20.5</v>
      </c>
      <c r="R38" s="599">
        <f>SUM(M38:Q38)</f>
        <v>78.44</v>
      </c>
    </row>
    <row r="39" spans="2:18" x14ac:dyDescent="0.2">
      <c r="B39" s="894" t="s">
        <v>1649</v>
      </c>
      <c r="C39" s="598" t="s">
        <v>1717</v>
      </c>
      <c r="D39" s="598" t="s">
        <v>2118</v>
      </c>
      <c r="E39" s="640">
        <v>80651.795833333337</v>
      </c>
      <c r="F39" s="639">
        <f t="shared" si="0"/>
        <v>60488.846875000003</v>
      </c>
      <c r="G39" s="639">
        <f t="shared" si="1"/>
        <v>40325.897916666669</v>
      </c>
      <c r="H39" s="639">
        <f t="shared" si="2"/>
        <v>20162.948958333334</v>
      </c>
      <c r="I39" s="639">
        <f t="shared" si="3"/>
        <v>8065.1795833333344</v>
      </c>
      <c r="J39" s="894"/>
      <c r="K39" s="894"/>
      <c r="L39" s="894" t="s">
        <v>2122</v>
      </c>
      <c r="M39" s="600">
        <f>M38*N25</f>
        <v>9.9149569970068434</v>
      </c>
      <c r="N39" s="600">
        <f>N38*M25</f>
        <v>6.6610442283919653</v>
      </c>
      <c r="O39" s="600">
        <f>O38*O25</f>
        <v>0.84448291218932459</v>
      </c>
      <c r="P39" s="600">
        <f>P38*Q25</f>
        <v>29.052136303070071</v>
      </c>
      <c r="Q39" s="600">
        <f>Q38*P25</f>
        <v>15.892061544913293</v>
      </c>
      <c r="R39" s="600">
        <f t="shared" ref="R39:R40" si="6">SUM(M39:Q39)</f>
        <v>62.364681985571494</v>
      </c>
    </row>
    <row r="40" spans="2:18" x14ac:dyDescent="0.2">
      <c r="B40" s="894" t="s">
        <v>1649</v>
      </c>
      <c r="C40" s="598" t="s">
        <v>1635</v>
      </c>
      <c r="D40" s="598" t="s">
        <v>2119</v>
      </c>
      <c r="E40" s="640">
        <v>1400223.2716090381</v>
      </c>
      <c r="F40" s="639">
        <f t="shared" si="0"/>
        <v>1050167.4537067786</v>
      </c>
      <c r="G40" s="639">
        <f t="shared" si="1"/>
        <v>700111.63580451906</v>
      </c>
      <c r="H40" s="639">
        <f t="shared" si="2"/>
        <v>350055.81790225953</v>
      </c>
      <c r="I40" s="639">
        <f t="shared" si="3"/>
        <v>140022.32716090381</v>
      </c>
      <c r="J40" s="894"/>
      <c r="K40" s="894"/>
      <c r="L40" s="894" t="s">
        <v>2124</v>
      </c>
      <c r="M40" s="600">
        <f>M38*N26</f>
        <v>4.8250430029931568</v>
      </c>
      <c r="N40" s="600">
        <f>N38*M26</f>
        <v>3.9089557716080354</v>
      </c>
      <c r="O40" s="600">
        <f>O38*O26</f>
        <v>0.55551708781067533</v>
      </c>
      <c r="P40" s="600">
        <f>P38*Q26</f>
        <v>2.1778636969299283</v>
      </c>
      <c r="Q40" s="600">
        <f>Q38*P26</f>
        <v>4.6079384550867069</v>
      </c>
      <c r="R40" s="600">
        <f t="shared" si="6"/>
        <v>16.075318014428504</v>
      </c>
    </row>
    <row r="41" spans="2:18" x14ac:dyDescent="0.2">
      <c r="B41" s="894" t="s">
        <v>1649</v>
      </c>
      <c r="C41" s="598" t="s">
        <v>1636</v>
      </c>
      <c r="D41" s="598" t="s">
        <v>2120</v>
      </c>
      <c r="E41" s="640">
        <v>274395.13417376974</v>
      </c>
      <c r="F41" s="639">
        <f t="shared" si="0"/>
        <v>205796.3506303273</v>
      </c>
      <c r="G41" s="639">
        <f t="shared" si="1"/>
        <v>137197.56708688487</v>
      </c>
      <c r="H41" s="639">
        <f t="shared" si="2"/>
        <v>68598.783543442434</v>
      </c>
      <c r="I41" s="639">
        <f t="shared" si="3"/>
        <v>27439.513417376977</v>
      </c>
      <c r="J41" s="894"/>
      <c r="K41" s="894"/>
      <c r="L41" s="894"/>
      <c r="M41" s="599"/>
      <c r="N41" s="599"/>
      <c r="O41" s="599"/>
      <c r="P41" s="599"/>
      <c r="Q41" s="599"/>
      <c r="R41" s="599"/>
    </row>
    <row r="42" spans="2:18" x14ac:dyDescent="0.2">
      <c r="B42" s="894" t="s">
        <v>1649</v>
      </c>
      <c r="C42" s="598" t="s">
        <v>1636</v>
      </c>
      <c r="D42" s="598" t="s">
        <v>2121</v>
      </c>
      <c r="E42" s="640">
        <v>33974.147377289337</v>
      </c>
      <c r="F42" s="639">
        <f t="shared" si="0"/>
        <v>25480.610532967003</v>
      </c>
      <c r="G42" s="639">
        <f t="shared" si="1"/>
        <v>16987.073688644668</v>
      </c>
      <c r="H42" s="639">
        <f t="shared" si="2"/>
        <v>8493.5368443223342</v>
      </c>
      <c r="I42" s="639">
        <f t="shared" si="3"/>
        <v>3397.4147377289337</v>
      </c>
      <c r="J42" s="894"/>
      <c r="K42" s="894"/>
      <c r="L42" s="894"/>
      <c r="M42" s="894" t="s">
        <v>2135</v>
      </c>
      <c r="N42" s="599"/>
      <c r="O42" s="599"/>
      <c r="P42" s="599"/>
      <c r="Q42" s="599"/>
      <c r="R42" s="599"/>
    </row>
    <row r="43" spans="2:18" x14ac:dyDescent="0.2">
      <c r="B43" s="894" t="s">
        <v>1649</v>
      </c>
      <c r="C43" s="598" t="s">
        <v>1636</v>
      </c>
      <c r="D43" s="598" t="s">
        <v>2123</v>
      </c>
      <c r="E43" s="640">
        <v>0</v>
      </c>
      <c r="F43" s="639">
        <f t="shared" si="0"/>
        <v>0</v>
      </c>
      <c r="G43" s="639">
        <f t="shared" si="1"/>
        <v>0</v>
      </c>
      <c r="H43" s="639">
        <f t="shared" si="2"/>
        <v>0</v>
      </c>
      <c r="I43" s="639">
        <f t="shared" si="3"/>
        <v>0</v>
      </c>
      <c r="J43" s="894"/>
      <c r="K43" s="894"/>
      <c r="L43" s="894"/>
      <c r="M43" s="599" t="s">
        <v>1649</v>
      </c>
      <c r="N43" s="599" t="s">
        <v>1644</v>
      </c>
      <c r="O43" s="599" t="s">
        <v>1650</v>
      </c>
      <c r="P43" s="599" t="s">
        <v>1675</v>
      </c>
      <c r="Q43" s="599" t="s">
        <v>1651</v>
      </c>
      <c r="R43" s="599" t="s">
        <v>1832</v>
      </c>
    </row>
    <row r="44" spans="2:18" x14ac:dyDescent="0.2">
      <c r="B44" s="894" t="s">
        <v>1649</v>
      </c>
      <c r="C44" s="598" t="s">
        <v>1636</v>
      </c>
      <c r="D44" s="598" t="s">
        <v>2126</v>
      </c>
      <c r="E44" s="640">
        <v>3629.09</v>
      </c>
      <c r="F44" s="639">
        <f t="shared" si="0"/>
        <v>2721.8175000000001</v>
      </c>
      <c r="G44" s="639">
        <f t="shared" si="1"/>
        <v>1814.5450000000001</v>
      </c>
      <c r="H44" s="639">
        <f t="shared" si="2"/>
        <v>907.27250000000004</v>
      </c>
      <c r="I44" s="639">
        <f t="shared" si="3"/>
        <v>362.90900000000005</v>
      </c>
      <c r="J44" s="894"/>
      <c r="K44" s="894"/>
      <c r="L44" s="894"/>
      <c r="M44" s="599">
        <f>22.24*(891+1837)/1837</f>
        <v>33.02706586826347</v>
      </c>
      <c r="N44" s="599">
        <f>14.3*(306+783)/783</f>
        <v>19.888505747126437</v>
      </c>
      <c r="O44" s="599">
        <f>1.59*(87+126)/126</f>
        <v>2.6878571428571432</v>
      </c>
      <c r="P44" s="599">
        <f>47.1*(941+5208)/5208</f>
        <v>55.610195852534567</v>
      </c>
      <c r="Q44" s="599">
        <f>38.97*(1860+4463)/4463</f>
        <v>55.21113824781537</v>
      </c>
      <c r="R44" s="599">
        <f>SUM(M44:Q44)</f>
        <v>166.42476285859698</v>
      </c>
    </row>
    <row r="45" spans="2:18" x14ac:dyDescent="0.2">
      <c r="B45" s="894" t="s">
        <v>1649</v>
      </c>
      <c r="C45" s="598" t="s">
        <v>1636</v>
      </c>
      <c r="D45" s="598" t="s">
        <v>2128</v>
      </c>
      <c r="E45" s="640">
        <v>308457.74409523874</v>
      </c>
      <c r="F45" s="639">
        <f t="shared" si="0"/>
        <v>231343.30807142906</v>
      </c>
      <c r="G45" s="639">
        <f t="shared" si="1"/>
        <v>154228.87204761937</v>
      </c>
      <c r="H45" s="639">
        <f t="shared" si="2"/>
        <v>77114.436023809685</v>
      </c>
      <c r="I45" s="639">
        <f t="shared" si="3"/>
        <v>30845.774409523874</v>
      </c>
      <c r="J45" s="894"/>
      <c r="K45" s="894"/>
      <c r="L45" s="894" t="s">
        <v>2122</v>
      </c>
      <c r="M45" s="600">
        <f>M44*N25</f>
        <v>22.21587095123099</v>
      </c>
      <c r="N45" s="600">
        <f>N44*M25</f>
        <v>12.533416879681834</v>
      </c>
      <c r="O45" s="600">
        <f>O44*O25</f>
        <v>1.6213210196777699</v>
      </c>
      <c r="P45" s="600">
        <f>P44*Q25</f>
        <v>51.732148246822163</v>
      </c>
      <c r="Q45" s="600">
        <f>Q44*P25</f>
        <v>42.800917414585278</v>
      </c>
      <c r="R45" s="600">
        <f t="shared" ref="R45:R46" si="7">SUM(M45:Q45)</f>
        <v>130.90367451199805</v>
      </c>
    </row>
    <row r="46" spans="2:18" x14ac:dyDescent="0.2">
      <c r="B46" s="894" t="s">
        <v>1650</v>
      </c>
      <c r="C46" s="894" t="s">
        <v>1635</v>
      </c>
      <c r="D46" s="894" t="s">
        <v>2105</v>
      </c>
      <c r="E46" s="639">
        <v>83712.548231412933</v>
      </c>
      <c r="F46" s="639">
        <f t="shared" si="0"/>
        <v>62784.411173559696</v>
      </c>
      <c r="G46" s="639">
        <f t="shared" si="1"/>
        <v>41856.274115706467</v>
      </c>
      <c r="H46" s="639">
        <f t="shared" si="2"/>
        <v>20928.137057853233</v>
      </c>
      <c r="I46" s="639">
        <f t="shared" si="3"/>
        <v>8371.2548231412929</v>
      </c>
      <c r="J46" s="894"/>
      <c r="K46" s="894"/>
      <c r="L46" s="894" t="s">
        <v>2124</v>
      </c>
      <c r="M46" s="600">
        <f>M44*N26</f>
        <v>10.811194917032481</v>
      </c>
      <c r="N46" s="600">
        <f>N44*M26</f>
        <v>7.3550888674446044</v>
      </c>
      <c r="O46" s="600">
        <f>O44*O26</f>
        <v>1.0665361231793733</v>
      </c>
      <c r="P46" s="600">
        <f>P44*Q26</f>
        <v>3.8780476057124016</v>
      </c>
      <c r="Q46" s="600">
        <f>Q44*P26</f>
        <v>12.410220833230095</v>
      </c>
      <c r="R46" s="600">
        <f t="shared" si="7"/>
        <v>35.521088346598958</v>
      </c>
    </row>
    <row r="47" spans="2:18" x14ac:dyDescent="0.2">
      <c r="B47" s="894" t="s">
        <v>1650</v>
      </c>
      <c r="C47" s="894" t="s">
        <v>1717</v>
      </c>
      <c r="D47" s="894" t="s">
        <v>2106</v>
      </c>
      <c r="E47" s="639">
        <v>742.375</v>
      </c>
      <c r="F47" s="639">
        <f t="shared" si="0"/>
        <v>556.78125</v>
      </c>
      <c r="G47" s="639">
        <f t="shared" si="1"/>
        <v>371.1875</v>
      </c>
      <c r="H47" s="639">
        <f t="shared" si="2"/>
        <v>185.59375</v>
      </c>
      <c r="I47" s="639">
        <f t="shared" si="3"/>
        <v>74.237499999999997</v>
      </c>
      <c r="J47" s="894"/>
      <c r="K47" s="894"/>
      <c r="L47" s="894"/>
      <c r="M47" s="599"/>
      <c r="N47" s="599"/>
      <c r="O47" s="599"/>
      <c r="P47" s="599"/>
      <c r="Q47" s="599"/>
      <c r="R47" s="599"/>
    </row>
    <row r="48" spans="2:18" x14ac:dyDescent="0.2">
      <c r="B48" s="894" t="s">
        <v>1650</v>
      </c>
      <c r="C48" s="894" t="s">
        <v>1636</v>
      </c>
      <c r="D48" s="894" t="s">
        <v>2108</v>
      </c>
      <c r="E48" s="639">
        <v>24407.755269841244</v>
      </c>
      <c r="F48" s="639">
        <f t="shared" si="0"/>
        <v>18305.816452380932</v>
      </c>
      <c r="G48" s="639">
        <f t="shared" si="1"/>
        <v>12203.877634920622</v>
      </c>
      <c r="H48" s="639">
        <f t="shared" si="2"/>
        <v>6101.9388174603109</v>
      </c>
      <c r="I48" s="639">
        <f t="shared" si="3"/>
        <v>2440.7755269841246</v>
      </c>
      <c r="J48" s="894"/>
      <c r="K48" s="894"/>
      <c r="L48" s="894"/>
      <c r="M48" s="599"/>
      <c r="N48" s="599"/>
      <c r="O48" s="599"/>
      <c r="P48" s="599"/>
      <c r="Q48" s="599"/>
      <c r="R48" s="599"/>
    </row>
    <row r="49" spans="2:30" x14ac:dyDescent="0.2">
      <c r="B49" s="894" t="s">
        <v>1650</v>
      </c>
      <c r="C49" s="894" t="s">
        <v>1636</v>
      </c>
      <c r="D49" s="894" t="s">
        <v>2109</v>
      </c>
      <c r="E49" s="639">
        <v>55244.09661806401</v>
      </c>
      <c r="F49" s="639">
        <f t="shared" si="0"/>
        <v>41433.072463548007</v>
      </c>
      <c r="G49" s="639">
        <f t="shared" si="1"/>
        <v>27622.048309032005</v>
      </c>
      <c r="H49" s="639">
        <f t="shared" si="2"/>
        <v>13811.024154516002</v>
      </c>
      <c r="I49" s="639">
        <f t="shared" si="3"/>
        <v>5524.4096618064013</v>
      </c>
      <c r="J49" s="894"/>
      <c r="K49" s="894"/>
      <c r="L49" s="894"/>
      <c r="M49" s="894" t="s">
        <v>2136</v>
      </c>
      <c r="N49" s="599"/>
      <c r="O49" s="599"/>
      <c r="P49" s="599"/>
      <c r="Q49" s="599"/>
      <c r="R49" s="599"/>
      <c r="S49" s="894"/>
      <c r="T49" s="894"/>
      <c r="U49" s="894"/>
      <c r="V49" s="894"/>
      <c r="W49" s="894"/>
      <c r="X49" s="894"/>
      <c r="Y49" s="894"/>
      <c r="Z49" s="894"/>
      <c r="AA49" s="894"/>
      <c r="AB49" s="894"/>
      <c r="AC49" s="894"/>
      <c r="AD49" s="894"/>
    </row>
    <row r="50" spans="2:30" x14ac:dyDescent="0.2">
      <c r="B50" s="894" t="s">
        <v>1650</v>
      </c>
      <c r="C50" s="894" t="s">
        <v>1636</v>
      </c>
      <c r="D50" s="894" t="s">
        <v>2111</v>
      </c>
      <c r="E50" s="639">
        <v>40963.149280698148</v>
      </c>
      <c r="F50" s="639">
        <f t="shared" si="0"/>
        <v>30722.361960523609</v>
      </c>
      <c r="G50" s="639">
        <f t="shared" si="1"/>
        <v>20481.574640349074</v>
      </c>
      <c r="H50" s="639">
        <f t="shared" si="2"/>
        <v>10240.787320174537</v>
      </c>
      <c r="I50" s="639">
        <f t="shared" si="3"/>
        <v>4096.3149280698153</v>
      </c>
      <c r="J50" s="894"/>
      <c r="K50" s="894"/>
      <c r="L50" s="894"/>
      <c r="M50" s="599" t="s">
        <v>1649</v>
      </c>
      <c r="N50" s="599" t="s">
        <v>1644</v>
      </c>
      <c r="O50" s="599" t="s">
        <v>1650</v>
      </c>
      <c r="P50" s="599" t="s">
        <v>1675</v>
      </c>
      <c r="Q50" s="599" t="s">
        <v>1651</v>
      </c>
      <c r="R50" s="599" t="s">
        <v>1832</v>
      </c>
      <c r="S50" s="894"/>
      <c r="T50" s="894"/>
      <c r="U50" s="894"/>
      <c r="V50" s="894"/>
      <c r="W50" s="894"/>
      <c r="X50" s="894"/>
      <c r="Y50" s="894"/>
      <c r="Z50" s="894"/>
      <c r="AA50" s="894"/>
      <c r="AB50" s="894"/>
      <c r="AC50" s="894"/>
      <c r="AD50" s="894"/>
    </row>
    <row r="51" spans="2:30" x14ac:dyDescent="0.2">
      <c r="B51" s="894" t="s">
        <v>1650</v>
      </c>
      <c r="C51" s="894" t="s">
        <v>1636</v>
      </c>
      <c r="D51" s="894" t="s">
        <v>2112</v>
      </c>
      <c r="E51" s="639">
        <v>65418.312664141427</v>
      </c>
      <c r="F51" s="639">
        <f t="shared" si="0"/>
        <v>49063.734498106074</v>
      </c>
      <c r="G51" s="639">
        <f t="shared" si="1"/>
        <v>32709.156332070714</v>
      </c>
      <c r="H51" s="639">
        <f t="shared" si="2"/>
        <v>16354.578166035357</v>
      </c>
      <c r="I51" s="639">
        <f t="shared" si="3"/>
        <v>6541.8312664141431</v>
      </c>
      <c r="J51" s="894"/>
      <c r="K51" s="894"/>
      <c r="L51" s="894"/>
      <c r="M51" s="602">
        <f>M32/1000</f>
        <v>9.6999999999999994E-4</v>
      </c>
      <c r="N51" s="602">
        <f>N32/1000</f>
        <v>5.4000000000000001E-4</v>
      </c>
      <c r="O51" s="602">
        <f>O32/1000</f>
        <v>1.7999999999999998E-4</v>
      </c>
      <c r="P51" s="602">
        <f>P32/1000</f>
        <v>1.7000000000000001E-4</v>
      </c>
      <c r="Q51" s="602">
        <f t="shared" ref="Q51:R51" si="8">Q32/1000</f>
        <v>1.5200000000000001E-3</v>
      </c>
      <c r="R51" s="602">
        <f t="shared" si="8"/>
        <v>3.3799999999999998E-3</v>
      </c>
      <c r="S51" s="894"/>
      <c r="T51" s="894"/>
      <c r="U51" s="894"/>
      <c r="V51" s="894"/>
      <c r="W51" s="894"/>
      <c r="X51" s="894"/>
      <c r="Y51" s="894"/>
      <c r="Z51" s="894"/>
      <c r="AA51" s="894"/>
      <c r="AB51" s="894"/>
      <c r="AC51" s="894"/>
      <c r="AD51" s="894"/>
    </row>
    <row r="52" spans="2:30" x14ac:dyDescent="0.2">
      <c r="B52" s="894" t="s">
        <v>1650</v>
      </c>
      <c r="C52" s="894" t="s">
        <v>2107</v>
      </c>
      <c r="D52" s="894" t="s">
        <v>2107</v>
      </c>
      <c r="E52" s="639">
        <v>58717.920749205136</v>
      </c>
      <c r="F52" s="639">
        <f t="shared" si="0"/>
        <v>44038.440561903852</v>
      </c>
      <c r="G52" s="639">
        <f t="shared" si="1"/>
        <v>29358.960374602568</v>
      </c>
      <c r="H52" s="639">
        <f t="shared" si="2"/>
        <v>14679.480187301284</v>
      </c>
      <c r="I52" s="639">
        <f t="shared" si="3"/>
        <v>5871.7920749205141</v>
      </c>
      <c r="J52" s="894"/>
      <c r="K52" s="894"/>
      <c r="L52" s="894" t="s">
        <v>2122</v>
      </c>
      <c r="M52" s="603">
        <f>M33/1000</f>
        <v>6.5247681730642049E-4</v>
      </c>
      <c r="N52" s="603">
        <f t="shared" ref="N52:R53" si="9">N33/1000</f>
        <v>3.402993267106586E-4</v>
      </c>
      <c r="O52" s="603">
        <f t="shared" si="9"/>
        <v>1.0857637442434175E-4</v>
      </c>
      <c r="P52" s="603">
        <f t="shared" si="9"/>
        <v>1.5814483418257806E-4</v>
      </c>
      <c r="Q52" s="603">
        <f t="shared" si="9"/>
        <v>1.1783382218667417E-3</v>
      </c>
      <c r="R52" s="603">
        <f t="shared" si="9"/>
        <v>2.4378355744907403E-3</v>
      </c>
      <c r="S52" s="894">
        <f>SUM(M52:R52)</f>
        <v>4.8756711489814815E-3</v>
      </c>
      <c r="T52" s="894"/>
      <c r="U52" s="894"/>
      <c r="V52" s="894"/>
      <c r="W52" s="894"/>
      <c r="X52" s="894"/>
      <c r="Y52" s="894"/>
      <c r="Z52" s="894"/>
      <c r="AA52" s="894"/>
      <c r="AB52" s="894"/>
      <c r="AC52" s="894"/>
      <c r="AD52" s="894"/>
    </row>
    <row r="53" spans="2:30" x14ac:dyDescent="0.2">
      <c r="B53" s="894" t="s">
        <v>1650</v>
      </c>
      <c r="C53" s="894" t="s">
        <v>1636</v>
      </c>
      <c r="D53" s="894" t="s">
        <v>2113</v>
      </c>
      <c r="E53" s="639">
        <v>43393.473510795484</v>
      </c>
      <c r="F53" s="639">
        <f t="shared" si="0"/>
        <v>32545.105133096615</v>
      </c>
      <c r="G53" s="639">
        <f t="shared" si="1"/>
        <v>21696.736755397742</v>
      </c>
      <c r="H53" s="639">
        <f t="shared" si="2"/>
        <v>10848.368377698871</v>
      </c>
      <c r="I53" s="639">
        <f t="shared" si="3"/>
        <v>4339.3473510795484</v>
      </c>
      <c r="J53" s="894"/>
      <c r="K53" s="894"/>
      <c r="L53" s="894" t="s">
        <v>2124</v>
      </c>
      <c r="M53" s="603">
        <f>M34/1000</f>
        <v>3.1752318269357956E-4</v>
      </c>
      <c r="N53" s="603">
        <f t="shared" si="9"/>
        <v>1.9970067328934146E-4</v>
      </c>
      <c r="O53" s="603">
        <f t="shared" si="9"/>
        <v>7.1423625575658248E-5</v>
      </c>
      <c r="P53" s="603">
        <f t="shared" si="9"/>
        <v>1.1855165817421962E-5</v>
      </c>
      <c r="Q53" s="603">
        <f t="shared" si="9"/>
        <v>3.4166177813325829E-4</v>
      </c>
      <c r="R53" s="603">
        <f t="shared" si="9"/>
        <v>9.4216442550925945E-4</v>
      </c>
      <c r="S53" s="894">
        <f>SUM(M53:R53)</f>
        <v>1.8843288510185189E-3</v>
      </c>
      <c r="T53" s="894"/>
      <c r="U53" s="894"/>
      <c r="V53" s="894"/>
      <c r="W53" s="894"/>
      <c r="X53" s="894"/>
      <c r="Y53" s="894"/>
      <c r="Z53" s="894"/>
      <c r="AA53" s="894"/>
      <c r="AB53" s="894"/>
      <c r="AC53" s="894"/>
      <c r="AD53" s="894"/>
    </row>
    <row r="54" spans="2:30" ht="14.25" customHeight="1" x14ac:dyDescent="0.2">
      <c r="B54" s="894" t="s">
        <v>1650</v>
      </c>
      <c r="C54" s="894" t="s">
        <v>1637</v>
      </c>
      <c r="D54" s="894" t="s">
        <v>1637</v>
      </c>
      <c r="E54" s="639">
        <v>12805.999178571425</v>
      </c>
      <c r="F54" s="639">
        <f t="shared" si="0"/>
        <v>9604.4993839285689</v>
      </c>
      <c r="G54" s="639">
        <f t="shared" si="1"/>
        <v>6402.9995892857123</v>
      </c>
      <c r="H54" s="639">
        <f t="shared" si="2"/>
        <v>3201.4997946428562</v>
      </c>
      <c r="I54" s="639">
        <f t="shared" si="3"/>
        <v>1280.5999178571426</v>
      </c>
      <c r="J54" s="894"/>
      <c r="K54" s="894"/>
      <c r="L54" s="894"/>
      <c r="M54" s="599"/>
      <c r="N54" s="599"/>
      <c r="O54" s="599"/>
      <c r="P54" s="599"/>
      <c r="Q54" s="599"/>
      <c r="R54" s="599"/>
      <c r="S54" s="894"/>
      <c r="T54" s="894"/>
      <c r="U54" s="649"/>
      <c r="V54" s="649"/>
      <c r="W54" s="649"/>
      <c r="X54" s="649"/>
      <c r="Y54" s="894"/>
      <c r="Z54" s="894"/>
      <c r="AA54" s="894"/>
      <c r="AB54" s="894"/>
      <c r="AC54" s="894"/>
      <c r="AD54" s="894"/>
    </row>
    <row r="55" spans="2:30" x14ac:dyDescent="0.2">
      <c r="B55" s="894" t="s">
        <v>1650</v>
      </c>
      <c r="C55" s="894" t="s">
        <v>1635</v>
      </c>
      <c r="D55" s="894" t="s">
        <v>2114</v>
      </c>
      <c r="E55" s="639">
        <v>556484.98174975382</v>
      </c>
      <c r="F55" s="639">
        <f t="shared" si="0"/>
        <v>417363.73631231533</v>
      </c>
      <c r="G55" s="639">
        <f t="shared" si="1"/>
        <v>278242.49087487691</v>
      </c>
      <c r="H55" s="639">
        <f t="shared" si="2"/>
        <v>139121.24543743845</v>
      </c>
      <c r="I55" s="639">
        <f t="shared" si="3"/>
        <v>55648.498174975386</v>
      </c>
      <c r="J55" s="894"/>
      <c r="K55" s="894"/>
      <c r="L55" s="894"/>
      <c r="M55" s="894" t="s">
        <v>2137</v>
      </c>
      <c r="N55" s="599"/>
      <c r="O55" s="599"/>
      <c r="P55" s="599"/>
      <c r="Q55" s="599"/>
      <c r="R55" s="599"/>
      <c r="S55" s="894"/>
      <c r="T55" s="894" t="s">
        <v>2131</v>
      </c>
      <c r="U55" s="649"/>
      <c r="V55" s="649"/>
      <c r="W55" s="649"/>
      <c r="X55" s="649"/>
      <c r="Y55" s="894"/>
      <c r="Z55" s="894"/>
      <c r="AA55" s="894"/>
      <c r="AB55" s="894"/>
      <c r="AC55" s="894"/>
      <c r="AD55" s="894"/>
    </row>
    <row r="56" spans="2:30" x14ac:dyDescent="0.2">
      <c r="B56" s="894" t="s">
        <v>1650</v>
      </c>
      <c r="C56" s="894" t="s">
        <v>1636</v>
      </c>
      <c r="D56" s="894" t="s">
        <v>2115</v>
      </c>
      <c r="E56" s="639">
        <v>197577.75750341895</v>
      </c>
      <c r="F56" s="639">
        <f t="shared" si="0"/>
        <v>148183.31812756421</v>
      </c>
      <c r="G56" s="639">
        <f t="shared" si="1"/>
        <v>98788.878751709475</v>
      </c>
      <c r="H56" s="639">
        <f t="shared" si="2"/>
        <v>49394.439375854738</v>
      </c>
      <c r="I56" s="639">
        <f t="shared" si="3"/>
        <v>19757.775750341898</v>
      </c>
      <c r="J56" s="894"/>
      <c r="K56" s="894"/>
      <c r="L56" s="894"/>
      <c r="M56" s="599" t="s">
        <v>1649</v>
      </c>
      <c r="N56" s="599" t="s">
        <v>1644</v>
      </c>
      <c r="O56" s="599" t="s">
        <v>1650</v>
      </c>
      <c r="P56" s="599" t="s">
        <v>1675</v>
      </c>
      <c r="Q56" s="599" t="s">
        <v>1651</v>
      </c>
      <c r="R56" s="599" t="s">
        <v>1832</v>
      </c>
      <c r="S56" s="894"/>
      <c r="T56" s="894" t="s">
        <v>2138</v>
      </c>
      <c r="U56" s="649"/>
      <c r="V56" s="649"/>
      <c r="W56" s="649"/>
      <c r="X56" s="649"/>
      <c r="Y56" s="894"/>
      <c r="Z56" s="894"/>
      <c r="AA56" s="894"/>
      <c r="AB56" s="894"/>
      <c r="AC56" s="894"/>
      <c r="AD56" s="894"/>
    </row>
    <row r="57" spans="2:30" x14ac:dyDescent="0.2">
      <c r="B57" s="894" t="s">
        <v>1650</v>
      </c>
      <c r="C57" s="894" t="s">
        <v>2110</v>
      </c>
      <c r="D57" s="894" t="s">
        <v>1723</v>
      </c>
      <c r="E57" s="639">
        <v>7546.2655777777754</v>
      </c>
      <c r="F57" s="639">
        <f t="shared" si="0"/>
        <v>5659.6991833333313</v>
      </c>
      <c r="G57" s="639">
        <f t="shared" si="1"/>
        <v>3773.1327888888877</v>
      </c>
      <c r="H57" s="639">
        <f t="shared" si="2"/>
        <v>1886.5663944444439</v>
      </c>
      <c r="I57" s="639">
        <f t="shared" si="3"/>
        <v>754.62655777777763</v>
      </c>
      <c r="J57" s="894"/>
      <c r="K57" s="894"/>
      <c r="L57" s="894"/>
      <c r="M57" s="602">
        <f>M38/1000</f>
        <v>1.474E-2</v>
      </c>
      <c r="N57" s="602">
        <f t="shared" ref="N57:R57" si="10">N38/1000</f>
        <v>1.057E-2</v>
      </c>
      <c r="O57" s="602">
        <f t="shared" si="10"/>
        <v>1.4E-3</v>
      </c>
      <c r="P57" s="602">
        <f t="shared" si="10"/>
        <v>3.1230000000000001E-2</v>
      </c>
      <c r="Q57" s="602">
        <f t="shared" si="10"/>
        <v>2.0500000000000001E-2</v>
      </c>
      <c r="R57" s="602">
        <f t="shared" si="10"/>
        <v>7.8439999999999996E-2</v>
      </c>
      <c r="S57" s="894"/>
      <c r="T57" s="649" t="s">
        <v>2139</v>
      </c>
      <c r="U57" s="649"/>
      <c r="V57" s="649"/>
      <c r="W57" s="649"/>
      <c r="X57" s="649"/>
      <c r="Y57" s="894"/>
      <c r="Z57" s="894"/>
      <c r="AA57" s="894"/>
      <c r="AB57" s="894"/>
      <c r="AC57" s="894"/>
      <c r="AD57" s="894"/>
    </row>
    <row r="58" spans="2:30" x14ac:dyDescent="0.2">
      <c r="B58" s="894" t="s">
        <v>1650</v>
      </c>
      <c r="C58" s="894" t="s">
        <v>2110</v>
      </c>
      <c r="D58" s="894" t="s">
        <v>2116</v>
      </c>
      <c r="E58" s="639">
        <v>0</v>
      </c>
      <c r="F58" s="639">
        <f t="shared" si="0"/>
        <v>0</v>
      </c>
      <c r="G58" s="639">
        <f t="shared" si="1"/>
        <v>0</v>
      </c>
      <c r="H58" s="639">
        <f t="shared" si="2"/>
        <v>0</v>
      </c>
      <c r="I58" s="639">
        <f t="shared" si="3"/>
        <v>0</v>
      </c>
      <c r="J58" s="894"/>
      <c r="K58" s="894"/>
      <c r="L58" s="894" t="s">
        <v>2122</v>
      </c>
      <c r="M58" s="603">
        <f t="shared" ref="M58:R59" si="11">M39/1000</f>
        <v>9.9149569970068442E-3</v>
      </c>
      <c r="N58" s="603">
        <f t="shared" si="11"/>
        <v>6.6610442283919656E-3</v>
      </c>
      <c r="O58" s="603">
        <f t="shared" si="11"/>
        <v>8.4448291218932453E-4</v>
      </c>
      <c r="P58" s="603">
        <f t="shared" si="11"/>
        <v>2.9052136303070072E-2</v>
      </c>
      <c r="Q58" s="603">
        <f t="shared" si="11"/>
        <v>1.5892061544913294E-2</v>
      </c>
      <c r="R58" s="603">
        <f t="shared" si="11"/>
        <v>6.2364681985571491E-2</v>
      </c>
      <c r="S58" s="894"/>
      <c r="T58" s="649"/>
      <c r="U58" s="649"/>
      <c r="V58" s="649"/>
      <c r="W58" s="649"/>
      <c r="X58" s="649"/>
      <c r="Y58" s="894"/>
      <c r="Z58" s="894"/>
      <c r="AA58" s="894"/>
      <c r="AB58" s="894"/>
      <c r="AC58" s="894"/>
      <c r="AD58" s="601">
        <f>M52*24*365*$V$59*1000000*3.6*10^(-9)</f>
        <v>7.1945835351661883E-3</v>
      </c>
    </row>
    <row r="59" spans="2:30" x14ac:dyDescent="0.2">
      <c r="B59" s="894" t="s">
        <v>1650</v>
      </c>
      <c r="C59" s="894" t="s">
        <v>1636</v>
      </c>
      <c r="D59" s="894" t="s">
        <v>2117</v>
      </c>
      <c r="E59" s="639">
        <v>14277.777166666672</v>
      </c>
      <c r="F59" s="639">
        <f t="shared" si="0"/>
        <v>10708.332875000004</v>
      </c>
      <c r="G59" s="639">
        <f t="shared" si="1"/>
        <v>7138.8885833333361</v>
      </c>
      <c r="H59" s="639">
        <f t="shared" si="2"/>
        <v>3569.4442916666681</v>
      </c>
      <c r="I59" s="639">
        <f t="shared" si="3"/>
        <v>1427.7777166666674</v>
      </c>
      <c r="J59" s="894"/>
      <c r="K59" s="894"/>
      <c r="L59" s="894" t="s">
        <v>2124</v>
      </c>
      <c r="M59" s="603">
        <f t="shared" si="11"/>
        <v>4.8250430029931572E-3</v>
      </c>
      <c r="N59" s="603">
        <f t="shared" si="11"/>
        <v>3.9089557716080357E-3</v>
      </c>
      <c r="O59" s="603">
        <f t="shared" si="11"/>
        <v>5.5551708781067534E-4</v>
      </c>
      <c r="P59" s="603">
        <f t="shared" si="11"/>
        <v>2.1778636969299282E-3</v>
      </c>
      <c r="Q59" s="603">
        <f t="shared" si="11"/>
        <v>4.6079384550867068E-3</v>
      </c>
      <c r="R59" s="603">
        <f t="shared" si="11"/>
        <v>1.6075318014428505E-2</v>
      </c>
      <c r="S59" s="894"/>
      <c r="T59" s="894"/>
      <c r="U59" s="894" t="s">
        <v>2140</v>
      </c>
      <c r="V59" s="894">
        <v>0.34965034965035002</v>
      </c>
      <c r="W59" s="894"/>
      <c r="X59" s="894"/>
      <c r="Y59" s="894"/>
      <c r="Z59" s="894"/>
      <c r="AA59" s="894"/>
      <c r="AB59" s="894"/>
      <c r="AC59" s="894"/>
      <c r="AD59" s="894"/>
    </row>
    <row r="60" spans="2:30" x14ac:dyDescent="0.2">
      <c r="B60" s="894" t="s">
        <v>1650</v>
      </c>
      <c r="C60" s="894" t="s">
        <v>1717</v>
      </c>
      <c r="D60" s="894" t="s">
        <v>2118</v>
      </c>
      <c r="E60" s="639">
        <v>37478.82</v>
      </c>
      <c r="F60" s="639">
        <f t="shared" si="0"/>
        <v>28109.114999999998</v>
      </c>
      <c r="G60" s="639">
        <f t="shared" si="1"/>
        <v>18739.41</v>
      </c>
      <c r="H60" s="639">
        <f t="shared" si="2"/>
        <v>9369.7049999999999</v>
      </c>
      <c r="I60" s="639">
        <f t="shared" si="3"/>
        <v>3747.8820000000001</v>
      </c>
      <c r="J60" s="894"/>
      <c r="K60" s="894"/>
      <c r="L60" s="894"/>
      <c r="M60" s="599"/>
      <c r="N60" s="599"/>
      <c r="O60" s="599"/>
      <c r="P60" s="599"/>
      <c r="Q60" s="599"/>
      <c r="R60" s="599"/>
      <c r="S60" s="894"/>
      <c r="T60" s="894"/>
      <c r="U60" s="894"/>
      <c r="V60" s="894"/>
      <c r="W60" s="894"/>
      <c r="X60" s="894"/>
      <c r="Y60" s="894"/>
      <c r="Z60" s="894"/>
      <c r="AA60" s="894"/>
      <c r="AB60" s="894"/>
      <c r="AC60" s="894"/>
      <c r="AD60" s="894"/>
    </row>
    <row r="61" spans="2:30" x14ac:dyDescent="0.2">
      <c r="B61" s="894" t="s">
        <v>1650</v>
      </c>
      <c r="C61" s="894" t="s">
        <v>1635</v>
      </c>
      <c r="D61" s="894" t="s">
        <v>2119</v>
      </c>
      <c r="E61" s="639">
        <v>506319.62569490843</v>
      </c>
      <c r="F61" s="639">
        <f t="shared" si="0"/>
        <v>379739.71927118133</v>
      </c>
      <c r="G61" s="639">
        <f t="shared" si="1"/>
        <v>253159.81284745422</v>
      </c>
      <c r="H61" s="639">
        <f t="shared" si="2"/>
        <v>126579.90642372711</v>
      </c>
      <c r="I61" s="639">
        <f t="shared" si="3"/>
        <v>50631.962569490846</v>
      </c>
      <c r="J61" s="894"/>
      <c r="K61" s="894"/>
      <c r="L61" s="894"/>
      <c r="M61" s="894" t="s">
        <v>2141</v>
      </c>
      <c r="N61" s="599"/>
      <c r="O61" s="599"/>
      <c r="P61" s="599"/>
      <c r="Q61" s="599"/>
      <c r="R61" s="599"/>
      <c r="S61" s="894"/>
      <c r="T61" s="894"/>
      <c r="U61" s="641"/>
      <c r="V61" s="650" t="s">
        <v>2142</v>
      </c>
      <c r="W61" s="650" t="s">
        <v>1419</v>
      </c>
      <c r="X61" s="650" t="s">
        <v>2122</v>
      </c>
      <c r="Y61" s="650" t="s">
        <v>2124</v>
      </c>
      <c r="Z61" s="894"/>
      <c r="AA61" s="894"/>
      <c r="AB61" s="894"/>
      <c r="AC61" s="894"/>
      <c r="AD61" s="894"/>
    </row>
    <row r="62" spans="2:30" x14ac:dyDescent="0.2">
      <c r="B62" s="894" t="s">
        <v>1650</v>
      </c>
      <c r="C62" s="894" t="s">
        <v>1636</v>
      </c>
      <c r="D62" s="894" t="s">
        <v>2120</v>
      </c>
      <c r="E62" s="639">
        <v>130673.33220296477</v>
      </c>
      <c r="F62" s="639">
        <f t="shared" si="0"/>
        <v>98004.99915222358</v>
      </c>
      <c r="G62" s="639">
        <f t="shared" si="1"/>
        <v>65336.666101482384</v>
      </c>
      <c r="H62" s="639">
        <f t="shared" si="2"/>
        <v>32668.333050741192</v>
      </c>
      <c r="I62" s="639">
        <f t="shared" si="3"/>
        <v>13067.333220296478</v>
      </c>
      <c r="J62" s="894"/>
      <c r="K62" s="894"/>
      <c r="L62" s="894"/>
      <c r="M62" s="599" t="s">
        <v>1649</v>
      </c>
      <c r="N62" s="599" t="s">
        <v>1644</v>
      </c>
      <c r="O62" s="599" t="s">
        <v>1650</v>
      </c>
      <c r="P62" s="599" t="s">
        <v>1675</v>
      </c>
      <c r="Q62" s="599" t="s">
        <v>1651</v>
      </c>
      <c r="R62" s="599" t="s">
        <v>1832</v>
      </c>
      <c r="S62" s="894"/>
      <c r="T62" s="894"/>
      <c r="U62" s="651" t="s">
        <v>1649</v>
      </c>
      <c r="V62" s="547">
        <v>25</v>
      </c>
      <c r="W62" s="547">
        <f>V62*24*365*$V$59*1000000*3.6*10^(-12)</f>
        <v>0.27566433566433596</v>
      </c>
      <c r="X62" s="547">
        <f>$W62*$N25</f>
        <v>0.1854274107001595</v>
      </c>
      <c r="Y62" s="547">
        <f>$W62*$N26</f>
        <v>9.0236924964176471E-2</v>
      </c>
      <c r="Z62" s="894"/>
      <c r="AA62" s="894"/>
      <c r="AB62" s="894"/>
      <c r="AC62" s="894"/>
      <c r="AD62" s="894"/>
    </row>
    <row r="63" spans="2:30" x14ac:dyDescent="0.2">
      <c r="B63" s="894" t="s">
        <v>1650</v>
      </c>
      <c r="C63" s="894" t="s">
        <v>1636</v>
      </c>
      <c r="D63" s="894" t="s">
        <v>2121</v>
      </c>
      <c r="E63" s="639">
        <v>52058.030626585372</v>
      </c>
      <c r="F63" s="639">
        <f t="shared" si="0"/>
        <v>39043.522969939033</v>
      </c>
      <c r="G63" s="639">
        <f t="shared" si="1"/>
        <v>26029.015313292686</v>
      </c>
      <c r="H63" s="639">
        <f t="shared" si="2"/>
        <v>13014.507656646343</v>
      </c>
      <c r="I63" s="639">
        <f t="shared" si="3"/>
        <v>5205.8030626585378</v>
      </c>
      <c r="J63" s="894"/>
      <c r="K63" s="894"/>
      <c r="L63" s="894"/>
      <c r="M63" s="602">
        <f>M44/1000</f>
        <v>3.3027065868263469E-2</v>
      </c>
      <c r="N63" s="602">
        <f t="shared" ref="N63:R63" si="12">N44/1000</f>
        <v>1.9888505747126438E-2</v>
      </c>
      <c r="O63" s="602">
        <f t="shared" si="12"/>
        <v>2.6878571428571433E-3</v>
      </c>
      <c r="P63" s="602">
        <f t="shared" si="12"/>
        <v>5.5610195852534565E-2</v>
      </c>
      <c r="Q63" s="602">
        <f t="shared" si="12"/>
        <v>5.5211138247815372E-2</v>
      </c>
      <c r="R63" s="602">
        <f t="shared" si="12"/>
        <v>0.16642476285859698</v>
      </c>
      <c r="S63" s="894"/>
      <c r="T63" s="894"/>
      <c r="U63" s="651" t="s">
        <v>1644</v>
      </c>
      <c r="V63" s="547">
        <v>10</v>
      </c>
      <c r="W63" s="547">
        <f>V63*24*365*$V$59*1000000*3.6*10^(-12)</f>
        <v>0.11026573426573438</v>
      </c>
      <c r="X63" s="547">
        <f>$W63*$M25</f>
        <v>6.9487694684973705E-2</v>
      </c>
      <c r="Y63" s="547">
        <f>$W63*$M26</f>
        <v>4.0778039580760671E-2</v>
      </c>
      <c r="Z63" s="894"/>
      <c r="AA63" s="894"/>
      <c r="AB63" s="894"/>
      <c r="AC63" s="894"/>
      <c r="AD63" s="894"/>
    </row>
    <row r="64" spans="2:30" x14ac:dyDescent="0.2">
      <c r="B64" s="894" t="s">
        <v>1650</v>
      </c>
      <c r="C64" s="894" t="s">
        <v>1636</v>
      </c>
      <c r="D64" s="894" t="s">
        <v>2123</v>
      </c>
      <c r="E64" s="639">
        <v>228.85</v>
      </c>
      <c r="F64" s="639">
        <f t="shared" si="0"/>
        <v>171.63749999999999</v>
      </c>
      <c r="G64" s="639">
        <f t="shared" si="1"/>
        <v>114.425</v>
      </c>
      <c r="H64" s="639">
        <f t="shared" si="2"/>
        <v>57.212499999999999</v>
      </c>
      <c r="I64" s="639">
        <f t="shared" si="3"/>
        <v>22.885000000000002</v>
      </c>
      <c r="J64" s="894"/>
      <c r="K64" s="894"/>
      <c r="L64" s="894" t="s">
        <v>2122</v>
      </c>
      <c r="M64" s="603">
        <f t="shared" ref="M64:R65" si="13">M45/1000</f>
        <v>2.2215870951230988E-2</v>
      </c>
      <c r="N64" s="603">
        <f t="shared" si="13"/>
        <v>1.2533416879681835E-2</v>
      </c>
      <c r="O64" s="603">
        <f t="shared" si="13"/>
        <v>1.6213210196777698E-3</v>
      </c>
      <c r="P64" s="603">
        <f t="shared" si="13"/>
        <v>5.1732148246822166E-2</v>
      </c>
      <c r="Q64" s="603">
        <f t="shared" si="13"/>
        <v>4.2800917414585277E-2</v>
      </c>
      <c r="R64" s="603">
        <f t="shared" si="13"/>
        <v>0.13090367451199805</v>
      </c>
      <c r="S64" s="894"/>
      <c r="T64" s="894"/>
      <c r="U64" s="651" t="s">
        <v>1650</v>
      </c>
      <c r="V64" s="547">
        <v>1</v>
      </c>
      <c r="W64" s="547">
        <f>V64*24*365*$V$59*1000000*3.6*10^(-12)</f>
        <v>1.1026573426573438E-2</v>
      </c>
      <c r="X64" s="547">
        <f>$W64*$O25</f>
        <v>6.6512520276729697E-3</v>
      </c>
      <c r="Y64" s="547">
        <f>$W64*$O26</f>
        <v>4.3753213989004679E-3</v>
      </c>
      <c r="Z64" s="894"/>
      <c r="AA64" s="894"/>
      <c r="AB64" s="894"/>
      <c r="AC64" s="894"/>
      <c r="AD64" s="894"/>
    </row>
    <row r="65" spans="2:26" x14ac:dyDescent="0.2">
      <c r="B65" s="894" t="s">
        <v>1650</v>
      </c>
      <c r="C65" s="894" t="s">
        <v>1636</v>
      </c>
      <c r="D65" s="894" t="s">
        <v>2126</v>
      </c>
      <c r="E65" s="639">
        <v>780</v>
      </c>
      <c r="F65" s="639">
        <f t="shared" si="0"/>
        <v>585</v>
      </c>
      <c r="G65" s="639">
        <f t="shared" si="1"/>
        <v>390</v>
      </c>
      <c r="H65" s="639">
        <f t="shared" si="2"/>
        <v>195</v>
      </c>
      <c r="I65" s="639">
        <f t="shared" si="3"/>
        <v>78</v>
      </c>
      <c r="J65" s="894"/>
      <c r="K65" s="894"/>
      <c r="L65" s="894" t="s">
        <v>2124</v>
      </c>
      <c r="M65" s="603">
        <f t="shared" si="13"/>
        <v>1.0811194917032481E-2</v>
      </c>
      <c r="N65" s="603">
        <f t="shared" si="13"/>
        <v>7.3550888674446041E-3</v>
      </c>
      <c r="O65" s="603">
        <f t="shared" si="13"/>
        <v>1.0665361231793733E-3</v>
      </c>
      <c r="P65" s="603">
        <f t="shared" si="13"/>
        <v>3.8780476057124016E-3</v>
      </c>
      <c r="Q65" s="603">
        <f t="shared" si="13"/>
        <v>1.2410220833230096E-2</v>
      </c>
      <c r="R65" s="603">
        <f t="shared" si="13"/>
        <v>3.5521088346598957E-2</v>
      </c>
      <c r="S65" s="894"/>
      <c r="T65" s="894"/>
      <c r="U65" s="651" t="s">
        <v>1675</v>
      </c>
      <c r="V65" s="547">
        <v>50</v>
      </c>
      <c r="W65" s="547">
        <f>V65*24*365*$V$59*1000000*3.6*10^(-12)</f>
        <v>0.55132867132867192</v>
      </c>
      <c r="X65" s="547">
        <f>$W65*$Q25</f>
        <v>0.51288106651396403</v>
      </c>
      <c r="Y65" s="547">
        <f>$W65*$Q26</f>
        <v>3.8447604814707874E-2</v>
      </c>
      <c r="Z65" s="894"/>
    </row>
    <row r="66" spans="2:26" x14ac:dyDescent="0.2">
      <c r="B66" s="894" t="s">
        <v>1650</v>
      </c>
      <c r="C66" s="894" t="s">
        <v>1636</v>
      </c>
      <c r="D66" s="894" t="s">
        <v>2128</v>
      </c>
      <c r="E66" s="639">
        <v>19433.367505952367</v>
      </c>
      <c r="F66" s="639">
        <f t="shared" si="0"/>
        <v>14575.025629464275</v>
      </c>
      <c r="G66" s="639">
        <f t="shared" si="1"/>
        <v>9716.6837529761833</v>
      </c>
      <c r="H66" s="639">
        <f t="shared" si="2"/>
        <v>4858.3418764880917</v>
      </c>
      <c r="I66" s="639">
        <f t="shared" si="3"/>
        <v>1943.3367505952367</v>
      </c>
      <c r="J66" s="894"/>
      <c r="K66" s="894"/>
      <c r="L66" s="894"/>
      <c r="M66" s="894"/>
      <c r="N66" s="894"/>
      <c r="O66" s="894"/>
      <c r="P66" s="894"/>
      <c r="Q66" s="894"/>
      <c r="R66" s="894"/>
      <c r="S66" s="894"/>
      <c r="T66" s="894"/>
      <c r="U66" s="651" t="s">
        <v>1651</v>
      </c>
      <c r="V66" s="547">
        <v>50</v>
      </c>
      <c r="W66" s="547">
        <f>V66*24*365*$V$59*1000000*3.6*10^(-12)</f>
        <v>0.55132867132867192</v>
      </c>
      <c r="X66" s="547">
        <f>$W66*$P25</f>
        <v>0.42740239884051351</v>
      </c>
      <c r="Y66" s="547">
        <f>$W66*$P26</f>
        <v>0.12392627248815839</v>
      </c>
      <c r="Z66" s="894"/>
    </row>
    <row r="67" spans="2:26" x14ac:dyDescent="0.2">
      <c r="B67" s="894" t="s">
        <v>1651</v>
      </c>
      <c r="C67" s="894" t="s">
        <v>1635</v>
      </c>
      <c r="D67" s="894" t="s">
        <v>2105</v>
      </c>
      <c r="E67" s="639">
        <v>1931631.2762088855</v>
      </c>
      <c r="F67" s="639">
        <f t="shared" si="0"/>
        <v>1448723.4571566642</v>
      </c>
      <c r="G67" s="639">
        <f t="shared" si="1"/>
        <v>965815.63810444274</v>
      </c>
      <c r="H67" s="639">
        <f t="shared" si="2"/>
        <v>482907.81905222137</v>
      </c>
      <c r="I67" s="639">
        <f t="shared" si="3"/>
        <v>193163.12762088855</v>
      </c>
      <c r="J67" s="894"/>
      <c r="K67" s="894"/>
      <c r="L67" s="894" t="s">
        <v>2143</v>
      </c>
      <c r="M67" s="894"/>
      <c r="N67" s="894"/>
      <c r="O67" s="894"/>
      <c r="P67" s="894"/>
      <c r="Q67" s="894"/>
      <c r="R67" s="894"/>
      <c r="S67" s="894"/>
      <c r="T67" s="894"/>
      <c r="U67" s="894"/>
      <c r="V67" s="894"/>
      <c r="W67" s="894"/>
      <c r="X67" s="894"/>
      <c r="Y67" s="894"/>
      <c r="Z67" s="894"/>
    </row>
    <row r="68" spans="2:26" x14ac:dyDescent="0.2">
      <c r="B68" s="894" t="s">
        <v>1651</v>
      </c>
      <c r="C68" s="894" t="s">
        <v>1717</v>
      </c>
      <c r="D68" s="894" t="s">
        <v>2106</v>
      </c>
      <c r="E68" s="639">
        <v>981.35047908000979</v>
      </c>
      <c r="F68" s="639">
        <f t="shared" si="0"/>
        <v>736.01285931000734</v>
      </c>
      <c r="G68" s="639">
        <f t="shared" si="1"/>
        <v>490.6752395400049</v>
      </c>
      <c r="H68" s="639">
        <f t="shared" si="2"/>
        <v>245.33761977000245</v>
      </c>
      <c r="I68" s="639">
        <f t="shared" si="3"/>
        <v>98.135047908000985</v>
      </c>
      <c r="J68" s="894"/>
      <c r="K68" s="894"/>
      <c r="L68" s="894" t="s">
        <v>2144</v>
      </c>
      <c r="M68" s="599" t="s">
        <v>1649</v>
      </c>
      <c r="N68" s="599" t="s">
        <v>1644</v>
      </c>
      <c r="O68" s="599" t="s">
        <v>1650</v>
      </c>
      <c r="P68" s="599" t="s">
        <v>1675</v>
      </c>
      <c r="Q68" s="599" t="s">
        <v>1651</v>
      </c>
      <c r="R68" s="599" t="s">
        <v>1832</v>
      </c>
      <c r="S68" s="894"/>
      <c r="T68" s="894"/>
      <c r="U68" s="894"/>
      <c r="V68" s="894"/>
      <c r="W68" s="894"/>
      <c r="X68" s="894"/>
      <c r="Y68" s="894"/>
      <c r="Z68" s="894"/>
    </row>
    <row r="69" spans="2:26" x14ac:dyDescent="0.2">
      <c r="B69" s="894" t="s">
        <v>1651</v>
      </c>
      <c r="C69" s="894" t="s">
        <v>1636</v>
      </c>
      <c r="D69" s="894" t="s">
        <v>2108</v>
      </c>
      <c r="E69" s="639">
        <v>49818.244019607831</v>
      </c>
      <c r="F69" s="639">
        <f t="shared" ref="F69:F108" si="14">E69*0.75</f>
        <v>37363.683014705872</v>
      </c>
      <c r="G69" s="639">
        <f t="shared" ref="G69:G108" si="15">E69*0.5</f>
        <v>24909.122009803916</v>
      </c>
      <c r="H69" s="639">
        <f t="shared" ref="H69:H108" si="16">E69*0.25</f>
        <v>12454.561004901958</v>
      </c>
      <c r="I69" s="639">
        <f t="shared" ref="I69:I108" si="17">E69*0.1</f>
        <v>4981.8244019607837</v>
      </c>
      <c r="J69" s="894"/>
      <c r="K69" s="894"/>
      <c r="L69" s="894"/>
      <c r="M69" s="602">
        <f>SUM(M70:M71)</f>
        <v>1.069533361501116E-2</v>
      </c>
      <c r="N69" s="602">
        <f t="shared" ref="N69:Q69" si="18">SUM(N70:N71)</f>
        <v>5.9541032495938409E-3</v>
      </c>
      <c r="O69" s="602">
        <f t="shared" si="18"/>
        <v>1.9847010831979465E-3</v>
      </c>
      <c r="P69" s="602">
        <f t="shared" si="18"/>
        <v>1.8744399119091724E-3</v>
      </c>
      <c r="Q69" s="602">
        <f t="shared" si="18"/>
        <v>1.6759698035893771E-2</v>
      </c>
      <c r="R69" s="602">
        <f>SUM(R70:R71)</f>
        <v>3.7268275895605885E-2</v>
      </c>
      <c r="S69" s="894"/>
      <c r="T69" s="894"/>
      <c r="U69" s="894"/>
      <c r="V69" s="894"/>
      <c r="W69" s="894"/>
      <c r="X69" s="894"/>
      <c r="Y69" s="894"/>
      <c r="Z69" s="894"/>
    </row>
    <row r="70" spans="2:26" x14ac:dyDescent="0.2">
      <c r="B70" s="894" t="s">
        <v>1651</v>
      </c>
      <c r="C70" s="894" t="s">
        <v>1636</v>
      </c>
      <c r="D70" s="894" t="s">
        <v>2109</v>
      </c>
      <c r="E70" s="639">
        <v>104340.15744047621</v>
      </c>
      <c r="F70" s="639">
        <f t="shared" si="14"/>
        <v>78255.118080357148</v>
      </c>
      <c r="G70" s="639">
        <f t="shared" si="15"/>
        <v>52170.078720238103</v>
      </c>
      <c r="H70" s="639">
        <f t="shared" si="16"/>
        <v>26085.039360119052</v>
      </c>
      <c r="I70" s="639">
        <f t="shared" si="17"/>
        <v>10434.015744047621</v>
      </c>
      <c r="J70" s="894"/>
      <c r="K70" s="894"/>
      <c r="L70" s="894" t="s">
        <v>2122</v>
      </c>
      <c r="M70" s="603">
        <f t="shared" ref="M70:R71" si="19">M52*24*365*$V$59*kwh_to_gj</f>
        <v>7.1942858114977873E-3</v>
      </c>
      <c r="N70" s="603">
        <f t="shared" si="19"/>
        <v>3.7521802351898671E-3</v>
      </c>
      <c r="O70" s="603">
        <f t="shared" si="19"/>
        <v>1.1971758218316494E-3</v>
      </c>
      <c r="P70" s="603">
        <f t="shared" si="19"/>
        <v>1.7437234650240132E-3</v>
      </c>
      <c r="Q70" s="603">
        <f t="shared" si="19"/>
        <v>1.2992495251735915E-2</v>
      </c>
      <c r="R70" s="603">
        <f t="shared" si="19"/>
        <v>2.6879860585279226E-2</v>
      </c>
      <c r="S70" s="894"/>
      <c r="T70" s="894"/>
      <c r="U70" s="894"/>
      <c r="V70" s="894"/>
      <c r="W70" s="894"/>
      <c r="X70" s="894"/>
      <c r="Y70" s="894"/>
      <c r="Z70" s="894"/>
    </row>
    <row r="71" spans="2:26" x14ac:dyDescent="0.2">
      <c r="B71" s="894" t="s">
        <v>1651</v>
      </c>
      <c r="C71" s="894" t="s">
        <v>1636</v>
      </c>
      <c r="D71" s="894" t="s">
        <v>2111</v>
      </c>
      <c r="E71" s="639">
        <v>23131.250277663512</v>
      </c>
      <c r="F71" s="639">
        <f t="shared" si="14"/>
        <v>17348.437708247635</v>
      </c>
      <c r="G71" s="639">
        <f t="shared" si="15"/>
        <v>11565.625138831756</v>
      </c>
      <c r="H71" s="639">
        <f t="shared" si="16"/>
        <v>5782.812569415878</v>
      </c>
      <c r="I71" s="639">
        <f t="shared" si="17"/>
        <v>2313.1250277663512</v>
      </c>
      <c r="J71" s="894"/>
      <c r="K71" s="894"/>
      <c r="L71" s="894" t="s">
        <v>2124</v>
      </c>
      <c r="M71" s="602">
        <f t="shared" si="19"/>
        <v>3.5010478035133723E-3</v>
      </c>
      <c r="N71" s="602">
        <f t="shared" si="19"/>
        <v>2.2019230144039738E-3</v>
      </c>
      <c r="O71" s="602">
        <f t="shared" si="19"/>
        <v>7.8752526136629728E-4</v>
      </c>
      <c r="P71" s="602">
        <f t="shared" si="19"/>
        <v>1.3071644688515915E-4</v>
      </c>
      <c r="Q71" s="602">
        <f t="shared" si="19"/>
        <v>3.7672027841578574E-3</v>
      </c>
      <c r="R71" s="602">
        <f t="shared" si="19"/>
        <v>1.0388415310326658E-2</v>
      </c>
      <c r="S71" s="894"/>
      <c r="T71" s="894"/>
      <c r="U71" s="894"/>
      <c r="V71" s="894"/>
      <c r="W71" s="894"/>
      <c r="X71" s="894"/>
      <c r="Y71" s="894"/>
      <c r="Z71" s="894"/>
    </row>
    <row r="72" spans="2:26" x14ac:dyDescent="0.2">
      <c r="B72" s="894" t="s">
        <v>1651</v>
      </c>
      <c r="C72" s="894" t="s">
        <v>1636</v>
      </c>
      <c r="D72" s="894" t="s">
        <v>2112</v>
      </c>
      <c r="E72" s="639">
        <v>210381.74083333346</v>
      </c>
      <c r="F72" s="639">
        <f t="shared" si="14"/>
        <v>157786.3056250001</v>
      </c>
      <c r="G72" s="639">
        <f t="shared" si="15"/>
        <v>105190.87041666673</v>
      </c>
      <c r="H72" s="639">
        <f t="shared" si="16"/>
        <v>52595.435208333365</v>
      </c>
      <c r="I72" s="639">
        <f t="shared" si="17"/>
        <v>21038.174083333346</v>
      </c>
      <c r="J72" s="894"/>
      <c r="K72" s="894"/>
      <c r="L72" s="894"/>
      <c r="M72" s="599"/>
      <c r="N72" s="599"/>
      <c r="O72" s="599"/>
      <c r="P72" s="599"/>
      <c r="Q72" s="599"/>
      <c r="R72" s="599"/>
      <c r="S72" s="894"/>
      <c r="T72" s="894"/>
      <c r="U72" s="894"/>
      <c r="V72" s="894"/>
      <c r="W72" s="894"/>
      <c r="X72" s="894"/>
      <c r="Y72" s="894"/>
      <c r="Z72" s="894"/>
    </row>
    <row r="73" spans="2:26" x14ac:dyDescent="0.2">
      <c r="B73" s="894" t="s">
        <v>1651</v>
      </c>
      <c r="C73" s="894" t="s">
        <v>2107</v>
      </c>
      <c r="D73" s="894" t="s">
        <v>2107</v>
      </c>
      <c r="E73" s="639">
        <v>30880.623918187219</v>
      </c>
      <c r="F73" s="639">
        <f t="shared" si="14"/>
        <v>23160.467938640413</v>
      </c>
      <c r="G73" s="639">
        <f t="shared" si="15"/>
        <v>15440.311959093609</v>
      </c>
      <c r="H73" s="639">
        <f t="shared" si="16"/>
        <v>7720.1559795468047</v>
      </c>
      <c r="I73" s="639">
        <f t="shared" si="17"/>
        <v>3088.0623918187221</v>
      </c>
      <c r="J73" s="894"/>
      <c r="K73" s="894"/>
      <c r="L73" s="894" t="s">
        <v>2145</v>
      </c>
      <c r="M73" s="599"/>
      <c r="N73" s="599"/>
      <c r="O73" s="599"/>
      <c r="P73" s="599"/>
      <c r="Q73" s="599"/>
      <c r="R73" s="599"/>
      <c r="S73" s="894"/>
      <c r="T73" s="894"/>
      <c r="U73" s="894"/>
      <c r="V73" s="894"/>
      <c r="W73" s="894"/>
      <c r="X73" s="894"/>
      <c r="Y73" s="894"/>
      <c r="Z73" s="894"/>
    </row>
    <row r="74" spans="2:26" ht="15" customHeight="1" x14ac:dyDescent="0.2">
      <c r="B74" s="894" t="s">
        <v>1651</v>
      </c>
      <c r="C74" s="894" t="s">
        <v>1636</v>
      </c>
      <c r="D74" s="894" t="s">
        <v>2113</v>
      </c>
      <c r="E74" s="639">
        <v>60464.318236020939</v>
      </c>
      <c r="F74" s="639">
        <f t="shared" si="14"/>
        <v>45348.238677015703</v>
      </c>
      <c r="G74" s="639">
        <f t="shared" si="15"/>
        <v>30232.15911801047</v>
      </c>
      <c r="H74" s="639">
        <f t="shared" si="16"/>
        <v>15116.079559005235</v>
      </c>
      <c r="I74" s="639">
        <f t="shared" si="17"/>
        <v>6046.4318236020945</v>
      </c>
      <c r="J74" s="894"/>
      <c r="K74" s="894"/>
      <c r="L74" s="894"/>
      <c r="M74" s="599" t="s">
        <v>1649</v>
      </c>
      <c r="N74" s="599" t="s">
        <v>1644</v>
      </c>
      <c r="O74" s="599" t="s">
        <v>1650</v>
      </c>
      <c r="P74" s="599" t="s">
        <v>1675</v>
      </c>
      <c r="Q74" s="599" t="s">
        <v>1651</v>
      </c>
      <c r="R74" s="599" t="s">
        <v>1832</v>
      </c>
      <c r="S74" s="894"/>
      <c r="T74" s="894"/>
      <c r="U74" s="894"/>
      <c r="V74" s="894"/>
      <c r="W74" s="894"/>
      <c r="X74" s="894"/>
      <c r="Y74" s="894"/>
      <c r="Z74" s="894"/>
    </row>
    <row r="75" spans="2:26" x14ac:dyDescent="0.2">
      <c r="B75" s="894" t="s">
        <v>1651</v>
      </c>
      <c r="C75" s="894" t="s">
        <v>1637</v>
      </c>
      <c r="D75" s="894" t="s">
        <v>1637</v>
      </c>
      <c r="E75" s="639">
        <v>195524.60310597697</v>
      </c>
      <c r="F75" s="639">
        <f t="shared" si="14"/>
        <v>146643.45232948274</v>
      </c>
      <c r="G75" s="639">
        <f t="shared" si="15"/>
        <v>97762.301552988487</v>
      </c>
      <c r="H75" s="639">
        <f t="shared" si="16"/>
        <v>48881.150776494243</v>
      </c>
      <c r="I75" s="639">
        <f t="shared" si="17"/>
        <v>19552.460310597697</v>
      </c>
      <c r="J75" s="894"/>
      <c r="K75" s="894"/>
      <c r="L75" s="894"/>
      <c r="M75" s="602">
        <f>SUM(M76:M77)</f>
        <v>0.16252496647965411</v>
      </c>
      <c r="N75" s="602">
        <f t="shared" ref="N75:Q75" si="20">SUM(N76:N77)</f>
        <v>0.11654605805223503</v>
      </c>
      <c r="O75" s="602">
        <f t="shared" si="20"/>
        <v>1.5436563980428475E-2</v>
      </c>
      <c r="P75" s="602">
        <f t="shared" si="20"/>
        <v>0.3443456379348438</v>
      </c>
      <c r="Q75" s="602">
        <f t="shared" si="20"/>
        <v>0.22603540114198842</v>
      </c>
      <c r="R75" s="602">
        <f>SUM(R76:R77)</f>
        <v>0.86488862758914975</v>
      </c>
      <c r="S75" s="894"/>
      <c r="T75" s="894"/>
      <c r="U75" s="894"/>
      <c r="V75" s="894"/>
      <c r="W75" s="894"/>
      <c r="X75" s="894"/>
      <c r="Y75" s="894"/>
      <c r="Z75" s="894"/>
    </row>
    <row r="76" spans="2:26" x14ac:dyDescent="0.2">
      <c r="B76" s="894" t="s">
        <v>1651</v>
      </c>
      <c r="C76" s="894" t="s">
        <v>1635</v>
      </c>
      <c r="D76" s="894" t="s">
        <v>2114</v>
      </c>
      <c r="E76" s="639">
        <v>582733.87323352217</v>
      </c>
      <c r="F76" s="639">
        <f t="shared" si="14"/>
        <v>437050.4049251416</v>
      </c>
      <c r="G76" s="639">
        <f t="shared" si="15"/>
        <v>291366.93661676109</v>
      </c>
      <c r="H76" s="639">
        <f t="shared" si="16"/>
        <v>145683.46830838054</v>
      </c>
      <c r="I76" s="639">
        <f t="shared" si="17"/>
        <v>58273.387323352217</v>
      </c>
      <c r="J76" s="894"/>
      <c r="K76" s="894"/>
      <c r="L76" s="894" t="s">
        <v>2122</v>
      </c>
      <c r="M76" s="603">
        <f t="shared" ref="M76:R77" si="21">M58*24*365*$V$59*kwh_to_gj</f>
        <v>0.10932347717678081</v>
      </c>
      <c r="N76" s="603">
        <f>N58*24*365*$V$59*kwh_to_gj</f>
        <v>7.3445453862883162E-2</v>
      </c>
      <c r="O76" s="603">
        <f t="shared" si="21"/>
        <v>9.3113675031350502E-3</v>
      </c>
      <c r="P76" s="603">
        <f t="shared" si="21"/>
        <v>0.32033225772176427</v>
      </c>
      <c r="Q76" s="603">
        <f t="shared" si="21"/>
        <v>0.17522773201354364</v>
      </c>
      <c r="R76" s="603">
        <f t="shared" si="21"/>
        <v>0.68764028827810686</v>
      </c>
      <c r="S76" s="894"/>
      <c r="T76" s="894"/>
      <c r="U76" s="894"/>
      <c r="V76" s="894"/>
      <c r="W76" s="894"/>
      <c r="X76" s="894"/>
      <c r="Y76" s="894"/>
      <c r="Z76" s="894"/>
    </row>
    <row r="77" spans="2:26" x14ac:dyDescent="0.2">
      <c r="B77" s="894" t="s">
        <v>1651</v>
      </c>
      <c r="C77" s="894" t="s">
        <v>1636</v>
      </c>
      <c r="D77" s="894" t="s">
        <v>2115</v>
      </c>
      <c r="E77" s="639">
        <v>110846.76869047619</v>
      </c>
      <c r="F77" s="639">
        <f t="shared" si="14"/>
        <v>83135.076517857146</v>
      </c>
      <c r="G77" s="639">
        <f t="shared" si="15"/>
        <v>55423.384345238097</v>
      </c>
      <c r="H77" s="639">
        <f t="shared" si="16"/>
        <v>27711.692172619049</v>
      </c>
      <c r="I77" s="639">
        <f t="shared" si="17"/>
        <v>11084.67686904762</v>
      </c>
      <c r="J77" s="894"/>
      <c r="K77" s="894"/>
      <c r="L77" s="894" t="s">
        <v>2124</v>
      </c>
      <c r="M77" s="602">
        <f t="shared" si="21"/>
        <v>5.3201489302873294E-2</v>
      </c>
      <c r="N77" s="602">
        <f t="shared" si="21"/>
        <v>4.3100604189351861E-2</v>
      </c>
      <c r="O77" s="602">
        <f t="shared" si="21"/>
        <v>6.1251964772934238E-3</v>
      </c>
      <c r="P77" s="602">
        <f t="shared" si="21"/>
        <v>2.401338021307952E-2</v>
      </c>
      <c r="Q77" s="602">
        <f t="shared" si="21"/>
        <v>5.0807669128444782E-2</v>
      </c>
      <c r="R77" s="602">
        <f t="shared" si="21"/>
        <v>0.17724833931104292</v>
      </c>
      <c r="S77" s="894"/>
      <c r="T77" s="894"/>
      <c r="U77" s="894"/>
      <c r="V77" s="894"/>
      <c r="W77" s="894"/>
      <c r="X77" s="894"/>
      <c r="Y77" s="894"/>
      <c r="Z77" s="894"/>
    </row>
    <row r="78" spans="2:26" x14ac:dyDescent="0.2">
      <c r="B78" s="894" t="s">
        <v>1651</v>
      </c>
      <c r="C78" s="894" t="s">
        <v>2110</v>
      </c>
      <c r="D78" s="894" t="s">
        <v>1723</v>
      </c>
      <c r="E78" s="639">
        <v>3447.3466666666664</v>
      </c>
      <c r="F78" s="639">
        <f t="shared" si="14"/>
        <v>2585.5099999999998</v>
      </c>
      <c r="G78" s="639">
        <f t="shared" si="15"/>
        <v>1723.6733333333332</v>
      </c>
      <c r="H78" s="639">
        <f t="shared" si="16"/>
        <v>861.83666666666659</v>
      </c>
      <c r="I78" s="639">
        <f t="shared" si="17"/>
        <v>344.73466666666667</v>
      </c>
      <c r="J78" s="894"/>
      <c r="K78" s="894"/>
      <c r="L78" s="894"/>
      <c r="M78" s="599"/>
      <c r="N78" s="599"/>
      <c r="O78" s="599"/>
      <c r="P78" s="599"/>
      <c r="Q78" s="599"/>
      <c r="R78" s="599"/>
      <c r="S78" s="894"/>
      <c r="T78" s="894"/>
      <c r="U78" s="894"/>
      <c r="V78" s="894"/>
      <c r="W78" s="894"/>
      <c r="X78" s="894"/>
      <c r="Y78" s="894"/>
      <c r="Z78" s="894"/>
    </row>
    <row r="79" spans="2:26" x14ac:dyDescent="0.2">
      <c r="B79" s="894" t="s">
        <v>1651</v>
      </c>
      <c r="C79" s="894" t="s">
        <v>2110</v>
      </c>
      <c r="D79" s="894" t="s">
        <v>2116</v>
      </c>
      <c r="E79" s="639">
        <v>0</v>
      </c>
      <c r="F79" s="639">
        <f t="shared" si="14"/>
        <v>0</v>
      </c>
      <c r="G79" s="639">
        <f t="shared" si="15"/>
        <v>0</v>
      </c>
      <c r="H79" s="639">
        <f t="shared" si="16"/>
        <v>0</v>
      </c>
      <c r="I79" s="639">
        <f t="shared" si="17"/>
        <v>0</v>
      </c>
      <c r="J79" s="894"/>
      <c r="K79" s="894"/>
      <c r="L79" s="894" t="s">
        <v>2146</v>
      </c>
      <c r="M79" s="599"/>
      <c r="N79" s="599"/>
      <c r="O79" s="599"/>
      <c r="P79" s="599"/>
      <c r="Q79" s="599"/>
      <c r="R79" s="599"/>
      <c r="S79" s="894"/>
      <c r="T79" s="894" t="s">
        <v>2147</v>
      </c>
      <c r="U79" s="599"/>
      <c r="V79" s="599"/>
      <c r="W79" s="599"/>
      <c r="X79" s="599"/>
      <c r="Y79" s="599"/>
      <c r="Z79" s="599"/>
    </row>
    <row r="80" spans="2:26" x14ac:dyDescent="0.2">
      <c r="B80" s="894" t="s">
        <v>1651</v>
      </c>
      <c r="C80" s="894" t="s">
        <v>1636</v>
      </c>
      <c r="D80" s="894" t="s">
        <v>2117</v>
      </c>
      <c r="E80" s="639">
        <v>50020.702203943132</v>
      </c>
      <c r="F80" s="639">
        <f t="shared" si="14"/>
        <v>37515.526652957349</v>
      </c>
      <c r="G80" s="639">
        <f t="shared" si="15"/>
        <v>25010.351101971566</v>
      </c>
      <c r="H80" s="639">
        <f t="shared" si="16"/>
        <v>12505.175550985783</v>
      </c>
      <c r="I80" s="639">
        <f t="shared" si="17"/>
        <v>5002.0702203943138</v>
      </c>
      <c r="J80" s="894"/>
      <c r="K80" s="894"/>
      <c r="L80" s="894"/>
      <c r="M80" s="599" t="s">
        <v>1649</v>
      </c>
      <c r="N80" s="599" t="s">
        <v>1644</v>
      </c>
      <c r="O80" s="599" t="s">
        <v>1650</v>
      </c>
      <c r="P80" s="599" t="s">
        <v>1675</v>
      </c>
      <c r="Q80" s="599" t="s">
        <v>1651</v>
      </c>
      <c r="R80" s="599" t="s">
        <v>1832</v>
      </c>
      <c r="S80" s="894"/>
      <c r="T80" s="894"/>
      <c r="U80" s="599" t="s">
        <v>1649</v>
      </c>
      <c r="V80" s="599" t="s">
        <v>1644</v>
      </c>
      <c r="W80" s="599" t="s">
        <v>1650</v>
      </c>
      <c r="X80" s="599" t="s">
        <v>1675</v>
      </c>
      <c r="Y80" s="599" t="s">
        <v>1651</v>
      </c>
      <c r="Z80" s="599" t="s">
        <v>1832</v>
      </c>
    </row>
    <row r="81" spans="2:26" x14ac:dyDescent="0.2">
      <c r="B81" s="894" t="s">
        <v>1651</v>
      </c>
      <c r="C81" s="894" t="s">
        <v>1717</v>
      </c>
      <c r="D81" s="894" t="s">
        <v>2118</v>
      </c>
      <c r="E81" s="639">
        <v>20</v>
      </c>
      <c r="F81" s="639">
        <f t="shared" si="14"/>
        <v>15</v>
      </c>
      <c r="G81" s="639">
        <f t="shared" si="15"/>
        <v>10</v>
      </c>
      <c r="H81" s="639">
        <f t="shared" si="16"/>
        <v>5</v>
      </c>
      <c r="I81" s="639">
        <f t="shared" si="17"/>
        <v>2</v>
      </c>
      <c r="J81" s="894"/>
      <c r="K81" s="894"/>
      <c r="L81" s="894"/>
      <c r="M81" s="602">
        <f>SUM(M82:M83)</f>
        <v>0.36416029668662475</v>
      </c>
      <c r="N81" s="602">
        <f t="shared" ref="N81:Q81" si="22">SUM(N82:N83)</f>
        <v>0.2192929938861691</v>
      </c>
      <c r="O81" s="602">
        <f t="shared" si="22"/>
        <v>2.9636627682832838E-2</v>
      </c>
      <c r="P81" s="602">
        <f t="shared" si="22"/>
        <v>0.61316453302986296</v>
      </c>
      <c r="Q81" s="602">
        <f t="shared" si="22"/>
        <v>0.6087644771390599</v>
      </c>
      <c r="R81" s="604">
        <f>SUM(R82:R83)</f>
        <v>1.8350189284245497</v>
      </c>
      <c r="S81" s="894"/>
      <c r="T81" s="894"/>
      <c r="U81" s="602">
        <f>SUM(U82:U83)</f>
        <v>0.55955024173709489</v>
      </c>
      <c r="V81" s="602">
        <f t="shared" ref="V81:Y81" si="23">SUM(V82:V83)</f>
        <v>0.40125142843698058</v>
      </c>
      <c r="W81" s="602">
        <f t="shared" si="23"/>
        <v>5.314588456118946E-2</v>
      </c>
      <c r="X81" s="602">
        <f t="shared" si="23"/>
        <v>1.1855328391756765</v>
      </c>
      <c r="Y81" s="602">
        <f t="shared" si="23"/>
        <v>0.7782075953602744</v>
      </c>
      <c r="Z81" s="604">
        <f>SUM(Z82:Z83)</f>
        <v>2.9776879892712156</v>
      </c>
    </row>
    <row r="82" spans="2:26" x14ac:dyDescent="0.2">
      <c r="B82" s="894" t="s">
        <v>1651</v>
      </c>
      <c r="C82" s="894" t="s">
        <v>1635</v>
      </c>
      <c r="D82" s="894" t="s">
        <v>2119</v>
      </c>
      <c r="E82" s="639">
        <v>2704993.8573539141</v>
      </c>
      <c r="F82" s="639">
        <f t="shared" si="14"/>
        <v>2028745.3930154354</v>
      </c>
      <c r="G82" s="639">
        <f t="shared" si="15"/>
        <v>1352496.928676957</v>
      </c>
      <c r="H82" s="639">
        <f t="shared" si="16"/>
        <v>676248.46433847852</v>
      </c>
      <c r="I82" s="639">
        <f t="shared" si="17"/>
        <v>270499.38573539141</v>
      </c>
      <c r="J82" s="894"/>
      <c r="K82" s="894"/>
      <c r="L82" s="894" t="s">
        <v>2122</v>
      </c>
      <c r="M82" s="603">
        <f t="shared" ref="M82:R83" si="24">M64*24*365*$V$59*kwh_to_gj</f>
        <v>0.24495479522829974</v>
      </c>
      <c r="N82" s="603">
        <f t="shared" si="24"/>
        <v>0.13819492254042207</v>
      </c>
      <c r="O82" s="603">
        <f t="shared" si="24"/>
        <v>1.7876875466478162E-2</v>
      </c>
      <c r="P82" s="603">
        <f t="shared" si="24"/>
        <v>0.57040472589791513</v>
      </c>
      <c r="Q82" s="603">
        <f t="shared" si="24"/>
        <v>0.4719279286366293</v>
      </c>
      <c r="R82" s="603">
        <f t="shared" si="24"/>
        <v>1.4433592477697446</v>
      </c>
      <c r="S82" s="894"/>
      <c r="T82" s="894" t="s">
        <v>2122</v>
      </c>
      <c r="U82" s="603">
        <f t="shared" ref="U82:Y83" si="25">M76*$P$137</f>
        <v>0.37638511428005966</v>
      </c>
      <c r="V82" s="603">
        <f t="shared" si="25"/>
        <v>0.25286220544221205</v>
      </c>
      <c r="W82" s="603">
        <f t="shared" si="25"/>
        <v>3.2057708117936387E-2</v>
      </c>
      <c r="X82" s="603">
        <f t="shared" si="25"/>
        <v>1.1028582015849313</v>
      </c>
      <c r="Y82" s="603">
        <f t="shared" si="25"/>
        <v>0.60328404878948594</v>
      </c>
      <c r="Z82" s="603">
        <f>SUM(U82:Y82)</f>
        <v>2.367447278214625</v>
      </c>
    </row>
    <row r="83" spans="2:26" x14ac:dyDescent="0.2">
      <c r="B83" s="894" t="s">
        <v>1651</v>
      </c>
      <c r="C83" s="894" t="s">
        <v>1636</v>
      </c>
      <c r="D83" s="894" t="s">
        <v>2120</v>
      </c>
      <c r="E83" s="639">
        <v>339577.83155952417</v>
      </c>
      <c r="F83" s="639">
        <f t="shared" si="14"/>
        <v>254683.37366964313</v>
      </c>
      <c r="G83" s="639">
        <f t="shared" si="15"/>
        <v>169788.91577976209</v>
      </c>
      <c r="H83" s="639">
        <f t="shared" si="16"/>
        <v>84894.457889881043</v>
      </c>
      <c r="I83" s="639">
        <f t="shared" si="17"/>
        <v>33957.78315595242</v>
      </c>
      <c r="J83" s="894"/>
      <c r="K83" s="894"/>
      <c r="L83" s="894" t="s">
        <v>2124</v>
      </c>
      <c r="M83" s="602">
        <f t="shared" si="24"/>
        <v>0.11920550145832502</v>
      </c>
      <c r="N83" s="602">
        <f t="shared" si="24"/>
        <v>8.1098071345747036E-2</v>
      </c>
      <c r="O83" s="602">
        <f t="shared" si="24"/>
        <v>1.1759752216354674E-2</v>
      </c>
      <c r="P83" s="602">
        <f t="shared" si="24"/>
        <v>4.2759807131947818E-2</v>
      </c>
      <c r="Q83" s="602">
        <f t="shared" si="24"/>
        <v>0.13683654850243057</v>
      </c>
      <c r="R83" s="602">
        <f t="shared" si="24"/>
        <v>0.39165968065480516</v>
      </c>
      <c r="S83" s="894"/>
      <c r="T83" s="894" t="s">
        <v>2124</v>
      </c>
      <c r="U83" s="602">
        <f t="shared" si="25"/>
        <v>0.1831651274570352</v>
      </c>
      <c r="V83" s="602">
        <f t="shared" si="25"/>
        <v>0.14838922299476856</v>
      </c>
      <c r="W83" s="602">
        <f t="shared" si="25"/>
        <v>2.1088176443253073E-2</v>
      </c>
      <c r="X83" s="602">
        <f t="shared" si="25"/>
        <v>8.2674637590745212E-2</v>
      </c>
      <c r="Y83" s="602">
        <f t="shared" si="25"/>
        <v>0.17492354657078849</v>
      </c>
      <c r="Z83" s="602">
        <f>SUM(U83:Y83)</f>
        <v>0.6102407110565905</v>
      </c>
    </row>
    <row r="84" spans="2:26" x14ac:dyDescent="0.2">
      <c r="B84" s="894" t="s">
        <v>1651</v>
      </c>
      <c r="C84" s="894" t="s">
        <v>1636</v>
      </c>
      <c r="D84" s="894" t="s">
        <v>2121</v>
      </c>
      <c r="E84" s="639">
        <v>30811.338857142837</v>
      </c>
      <c r="F84" s="639">
        <f t="shared" si="14"/>
        <v>23108.504142857128</v>
      </c>
      <c r="G84" s="639">
        <f t="shared" si="15"/>
        <v>15405.669428571418</v>
      </c>
      <c r="H84" s="639">
        <f t="shared" si="16"/>
        <v>7702.8347142857092</v>
      </c>
      <c r="I84" s="639">
        <f t="shared" si="17"/>
        <v>3081.1338857142837</v>
      </c>
      <c r="J84" s="894"/>
      <c r="K84" s="894"/>
      <c r="L84" s="894"/>
      <c r="M84" s="894"/>
      <c r="N84" s="894"/>
      <c r="O84" s="894"/>
      <c r="P84" s="894"/>
      <c r="Q84" s="894"/>
      <c r="R84" s="894"/>
      <c r="S84" s="894"/>
      <c r="T84" s="894"/>
      <c r="U84" s="894"/>
      <c r="V84" s="894"/>
      <c r="W84" s="894"/>
      <c r="X84" s="894"/>
      <c r="Y84" s="894"/>
      <c r="Z84" s="894"/>
    </row>
    <row r="85" spans="2:26" x14ac:dyDescent="0.2">
      <c r="B85" s="894" t="s">
        <v>1651</v>
      </c>
      <c r="C85" s="894" t="s">
        <v>1636</v>
      </c>
      <c r="D85" s="894" t="s">
        <v>2123</v>
      </c>
      <c r="E85" s="639">
        <v>73.099999999999994</v>
      </c>
      <c r="F85" s="639">
        <f t="shared" si="14"/>
        <v>54.824999999999996</v>
      </c>
      <c r="G85" s="639">
        <f t="shared" si="15"/>
        <v>36.549999999999997</v>
      </c>
      <c r="H85" s="639">
        <f t="shared" si="16"/>
        <v>18.274999999999999</v>
      </c>
      <c r="I85" s="639">
        <f t="shared" si="17"/>
        <v>7.31</v>
      </c>
      <c r="J85" s="894"/>
      <c r="K85" s="894"/>
      <c r="L85" s="894"/>
      <c r="M85" s="894"/>
      <c r="N85" s="894"/>
      <c r="O85" s="894"/>
      <c r="P85" s="894"/>
      <c r="Q85" s="894"/>
      <c r="R85" s="894"/>
      <c r="S85" s="894"/>
      <c r="T85" s="894"/>
      <c r="U85" s="894"/>
      <c r="V85" s="894"/>
      <c r="W85" s="894"/>
      <c r="X85" s="894"/>
      <c r="Y85" s="894"/>
      <c r="Z85" s="894"/>
    </row>
    <row r="86" spans="2:26" x14ac:dyDescent="0.2">
      <c r="B86" s="894" t="s">
        <v>1651</v>
      </c>
      <c r="C86" s="894" t="s">
        <v>1636</v>
      </c>
      <c r="D86" s="894" t="s">
        <v>2126</v>
      </c>
      <c r="E86" s="639">
        <v>30.4</v>
      </c>
      <c r="F86" s="639">
        <f t="shared" si="14"/>
        <v>22.799999999999997</v>
      </c>
      <c r="G86" s="639">
        <f t="shared" si="15"/>
        <v>15.2</v>
      </c>
      <c r="H86" s="639">
        <f t="shared" si="16"/>
        <v>7.6</v>
      </c>
      <c r="I86" s="639">
        <f t="shared" si="17"/>
        <v>3.04</v>
      </c>
      <c r="J86" s="894"/>
      <c r="K86" s="894"/>
      <c r="L86" s="894" t="s">
        <v>2148</v>
      </c>
      <c r="M86" s="599"/>
      <c r="N86" s="599"/>
      <c r="O86" s="599"/>
      <c r="P86" s="599"/>
      <c r="Q86" s="599"/>
      <c r="R86" s="599"/>
      <c r="S86" s="894"/>
      <c r="T86" s="894" t="s">
        <v>2149</v>
      </c>
      <c r="U86" s="599"/>
      <c r="V86" s="599"/>
      <c r="W86" s="599"/>
      <c r="X86" s="599"/>
      <c r="Y86" s="599"/>
      <c r="Z86" s="599"/>
    </row>
    <row r="87" spans="2:26" x14ac:dyDescent="0.2">
      <c r="B87" s="894" t="s">
        <v>1651</v>
      </c>
      <c r="C87" s="894" t="s">
        <v>1636</v>
      </c>
      <c r="D87" s="894" t="s">
        <v>2128</v>
      </c>
      <c r="E87" s="639">
        <v>306462.27830835659</v>
      </c>
      <c r="F87" s="639">
        <f t="shared" si="14"/>
        <v>229846.70873126743</v>
      </c>
      <c r="G87" s="639">
        <f t="shared" si="15"/>
        <v>153231.13915417829</v>
      </c>
      <c r="H87" s="639">
        <f t="shared" si="16"/>
        <v>76615.569577089147</v>
      </c>
      <c r="I87" s="639">
        <f t="shared" si="17"/>
        <v>30646.227830835662</v>
      </c>
      <c r="J87" s="894"/>
      <c r="K87" s="894"/>
      <c r="L87" s="894"/>
      <c r="M87" s="599" t="s">
        <v>1649</v>
      </c>
      <c r="N87" s="599" t="s">
        <v>1644</v>
      </c>
      <c r="O87" s="599" t="s">
        <v>1650</v>
      </c>
      <c r="P87" s="599" t="s">
        <v>1675</v>
      </c>
      <c r="Q87" s="599" t="s">
        <v>1651</v>
      </c>
      <c r="R87" s="599" t="s">
        <v>1832</v>
      </c>
      <c r="S87" s="894"/>
      <c r="T87" s="894"/>
      <c r="U87" s="599" t="s">
        <v>1649</v>
      </c>
      <c r="V87" s="599" t="s">
        <v>1644</v>
      </c>
      <c r="W87" s="599" t="s">
        <v>1650</v>
      </c>
      <c r="X87" s="599" t="s">
        <v>1675</v>
      </c>
      <c r="Y87" s="599" t="s">
        <v>1651</v>
      </c>
      <c r="Z87" s="599" t="s">
        <v>1832</v>
      </c>
    </row>
    <row r="88" spans="2:26" x14ac:dyDescent="0.2">
      <c r="B88" s="894" t="s">
        <v>1844</v>
      </c>
      <c r="C88" s="894" t="s">
        <v>1635</v>
      </c>
      <c r="D88" s="894" t="s">
        <v>2105</v>
      </c>
      <c r="E88" s="639">
        <v>1127864.3667357678</v>
      </c>
      <c r="F88" s="639">
        <f t="shared" si="14"/>
        <v>845898.27505182591</v>
      </c>
      <c r="G88" s="639">
        <f t="shared" si="15"/>
        <v>563932.1833678839</v>
      </c>
      <c r="H88" s="639">
        <f t="shared" si="16"/>
        <v>281966.09168394195</v>
      </c>
      <c r="I88" s="639">
        <f t="shared" si="17"/>
        <v>112786.43667357678</v>
      </c>
      <c r="J88" s="894"/>
      <c r="K88" s="894"/>
      <c r="L88" s="894"/>
      <c r="M88" s="602">
        <f>SUM(M89:M90)</f>
        <v>0.63982463235096065</v>
      </c>
      <c r="N88" s="602">
        <f t="shared" ref="N88:Q88" si="26">SUM(N89:N90)</f>
        <v>0.32955872815190346</v>
      </c>
      <c r="O88" s="602">
        <f t="shared" si="26"/>
        <v>4.0663201109406272E-2</v>
      </c>
      <c r="P88" s="602">
        <f t="shared" si="26"/>
        <v>1.164493204358535</v>
      </c>
      <c r="Q88" s="602">
        <f t="shared" si="26"/>
        <v>1.1600931484677317</v>
      </c>
      <c r="R88" s="604">
        <f>SUM(R89:R90)</f>
        <v>3.3346329144385374</v>
      </c>
      <c r="S88" s="894"/>
      <c r="T88" s="894"/>
      <c r="U88" s="602">
        <f>SUM(U89:U90)</f>
        <v>0.9554146243768239</v>
      </c>
      <c r="V88" s="602">
        <f t="shared" ref="V88:Y88" si="27">SUM(V89:V90)</f>
        <v>0.6851243269784959</v>
      </c>
      <c r="W88" s="602">
        <f t="shared" si="27"/>
        <v>9.0744943970661684E-2</v>
      </c>
      <c r="X88" s="602">
        <f t="shared" si="27"/>
        <v>2.0242604287169748</v>
      </c>
      <c r="Y88" s="602">
        <f t="shared" si="27"/>
        <v>1.3287652509989749</v>
      </c>
      <c r="Z88" s="604">
        <f>SUM(Z89:Z90)</f>
        <v>5.0843095750419316</v>
      </c>
    </row>
    <row r="89" spans="2:26" x14ac:dyDescent="0.2">
      <c r="B89" s="894" t="s">
        <v>1844</v>
      </c>
      <c r="C89" s="894" t="s">
        <v>1717</v>
      </c>
      <c r="D89" s="894" t="s">
        <v>2106</v>
      </c>
      <c r="E89" s="639">
        <v>1279.4000000000001</v>
      </c>
      <c r="F89" s="639">
        <f t="shared" si="14"/>
        <v>959.55000000000007</v>
      </c>
      <c r="G89" s="639">
        <f t="shared" si="15"/>
        <v>639.70000000000005</v>
      </c>
      <c r="H89" s="639">
        <f t="shared" si="16"/>
        <v>319.85000000000002</v>
      </c>
      <c r="I89" s="639">
        <f t="shared" si="17"/>
        <v>127.94000000000001</v>
      </c>
      <c r="J89" s="894"/>
      <c r="K89" s="894"/>
      <c r="L89" s="894" t="s">
        <v>2122</v>
      </c>
      <c r="M89" s="603">
        <f>M82+$X$62</f>
        <v>0.43038220592845922</v>
      </c>
      <c r="N89" s="603">
        <f>N82+$X$63</f>
        <v>0.20768261722539577</v>
      </c>
      <c r="O89" s="603">
        <f>O82+$X$64</f>
        <v>2.4528127494151133E-2</v>
      </c>
      <c r="P89" s="603">
        <f>P82+$X$65</f>
        <v>1.0832857924118793</v>
      </c>
      <c r="Q89" s="603">
        <f>Q82+$X$66</f>
        <v>0.89933032747714281</v>
      </c>
      <c r="R89" s="603">
        <f>SUM(M89:Q89)</f>
        <v>2.6452090705370281</v>
      </c>
      <c r="S89" s="894"/>
      <c r="T89" s="894" t="s">
        <v>2122</v>
      </c>
      <c r="U89" s="603">
        <f t="shared" ref="U89:Y90" si="28">M76*$Q$137</f>
        <v>0.64266586940350445</v>
      </c>
      <c r="V89" s="603">
        <f t="shared" si="28"/>
        <v>0.43175434663680606</v>
      </c>
      <c r="W89" s="603">
        <f t="shared" si="28"/>
        <v>5.4737538964858189E-2</v>
      </c>
      <c r="X89" s="603">
        <f t="shared" si="28"/>
        <v>1.883096057892943</v>
      </c>
      <c r="Y89" s="603">
        <f t="shared" si="28"/>
        <v>1.0300887389081888</v>
      </c>
      <c r="Z89" s="603">
        <f>SUM(U89:Y89)</f>
        <v>4.0423425518063008</v>
      </c>
    </row>
    <row r="90" spans="2:26" x14ac:dyDescent="0.2">
      <c r="B90" s="894" t="s">
        <v>1844</v>
      </c>
      <c r="C90" s="894" t="s">
        <v>1636</v>
      </c>
      <c r="D90" s="894" t="s">
        <v>2108</v>
      </c>
      <c r="E90" s="639">
        <v>9289.7997101449255</v>
      </c>
      <c r="F90" s="639">
        <f t="shared" si="14"/>
        <v>6967.3497826086941</v>
      </c>
      <c r="G90" s="639">
        <f t="shared" si="15"/>
        <v>4644.8998550724627</v>
      </c>
      <c r="H90" s="639">
        <f t="shared" si="16"/>
        <v>2322.4499275362314</v>
      </c>
      <c r="I90" s="639">
        <f t="shared" si="17"/>
        <v>928.97997101449255</v>
      </c>
      <c r="J90" s="894"/>
      <c r="K90" s="894"/>
      <c r="L90" s="894" t="s">
        <v>2124</v>
      </c>
      <c r="M90" s="602">
        <f>M83+$Y$62</f>
        <v>0.20944242642250149</v>
      </c>
      <c r="N90" s="602">
        <f>N83+$Y$63</f>
        <v>0.12187611092650771</v>
      </c>
      <c r="O90" s="602">
        <f>O83+$Y$64</f>
        <v>1.6135073615255142E-2</v>
      </c>
      <c r="P90" s="602">
        <f>P83+$Y$65</f>
        <v>8.1207411946655692E-2</v>
      </c>
      <c r="Q90" s="602">
        <f>Q83+$Y$66</f>
        <v>0.26076282099058895</v>
      </c>
      <c r="R90" s="602">
        <f>SUM(M90:Q90)</f>
        <v>0.68942384390150901</v>
      </c>
      <c r="S90" s="894"/>
      <c r="T90" s="894" t="s">
        <v>2124</v>
      </c>
      <c r="U90" s="602">
        <f t="shared" si="28"/>
        <v>0.31274875497331944</v>
      </c>
      <c r="V90" s="602">
        <f t="shared" si="28"/>
        <v>0.25336998034168989</v>
      </c>
      <c r="W90" s="602">
        <f t="shared" si="28"/>
        <v>3.6007405005803489E-2</v>
      </c>
      <c r="X90" s="602">
        <f t="shared" si="28"/>
        <v>0.14116437082403177</v>
      </c>
      <c r="Y90" s="602">
        <f t="shared" si="28"/>
        <v>0.29867651209078616</v>
      </c>
      <c r="Z90" s="602">
        <f>SUM(U90:Y90)</f>
        <v>1.0419670232356308</v>
      </c>
    </row>
    <row r="91" spans="2:26" x14ac:dyDescent="0.2">
      <c r="B91" s="894" t="s">
        <v>1844</v>
      </c>
      <c r="C91" s="894" t="s">
        <v>1636</v>
      </c>
      <c r="D91" s="894" t="s">
        <v>2109</v>
      </c>
      <c r="E91" s="639">
        <v>4427.0232222222239</v>
      </c>
      <c r="F91" s="639">
        <f t="shared" si="14"/>
        <v>3320.2674166666679</v>
      </c>
      <c r="G91" s="639">
        <f t="shared" si="15"/>
        <v>2213.511611111112</v>
      </c>
      <c r="H91" s="639">
        <f t="shared" si="16"/>
        <v>1106.755805555556</v>
      </c>
      <c r="I91" s="639">
        <f t="shared" si="17"/>
        <v>442.70232222222239</v>
      </c>
      <c r="J91" s="894"/>
      <c r="K91" s="894"/>
      <c r="L91" s="894"/>
      <c r="M91" s="894"/>
      <c r="N91" s="894"/>
      <c r="O91" s="894"/>
      <c r="P91" s="894"/>
      <c r="Q91" s="894"/>
      <c r="R91" s="894"/>
      <c r="S91" s="894"/>
      <c r="T91" s="894"/>
      <c r="U91" s="894"/>
      <c r="V91" s="894"/>
      <c r="W91" s="894"/>
      <c r="X91" s="894"/>
      <c r="Y91" s="894"/>
      <c r="Z91" s="894"/>
    </row>
    <row r="92" spans="2:26" x14ac:dyDescent="0.2">
      <c r="B92" s="894" t="s">
        <v>1844</v>
      </c>
      <c r="C92" s="894" t="s">
        <v>1636</v>
      </c>
      <c r="D92" s="894" t="s">
        <v>2111</v>
      </c>
      <c r="E92" s="639">
        <v>530.39333333333332</v>
      </c>
      <c r="F92" s="639">
        <f t="shared" si="14"/>
        <v>397.79499999999996</v>
      </c>
      <c r="G92" s="639">
        <f t="shared" si="15"/>
        <v>265.19666666666666</v>
      </c>
      <c r="H92" s="639">
        <f t="shared" si="16"/>
        <v>132.59833333333333</v>
      </c>
      <c r="I92" s="639">
        <f t="shared" si="17"/>
        <v>53.039333333333332</v>
      </c>
      <c r="J92" s="894"/>
      <c r="K92" s="894"/>
      <c r="L92" s="894"/>
      <c r="M92" s="894"/>
      <c r="N92" s="894"/>
      <c r="O92" s="894"/>
      <c r="P92" s="894"/>
      <c r="Q92" s="894"/>
      <c r="R92" s="894"/>
      <c r="S92" s="894"/>
      <c r="T92" s="894"/>
      <c r="U92" s="894"/>
      <c r="V92" s="894"/>
      <c r="W92" s="894"/>
      <c r="X92" s="894"/>
      <c r="Y92" s="894"/>
      <c r="Z92" s="894"/>
    </row>
    <row r="93" spans="2:26" x14ac:dyDescent="0.2">
      <c r="B93" s="894" t="s">
        <v>1844</v>
      </c>
      <c r="C93" s="894" t="s">
        <v>1636</v>
      </c>
      <c r="D93" s="894" t="s">
        <v>2112</v>
      </c>
      <c r="E93" s="639">
        <v>10125.106166666672</v>
      </c>
      <c r="F93" s="639">
        <f t="shared" si="14"/>
        <v>7593.8296250000039</v>
      </c>
      <c r="G93" s="639">
        <f t="shared" si="15"/>
        <v>5062.553083333336</v>
      </c>
      <c r="H93" s="639">
        <f t="shared" si="16"/>
        <v>2531.276541666668</v>
      </c>
      <c r="I93" s="639">
        <f t="shared" si="17"/>
        <v>1012.5106166666673</v>
      </c>
      <c r="J93" s="894"/>
      <c r="K93" s="894"/>
      <c r="L93" s="894" t="s">
        <v>2150</v>
      </c>
      <c r="M93" s="599"/>
      <c r="N93" s="599"/>
      <c r="O93" s="599"/>
      <c r="P93" s="599"/>
      <c r="Q93" s="599"/>
      <c r="R93" s="599"/>
      <c r="S93" s="894"/>
      <c r="T93" s="894" t="s">
        <v>2151</v>
      </c>
      <c r="U93" s="599"/>
      <c r="V93" s="599"/>
      <c r="W93" s="599"/>
      <c r="X93" s="599"/>
      <c r="Y93" s="599"/>
      <c r="Z93" s="599"/>
    </row>
    <row r="94" spans="2:26" x14ac:dyDescent="0.2">
      <c r="B94" s="894" t="s">
        <v>1844</v>
      </c>
      <c r="C94" s="894" t="s">
        <v>2107</v>
      </c>
      <c r="D94" s="894" t="s">
        <v>2107</v>
      </c>
      <c r="E94" s="639">
        <v>2650.5075975975974</v>
      </c>
      <c r="F94" s="639">
        <f t="shared" si="14"/>
        <v>1987.8806981981979</v>
      </c>
      <c r="G94" s="639">
        <f t="shared" si="15"/>
        <v>1325.2537987987987</v>
      </c>
      <c r="H94" s="639">
        <f t="shared" si="16"/>
        <v>662.62689939939935</v>
      </c>
      <c r="I94" s="639">
        <f t="shared" si="17"/>
        <v>265.05075975975973</v>
      </c>
      <c r="J94" s="894"/>
      <c r="K94" s="894"/>
      <c r="L94" s="894"/>
      <c r="M94" s="599" t="s">
        <v>1649</v>
      </c>
      <c r="N94" s="599" t="s">
        <v>1644</v>
      </c>
      <c r="O94" s="599" t="s">
        <v>1650</v>
      </c>
      <c r="P94" s="599" t="s">
        <v>1675</v>
      </c>
      <c r="Q94" s="599" t="s">
        <v>1651</v>
      </c>
      <c r="R94" s="599" t="s">
        <v>1832</v>
      </c>
      <c r="S94" s="894"/>
      <c r="T94" s="894"/>
      <c r="U94" s="599" t="s">
        <v>1649</v>
      </c>
      <c r="V94" s="599" t="s">
        <v>1644</v>
      </c>
      <c r="W94" s="599" t="s">
        <v>1650</v>
      </c>
      <c r="X94" s="599" t="s">
        <v>1675</v>
      </c>
      <c r="Y94" s="599" t="s">
        <v>1651</v>
      </c>
      <c r="Z94" s="599" t="s">
        <v>1832</v>
      </c>
    </row>
    <row r="95" spans="2:26" x14ac:dyDescent="0.2">
      <c r="B95" s="894" t="s">
        <v>1844</v>
      </c>
      <c r="C95" s="894" t="s">
        <v>1636</v>
      </c>
      <c r="D95" s="894" t="s">
        <v>2113</v>
      </c>
      <c r="E95" s="639">
        <v>3987.8966666666661</v>
      </c>
      <c r="F95" s="639">
        <f t="shared" si="14"/>
        <v>2990.9224999999997</v>
      </c>
      <c r="G95" s="639">
        <f t="shared" si="15"/>
        <v>1993.948333333333</v>
      </c>
      <c r="H95" s="639">
        <f t="shared" si="16"/>
        <v>996.97416666666652</v>
      </c>
      <c r="I95" s="639">
        <f t="shared" si="17"/>
        <v>398.78966666666662</v>
      </c>
      <c r="J95" s="894"/>
      <c r="K95" s="894"/>
      <c r="L95" s="894"/>
      <c r="M95" s="602">
        <f>SUM(M96:M97)</f>
        <v>0.91548896801529667</v>
      </c>
      <c r="N95" s="602">
        <f t="shared" ref="N95:Q95" si="29">SUM(N96:N97)</f>
        <v>0.43982446241763784</v>
      </c>
      <c r="O95" s="602">
        <f t="shared" si="29"/>
        <v>5.1689774535979713E-2</v>
      </c>
      <c r="P95" s="602">
        <f t="shared" si="29"/>
        <v>1.7158218756872068</v>
      </c>
      <c r="Q95" s="602">
        <f t="shared" si="29"/>
        <v>1.7114218197964037</v>
      </c>
      <c r="R95" s="604">
        <f>SUM(R96:R97)</f>
        <v>4.8342469004525253</v>
      </c>
      <c r="S95" s="894"/>
      <c r="T95" s="894"/>
      <c r="U95" s="602">
        <f>SUM(U96:U97)</f>
        <v>1.3524398996342648</v>
      </c>
      <c r="V95" s="602">
        <f t="shared" ref="V95:Y95" si="30">SUM(V96:V97)</f>
        <v>0.96982969736324165</v>
      </c>
      <c r="W95" s="602">
        <f t="shared" si="30"/>
        <v>0.12845426455142267</v>
      </c>
      <c r="X95" s="602">
        <f t="shared" si="30"/>
        <v>2.8654476299578078</v>
      </c>
      <c r="Y95" s="602">
        <f t="shared" si="30"/>
        <v>1.8809374452172611</v>
      </c>
      <c r="Z95" s="604">
        <f>SUM(Z96:Z97)</f>
        <v>7.197108936723998</v>
      </c>
    </row>
    <row r="96" spans="2:26" x14ac:dyDescent="0.2">
      <c r="B96" s="894" t="s">
        <v>1844</v>
      </c>
      <c r="C96" s="894" t="s">
        <v>1637</v>
      </c>
      <c r="D96" s="894" t="s">
        <v>1637</v>
      </c>
      <c r="E96" s="639">
        <v>1318.0650000000003</v>
      </c>
      <c r="F96" s="639">
        <f t="shared" si="14"/>
        <v>988.54875000000015</v>
      </c>
      <c r="G96" s="639">
        <f t="shared" si="15"/>
        <v>659.03250000000014</v>
      </c>
      <c r="H96" s="639">
        <f t="shared" si="16"/>
        <v>329.51625000000007</v>
      </c>
      <c r="I96" s="639">
        <f t="shared" si="17"/>
        <v>131.80650000000003</v>
      </c>
      <c r="J96" s="894"/>
      <c r="K96" s="894"/>
      <c r="L96" s="894" t="s">
        <v>2122</v>
      </c>
      <c r="M96" s="603">
        <f>M89+$X$62</f>
        <v>0.61580961662861866</v>
      </c>
      <c r="N96" s="603">
        <f>N89+$X$63</f>
        <v>0.27717031191036945</v>
      </c>
      <c r="O96" s="603">
        <f>O89+$X$64</f>
        <v>3.1179379521824105E-2</v>
      </c>
      <c r="P96" s="603">
        <f>P89+$X$65</f>
        <v>1.5961668589258433</v>
      </c>
      <c r="Q96" s="603">
        <f>Q89+$X$66</f>
        <v>1.3267327263176563</v>
      </c>
      <c r="R96" s="603">
        <f>SUM(M96:Q96)</f>
        <v>3.8470588933043119</v>
      </c>
      <c r="S96" s="894"/>
      <c r="T96" s="894" t="s">
        <v>2122</v>
      </c>
      <c r="U96" s="603">
        <f t="shared" ref="U96:Y97" si="31">M76*$R$137</f>
        <v>0.90972750650678336</v>
      </c>
      <c r="V96" s="603">
        <f t="shared" si="31"/>
        <v>0.61117109821613502</v>
      </c>
      <c r="W96" s="603">
        <f t="shared" si="31"/>
        <v>7.7483879579659534E-2</v>
      </c>
      <c r="X96" s="603">
        <f t="shared" si="31"/>
        <v>2.6656220017561103</v>
      </c>
      <c r="Y96" s="603">
        <f t="shared" si="31"/>
        <v>1.4581450556841313</v>
      </c>
      <c r="Z96" s="603">
        <f>SUM(U96:Y96)</f>
        <v>5.7221495417428194</v>
      </c>
    </row>
    <row r="97" spans="2:26" x14ac:dyDescent="0.2">
      <c r="B97" s="894" t="s">
        <v>1844</v>
      </c>
      <c r="C97" s="894" t="s">
        <v>1635</v>
      </c>
      <c r="D97" s="894" t="s">
        <v>2114</v>
      </c>
      <c r="E97" s="639">
        <v>4927.3863043478259</v>
      </c>
      <c r="F97" s="639">
        <f t="shared" si="14"/>
        <v>3695.5397282608692</v>
      </c>
      <c r="G97" s="639">
        <f t="shared" si="15"/>
        <v>2463.6931521739129</v>
      </c>
      <c r="H97" s="639">
        <f t="shared" si="16"/>
        <v>1231.8465760869565</v>
      </c>
      <c r="I97" s="639">
        <f t="shared" si="17"/>
        <v>492.73863043478264</v>
      </c>
      <c r="J97" s="894"/>
      <c r="K97" s="894"/>
      <c r="L97" s="894" t="s">
        <v>2124</v>
      </c>
      <c r="M97" s="602">
        <f>M90+$Y$62</f>
        <v>0.29967935138667795</v>
      </c>
      <c r="N97" s="602">
        <f>N90+$Y$63</f>
        <v>0.16265415050726839</v>
      </c>
      <c r="O97" s="602">
        <f>O90+$Y$64</f>
        <v>2.0510395014155608E-2</v>
      </c>
      <c r="P97" s="602">
        <f>P90+$Y$65</f>
        <v>0.11965501676136356</v>
      </c>
      <c r="Q97" s="602">
        <f>Q90+$Y$66</f>
        <v>0.38468909347874736</v>
      </c>
      <c r="R97" s="602">
        <f>SUM(M97:Q97)</f>
        <v>0.98718800714821286</v>
      </c>
      <c r="S97" s="894"/>
      <c r="T97" s="894" t="s">
        <v>2124</v>
      </c>
      <c r="U97" s="602">
        <f t="shared" si="31"/>
        <v>0.4427123931274814</v>
      </c>
      <c r="V97" s="602">
        <f t="shared" si="31"/>
        <v>0.35865859914710663</v>
      </c>
      <c r="W97" s="602">
        <f t="shared" si="31"/>
        <v>5.0970384971763143E-2</v>
      </c>
      <c r="X97" s="602">
        <f t="shared" si="31"/>
        <v>0.19982562820169747</v>
      </c>
      <c r="Y97" s="602">
        <f t="shared" si="31"/>
        <v>0.42279238953312986</v>
      </c>
      <c r="Z97" s="602">
        <f>SUM(U97:Y97)</f>
        <v>1.4749593949811783</v>
      </c>
    </row>
    <row r="98" spans="2:26" x14ac:dyDescent="0.2">
      <c r="B98" s="894" t="s">
        <v>1844</v>
      </c>
      <c r="C98" s="894" t="s">
        <v>1636</v>
      </c>
      <c r="D98" s="894" t="s">
        <v>2115</v>
      </c>
      <c r="E98" s="639">
        <v>18711.78255854288</v>
      </c>
      <c r="F98" s="639">
        <f t="shared" si="14"/>
        <v>14033.83691890716</v>
      </c>
      <c r="G98" s="639">
        <f t="shared" si="15"/>
        <v>9355.89127927144</v>
      </c>
      <c r="H98" s="639">
        <f t="shared" si="16"/>
        <v>4677.94563963572</v>
      </c>
      <c r="I98" s="639">
        <f t="shared" si="17"/>
        <v>1871.1782558542882</v>
      </c>
      <c r="J98" s="894"/>
      <c r="K98" s="894"/>
      <c r="L98" s="894"/>
      <c r="M98" s="602"/>
      <c r="N98" s="602"/>
      <c r="O98" s="602"/>
      <c r="P98" s="602"/>
      <c r="Q98" s="602"/>
      <c r="R98" s="602"/>
      <c r="S98" s="894"/>
      <c r="T98" s="894"/>
      <c r="U98" s="602"/>
      <c r="V98" s="602"/>
      <c r="W98" s="602"/>
      <c r="X98" s="602"/>
      <c r="Y98" s="602"/>
      <c r="Z98" s="602"/>
    </row>
    <row r="99" spans="2:26" x14ac:dyDescent="0.2">
      <c r="B99" s="894" t="s">
        <v>1844</v>
      </c>
      <c r="C99" s="894" t="s">
        <v>2110</v>
      </c>
      <c r="D99" s="894" t="s">
        <v>1723</v>
      </c>
      <c r="E99" s="639">
        <v>1607.6101428571433</v>
      </c>
      <c r="F99" s="639">
        <f t="shared" si="14"/>
        <v>1205.7076071428573</v>
      </c>
      <c r="G99" s="639">
        <f t="shared" si="15"/>
        <v>803.80507142857164</v>
      </c>
      <c r="H99" s="639">
        <f t="shared" si="16"/>
        <v>401.90253571428582</v>
      </c>
      <c r="I99" s="639">
        <f t="shared" si="17"/>
        <v>160.76101428571434</v>
      </c>
      <c r="J99" s="894"/>
      <c r="K99" s="894"/>
      <c r="L99" s="894"/>
      <c r="M99" s="894"/>
      <c r="N99" s="894"/>
      <c r="O99" s="894"/>
      <c r="P99" s="894"/>
      <c r="Q99" s="894"/>
      <c r="R99" s="894"/>
      <c r="S99" s="894"/>
      <c r="T99" s="894"/>
      <c r="U99" s="894"/>
      <c r="V99" s="894"/>
      <c r="W99" s="894"/>
      <c r="X99" s="894"/>
      <c r="Y99" s="894"/>
      <c r="Z99" s="894"/>
    </row>
    <row r="100" spans="2:26" x14ac:dyDescent="0.2">
      <c r="B100" s="894" t="s">
        <v>1844</v>
      </c>
      <c r="C100" s="894" t="s">
        <v>2110</v>
      </c>
      <c r="D100" s="894" t="s">
        <v>2116</v>
      </c>
      <c r="E100" s="639">
        <v>0</v>
      </c>
      <c r="F100" s="639">
        <f t="shared" si="14"/>
        <v>0</v>
      </c>
      <c r="G100" s="639">
        <f t="shared" si="15"/>
        <v>0</v>
      </c>
      <c r="H100" s="639">
        <f t="shared" si="16"/>
        <v>0</v>
      </c>
      <c r="I100" s="639">
        <f t="shared" si="17"/>
        <v>0</v>
      </c>
      <c r="J100" s="894"/>
      <c r="K100" s="894"/>
      <c r="L100" s="894" t="s">
        <v>2152</v>
      </c>
      <c r="M100" s="599"/>
      <c r="N100" s="599"/>
      <c r="O100" s="599"/>
      <c r="P100" s="599"/>
      <c r="Q100" s="599"/>
      <c r="R100" s="599"/>
      <c r="S100" s="894"/>
      <c r="T100" s="894" t="s">
        <v>2153</v>
      </c>
      <c r="U100" s="599"/>
      <c r="V100" s="599"/>
      <c r="W100" s="599"/>
      <c r="X100" s="599"/>
      <c r="Y100" s="599"/>
      <c r="Z100" s="599"/>
    </row>
    <row r="101" spans="2:26" x14ac:dyDescent="0.2">
      <c r="B101" s="894" t="s">
        <v>1844</v>
      </c>
      <c r="C101" s="894" t="s">
        <v>1636</v>
      </c>
      <c r="D101" s="894" t="s">
        <v>2117</v>
      </c>
      <c r="E101" s="639">
        <v>2953.8283333333334</v>
      </c>
      <c r="F101" s="639">
        <f t="shared" si="14"/>
        <v>2215.3712500000001</v>
      </c>
      <c r="G101" s="639">
        <f t="shared" si="15"/>
        <v>1476.9141666666667</v>
      </c>
      <c r="H101" s="639">
        <f t="shared" si="16"/>
        <v>738.45708333333334</v>
      </c>
      <c r="I101" s="639">
        <f t="shared" si="17"/>
        <v>295.38283333333334</v>
      </c>
      <c r="J101" s="894"/>
      <c r="K101" s="894"/>
      <c r="L101" s="894"/>
      <c r="M101" s="599" t="s">
        <v>1649</v>
      </c>
      <c r="N101" s="599" t="s">
        <v>1644</v>
      </c>
      <c r="O101" s="599" t="s">
        <v>1650</v>
      </c>
      <c r="P101" s="599" t="s">
        <v>1675</v>
      </c>
      <c r="Q101" s="599" t="s">
        <v>1651</v>
      </c>
      <c r="R101" s="599" t="s">
        <v>1832</v>
      </c>
      <c r="S101" s="894"/>
      <c r="T101" s="894"/>
      <c r="U101" s="599" t="s">
        <v>1649</v>
      </c>
      <c r="V101" s="599" t="s">
        <v>1644</v>
      </c>
      <c r="W101" s="599" t="s">
        <v>1650</v>
      </c>
      <c r="X101" s="599" t="s">
        <v>1675</v>
      </c>
      <c r="Y101" s="599" t="s">
        <v>1651</v>
      </c>
      <c r="Z101" s="599" t="s">
        <v>1832</v>
      </c>
    </row>
    <row r="102" spans="2:26" x14ac:dyDescent="0.2">
      <c r="B102" s="894" t="s">
        <v>1844</v>
      </c>
      <c r="C102" s="894" t="s">
        <v>1717</v>
      </c>
      <c r="D102" s="894" t="s">
        <v>2118</v>
      </c>
      <c r="E102" s="639">
        <v>2335.6802105263159</v>
      </c>
      <c r="F102" s="639">
        <f t="shared" si="14"/>
        <v>1751.7601578947369</v>
      </c>
      <c r="G102" s="639">
        <f t="shared" si="15"/>
        <v>1167.840105263158</v>
      </c>
      <c r="H102" s="639">
        <f t="shared" si="16"/>
        <v>583.92005263157898</v>
      </c>
      <c r="I102" s="639">
        <f t="shared" si="17"/>
        <v>233.56802105263159</v>
      </c>
      <c r="J102" s="894"/>
      <c r="K102" s="894"/>
      <c r="L102" s="894"/>
      <c r="M102" s="602">
        <f>SUM(M103:M104)</f>
        <v>1.1911533036796325</v>
      </c>
      <c r="N102" s="602">
        <f t="shared" ref="N102:Q102" si="32">SUM(N103:N104)</f>
        <v>0.55009019668337222</v>
      </c>
      <c r="O102" s="602">
        <f t="shared" si="32"/>
        <v>6.2716347962553154E-2</v>
      </c>
      <c r="P102" s="602">
        <f t="shared" si="32"/>
        <v>2.2671505470158788</v>
      </c>
      <c r="Q102" s="602">
        <f t="shared" si="32"/>
        <v>2.2627504911250753</v>
      </c>
      <c r="R102" s="604">
        <f>SUM(R103:R104)</f>
        <v>6.3338608864665122</v>
      </c>
      <c r="S102" s="894"/>
      <c r="T102" s="894"/>
      <c r="U102" s="602">
        <f>SUM(U103:U104)</f>
        <v>1.7483042822739936</v>
      </c>
      <c r="V102" s="602">
        <f t="shared" ref="V102:Y102" si="33">SUM(V103:V104)</f>
        <v>1.253702595904757</v>
      </c>
      <c r="W102" s="602">
        <f t="shared" si="33"/>
        <v>0.16605332396089489</v>
      </c>
      <c r="X102" s="602">
        <f t="shared" si="33"/>
        <v>3.7041752194991053</v>
      </c>
      <c r="Y102" s="602">
        <f t="shared" si="33"/>
        <v>2.4314951008559613</v>
      </c>
      <c r="Z102" s="602">
        <f>SUM(Z103:Z104)</f>
        <v>9.303730522494714</v>
      </c>
    </row>
    <row r="103" spans="2:26" x14ac:dyDescent="0.2">
      <c r="B103" s="894" t="s">
        <v>1844</v>
      </c>
      <c r="C103" s="894" t="s">
        <v>1635</v>
      </c>
      <c r="D103" s="894" t="s">
        <v>2119</v>
      </c>
      <c r="E103" s="639">
        <v>36302.729945828862</v>
      </c>
      <c r="F103" s="639">
        <f t="shared" si="14"/>
        <v>27227.047459371646</v>
      </c>
      <c r="G103" s="639">
        <f t="shared" si="15"/>
        <v>18151.364972914431</v>
      </c>
      <c r="H103" s="639">
        <f t="shared" si="16"/>
        <v>9075.6824864572154</v>
      </c>
      <c r="I103" s="639">
        <f t="shared" si="17"/>
        <v>3630.2729945828864</v>
      </c>
      <c r="J103" s="894"/>
      <c r="K103" s="894"/>
      <c r="L103" s="894" t="s">
        <v>2122</v>
      </c>
      <c r="M103" s="603">
        <f>M96+$X$62</f>
        <v>0.80123702732877811</v>
      </c>
      <c r="N103" s="603">
        <f>N96+$X$63</f>
        <v>0.34665800659534318</v>
      </c>
      <c r="O103" s="603">
        <f>O96+$X$64</f>
        <v>3.7830631549497076E-2</v>
      </c>
      <c r="P103" s="603">
        <f>P96+$X$65</f>
        <v>2.1090479254398073</v>
      </c>
      <c r="Q103" s="603">
        <f>Q96+$X$66</f>
        <v>1.7541351251581698</v>
      </c>
      <c r="R103" s="603">
        <f>SUM(M103:Q103)</f>
        <v>5.0489087160715957</v>
      </c>
      <c r="S103" s="894"/>
      <c r="T103" s="605" t="s">
        <v>2122</v>
      </c>
      <c r="U103" s="603">
        <f t="shared" ref="U103:Y104" si="34">M76*$S$137</f>
        <v>1.1760082616302281</v>
      </c>
      <c r="V103" s="603">
        <f t="shared" si="34"/>
        <v>0.79006323941072898</v>
      </c>
      <c r="W103" s="603">
        <f t="shared" si="34"/>
        <v>0.10016371042658133</v>
      </c>
      <c r="X103" s="603">
        <f t="shared" si="34"/>
        <v>3.4458598580641215</v>
      </c>
      <c r="Y103" s="603">
        <f t="shared" si="34"/>
        <v>1.8849497458028339</v>
      </c>
      <c r="Z103" s="603">
        <f>SUM(U103:Y103)</f>
        <v>7.3970448153344943</v>
      </c>
    </row>
    <row r="104" spans="2:26" x14ac:dyDescent="0.2">
      <c r="B104" s="894" t="s">
        <v>1844</v>
      </c>
      <c r="C104" s="894" t="s">
        <v>1636</v>
      </c>
      <c r="D104" s="894" t="s">
        <v>2120</v>
      </c>
      <c r="E104" s="639">
        <v>16379.230530303037</v>
      </c>
      <c r="F104" s="639">
        <f t="shared" si="14"/>
        <v>12284.422897727278</v>
      </c>
      <c r="G104" s="639">
        <f t="shared" si="15"/>
        <v>8189.6152651515185</v>
      </c>
      <c r="H104" s="639">
        <f t="shared" si="16"/>
        <v>4094.8076325757593</v>
      </c>
      <c r="I104" s="639">
        <f t="shared" si="17"/>
        <v>1637.9230530303039</v>
      </c>
      <c r="J104" s="894"/>
      <c r="K104" s="894"/>
      <c r="L104" s="894" t="s">
        <v>2124</v>
      </c>
      <c r="M104" s="602">
        <f>M97+$Y$62</f>
        <v>0.38991627635085441</v>
      </c>
      <c r="N104" s="602">
        <f>N97+$Y$63</f>
        <v>0.20343219008802907</v>
      </c>
      <c r="O104" s="602">
        <f>O97+$Y$64</f>
        <v>2.4885716413056078E-2</v>
      </c>
      <c r="P104" s="602">
        <f>P97+$Y$65</f>
        <v>0.15810262157607144</v>
      </c>
      <c r="Q104" s="602">
        <f>Q97+$Y$66</f>
        <v>0.50861536596690571</v>
      </c>
      <c r="R104" s="602">
        <f>SUM(M104:Q104)</f>
        <v>1.2849521703949167</v>
      </c>
      <c r="S104" s="894"/>
      <c r="T104" s="894" t="s">
        <v>2124</v>
      </c>
      <c r="U104" s="602">
        <f t="shared" si="34"/>
        <v>0.57229602064376561</v>
      </c>
      <c r="V104" s="602">
        <f t="shared" si="34"/>
        <v>0.46363935649402793</v>
      </c>
      <c r="W104" s="602">
        <f t="shared" si="34"/>
        <v>6.5889613534313551E-2</v>
      </c>
      <c r="X104" s="602">
        <f t="shared" si="34"/>
        <v>0.25831536143498401</v>
      </c>
      <c r="Y104" s="602">
        <f t="shared" si="34"/>
        <v>0.54654535505312751</v>
      </c>
      <c r="Z104" s="602">
        <f>SUM(U104:Y104)</f>
        <v>1.9066857071602188</v>
      </c>
    </row>
    <row r="105" spans="2:26" x14ac:dyDescent="0.2">
      <c r="B105" s="894" t="s">
        <v>1844</v>
      </c>
      <c r="C105" s="894" t="s">
        <v>1636</v>
      </c>
      <c r="D105" s="894" t="s">
        <v>2121</v>
      </c>
      <c r="E105" s="639">
        <v>5965.1333333333332</v>
      </c>
      <c r="F105" s="639">
        <f t="shared" si="14"/>
        <v>4473.8500000000004</v>
      </c>
      <c r="G105" s="639">
        <f t="shared" si="15"/>
        <v>2982.5666666666666</v>
      </c>
      <c r="H105" s="639">
        <f t="shared" si="16"/>
        <v>1491.2833333333333</v>
      </c>
      <c r="I105" s="639">
        <f t="shared" si="17"/>
        <v>596.51333333333332</v>
      </c>
      <c r="J105" s="894"/>
      <c r="K105" s="894"/>
      <c r="L105" s="894"/>
      <c r="M105" s="602"/>
      <c r="N105" s="602"/>
      <c r="O105" s="602"/>
      <c r="P105" s="602"/>
      <c r="Q105" s="602"/>
      <c r="R105" s="602"/>
      <c r="S105" s="894"/>
      <c r="T105" s="894"/>
      <c r="U105" s="602"/>
      <c r="V105" s="602"/>
      <c r="W105" s="602"/>
      <c r="X105" s="602"/>
      <c r="Y105" s="602"/>
      <c r="Z105" s="602"/>
    </row>
    <row r="106" spans="2:26" x14ac:dyDescent="0.2">
      <c r="B106" s="894" t="s">
        <v>1844</v>
      </c>
      <c r="C106" s="894" t="s">
        <v>1636</v>
      </c>
      <c r="D106" s="894" t="s">
        <v>2123</v>
      </c>
      <c r="E106" s="639">
        <v>364.78000000000003</v>
      </c>
      <c r="F106" s="639">
        <f t="shared" si="14"/>
        <v>273.58500000000004</v>
      </c>
      <c r="G106" s="639">
        <f t="shared" si="15"/>
        <v>182.39000000000001</v>
      </c>
      <c r="H106" s="639">
        <f t="shared" si="16"/>
        <v>91.195000000000007</v>
      </c>
      <c r="I106" s="639">
        <f t="shared" si="17"/>
        <v>36.478000000000002</v>
      </c>
      <c r="J106" s="894"/>
      <c r="K106" s="894"/>
      <c r="L106" s="894"/>
      <c r="M106" s="894"/>
      <c r="N106" s="894"/>
      <c r="O106" s="894"/>
      <c r="P106" s="894"/>
      <c r="Q106" s="894"/>
      <c r="R106" s="894"/>
      <c r="S106" s="894"/>
      <c r="T106" s="894"/>
      <c r="U106" s="894"/>
      <c r="V106" s="894"/>
      <c r="W106" s="894"/>
      <c r="X106" s="894"/>
      <c r="Y106" s="894"/>
      <c r="Z106" s="894"/>
    </row>
    <row r="107" spans="2:26" x14ac:dyDescent="0.2">
      <c r="B107" s="894" t="s">
        <v>1844</v>
      </c>
      <c r="C107" s="894" t="s">
        <v>1636</v>
      </c>
      <c r="D107" s="894" t="s">
        <v>2126</v>
      </c>
      <c r="E107" s="639">
        <v>3069.2849029126214</v>
      </c>
      <c r="F107" s="639">
        <f t="shared" si="14"/>
        <v>2301.9636771844662</v>
      </c>
      <c r="G107" s="639">
        <f t="shared" si="15"/>
        <v>1534.6424514563107</v>
      </c>
      <c r="H107" s="639">
        <f t="shared" si="16"/>
        <v>767.32122572815535</v>
      </c>
      <c r="I107" s="639">
        <f t="shared" si="17"/>
        <v>306.92849029126216</v>
      </c>
      <c r="J107" s="894"/>
      <c r="K107" s="894"/>
      <c r="L107" s="894" t="s">
        <v>2154</v>
      </c>
      <c r="M107" s="599"/>
      <c r="N107" s="599"/>
      <c r="O107" s="599"/>
      <c r="P107" s="599"/>
      <c r="Q107" s="599"/>
      <c r="R107" s="599"/>
      <c r="S107" s="894"/>
      <c r="T107" s="894" t="s">
        <v>2155</v>
      </c>
      <c r="U107" s="599"/>
      <c r="V107" s="599"/>
      <c r="W107" s="599"/>
      <c r="X107" s="599"/>
      <c r="Y107" s="599"/>
      <c r="Z107" s="599"/>
    </row>
    <row r="108" spans="2:26" x14ac:dyDescent="0.2">
      <c r="B108" s="894" t="s">
        <v>1844</v>
      </c>
      <c r="C108" s="894" t="s">
        <v>1636</v>
      </c>
      <c r="D108" s="894" t="s">
        <v>2128</v>
      </c>
      <c r="E108" s="639">
        <v>4252.0611446886451</v>
      </c>
      <c r="F108" s="639">
        <f t="shared" si="14"/>
        <v>3189.0458585164838</v>
      </c>
      <c r="G108" s="639">
        <f t="shared" si="15"/>
        <v>2126.0305723443225</v>
      </c>
      <c r="H108" s="639">
        <f t="shared" si="16"/>
        <v>1063.0152861721613</v>
      </c>
      <c r="I108" s="639">
        <f t="shared" si="17"/>
        <v>425.20611446886454</v>
      </c>
      <c r="J108" s="894"/>
      <c r="K108" s="894"/>
      <c r="L108" s="894"/>
      <c r="M108" s="599" t="s">
        <v>1649</v>
      </c>
      <c r="N108" s="599" t="s">
        <v>1644</v>
      </c>
      <c r="O108" s="599" t="s">
        <v>1650</v>
      </c>
      <c r="P108" s="599" t="s">
        <v>1675</v>
      </c>
      <c r="Q108" s="599" t="s">
        <v>1651</v>
      </c>
      <c r="R108" s="599" t="s">
        <v>1832</v>
      </c>
      <c r="S108" s="894"/>
      <c r="T108" s="894"/>
      <c r="U108" s="599" t="s">
        <v>1649</v>
      </c>
      <c r="V108" s="599" t="s">
        <v>1644</v>
      </c>
      <c r="W108" s="599" t="s">
        <v>1650</v>
      </c>
      <c r="X108" s="599" t="s">
        <v>1675</v>
      </c>
      <c r="Y108" s="599" t="s">
        <v>1651</v>
      </c>
      <c r="Z108" s="599" t="s">
        <v>1832</v>
      </c>
    </row>
    <row r="109" spans="2:26" x14ac:dyDescent="0.2">
      <c r="B109" s="894"/>
      <c r="C109" s="894"/>
      <c r="D109" s="894"/>
      <c r="E109" s="894"/>
      <c r="F109" s="894"/>
      <c r="G109" s="894"/>
      <c r="H109" s="894"/>
      <c r="I109" s="894"/>
      <c r="J109" s="894"/>
      <c r="K109" s="894"/>
      <c r="L109" s="894"/>
      <c r="M109" s="602">
        <f>SUM(M110:M111)</f>
        <v>1.4668176393439685</v>
      </c>
      <c r="N109" s="602">
        <f t="shared" ref="N109:Q109" si="35">SUM(N110:N111)</f>
        <v>0.66035593094910672</v>
      </c>
      <c r="O109" s="602">
        <f t="shared" si="35"/>
        <v>7.3742921389126595E-2</v>
      </c>
      <c r="P109" s="602">
        <f t="shared" si="35"/>
        <v>2.8184792183445504</v>
      </c>
      <c r="Q109" s="602">
        <f t="shared" si="35"/>
        <v>2.8140791624537473</v>
      </c>
      <c r="R109" s="602">
        <f>SUM(R110:R111)</f>
        <v>7.8334748724804992</v>
      </c>
      <c r="S109" s="894"/>
      <c r="T109" s="894"/>
      <c r="U109" s="602">
        <f>SUM(U110:U111)</f>
        <v>2.1453295575314346</v>
      </c>
      <c r="V109" s="602">
        <f t="shared" ref="V109:Y109" si="36">SUM(V110:V111)</f>
        <v>1.5384079662895025</v>
      </c>
      <c r="W109" s="602">
        <f t="shared" si="36"/>
        <v>0.20376264454165588</v>
      </c>
      <c r="X109" s="602">
        <f t="shared" si="36"/>
        <v>4.5453624207399379</v>
      </c>
      <c r="Y109" s="602">
        <f t="shared" si="36"/>
        <v>2.9836672950742473</v>
      </c>
      <c r="Z109" s="602">
        <f>SUM(Z110:Z111)</f>
        <v>11.416529884176779</v>
      </c>
    </row>
    <row r="110" spans="2:26" x14ac:dyDescent="0.2">
      <c r="B110" s="894"/>
      <c r="C110" s="894"/>
      <c r="D110" s="894"/>
      <c r="E110" s="894"/>
      <c r="F110" s="894"/>
      <c r="G110" s="894"/>
      <c r="H110" s="894"/>
      <c r="I110" s="894"/>
      <c r="J110" s="894"/>
      <c r="K110" s="894"/>
      <c r="L110" s="894" t="s">
        <v>2122</v>
      </c>
      <c r="M110" s="603">
        <f>M103+$X$62</f>
        <v>0.98666443802893755</v>
      </c>
      <c r="N110" s="603">
        <f>N103+$X$63</f>
        <v>0.41614570128031692</v>
      </c>
      <c r="O110" s="603">
        <f>O103+$X$64</f>
        <v>4.4481883577170048E-2</v>
      </c>
      <c r="P110" s="603">
        <f>P103+$X$65</f>
        <v>2.6219289919537712</v>
      </c>
      <c r="Q110" s="603">
        <f>Q103+$X$66</f>
        <v>2.1815375239986832</v>
      </c>
      <c r="R110" s="603">
        <f>SUM(M110:Q110)</f>
        <v>6.2507585388388787</v>
      </c>
      <c r="S110" s="605"/>
      <c r="T110" s="605" t="s">
        <v>2122</v>
      </c>
      <c r="U110" s="603">
        <f t="shared" ref="U110:Y111" si="37">M76*$T$137</f>
        <v>1.4430698987335069</v>
      </c>
      <c r="V110" s="603">
        <f t="shared" si="37"/>
        <v>0.96947999099005777</v>
      </c>
      <c r="W110" s="603">
        <f t="shared" si="37"/>
        <v>0.12291005104138267</v>
      </c>
      <c r="X110" s="603">
        <f t="shared" si="37"/>
        <v>4.2283858019272884</v>
      </c>
      <c r="Y110" s="603">
        <f t="shared" si="37"/>
        <v>2.3130060625787761</v>
      </c>
      <c r="Z110" s="603">
        <f>SUM(U110:Y110)</f>
        <v>9.0768518052710121</v>
      </c>
    </row>
    <row r="111" spans="2:26" x14ac:dyDescent="0.2">
      <c r="B111" s="894"/>
      <c r="C111" s="894"/>
      <c r="D111" s="894"/>
      <c r="E111" s="894" t="s">
        <v>2156</v>
      </c>
      <c r="F111" s="894"/>
      <c r="G111" s="894"/>
      <c r="H111" s="894"/>
      <c r="I111" s="894"/>
      <c r="J111" s="894"/>
      <c r="K111" s="894"/>
      <c r="L111" s="894" t="s">
        <v>2124</v>
      </c>
      <c r="M111" s="602">
        <f>M104+$Y$62</f>
        <v>0.48015320131503086</v>
      </c>
      <c r="N111" s="602">
        <f>N104+$Y$63</f>
        <v>0.24421022966878975</v>
      </c>
      <c r="O111" s="602">
        <f>O104+$Y$64</f>
        <v>2.9261037811956547E-2</v>
      </c>
      <c r="P111" s="602">
        <f>P104+$Y$65</f>
        <v>0.19655022639077932</v>
      </c>
      <c r="Q111" s="602">
        <f>Q104+$Y$66</f>
        <v>0.63254163845506406</v>
      </c>
      <c r="R111" s="602">
        <f>SUM(M111:Q111)</f>
        <v>1.5827163336416206</v>
      </c>
      <c r="S111" s="894"/>
      <c r="T111" s="894" t="s">
        <v>2124</v>
      </c>
      <c r="U111" s="602">
        <f t="shared" si="37"/>
        <v>0.70225965879792751</v>
      </c>
      <c r="V111" s="602">
        <f t="shared" si="37"/>
        <v>0.56892797529944461</v>
      </c>
      <c r="W111" s="602">
        <f t="shared" si="37"/>
        <v>8.0852593500273198E-2</v>
      </c>
      <c r="X111" s="602">
        <f t="shared" si="37"/>
        <v>0.31697661881264971</v>
      </c>
      <c r="Y111" s="602">
        <f t="shared" si="37"/>
        <v>0.67066123249547116</v>
      </c>
      <c r="Z111" s="602">
        <f>SUM(U111:Y111)</f>
        <v>2.3396780789057665</v>
      </c>
    </row>
    <row r="112" spans="2:26" x14ac:dyDescent="0.2">
      <c r="B112" s="894"/>
      <c r="C112" s="894"/>
      <c r="D112" s="894"/>
      <c r="E112" s="894"/>
      <c r="F112" s="894"/>
      <c r="G112" s="894"/>
      <c r="H112" s="894"/>
      <c r="I112" s="894"/>
      <c r="J112" s="894"/>
      <c r="K112" s="894"/>
      <c r="L112" s="894"/>
      <c r="M112" s="602"/>
      <c r="N112" s="602"/>
      <c r="O112" s="602"/>
      <c r="P112" s="602"/>
      <c r="Q112" s="602"/>
      <c r="R112" s="602"/>
      <c r="S112" s="894"/>
      <c r="T112" s="894"/>
      <c r="U112" s="602"/>
      <c r="V112" s="602"/>
      <c r="W112" s="602"/>
      <c r="X112" s="602"/>
      <c r="Y112" s="602"/>
      <c r="Z112" s="602"/>
    </row>
    <row r="113" spans="3:26" x14ac:dyDescent="0.2">
      <c r="C113" s="894" t="s">
        <v>2157</v>
      </c>
      <c r="D113" s="894" t="s">
        <v>2158</v>
      </c>
      <c r="E113" s="894">
        <v>2</v>
      </c>
      <c r="F113" s="894" t="s">
        <v>450</v>
      </c>
      <c r="G113" s="894" t="s">
        <v>2159</v>
      </c>
      <c r="H113" s="894" t="s">
        <v>2160</v>
      </c>
      <c r="I113" s="894" t="s">
        <v>2159</v>
      </c>
      <c r="J113" s="894"/>
      <c r="K113" s="894"/>
      <c r="L113" s="894"/>
      <c r="M113" s="894"/>
      <c r="N113" s="894"/>
      <c r="O113" s="894"/>
      <c r="P113" s="894"/>
      <c r="Q113" s="894"/>
      <c r="R113" s="894"/>
      <c r="S113" s="894"/>
      <c r="T113" s="894"/>
      <c r="U113" s="894"/>
      <c r="V113" s="894"/>
      <c r="W113" s="894"/>
      <c r="X113" s="894"/>
      <c r="Y113" s="894"/>
      <c r="Z113" s="894"/>
    </row>
    <row r="114" spans="3:26" x14ac:dyDescent="0.2">
      <c r="C114" s="894"/>
      <c r="D114" s="894"/>
      <c r="E114" s="894"/>
      <c r="F114" s="894"/>
      <c r="G114" s="894"/>
      <c r="H114" s="894" t="s">
        <v>2161</v>
      </c>
      <c r="I114" s="894"/>
      <c r="J114" s="894"/>
      <c r="K114" s="894"/>
      <c r="L114" s="894" t="s">
        <v>2162</v>
      </c>
      <c r="M114" s="599"/>
      <c r="N114" s="599"/>
      <c r="O114" s="599"/>
      <c r="P114" s="599"/>
      <c r="Q114" s="599"/>
      <c r="R114" s="599"/>
      <c r="S114" s="894"/>
      <c r="T114" s="894" t="s">
        <v>2163</v>
      </c>
      <c r="U114" s="599"/>
      <c r="V114" s="599"/>
      <c r="W114" s="599"/>
      <c r="X114" s="599"/>
      <c r="Y114" s="599"/>
      <c r="Z114" s="599"/>
    </row>
    <row r="115" spans="3:26" x14ac:dyDescent="0.2">
      <c r="C115" s="894"/>
      <c r="D115" s="894"/>
      <c r="E115" s="894"/>
      <c r="F115" s="894"/>
      <c r="G115" s="894"/>
      <c r="H115" s="894"/>
      <c r="I115" s="894"/>
      <c r="J115" s="894"/>
      <c r="K115" s="894"/>
      <c r="L115" s="894"/>
      <c r="M115" s="599" t="s">
        <v>1649</v>
      </c>
      <c r="N115" s="599" t="s">
        <v>1644</v>
      </c>
      <c r="O115" s="599" t="s">
        <v>1650</v>
      </c>
      <c r="P115" s="599" t="s">
        <v>1675</v>
      </c>
      <c r="Q115" s="599" t="s">
        <v>1651</v>
      </c>
      <c r="R115" s="599" t="s">
        <v>1832</v>
      </c>
      <c r="S115" s="894"/>
      <c r="T115" s="894"/>
      <c r="U115" s="599" t="s">
        <v>1649</v>
      </c>
      <c r="V115" s="599" t="s">
        <v>1644</v>
      </c>
      <c r="W115" s="599" t="s">
        <v>1650</v>
      </c>
      <c r="X115" s="599" t="s">
        <v>1675</v>
      </c>
      <c r="Y115" s="599" t="s">
        <v>1651</v>
      </c>
      <c r="Z115" s="599" t="s">
        <v>1832</v>
      </c>
    </row>
    <row r="116" spans="3:26" x14ac:dyDescent="0.2">
      <c r="C116" s="894"/>
      <c r="D116" s="894"/>
      <c r="E116" s="894"/>
      <c r="F116" s="894"/>
      <c r="G116" s="894"/>
      <c r="H116" s="894"/>
      <c r="I116" s="894"/>
      <c r="J116" s="894"/>
      <c r="K116" s="894"/>
      <c r="L116" s="894"/>
      <c r="M116" s="602">
        <f>SUM(M117:M118)</f>
        <v>1.7317866413932932</v>
      </c>
      <c r="N116" s="602">
        <f t="shared" ref="N116:Q116" si="38">SUM(N117:N118)</f>
        <v>0.76466756196524721</v>
      </c>
      <c r="O116" s="602">
        <f t="shared" si="38"/>
        <v>8.2784793732502096E-2</v>
      </c>
      <c r="P116" s="602">
        <f t="shared" si="38"/>
        <v>3.3679334497613134</v>
      </c>
      <c r="Q116" s="602">
        <f t="shared" si="38"/>
        <v>3.3486481357465254</v>
      </c>
      <c r="R116" s="602">
        <f>SUM(R117:R118)</f>
        <v>9.2958205825988802</v>
      </c>
      <c r="S116" s="894"/>
      <c r="T116" s="894"/>
      <c r="U116" s="602">
        <f>SUM(U117:U118)</f>
        <v>2.5411939401711634</v>
      </c>
      <c r="V116" s="602">
        <f t="shared" ref="V116:Y116" si="39">SUM(V117:V118)</f>
        <v>1.8222808648310178</v>
      </c>
      <c r="W116" s="602">
        <f t="shared" si="39"/>
        <v>0.2413617039511281</v>
      </c>
      <c r="X116" s="602">
        <f t="shared" si="39"/>
        <v>5.3840900102812377</v>
      </c>
      <c r="Y116" s="602">
        <f t="shared" si="39"/>
        <v>3.5342249507129475</v>
      </c>
      <c r="Z116" s="602">
        <f>SUM(Z117:Z118)</f>
        <v>13.523151469947496</v>
      </c>
    </row>
    <row r="117" spans="3:26" x14ac:dyDescent="0.2">
      <c r="C117" s="894"/>
      <c r="D117" s="894"/>
      <c r="E117" s="894"/>
      <c r="F117" s="894"/>
      <c r="G117" s="894"/>
      <c r="H117" s="894"/>
      <c r="I117" s="894"/>
      <c r="J117" s="894"/>
      <c r="K117" s="894"/>
      <c r="L117" s="894" t="s">
        <v>2122</v>
      </c>
      <c r="M117" s="603">
        <f>M110+$X$62-M70</f>
        <v>1.1648975629175993</v>
      </c>
      <c r="N117" s="603">
        <f>N110+$X$63-N70</f>
        <v>0.48188121573010079</v>
      </c>
      <c r="O117" s="603">
        <f>O110+$X$64-O70</f>
        <v>4.9935959783011373E-2</v>
      </c>
      <c r="P117" s="603">
        <f>P110+$X$65-P70</f>
        <v>3.1330663350027113</v>
      </c>
      <c r="Q117" s="603">
        <f>Q110+$X$66-Q70</f>
        <v>2.5959474275874608</v>
      </c>
      <c r="R117" s="603">
        <f>SUM(M117:Q117)</f>
        <v>7.4257285010208829</v>
      </c>
      <c r="S117" s="894"/>
      <c r="T117" s="605" t="s">
        <v>2122</v>
      </c>
      <c r="U117" s="603">
        <f t="shared" ref="U117:Y118" si="40">M76*$U$137</f>
        <v>1.7093506538569516</v>
      </c>
      <c r="V117" s="603">
        <f t="shared" si="40"/>
        <v>1.1483721321846518</v>
      </c>
      <c r="W117" s="603">
        <f t="shared" si="40"/>
        <v>0.14558988188830449</v>
      </c>
      <c r="X117" s="603">
        <f t="shared" si="40"/>
        <v>5.008623658235301</v>
      </c>
      <c r="Y117" s="603">
        <f t="shared" si="40"/>
        <v>2.7398107526974789</v>
      </c>
      <c r="Z117" s="603">
        <f>SUM(U117:Y117)</f>
        <v>10.751747078862689</v>
      </c>
    </row>
    <row r="118" spans="3:26" x14ac:dyDescent="0.2">
      <c r="C118" s="894"/>
      <c r="D118" s="894"/>
      <c r="E118" s="894"/>
      <c r="F118" s="894"/>
      <c r="G118" s="894"/>
      <c r="H118" s="894"/>
      <c r="I118" s="894"/>
      <c r="J118" s="894"/>
      <c r="K118" s="894"/>
      <c r="L118" s="894" t="s">
        <v>2124</v>
      </c>
      <c r="M118" s="602">
        <f>M111+$Y$62-M71</f>
        <v>0.56688907847569403</v>
      </c>
      <c r="N118" s="602">
        <f>N111+$Y$63-N71</f>
        <v>0.28278634623514642</v>
      </c>
      <c r="O118" s="602">
        <f>O111+$Y$64-O71</f>
        <v>3.2848833949490723E-2</v>
      </c>
      <c r="P118" s="602">
        <f>P111+$Y$65-P71</f>
        <v>0.23486711475860203</v>
      </c>
      <c r="Q118" s="602">
        <f>Q111+$Y$66-Q71</f>
        <v>0.75270070815906454</v>
      </c>
      <c r="R118" s="602">
        <f>SUM(M118:Q118)</f>
        <v>1.8700920815779978</v>
      </c>
      <c r="S118" s="894"/>
      <c r="T118" s="894" t="s">
        <v>2124</v>
      </c>
      <c r="U118" s="602">
        <f t="shared" si="40"/>
        <v>0.83184328631421178</v>
      </c>
      <c r="V118" s="602">
        <f t="shared" si="40"/>
        <v>0.67390873264636597</v>
      </c>
      <c r="W118" s="602">
        <f t="shared" si="40"/>
        <v>9.5771822062823614E-2</v>
      </c>
      <c r="X118" s="602">
        <f t="shared" si="40"/>
        <v>0.37546635204593626</v>
      </c>
      <c r="Y118" s="602">
        <f t="shared" si="40"/>
        <v>0.79441419801546886</v>
      </c>
      <c r="Z118" s="602">
        <f>SUM(U118:Y118)</f>
        <v>2.7714043910848067</v>
      </c>
    </row>
    <row r="119" spans="3:26" x14ac:dyDescent="0.2">
      <c r="C119" s="894"/>
      <c r="D119" s="894"/>
      <c r="E119" s="894"/>
      <c r="F119" s="894"/>
      <c r="G119" s="894"/>
      <c r="H119" s="894"/>
      <c r="I119" s="894"/>
      <c r="J119" s="894"/>
      <c r="K119" s="894"/>
      <c r="L119" s="894"/>
      <c r="M119" s="602"/>
      <c r="N119" s="602"/>
      <c r="O119" s="602"/>
      <c r="P119" s="602"/>
      <c r="Q119" s="602"/>
      <c r="R119" s="602"/>
      <c r="S119" s="894"/>
      <c r="T119" s="894"/>
      <c r="U119" s="602"/>
      <c r="V119" s="602"/>
      <c r="W119" s="602"/>
      <c r="X119" s="602"/>
      <c r="Y119" s="602"/>
      <c r="Z119" s="602"/>
    </row>
    <row r="121" spans="3:26" x14ac:dyDescent="0.2">
      <c r="C121" s="894"/>
      <c r="D121" s="894"/>
      <c r="E121" s="894"/>
      <c r="F121" s="894"/>
      <c r="G121" s="894"/>
      <c r="H121" s="894"/>
      <c r="I121" s="894"/>
      <c r="J121" s="894"/>
      <c r="K121" s="894"/>
      <c r="L121" s="894" t="s">
        <v>2164</v>
      </c>
      <c r="M121" s="599"/>
      <c r="N121" s="599"/>
      <c r="O121" s="599"/>
      <c r="P121" s="599"/>
      <c r="Q121" s="599"/>
      <c r="R121" s="599"/>
      <c r="S121" s="894"/>
      <c r="T121" s="894" t="s">
        <v>2165</v>
      </c>
      <c r="U121" s="599"/>
      <c r="V121" s="599"/>
      <c r="W121" s="599"/>
      <c r="X121" s="599"/>
      <c r="Y121" s="599"/>
      <c r="Z121" s="599"/>
    </row>
    <row r="122" spans="3:26" x14ac:dyDescent="0.2">
      <c r="C122" s="894"/>
      <c r="D122" s="894"/>
      <c r="E122" s="894"/>
      <c r="F122" s="894"/>
      <c r="G122" s="894"/>
      <c r="H122" s="894"/>
      <c r="I122" s="894"/>
      <c r="J122" s="894"/>
      <c r="K122" s="894"/>
      <c r="L122" s="894"/>
      <c r="M122" s="599" t="s">
        <v>1649</v>
      </c>
      <c r="N122" s="599" t="s">
        <v>1644</v>
      </c>
      <c r="O122" s="599" t="s">
        <v>1650</v>
      </c>
      <c r="P122" s="599" t="s">
        <v>1675</v>
      </c>
      <c r="Q122" s="599" t="s">
        <v>1651</v>
      </c>
      <c r="R122" s="599" t="s">
        <v>1832</v>
      </c>
      <c r="S122" s="894"/>
      <c r="T122" s="894"/>
      <c r="U122" s="599" t="s">
        <v>1649</v>
      </c>
      <c r="V122" s="599" t="s">
        <v>1644</v>
      </c>
      <c r="W122" s="599" t="s">
        <v>1650</v>
      </c>
      <c r="X122" s="599" t="s">
        <v>1675</v>
      </c>
      <c r="Y122" s="599" t="s">
        <v>1651</v>
      </c>
      <c r="Z122" s="599" t="s">
        <v>1832</v>
      </c>
    </row>
    <row r="123" spans="3:26" x14ac:dyDescent="0.2">
      <c r="C123" s="894"/>
      <c r="D123" s="894"/>
      <c r="E123" s="894"/>
      <c r="F123" s="894"/>
      <c r="G123" s="894"/>
      <c r="H123" s="894"/>
      <c r="I123" s="894"/>
      <c r="J123" s="894"/>
      <c r="K123" s="894"/>
      <c r="L123" s="894"/>
      <c r="M123" s="602">
        <f>SUM(M124:M125)</f>
        <v>1.844926010577975</v>
      </c>
      <c r="N123" s="602">
        <f t="shared" ref="N123:Q123" si="41">SUM(N124:N125)</f>
        <v>0.75838723817874665</v>
      </c>
      <c r="O123" s="602">
        <f t="shared" si="41"/>
        <v>7.8374803178647062E-2</v>
      </c>
      <c r="P123" s="602">
        <f t="shared" si="41"/>
        <v>3.5749164831551417</v>
      </c>
      <c r="Q123" s="602">
        <f t="shared" si="41"/>
        <v>3.6739414059332085</v>
      </c>
      <c r="R123" s="604">
        <f>SUM(R124:R125)</f>
        <v>9.9305459410237198</v>
      </c>
      <c r="S123" s="894"/>
      <c r="T123" s="894"/>
      <c r="U123" s="602">
        <f>SUM(U124:U125)</f>
        <v>2.938219215428604</v>
      </c>
      <c r="V123" s="602">
        <f t="shared" ref="V123:Y123" si="42">SUM(V124:V125)</f>
        <v>2.1069862352157633</v>
      </c>
      <c r="W123" s="602">
        <f t="shared" si="42"/>
        <v>0.27907102453188909</v>
      </c>
      <c r="X123" s="602">
        <f t="shared" si="42"/>
        <v>6.2252772115220685</v>
      </c>
      <c r="Y123" s="602">
        <f t="shared" si="42"/>
        <v>4.0863971449312331</v>
      </c>
      <c r="Z123" s="602">
        <f>SUM(Z124:Z125)</f>
        <v>15.635950831629559</v>
      </c>
    </row>
    <row r="124" spans="3:26" x14ac:dyDescent="0.2">
      <c r="C124" s="894"/>
      <c r="D124" s="894"/>
      <c r="E124" s="894"/>
      <c r="F124" s="894"/>
      <c r="G124" s="894"/>
      <c r="H124" s="894"/>
      <c r="I124" s="894"/>
      <c r="J124" s="894"/>
      <c r="K124" s="894"/>
      <c r="L124" s="894" t="s">
        <v>2122</v>
      </c>
      <c r="M124" s="603">
        <f>M117+$X$62-M76</f>
        <v>1.2410014964409779</v>
      </c>
      <c r="N124" s="603">
        <f>N117+$X$63-N76</f>
        <v>0.47792345655219137</v>
      </c>
      <c r="O124" s="603">
        <f>O117+$X$64-O76</f>
        <v>4.7275844307549296E-2</v>
      </c>
      <c r="P124" s="603">
        <f>P117+$X$65-P76</f>
        <v>3.3256151437949111</v>
      </c>
      <c r="Q124" s="603">
        <f>Q117+$X$66-Q76</f>
        <v>2.8481220944144305</v>
      </c>
      <c r="R124" s="603">
        <f>SUM(M124:Q124)</f>
        <v>7.9399380355100604</v>
      </c>
      <c r="S124" s="894"/>
      <c r="T124" s="605" t="s">
        <v>2122</v>
      </c>
      <c r="U124" s="603">
        <f t="shared" ref="U124:Y125" si="43">M76*$V$137</f>
        <v>1.9764122909602304</v>
      </c>
      <c r="V124" s="603">
        <f t="shared" si="43"/>
        <v>1.3277888837639806</v>
      </c>
      <c r="W124" s="603">
        <f t="shared" si="43"/>
        <v>0.16833622250310581</v>
      </c>
      <c r="X124" s="603">
        <f t="shared" si="43"/>
        <v>5.791149602098467</v>
      </c>
      <c r="Y124" s="603">
        <f t="shared" si="43"/>
        <v>3.167867069473421</v>
      </c>
      <c r="Z124" s="603">
        <f>SUM(U124:Y124)</f>
        <v>12.431554068799205</v>
      </c>
    </row>
    <row r="125" spans="3:26" x14ac:dyDescent="0.2">
      <c r="C125" s="894"/>
      <c r="D125" s="894"/>
      <c r="E125" s="894"/>
      <c r="F125" s="894"/>
      <c r="G125" s="894"/>
      <c r="H125" s="894"/>
      <c r="I125" s="894"/>
      <c r="J125" s="894"/>
      <c r="K125" s="894"/>
      <c r="L125" s="894" t="s">
        <v>2124</v>
      </c>
      <c r="M125" s="602">
        <f>M118+$Y$62-M77</f>
        <v>0.60392451413699721</v>
      </c>
      <c r="N125" s="602">
        <f>N118+$Y$63-N77</f>
        <v>0.28046378162655522</v>
      </c>
      <c r="O125" s="602">
        <f>O118+$Y$64-O77</f>
        <v>3.109895887109777E-2</v>
      </c>
      <c r="P125" s="602">
        <f>P118+$Y$65-P77</f>
        <v>0.24930133936023036</v>
      </c>
      <c r="Q125" s="602">
        <f>Q118+$Y$66-Q77</f>
        <v>0.82581931151877808</v>
      </c>
      <c r="R125" s="602">
        <f>SUM(M125:Q125)</f>
        <v>1.9906079055136585</v>
      </c>
      <c r="S125" s="894"/>
      <c r="T125" s="894" t="s">
        <v>2124</v>
      </c>
      <c r="U125" s="602">
        <f t="shared" si="43"/>
        <v>0.96180692446837368</v>
      </c>
      <c r="V125" s="602">
        <f t="shared" si="43"/>
        <v>0.77919735145178259</v>
      </c>
      <c r="W125" s="602">
        <f t="shared" si="43"/>
        <v>0.11073480202878326</v>
      </c>
      <c r="X125" s="602">
        <f t="shared" si="43"/>
        <v>0.4341276094236019</v>
      </c>
      <c r="Y125" s="602">
        <f t="shared" si="43"/>
        <v>0.91853007545781251</v>
      </c>
      <c r="Z125" s="602">
        <f>SUM(U125:Y125)</f>
        <v>3.204396762830354</v>
      </c>
    </row>
    <row r="126" spans="3:26" x14ac:dyDescent="0.2">
      <c r="C126" s="894"/>
      <c r="D126" s="894"/>
      <c r="E126" s="894"/>
      <c r="F126" s="894"/>
      <c r="G126" s="894"/>
      <c r="H126" s="894"/>
      <c r="I126" s="894"/>
      <c r="J126" s="894"/>
      <c r="K126" s="894"/>
      <c r="L126" s="894"/>
      <c r="M126" s="602"/>
      <c r="N126" s="602"/>
      <c r="O126" s="602"/>
      <c r="P126" s="602"/>
      <c r="Q126" s="602"/>
      <c r="R126" s="602"/>
      <c r="S126" s="894"/>
      <c r="T126" s="894"/>
      <c r="U126" s="602"/>
      <c r="V126" s="602"/>
      <c r="W126" s="602"/>
      <c r="X126" s="602"/>
      <c r="Y126" s="602"/>
      <c r="Z126" s="602"/>
    </row>
    <row r="128" spans="3:26" x14ac:dyDescent="0.2">
      <c r="C128" s="894"/>
      <c r="D128" s="894"/>
      <c r="E128" s="894"/>
      <c r="F128" s="894"/>
      <c r="G128" s="894"/>
      <c r="H128" s="894"/>
      <c r="I128" s="894"/>
      <c r="J128" s="894"/>
      <c r="K128" s="894"/>
      <c r="L128" s="894" t="s">
        <v>2166</v>
      </c>
      <c r="M128" s="599"/>
      <c r="N128" s="599"/>
      <c r="O128" s="599"/>
      <c r="P128" s="599"/>
      <c r="Q128" s="599"/>
      <c r="R128" s="599"/>
      <c r="S128" s="894"/>
      <c r="T128" s="894" t="s">
        <v>2167</v>
      </c>
      <c r="U128" s="599"/>
      <c r="V128" s="599"/>
      <c r="W128" s="599"/>
      <c r="X128" s="599"/>
      <c r="Y128" s="599"/>
      <c r="Z128" s="599"/>
    </row>
    <row r="129" spans="12:26" x14ac:dyDescent="0.2">
      <c r="L129" s="894"/>
      <c r="M129" s="599" t="s">
        <v>1649</v>
      </c>
      <c r="N129" s="599" t="s">
        <v>1644</v>
      </c>
      <c r="O129" s="599" t="s">
        <v>1650</v>
      </c>
      <c r="P129" s="599" t="s">
        <v>1675</v>
      </c>
      <c r="Q129" s="599" t="s">
        <v>1651</v>
      </c>
      <c r="R129" s="599" t="s">
        <v>1832</v>
      </c>
      <c r="S129" s="894"/>
      <c r="T129" s="894"/>
      <c r="U129" s="599" t="s">
        <v>1649</v>
      </c>
      <c r="V129" s="599" t="s">
        <v>1644</v>
      </c>
      <c r="W129" s="599" t="s">
        <v>1650</v>
      </c>
      <c r="X129" s="599" t="s">
        <v>1675</v>
      </c>
      <c r="Y129" s="599" t="s">
        <v>1651</v>
      </c>
      <c r="Z129" s="599" t="s">
        <v>1832</v>
      </c>
    </row>
    <row r="130" spans="12:26" x14ac:dyDescent="0.2">
      <c r="L130" s="894"/>
      <c r="M130" s="602">
        <f>SUM(M131:M132)</f>
        <v>2.0013848447839857</v>
      </c>
      <c r="N130" s="602">
        <f t="shared" ref="N130:Q130" si="44">SUM(N131:N132)</f>
        <v>0.78755490109873394</v>
      </c>
      <c r="O130" s="602">
        <f t="shared" si="44"/>
        <v>7.7641624388865821E-2</v>
      </c>
      <c r="P130" s="602">
        <f t="shared" si="44"/>
        <v>4.083485347351866</v>
      </c>
      <c r="Q130" s="602">
        <f t="shared" si="44"/>
        <v>4.0884335287594498</v>
      </c>
      <c r="R130" s="604">
        <f>SUM(R131:R132)</f>
        <v>11.038500246382903</v>
      </c>
      <c r="S130" s="894"/>
      <c r="T130" s="894"/>
      <c r="U130" s="602">
        <f>SUM(U131:U132)</f>
        <v>3.3340835980683332</v>
      </c>
      <c r="V130" s="602">
        <f t="shared" ref="V130:Y130" si="45">SUM(V131:V132)</f>
        <v>2.3908591337572789</v>
      </c>
      <c r="W130" s="602">
        <f t="shared" si="45"/>
        <v>0.31667008394136131</v>
      </c>
      <c r="X130" s="602">
        <f t="shared" si="45"/>
        <v>7.0640048010633674</v>
      </c>
      <c r="Y130" s="602">
        <f t="shared" si="45"/>
        <v>4.6369548005699341</v>
      </c>
      <c r="Z130" s="602">
        <f>SUM(Z131:Z132)</f>
        <v>17.742572417400275</v>
      </c>
    </row>
    <row r="131" spans="12:26" x14ac:dyDescent="0.2">
      <c r="L131" s="894" t="s">
        <v>2122</v>
      </c>
      <c r="M131" s="603">
        <f>M124+$X$62-M83</f>
        <v>1.3072234056828123</v>
      </c>
      <c r="N131" s="603">
        <f>N124+$X$63-N83</f>
        <v>0.46631307989141807</v>
      </c>
      <c r="O131" s="603">
        <f>O124+$X$64-O83</f>
        <v>4.2167344118867592E-2</v>
      </c>
      <c r="P131" s="603">
        <f>P124+$X$65-P83</f>
        <v>3.7957364031769276</v>
      </c>
      <c r="Q131" s="603">
        <f>Q124+$X$66-Q83</f>
        <v>3.1386879447525131</v>
      </c>
      <c r="R131" s="603">
        <f>SUM(M131:Q131)</f>
        <v>8.750128177622539</v>
      </c>
      <c r="S131" s="894"/>
      <c r="T131" s="605" t="s">
        <v>2122</v>
      </c>
      <c r="U131" s="603">
        <f t="shared" ref="U131:Y132" si="46">M76*$W$137</f>
        <v>2.2426930460836751</v>
      </c>
      <c r="V131" s="603">
        <f t="shared" si="46"/>
        <v>1.5066810249585747</v>
      </c>
      <c r="W131" s="603">
        <f t="shared" si="46"/>
        <v>0.19101605335002761</v>
      </c>
      <c r="X131" s="603">
        <f t="shared" si="46"/>
        <v>6.5713874584064786</v>
      </c>
      <c r="Y131" s="603">
        <f t="shared" si="46"/>
        <v>3.5946717595921238</v>
      </c>
      <c r="Z131" s="603">
        <f>SUM(U131:Y131)</f>
        <v>14.106449342390881</v>
      </c>
    </row>
    <row r="132" spans="12:26" x14ac:dyDescent="0.2">
      <c r="L132" s="894" t="s">
        <v>2124</v>
      </c>
      <c r="M132" s="602">
        <f>M125+$Y$62-M84</f>
        <v>0.69416143910117367</v>
      </c>
      <c r="N132" s="602">
        <f>N125+$Y$63-N84</f>
        <v>0.32124182120731587</v>
      </c>
      <c r="O132" s="602">
        <f>O125+$Y$64-O84</f>
        <v>3.5474280269998236E-2</v>
      </c>
      <c r="P132" s="602">
        <f>P125+$Y$65-P84</f>
        <v>0.28774894417493824</v>
      </c>
      <c r="Q132" s="602">
        <f>Q125+$Y$66-Q84</f>
        <v>0.94974558400693643</v>
      </c>
      <c r="R132" s="602">
        <f>SUM(M132:Q132)</f>
        <v>2.2883720687603626</v>
      </c>
      <c r="S132" s="894"/>
      <c r="T132" s="894" t="s">
        <v>2124</v>
      </c>
      <c r="U132" s="602">
        <f t="shared" si="46"/>
        <v>1.0913905519846578</v>
      </c>
      <c r="V132" s="602">
        <f t="shared" si="46"/>
        <v>0.88417810879870395</v>
      </c>
      <c r="W132" s="602">
        <f t="shared" si="46"/>
        <v>0.12565403059133368</v>
      </c>
      <c r="X132" s="602">
        <f t="shared" si="46"/>
        <v>0.4926173426568885</v>
      </c>
      <c r="Y132" s="602">
        <f t="shared" si="46"/>
        <v>1.0422830409778101</v>
      </c>
      <c r="Z132" s="602">
        <f>SUM(U132:Y132)</f>
        <v>3.6361230750093938</v>
      </c>
    </row>
    <row r="135" spans="12:26" x14ac:dyDescent="0.2">
      <c r="L135" s="894"/>
      <c r="M135" s="606">
        <v>2005</v>
      </c>
      <c r="N135" s="606">
        <v>2010</v>
      </c>
      <c r="O135" s="606">
        <v>2015</v>
      </c>
      <c r="P135" s="606">
        <v>2020</v>
      </c>
      <c r="Q135" s="606">
        <v>2025</v>
      </c>
      <c r="R135" s="606">
        <v>2030</v>
      </c>
      <c r="S135" s="606">
        <v>2035</v>
      </c>
      <c r="T135" s="606">
        <v>2040</v>
      </c>
      <c r="U135" s="606">
        <v>2045</v>
      </c>
      <c r="V135" s="606">
        <v>2050</v>
      </c>
      <c r="W135" s="606">
        <v>2055</v>
      </c>
      <c r="X135" s="894"/>
      <c r="Y135" s="894"/>
      <c r="Z135" s="894"/>
    </row>
    <row r="136" spans="12:26" x14ac:dyDescent="0.2">
      <c r="L136" s="894"/>
      <c r="M136" s="894">
        <v>0</v>
      </c>
      <c r="N136" s="894">
        <v>0.23</v>
      </c>
      <c r="O136" s="894">
        <v>1.4</v>
      </c>
      <c r="P136" s="894">
        <v>4.82</v>
      </c>
      <c r="Q136" s="894">
        <v>8.23</v>
      </c>
      <c r="R136" s="894">
        <v>11.65</v>
      </c>
      <c r="S136" s="894">
        <v>15.06</v>
      </c>
      <c r="T136" s="894">
        <v>18.48</v>
      </c>
      <c r="U136" s="894">
        <v>21.89</v>
      </c>
      <c r="V136" s="894">
        <v>25.31</v>
      </c>
      <c r="W136" s="894">
        <v>28.72</v>
      </c>
      <c r="X136" s="894"/>
      <c r="Y136" s="894"/>
      <c r="Z136" s="894"/>
    </row>
    <row r="137" spans="12:26" x14ac:dyDescent="0.2">
      <c r="L137" s="894"/>
      <c r="M137" s="894"/>
      <c r="N137" s="894"/>
      <c r="O137" s="607"/>
      <c r="P137" s="607">
        <f t="shared" ref="P137:W137" si="47">P136/$O$136</f>
        <v>3.4428571428571431</v>
      </c>
      <c r="Q137" s="607">
        <f t="shared" si="47"/>
        <v>5.878571428571429</v>
      </c>
      <c r="R137" s="607">
        <f t="shared" si="47"/>
        <v>8.321428571428573</v>
      </c>
      <c r="S137" s="607">
        <f t="shared" si="47"/>
        <v>10.757142857142858</v>
      </c>
      <c r="T137" s="607">
        <f t="shared" si="47"/>
        <v>13.200000000000001</v>
      </c>
      <c r="U137" s="607">
        <f t="shared" si="47"/>
        <v>15.635714285714288</v>
      </c>
      <c r="V137" s="607">
        <f t="shared" si="47"/>
        <v>18.078571428571429</v>
      </c>
      <c r="W137" s="607">
        <f t="shared" si="47"/>
        <v>20.514285714285716</v>
      </c>
      <c r="X137" s="894"/>
      <c r="Y137" s="894"/>
      <c r="Z137" s="894"/>
    </row>
  </sheetData>
  <mergeCells count="1">
    <mergeCell ref="T23:AD23"/>
  </mergeCells>
  <hyperlinks>
    <hyperlink ref="L27" r:id="rId2" xr:uid="{0AA356A0-B1A3-4FE0-BC9C-0EECF03270A4}"/>
    <hyperlink ref="T22" r:id="rId3" xr:uid="{F0F5A360-55E7-4575-BE25-FC06D40C4E16}"/>
    <hyperlink ref="T23" r:id="rId4" xr:uid="{F50CD812-5752-40E0-BEF3-29FF7A10738F}"/>
  </hyperlinks>
  <pageMargins left="0.7" right="0.7" top="0.75" bottom="0.75" header="0.3" footer="0.3"/>
  <drawing r:id="rId5"/>
  <legacyDrawing r:id="rId6"/>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20"/>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85546875" customWidth="1"/>
    <col min="5" max="5" width="10.140625" customWidth="1"/>
  </cols>
  <sheetData>
    <row r="1" spans="1:5" x14ac:dyDescent="0.2">
      <c r="A1" s="1" t="s">
        <v>1894</v>
      </c>
      <c r="B1" s="12"/>
    </row>
    <row r="4" spans="1:5" ht="17.25" customHeight="1" x14ac:dyDescent="0.2"/>
    <row r="5" spans="1:5" ht="18" customHeight="1" x14ac:dyDescent="0.2"/>
    <row r="6" spans="1:5" ht="17.25" customHeight="1" x14ac:dyDescent="0.2"/>
    <row r="7" spans="1:5" ht="15.75" customHeight="1" x14ac:dyDescent="0.2">
      <c r="B7" s="1" t="s">
        <v>1890</v>
      </c>
      <c r="C7" s="1" t="s">
        <v>1891</v>
      </c>
      <c r="D7" s="1" t="s">
        <v>1661</v>
      </c>
      <c r="E7" s="1" t="s">
        <v>7</v>
      </c>
    </row>
    <row r="8" spans="1:5" x14ac:dyDescent="0.2">
      <c r="B8" s="2"/>
      <c r="E8" s="2"/>
    </row>
    <row r="9" spans="1:5" x14ac:dyDescent="0.2">
      <c r="B9" s="7"/>
      <c r="E9" s="2"/>
    </row>
    <row r="10" spans="1:5" x14ac:dyDescent="0.2">
      <c r="B10" s="7"/>
      <c r="E10" s="2"/>
    </row>
    <row r="11" spans="1:5" x14ac:dyDescent="0.2">
      <c r="B11" s="7"/>
      <c r="E11" s="2"/>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verticalDpi="300" r:id="rId1"/>
  <headerFooter alignWithMargins="0"/>
  <drawing r:id="rId2"/>
  <legacyDrawing r:id="rId3"/>
  <controls>
    <mc:AlternateContent xmlns:mc="http://schemas.openxmlformats.org/markup-compatibility/2006">
      <mc:Choice Requires="x14">
        <control shapeId="70662" r:id="rId4" name="cmdRefreshUnits">
          <controlPr defaultSize="0" autoLine="0" r:id="rId5">
            <anchor moveWithCells="1">
              <from>
                <xdr:col>2</xdr:col>
                <xdr:colOff>1019175</xdr:colOff>
                <xdr:row>2</xdr:row>
                <xdr:rowOff>28575</xdr:rowOff>
              </from>
              <to>
                <xdr:col>4</xdr:col>
                <xdr:colOff>9525</xdr:colOff>
                <xdr:row>4</xdr:row>
                <xdr:rowOff>19050</xdr:rowOff>
              </to>
            </anchor>
          </controlPr>
        </control>
      </mc:Choice>
      <mc:Fallback>
        <control shapeId="70662" r:id="rId4" name="cmdRefreshUnits"/>
      </mc:Fallback>
    </mc:AlternateContent>
    <mc:AlternateContent xmlns:mc="http://schemas.openxmlformats.org/markup-compatibility/2006">
      <mc:Choice Requires="x14">
        <control shapeId="70661" r:id="rId6" name="cmdAddParamQualifier">
          <controlPr defaultSize="0" autoLine="0" r:id="rId7">
            <anchor moveWithCells="1">
              <from>
                <xdr:col>0</xdr:col>
                <xdr:colOff>28575</xdr:colOff>
                <xdr:row>5</xdr:row>
                <xdr:rowOff>0</xdr:rowOff>
              </from>
              <to>
                <xdr:col>1</xdr:col>
                <xdr:colOff>19050</xdr:colOff>
                <xdr:row>6</xdr:row>
                <xdr:rowOff>19050</xdr:rowOff>
              </to>
            </anchor>
          </controlPr>
        </control>
      </mc:Choice>
      <mc:Fallback>
        <control shapeId="70661" r:id="rId6" name="cmdAddParamQualifier"/>
      </mc:Fallback>
    </mc:AlternateContent>
    <mc:AlternateContent xmlns:mc="http://schemas.openxmlformats.org/markup-compatibility/2006">
      <mc:Choice Requires="x14">
        <control shapeId="70660" r:id="rId8" name="cmdCheckConstrDataSheet">
          <controlPr defaultSize="0" autoLine="0" autoPict="0" r:id="rId9">
            <anchor moveWithCells="1">
              <from>
                <xdr:col>0</xdr:col>
                <xdr:colOff>28575</xdr:colOff>
                <xdr:row>2</xdr:row>
                <xdr:rowOff>152400</xdr:rowOff>
              </from>
              <to>
                <xdr:col>1</xdr:col>
                <xdr:colOff>0</xdr:colOff>
                <xdr:row>4</xdr:row>
                <xdr:rowOff>28575</xdr:rowOff>
              </to>
            </anchor>
          </controlPr>
        </control>
      </mc:Choice>
      <mc:Fallback>
        <control shapeId="70660" r:id="rId8" name="cmdCheckConstrDataSheet"/>
      </mc:Fallback>
    </mc:AlternateContent>
    <mc:AlternateContent xmlns:mc="http://schemas.openxmlformats.org/markup-compatibility/2006">
      <mc:Choice Requires="x14">
        <control shapeId="70659" r:id="rId10" name="cmdAddParameter">
          <controlPr defaultSize="0" autoLine="0" r:id="rId11">
            <anchor moveWithCells="1">
              <from>
                <xdr:col>0</xdr:col>
                <xdr:colOff>28575</xdr:colOff>
                <xdr:row>4</xdr:row>
                <xdr:rowOff>0</xdr:rowOff>
              </from>
              <to>
                <xdr:col>1</xdr:col>
                <xdr:colOff>19050</xdr:colOff>
                <xdr:row>5</xdr:row>
                <xdr:rowOff>9525</xdr:rowOff>
              </to>
            </anchor>
          </controlPr>
        </control>
      </mc:Choice>
      <mc:Fallback>
        <control shapeId="70659" r:id="rId10" name="cmdAddParameter"/>
      </mc:Fallback>
    </mc:AlternateContent>
    <mc:AlternateContent xmlns:mc="http://schemas.openxmlformats.org/markup-compatibility/2006">
      <mc:Choice Requires="x14">
        <control shapeId="70658"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70658" r:id="rId12" name="cmdTechName"/>
      </mc:Fallback>
    </mc:AlternateContent>
    <mc:AlternateContent xmlns:mc="http://schemas.openxmlformats.org/markup-compatibility/2006">
      <mc:Choice Requires="x14">
        <control shapeId="70657" r:id="rId14" name="cmdConstrNameAndDesc">
          <controlPr defaultSize="0" autoLine="0" autoPict="0" r:id="rId15">
            <anchor moveWithCells="1">
              <from>
                <xdr:col>1</xdr:col>
                <xdr:colOff>28575</xdr:colOff>
                <xdr:row>3</xdr:row>
                <xdr:rowOff>0</xdr:rowOff>
              </from>
              <to>
                <xdr:col>2</xdr:col>
                <xdr:colOff>1019175</xdr:colOff>
                <xdr:row>4</xdr:row>
                <xdr:rowOff>28575</xdr:rowOff>
              </to>
            </anchor>
          </controlPr>
        </control>
      </mc:Choice>
      <mc:Fallback>
        <control shapeId="70657" r:id="rId14" name="cmdConstrNameAndDesc"/>
      </mc:Fallback>
    </mc:AlternateContent>
  </control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19"/>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140625" customWidth="1"/>
    <col min="3" max="3" width="24.140625" customWidth="1"/>
    <col min="4" max="4" width="7.85546875" customWidth="1"/>
    <col min="6" max="6" width="10.5703125" customWidth="1"/>
    <col min="7" max="7" width="9.85546875" customWidth="1"/>
    <col min="8" max="8" width="8.140625" customWidth="1"/>
    <col min="9" max="11" width="9.140625" customWidth="1"/>
    <col min="12" max="12" width="12.5703125" customWidth="1"/>
    <col min="13" max="13" width="12.42578125" customWidth="1"/>
  </cols>
  <sheetData>
    <row r="1" spans="1:16" x14ac:dyDescent="0.2">
      <c r="A1" s="1" t="s">
        <v>1893</v>
      </c>
      <c r="B1" s="12"/>
    </row>
    <row r="4" spans="1:16" ht="17.25" customHeight="1" x14ac:dyDescent="0.2"/>
    <row r="5" spans="1:16" ht="18" customHeight="1" x14ac:dyDescent="0.2">
      <c r="G5" s="2"/>
      <c r="H5" s="2"/>
      <c r="I5" s="2"/>
      <c r="J5" s="11"/>
      <c r="K5" s="11"/>
      <c r="L5" s="2"/>
      <c r="M5" s="9"/>
      <c r="N5" s="2"/>
      <c r="O5" s="9"/>
      <c r="P5" s="9"/>
    </row>
    <row r="6" spans="1:16" ht="17.25" customHeight="1" x14ac:dyDescent="0.2">
      <c r="G6" s="2"/>
      <c r="H6" s="2"/>
      <c r="I6" s="2"/>
      <c r="J6" s="2"/>
      <c r="K6" s="2"/>
      <c r="L6" s="2"/>
      <c r="M6" s="8"/>
      <c r="N6" s="2"/>
      <c r="O6" s="8"/>
    </row>
    <row r="7" spans="1:16" ht="15.75" customHeight="1" x14ac:dyDescent="0.2">
      <c r="B7" s="1" t="s">
        <v>7</v>
      </c>
      <c r="C7" s="1" t="s">
        <v>8</v>
      </c>
      <c r="D7" s="1" t="s">
        <v>1661</v>
      </c>
      <c r="E7" s="1" t="s">
        <v>467</v>
      </c>
      <c r="F7" s="1" t="s">
        <v>468</v>
      </c>
      <c r="G7" s="2"/>
      <c r="H7" s="2"/>
      <c r="I7" s="2"/>
      <c r="J7" s="11"/>
      <c r="K7" s="2"/>
      <c r="L7" s="2"/>
      <c r="M7" s="8"/>
      <c r="N7" s="2"/>
      <c r="P7" s="8"/>
    </row>
  </sheetData>
  <phoneticPr fontId="0" type="noConversion"/>
  <pageMargins left="0.75" right="0.75" top="1" bottom="1" header="0.5" footer="0.5"/>
  <pageSetup paperSize="9" orientation="landscape" horizontalDpi="1200" verticalDpi="300" r:id="rId1"/>
  <headerFooter alignWithMargins="0"/>
  <drawing r:id="rId2"/>
  <legacyDrawing r:id="rId3"/>
  <controls>
    <mc:AlternateContent xmlns:mc="http://schemas.openxmlformats.org/markup-compatibility/2006">
      <mc:Choice Requires="x14">
        <control shapeId="69639" r:id="rId4" name="cmdRefreshUnits">
          <controlPr defaultSize="0" autoLine="0" r:id="rId5">
            <anchor moveWithCells="1">
              <from>
                <xdr:col>3</xdr:col>
                <xdr:colOff>0</xdr:colOff>
                <xdr:row>2</xdr:row>
                <xdr:rowOff>28575</xdr:rowOff>
              </from>
              <to>
                <xdr:col>4</xdr:col>
                <xdr:colOff>28575</xdr:colOff>
                <xdr:row>4</xdr:row>
                <xdr:rowOff>19050</xdr:rowOff>
              </to>
            </anchor>
          </controlPr>
        </control>
      </mc:Choice>
      <mc:Fallback>
        <control shapeId="69639" r:id="rId4" name="cmdRefreshUnits"/>
      </mc:Fallback>
    </mc:AlternateContent>
    <mc:AlternateContent xmlns:mc="http://schemas.openxmlformats.org/markup-compatibility/2006">
      <mc:Choice Requires="x14">
        <control shapeId="69638" r:id="rId6" name="cmdCheckTechDataSheet">
          <controlPr defaultSize="0" autoLine="0" autoPict="0" r:id="rId7">
            <anchor moveWithCells="1">
              <from>
                <xdr:col>0</xdr:col>
                <xdr:colOff>28575</xdr:colOff>
                <xdr:row>2</xdr:row>
                <xdr:rowOff>152400</xdr:rowOff>
              </from>
              <to>
                <xdr:col>1</xdr:col>
                <xdr:colOff>28575</xdr:colOff>
                <xdr:row>4</xdr:row>
                <xdr:rowOff>28575</xdr:rowOff>
              </to>
            </anchor>
          </controlPr>
        </control>
      </mc:Choice>
      <mc:Fallback>
        <control shapeId="69638" r:id="rId6" name="cmdCheckTechDataSheet"/>
      </mc:Fallback>
    </mc:AlternateContent>
    <mc:AlternateContent xmlns:mc="http://schemas.openxmlformats.org/markup-compatibility/2006">
      <mc:Choice Requires="x14">
        <control shapeId="69637" r:id="rId8" name="cmdAddParamQualifier">
          <controlPr defaultSize="0" autoLine="0" autoPict="0" r:id="rId9">
            <anchor moveWithCells="1">
              <from>
                <xdr:col>0</xdr:col>
                <xdr:colOff>28575</xdr:colOff>
                <xdr:row>5</xdr:row>
                <xdr:rowOff>28575</xdr:rowOff>
              </from>
              <to>
                <xdr:col>1</xdr:col>
                <xdr:colOff>28575</xdr:colOff>
                <xdr:row>6</xdr:row>
                <xdr:rowOff>28575</xdr:rowOff>
              </to>
            </anchor>
          </controlPr>
        </control>
      </mc:Choice>
      <mc:Fallback>
        <control shapeId="69637" r:id="rId8" name="cmdAddParamQualifier"/>
      </mc:Fallback>
    </mc:AlternateContent>
    <mc:AlternateContent xmlns:mc="http://schemas.openxmlformats.org/markup-compatibility/2006">
      <mc:Choice Requires="x14">
        <control shapeId="69636" r:id="rId10" name="cmdAddParameter">
          <controlPr defaultSize="0" autoLine="0" r:id="rId11">
            <anchor moveWithCells="1">
              <from>
                <xdr:col>0</xdr:col>
                <xdr:colOff>28575</xdr:colOff>
                <xdr:row>4</xdr:row>
                <xdr:rowOff>0</xdr:rowOff>
              </from>
              <to>
                <xdr:col>1</xdr:col>
                <xdr:colOff>38100</xdr:colOff>
                <xdr:row>5</xdr:row>
                <xdr:rowOff>9525</xdr:rowOff>
              </to>
            </anchor>
          </controlPr>
        </control>
      </mc:Choice>
      <mc:Fallback>
        <control shapeId="69636" r:id="rId10" name="cmdAddParameter"/>
      </mc:Fallback>
    </mc:AlternateContent>
    <mc:AlternateContent xmlns:mc="http://schemas.openxmlformats.org/markup-compatibility/2006">
      <mc:Choice Requires="x14">
        <control shapeId="69635" r:id="rId12" name="cmdCommOUT">
          <controlPr defaultSize="0" autoLine="0" r:id="rId13">
            <anchor moveWithCells="1">
              <from>
                <xdr:col>5</xdr:col>
                <xdr:colOff>28575</xdr:colOff>
                <xdr:row>2</xdr:row>
                <xdr:rowOff>142875</xdr:rowOff>
              </from>
              <to>
                <xdr:col>6</xdr:col>
                <xdr:colOff>19050</xdr:colOff>
                <xdr:row>4</xdr:row>
                <xdr:rowOff>0</xdr:rowOff>
              </to>
            </anchor>
          </controlPr>
        </control>
      </mc:Choice>
      <mc:Fallback>
        <control shapeId="69635" r:id="rId12" name="cmdCommOUT"/>
      </mc:Fallback>
    </mc:AlternateContent>
    <mc:AlternateContent xmlns:mc="http://schemas.openxmlformats.org/markup-compatibility/2006">
      <mc:Choice Requires="x14">
        <control shapeId="69634" r:id="rId14" name="cmdCommIN">
          <controlPr defaultSize="0" autoLine="0" r:id="rId15">
            <anchor moveWithCells="1">
              <from>
                <xdr:col>4</xdr:col>
                <xdr:colOff>28575</xdr:colOff>
                <xdr:row>2</xdr:row>
                <xdr:rowOff>142875</xdr:rowOff>
              </from>
              <to>
                <xdr:col>5</xdr:col>
                <xdr:colOff>9525</xdr:colOff>
                <xdr:row>4</xdr:row>
                <xdr:rowOff>0</xdr:rowOff>
              </to>
            </anchor>
          </controlPr>
        </control>
      </mc:Choice>
      <mc:Fallback>
        <control shapeId="69634" r:id="rId14" name="cmdCommIN"/>
      </mc:Fallback>
    </mc:AlternateContent>
    <mc:AlternateContent xmlns:mc="http://schemas.openxmlformats.org/markup-compatibility/2006">
      <mc:Choice Requires="x14">
        <control shapeId="69633" r:id="rId16" name="cmdTechNameAndDesc">
          <controlPr defaultSize="0" autoLine="0" r:id="rId17">
            <anchor moveWithCells="1">
              <from>
                <xdr:col>1</xdr:col>
                <xdr:colOff>38100</xdr:colOff>
                <xdr:row>2</xdr:row>
                <xdr:rowOff>152400</xdr:rowOff>
              </from>
              <to>
                <xdr:col>2</xdr:col>
                <xdr:colOff>1590675</xdr:colOff>
                <xdr:row>4</xdr:row>
                <xdr:rowOff>9525</xdr:rowOff>
              </to>
            </anchor>
          </controlPr>
        </control>
      </mc:Choice>
      <mc:Fallback>
        <control shapeId="69633" r:id="rId16" name="cmdTechNameAndDesc"/>
      </mc:Fallback>
    </mc:AlternateContent>
  </control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18"/>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85546875" customWidth="1"/>
    <col min="3" max="3" width="24" customWidth="1"/>
    <col min="4" max="4" width="5.42578125" customWidth="1"/>
    <col min="6" max="6" width="10.140625" bestFit="1" customWidth="1"/>
  </cols>
  <sheetData>
    <row r="1" spans="1:8" x14ac:dyDescent="0.2">
      <c r="A1" s="1" t="s">
        <v>1892</v>
      </c>
      <c r="B1" s="12"/>
    </row>
    <row r="3" spans="1:8" ht="15" customHeight="1" x14ac:dyDescent="0.2"/>
    <row r="4" spans="1:8" ht="20.25" customHeight="1" x14ac:dyDescent="0.2"/>
    <row r="5" spans="1:8" ht="19.5" customHeight="1" x14ac:dyDescent="0.2">
      <c r="E5" s="2"/>
      <c r="F5" s="2"/>
      <c r="G5" s="11"/>
      <c r="H5" s="11"/>
    </row>
    <row r="6" spans="1:8" ht="19.5" customHeight="1" x14ac:dyDescent="0.2">
      <c r="E6" s="8"/>
      <c r="F6" s="8"/>
      <c r="G6" s="11"/>
      <c r="H6" s="11"/>
    </row>
    <row r="7" spans="1:8" x14ac:dyDescent="0.2">
      <c r="B7" s="1" t="s">
        <v>1</v>
      </c>
      <c r="C7" s="1" t="s">
        <v>2</v>
      </c>
      <c r="D7" s="1" t="s">
        <v>1661</v>
      </c>
      <c r="E7" s="10"/>
      <c r="F7" s="6"/>
      <c r="G7" s="6"/>
      <c r="H7" s="11"/>
    </row>
    <row r="9" spans="1:8" x14ac:dyDescent="0.2">
      <c r="B9" s="8"/>
      <c r="C9" s="8"/>
      <c r="D9" s="8"/>
    </row>
    <row r="10" spans="1:8" x14ac:dyDescent="0.2">
      <c r="B10" s="8"/>
      <c r="C10" s="8"/>
      <c r="D10" s="8"/>
    </row>
    <row r="13" spans="1:8" x14ac:dyDescent="0.2">
      <c r="B13" s="8"/>
      <c r="C13" s="8"/>
      <c r="D13" s="8"/>
    </row>
    <row r="15" spans="1:8" x14ac:dyDescent="0.2">
      <c r="B15" s="8"/>
      <c r="C15" s="8"/>
      <c r="D15" s="8"/>
    </row>
    <row r="17" spans="2:4" x14ac:dyDescent="0.2">
      <c r="B17" s="8"/>
      <c r="C17" s="8"/>
      <c r="D17" s="8"/>
    </row>
    <row r="19" spans="2:4" x14ac:dyDescent="0.2">
      <c r="B19" s="8"/>
      <c r="C19" s="8"/>
      <c r="D19" s="8"/>
    </row>
    <row r="21" spans="2:4" x14ac:dyDescent="0.2">
      <c r="B21" s="8"/>
      <c r="C21" s="8"/>
      <c r="D21" s="8"/>
    </row>
    <row r="23" spans="2:4" x14ac:dyDescent="0.2">
      <c r="B23" s="8"/>
      <c r="C23" s="8"/>
      <c r="D23" s="8"/>
    </row>
  </sheetData>
  <phoneticPr fontId="0" type="noConversion"/>
  <conditionalFormatting sqref="B13">
    <cfRule type="cellIs" dxfId="0" priority="1" stopIfTrue="1" operator="equal">
      <formula>"REF"</formula>
    </cfRule>
  </conditionalFormatting>
  <pageMargins left="0.75" right="0.75" top="1" bottom="1" header="0.5" footer="0.5"/>
  <pageSetup paperSize="9" orientation="landscape" horizontalDpi="1200" verticalDpi="300" r:id="rId1"/>
  <headerFooter alignWithMargins="0"/>
  <drawing r:id="rId2"/>
  <legacyDrawing r:id="rId3"/>
  <controls>
    <mc:AlternateContent xmlns:mc="http://schemas.openxmlformats.org/markup-compatibility/2006">
      <mc:Choice Requires="x14">
        <control shapeId="68613"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68613" r:id="rId4" name="cmdRefreshUnits"/>
      </mc:Fallback>
    </mc:AlternateContent>
    <mc:AlternateContent xmlns:mc="http://schemas.openxmlformats.org/markup-compatibility/2006">
      <mc:Choice Requires="x14">
        <control shapeId="68612" r:id="rId6" name="cmdCheckCommDataSheet">
          <controlPr defaultSize="0" autoLine="0" r:id="rId7">
            <anchor moveWithCells="1">
              <from>
                <xdr:col>0</xdr:col>
                <xdr:colOff>28575</xdr:colOff>
                <xdr:row>3</xdr:row>
                <xdr:rowOff>28575</xdr:rowOff>
              </from>
              <to>
                <xdr:col>1</xdr:col>
                <xdr:colOff>9525</xdr:colOff>
                <xdr:row>4</xdr:row>
                <xdr:rowOff>9525</xdr:rowOff>
              </to>
            </anchor>
          </controlPr>
        </control>
      </mc:Choice>
      <mc:Fallback>
        <control shapeId="68612" r:id="rId6" name="cmdCheckCommDataSheet"/>
      </mc:Fallback>
    </mc:AlternateContent>
    <mc:AlternateContent xmlns:mc="http://schemas.openxmlformats.org/markup-compatibility/2006">
      <mc:Choice Requires="x14">
        <control shapeId="68611" r:id="rId8" name="cmdAddParamQualifier">
          <controlPr defaultSize="0" autoLine="0" r:id="rId9">
            <anchor moveWithCells="1">
              <from>
                <xdr:col>0</xdr:col>
                <xdr:colOff>28575</xdr:colOff>
                <xdr:row>5</xdr:row>
                <xdr:rowOff>0</xdr:rowOff>
              </from>
              <to>
                <xdr:col>1</xdr:col>
                <xdr:colOff>9525</xdr:colOff>
                <xdr:row>5</xdr:row>
                <xdr:rowOff>238125</xdr:rowOff>
              </to>
            </anchor>
          </controlPr>
        </control>
      </mc:Choice>
      <mc:Fallback>
        <control shapeId="68611" r:id="rId8" name="cmdAddParamQualifier"/>
      </mc:Fallback>
    </mc:AlternateContent>
    <mc:AlternateContent xmlns:mc="http://schemas.openxmlformats.org/markup-compatibility/2006">
      <mc:Choice Requires="x14">
        <control shapeId="68610" r:id="rId10" name="cmdCommNameAndDesc">
          <controlPr defaultSize="0" autoLine="0" autoPict="0" r:id="rId11">
            <anchor moveWithCells="1">
              <from>
                <xdr:col>1</xdr:col>
                <xdr:colOff>0</xdr:colOff>
                <xdr:row>3</xdr:row>
                <xdr:rowOff>28575</xdr:rowOff>
              </from>
              <to>
                <xdr:col>2</xdr:col>
                <xdr:colOff>1400175</xdr:colOff>
                <xdr:row>4</xdr:row>
                <xdr:rowOff>0</xdr:rowOff>
              </to>
            </anchor>
          </controlPr>
        </control>
      </mc:Choice>
      <mc:Fallback>
        <control shapeId="68610" r:id="rId10" name="cmdCommNameAndDesc"/>
      </mc:Fallback>
    </mc:AlternateContent>
    <mc:AlternateContent xmlns:mc="http://schemas.openxmlformats.org/markup-compatibility/2006">
      <mc:Choice Requires="x14">
        <control shapeId="68609" r:id="rId12" name="cmdAddParameter">
          <controlPr defaultSize="0" autoLine="0" r:id="rId13">
            <anchor moveWithCells="1">
              <from>
                <xdr:col>0</xdr:col>
                <xdr:colOff>28575</xdr:colOff>
                <xdr:row>4</xdr:row>
                <xdr:rowOff>28575</xdr:rowOff>
              </from>
              <to>
                <xdr:col>1</xdr:col>
                <xdr:colOff>9525</xdr:colOff>
                <xdr:row>5</xdr:row>
                <xdr:rowOff>19050</xdr:rowOff>
              </to>
            </anchor>
          </controlPr>
        </control>
      </mc:Choice>
      <mc:Fallback>
        <control shapeId="68609" r:id="rId12" name="cmdAddParameter"/>
      </mc:Fallback>
    </mc:AlternateContent>
  </control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17"/>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85546875" customWidth="1"/>
    <col min="3" max="3" width="21.42578125" customWidth="1"/>
    <col min="4" max="4" width="8.85546875" customWidth="1"/>
    <col min="5" max="5" width="18.140625" customWidth="1"/>
    <col min="6" max="6" width="10.140625" customWidth="1"/>
  </cols>
  <sheetData>
    <row r="1" spans="1:6" x14ac:dyDescent="0.2">
      <c r="A1" s="1" t="s">
        <v>1889</v>
      </c>
      <c r="B1" s="12"/>
    </row>
    <row r="4" spans="1:6" ht="18.75" customHeight="1" x14ac:dyDescent="0.2"/>
    <row r="5" spans="1:6" ht="17.25" customHeight="1" x14ac:dyDescent="0.2">
      <c r="C5" s="2"/>
    </row>
    <row r="6" spans="1:6" ht="15.75" customHeight="1" x14ac:dyDescent="0.2"/>
    <row r="7" spans="1:6" x14ac:dyDescent="0.2">
      <c r="B7" s="3" t="s">
        <v>1890</v>
      </c>
      <c r="C7" s="1" t="s">
        <v>1891</v>
      </c>
      <c r="D7" s="1" t="s">
        <v>1661</v>
      </c>
      <c r="E7" s="1" t="s">
        <v>4</v>
      </c>
      <c r="F7" s="1" t="s">
        <v>5</v>
      </c>
    </row>
    <row r="8" spans="1:6" x14ac:dyDescent="0.2">
      <c r="B8" s="1"/>
      <c r="C8" s="1"/>
      <c r="D8" s="1"/>
      <c r="E8" s="2"/>
      <c r="F8" s="1"/>
    </row>
    <row r="10" spans="1:6" x14ac:dyDescent="0.2">
      <c r="B10" s="2"/>
      <c r="C10" s="2"/>
      <c r="D10" s="11"/>
      <c r="E10" s="11"/>
    </row>
    <row r="11" spans="1:6" x14ac:dyDescent="0.2">
      <c r="B11" s="2"/>
      <c r="C11" s="2"/>
    </row>
    <row r="12" spans="1:6" x14ac:dyDescent="0.2">
      <c r="B12" s="2"/>
      <c r="C12" s="2"/>
      <c r="D12" s="2"/>
      <c r="E12" s="2"/>
    </row>
    <row r="13" spans="1:6" x14ac:dyDescent="0.2">
      <c r="B13" s="2"/>
      <c r="C13" s="2"/>
      <c r="D13" s="5"/>
      <c r="E13" s="2"/>
    </row>
    <row r="14" spans="1:6" x14ac:dyDescent="0.2">
      <c r="B14" s="2"/>
      <c r="C14" s="2"/>
      <c r="D14" s="2"/>
      <c r="E14" s="2"/>
    </row>
    <row r="15" spans="1:6" x14ac:dyDescent="0.2">
      <c r="B15" s="2"/>
      <c r="C15" s="2"/>
      <c r="E15" s="2"/>
    </row>
    <row r="16" spans="1:6" x14ac:dyDescent="0.2">
      <c r="B16" s="2"/>
      <c r="C16" s="2"/>
    </row>
    <row r="17" spans="2:5" x14ac:dyDescent="0.2">
      <c r="B17" s="2"/>
      <c r="C17" s="2"/>
      <c r="D17" s="5"/>
      <c r="E17" s="2"/>
    </row>
    <row r="18" spans="2:5" x14ac:dyDescent="0.2">
      <c r="B18" s="3"/>
      <c r="C18" s="2"/>
      <c r="E18" s="2"/>
    </row>
    <row r="19" spans="2:5" x14ac:dyDescent="0.2">
      <c r="E19" s="2"/>
    </row>
    <row r="21" spans="2:5" x14ac:dyDescent="0.2">
      <c r="B21" s="2"/>
      <c r="C21" s="2"/>
      <c r="D21" s="2"/>
      <c r="E21" s="2"/>
    </row>
    <row r="22" spans="2:5" x14ac:dyDescent="0.2">
      <c r="B22" s="2"/>
      <c r="C22" s="2"/>
    </row>
    <row r="23" spans="2:5" x14ac:dyDescent="0.2">
      <c r="B23" s="2"/>
      <c r="C23" s="2"/>
      <c r="E23" s="2"/>
    </row>
    <row r="24" spans="2:5" x14ac:dyDescent="0.2">
      <c r="D24" s="2"/>
      <c r="E24" s="2"/>
    </row>
  </sheetData>
  <phoneticPr fontId="0" type="noConversion"/>
  <pageMargins left="0.75" right="0.75" top="1" bottom="1" header="0.5" footer="0.5"/>
  <pageSetup paperSize="9" orientation="portrait" horizontalDpi="1200" verticalDpi="300" r:id="rId1"/>
  <headerFooter alignWithMargins="0"/>
  <drawing r:id="rId2"/>
  <legacyDrawing r:id="rId3"/>
  <controls>
    <mc:AlternateContent xmlns:mc="http://schemas.openxmlformats.org/markup-compatibility/2006">
      <mc:Choice Requires="x14">
        <control shapeId="67588" r:id="rId4" name="cmdRefreshUnits">
          <controlPr defaultSize="0" autoLine="0" r:id="rId5">
            <anchor moveWithCells="1">
              <from>
                <xdr:col>3</xdr:col>
                <xdr:colOff>28575</xdr:colOff>
                <xdr:row>2</xdr:row>
                <xdr:rowOff>66675</xdr:rowOff>
              </from>
              <to>
                <xdr:col>3</xdr:col>
                <xdr:colOff>581025</xdr:colOff>
                <xdr:row>4</xdr:row>
                <xdr:rowOff>38100</xdr:rowOff>
              </to>
            </anchor>
          </controlPr>
        </control>
      </mc:Choice>
      <mc:Fallback>
        <control shapeId="67588" r:id="rId4" name="cmdRefreshUnits"/>
      </mc:Fallback>
    </mc:AlternateContent>
    <mc:AlternateContent xmlns:mc="http://schemas.openxmlformats.org/markup-compatibility/2006">
      <mc:Choice Requires="x14">
        <control shapeId="67587" r:id="rId6" name="cmdConstraintUnit">
          <controlPr defaultSize="0" autoLine="0" r:id="rId7">
            <anchor moveWithCells="1">
              <from>
                <xdr:col>3</xdr:col>
                <xdr:colOff>28575</xdr:colOff>
                <xdr:row>4</xdr:row>
                <xdr:rowOff>28575</xdr:rowOff>
              </from>
              <to>
                <xdr:col>3</xdr:col>
                <xdr:colOff>581025</xdr:colOff>
                <xdr:row>5</xdr:row>
                <xdr:rowOff>47625</xdr:rowOff>
              </to>
            </anchor>
          </controlPr>
        </control>
      </mc:Choice>
      <mc:Fallback>
        <control shapeId="67587" r:id="rId6" name="cmdConstraintUnit"/>
      </mc:Fallback>
    </mc:AlternateContent>
    <mc:AlternateContent xmlns:mc="http://schemas.openxmlformats.org/markup-compatibility/2006">
      <mc:Choice Requires="x14">
        <control shapeId="67586" r:id="rId8" name="cmdCheckConstraintsSheet">
          <controlPr defaultSize="0" autoLine="0" r:id="rId9">
            <anchor moveWithCells="1">
              <from>
                <xdr:col>0</xdr:col>
                <xdr:colOff>28575</xdr:colOff>
                <xdr:row>3</xdr:row>
                <xdr:rowOff>0</xdr:rowOff>
              </from>
              <to>
                <xdr:col>1</xdr:col>
                <xdr:colOff>9525</xdr:colOff>
                <xdr:row>4</xdr:row>
                <xdr:rowOff>0</xdr:rowOff>
              </to>
            </anchor>
          </controlPr>
        </control>
      </mc:Choice>
      <mc:Fallback>
        <control shapeId="67586" r:id="rId8" name="cmdCheckConstraintsSheet"/>
      </mc:Fallback>
    </mc:AlternateContent>
    <mc:AlternateContent xmlns:mc="http://schemas.openxmlformats.org/markup-compatibility/2006">
      <mc:Choice Requires="x14">
        <control shapeId="67585" r:id="rId10" name="cmdConstraintSets">
          <controlPr defaultSize="0" autoLine="0" r:id="rId11">
            <anchor moveWithCells="1">
              <from>
                <xdr:col>4</xdr:col>
                <xdr:colOff>28575</xdr:colOff>
                <xdr:row>4</xdr:row>
                <xdr:rowOff>28575</xdr:rowOff>
              </from>
              <to>
                <xdr:col>4</xdr:col>
                <xdr:colOff>1000125</xdr:colOff>
                <xdr:row>5</xdr:row>
                <xdr:rowOff>47625</xdr:rowOff>
              </to>
            </anchor>
          </controlPr>
        </control>
      </mc:Choice>
      <mc:Fallback>
        <control shapeId="67585" r:id="rId10" name="cmdConstraintSets"/>
      </mc:Fallback>
    </mc:AlternateContent>
  </control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16"/>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140625" customWidth="1"/>
    <col min="3" max="3" width="27.140625" customWidth="1"/>
    <col min="4" max="5" width="9.85546875" customWidth="1"/>
    <col min="6" max="6" width="30.42578125" customWidth="1"/>
    <col min="7" max="7" width="10.42578125" customWidth="1"/>
  </cols>
  <sheetData>
    <row r="1" spans="1:12" x14ac:dyDescent="0.2">
      <c r="A1" s="1" t="s">
        <v>6</v>
      </c>
      <c r="B1" s="12"/>
    </row>
    <row r="4" spans="1:12" ht="18" customHeight="1" x14ac:dyDescent="0.2"/>
    <row r="7" spans="1:12" x14ac:dyDescent="0.2">
      <c r="B7" s="1" t="s">
        <v>7</v>
      </c>
      <c r="C7" s="1" t="s">
        <v>8</v>
      </c>
      <c r="D7" s="1" t="s">
        <v>9</v>
      </c>
      <c r="E7" s="1" t="s">
        <v>10</v>
      </c>
      <c r="F7" s="1" t="s">
        <v>4</v>
      </c>
      <c r="G7" s="1" t="s">
        <v>5</v>
      </c>
    </row>
    <row r="8" spans="1:12" x14ac:dyDescent="0.2">
      <c r="B8" s="1"/>
      <c r="C8" s="1"/>
      <c r="D8" s="1"/>
      <c r="E8" s="1"/>
      <c r="F8" s="1"/>
      <c r="G8" s="1"/>
    </row>
    <row r="9" spans="1:12" x14ac:dyDescent="0.2">
      <c r="D9" s="2"/>
      <c r="E9" s="2"/>
      <c r="F9" s="2"/>
    </row>
    <row r="10" spans="1:12" x14ac:dyDescent="0.2">
      <c r="F10" s="2"/>
    </row>
    <row r="11" spans="1:12" x14ac:dyDescent="0.2">
      <c r="B11" s="1"/>
      <c r="C11" s="1"/>
      <c r="D11" s="11"/>
      <c r="E11" s="11"/>
    </row>
    <row r="12" spans="1:12" x14ac:dyDescent="0.2">
      <c r="B12" s="7"/>
      <c r="C12" s="2"/>
      <c r="F12" s="11"/>
    </row>
    <row r="13" spans="1:12" x14ac:dyDescent="0.2">
      <c r="B13" s="2"/>
      <c r="C13" s="2"/>
    </row>
    <row r="14" spans="1:12" x14ac:dyDescent="0.2">
      <c r="B14" s="2"/>
      <c r="C14" s="2"/>
      <c r="D14" s="5"/>
      <c r="F14" s="2"/>
      <c r="L14" s="4"/>
    </row>
    <row r="15" spans="1:12" x14ac:dyDescent="0.2">
      <c r="B15" s="2"/>
      <c r="C15" s="2"/>
      <c r="E15" s="5"/>
      <c r="F15" s="2"/>
    </row>
    <row r="16" spans="1:12" x14ac:dyDescent="0.2">
      <c r="B16" s="2"/>
      <c r="C16" s="2"/>
      <c r="F16" s="2"/>
    </row>
    <row r="17" spans="2:6" x14ac:dyDescent="0.2">
      <c r="D17" s="5"/>
    </row>
    <row r="18" spans="2:6" x14ac:dyDescent="0.2">
      <c r="E18" s="5"/>
    </row>
    <row r="20" spans="2:6" x14ac:dyDescent="0.2">
      <c r="B20" s="2"/>
      <c r="C20" s="2"/>
      <c r="F20" s="8"/>
    </row>
    <row r="21" spans="2:6" x14ac:dyDescent="0.2">
      <c r="B21" s="2"/>
      <c r="C21" s="2"/>
    </row>
    <row r="22" spans="2:6" x14ac:dyDescent="0.2">
      <c r="B22" s="2"/>
      <c r="C22" s="2"/>
      <c r="D22" s="2"/>
      <c r="E22" s="2"/>
      <c r="F22" s="2"/>
    </row>
    <row r="23" spans="2:6" x14ac:dyDescent="0.2">
      <c r="B23" s="2"/>
      <c r="C23" s="2"/>
    </row>
    <row r="24" spans="2:6" x14ac:dyDescent="0.2">
      <c r="B24" s="2"/>
      <c r="C24" s="2"/>
    </row>
    <row r="25" spans="2:6" x14ac:dyDescent="0.2">
      <c r="D25" s="5"/>
      <c r="E25" s="5"/>
    </row>
    <row r="26" spans="2:6" x14ac:dyDescent="0.2">
      <c r="F26" s="2"/>
    </row>
    <row r="27" spans="2:6" x14ac:dyDescent="0.2">
      <c r="B27" s="3"/>
      <c r="C27" s="2"/>
      <c r="D27" s="5"/>
      <c r="E27" s="5"/>
    </row>
    <row r="28" spans="2:6" x14ac:dyDescent="0.2">
      <c r="B28" s="2"/>
      <c r="C28" s="2"/>
      <c r="D28" s="8"/>
      <c r="E28" s="2"/>
      <c r="F28" s="2"/>
    </row>
    <row r="29" spans="2:6" x14ac:dyDescent="0.2">
      <c r="B29" s="2"/>
      <c r="C29" s="2"/>
    </row>
    <row r="30" spans="2:6" x14ac:dyDescent="0.2">
      <c r="B30" s="2"/>
      <c r="C30" s="2"/>
    </row>
    <row r="31" spans="2:6" x14ac:dyDescent="0.2">
      <c r="B31" s="2"/>
      <c r="C31" s="2"/>
    </row>
    <row r="32" spans="2:6" x14ac:dyDescent="0.2">
      <c r="B32" s="2"/>
      <c r="C32" s="2"/>
    </row>
    <row r="33" spans="2:6" x14ac:dyDescent="0.2">
      <c r="B33" s="2"/>
      <c r="C33" s="2"/>
    </row>
    <row r="37" spans="2:6" x14ac:dyDescent="0.2">
      <c r="B37" s="2"/>
      <c r="C37" s="2"/>
      <c r="F37" s="2"/>
    </row>
    <row r="38" spans="2:6" x14ac:dyDescent="0.2">
      <c r="B38" s="3"/>
      <c r="C38" s="2"/>
    </row>
  </sheetData>
  <phoneticPr fontId="0" type="noConversion"/>
  <pageMargins left="0.75" right="0.75" top="1" bottom="1" header="0.5" footer="0.5"/>
  <pageSetup paperSize="9" orientation="portrait" horizontalDpi="1200" verticalDpi="300" r:id="rId1"/>
  <headerFooter alignWithMargins="0"/>
  <drawing r:id="rId2"/>
  <legacyDrawing r:id="rId3"/>
  <controls>
    <mc:AlternateContent xmlns:mc="http://schemas.openxmlformats.org/markup-compatibility/2006">
      <mc:Choice Requires="x14">
        <control shapeId="66565" r:id="rId4" name="cmdRefreshUnits">
          <controlPr defaultSize="0" autoLine="0" r:id="rId5">
            <anchor moveWithCells="1">
              <from>
                <xdr:col>3</xdr:col>
                <xdr:colOff>381000</xdr:colOff>
                <xdr:row>1</xdr:row>
                <xdr:rowOff>152400</xdr:rowOff>
              </from>
              <to>
                <xdr:col>4</xdr:col>
                <xdr:colOff>276225</xdr:colOff>
                <xdr:row>3</xdr:row>
                <xdr:rowOff>200025</xdr:rowOff>
              </to>
            </anchor>
          </controlPr>
        </control>
      </mc:Choice>
      <mc:Fallback>
        <control shapeId="66565" r:id="rId4" name="cmdRefreshUnits"/>
      </mc:Fallback>
    </mc:AlternateContent>
    <mc:AlternateContent xmlns:mc="http://schemas.openxmlformats.org/markup-compatibility/2006">
      <mc:Choice Requires="x14">
        <control shapeId="66564" r:id="rId6" name="cmdTCAPUnit">
          <controlPr defaultSize="0" autoLine="0" r:id="rId7">
            <anchor moveWithCells="1">
              <from>
                <xdr:col>4</xdr:col>
                <xdr:colOff>28575</xdr:colOff>
                <xdr:row>4</xdr:row>
                <xdr:rowOff>28575</xdr:rowOff>
              </from>
              <to>
                <xdr:col>5</xdr:col>
                <xdr:colOff>9525</xdr:colOff>
                <xdr:row>5</xdr:row>
                <xdr:rowOff>104775</xdr:rowOff>
              </to>
            </anchor>
          </controlPr>
        </control>
      </mc:Choice>
      <mc:Fallback>
        <control shapeId="66564" r:id="rId6" name="cmdTCAPUnit"/>
      </mc:Fallback>
    </mc:AlternateContent>
    <mc:AlternateContent xmlns:mc="http://schemas.openxmlformats.org/markup-compatibility/2006">
      <mc:Choice Requires="x14">
        <control shapeId="66563" r:id="rId8" name="cmdTACTUnit">
          <controlPr defaultSize="0" autoLine="0" r:id="rId9">
            <anchor moveWithCells="1">
              <from>
                <xdr:col>3</xdr:col>
                <xdr:colOff>28575</xdr:colOff>
                <xdr:row>4</xdr:row>
                <xdr:rowOff>28575</xdr:rowOff>
              </from>
              <to>
                <xdr:col>4</xdr:col>
                <xdr:colOff>9525</xdr:colOff>
                <xdr:row>5</xdr:row>
                <xdr:rowOff>104775</xdr:rowOff>
              </to>
            </anchor>
          </controlPr>
        </control>
      </mc:Choice>
      <mc:Fallback>
        <control shapeId="66563" r:id="rId8" name="cmdTACTUnit"/>
      </mc:Fallback>
    </mc:AlternateContent>
    <mc:AlternateContent xmlns:mc="http://schemas.openxmlformats.org/markup-compatibility/2006">
      <mc:Choice Requires="x14">
        <control shapeId="66562" r:id="rId10" name="cmdCheckTechnologiesSheet">
          <controlPr defaultSize="0" autoLine="0" autoPict="0" r:id="rId11">
            <anchor moveWithCells="1">
              <from>
                <xdr:col>0</xdr:col>
                <xdr:colOff>28575</xdr:colOff>
                <xdr:row>2</xdr:row>
                <xdr:rowOff>152400</xdr:rowOff>
              </from>
              <to>
                <xdr:col>1</xdr:col>
                <xdr:colOff>0</xdr:colOff>
                <xdr:row>4</xdr:row>
                <xdr:rowOff>0</xdr:rowOff>
              </to>
            </anchor>
          </controlPr>
        </control>
      </mc:Choice>
      <mc:Fallback>
        <control shapeId="66562" r:id="rId10" name="cmdCheckTechnologiesSheet"/>
      </mc:Fallback>
    </mc:AlternateContent>
    <mc:AlternateContent xmlns:mc="http://schemas.openxmlformats.org/markup-compatibility/2006">
      <mc:Choice Requires="x14">
        <control shapeId="66561" r:id="rId12" name="cmdTechnologySets">
          <controlPr defaultSize="0" autoLine="0" r:id="rId13">
            <anchor moveWithCells="1">
              <from>
                <xdr:col>5</xdr:col>
                <xdr:colOff>28575</xdr:colOff>
                <xdr:row>4</xdr:row>
                <xdr:rowOff>28575</xdr:rowOff>
              </from>
              <to>
                <xdr:col>5</xdr:col>
                <xdr:colOff>1828800</xdr:colOff>
                <xdr:row>5</xdr:row>
                <xdr:rowOff>104775</xdr:rowOff>
              </to>
            </anchor>
          </controlPr>
        </control>
      </mc:Choice>
      <mc:Fallback>
        <control shapeId="66561" r:id="rId12" name="cmdTechnologySets"/>
      </mc:Fallback>
    </mc:AlternateContent>
  </control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5"/>
  <dimension ref="A1:F32"/>
  <sheetViews>
    <sheetView workbookViewId="0">
      <pane xSplit="3" ySplit="7" topLeftCell="D8" activePane="bottomRight" state="frozen"/>
      <selection pane="topRight" activeCell="D1" sqref="D1"/>
      <selection pane="bottomLeft" activeCell="A8" sqref="A8"/>
      <selection pane="bottomRight" sqref="A1:A65536"/>
    </sheetView>
  </sheetViews>
  <sheetFormatPr defaultRowHeight="12.75" x14ac:dyDescent="0.2"/>
  <cols>
    <col min="1" max="1" width="12.5703125" customWidth="1"/>
    <col min="2" max="2" width="12.140625" customWidth="1"/>
    <col min="3" max="3" width="29.85546875" customWidth="1"/>
    <col min="4" max="4" width="10.140625" customWidth="1"/>
    <col min="5" max="5" width="29.85546875" customWidth="1"/>
    <col min="6" max="6" width="10.140625" customWidth="1"/>
  </cols>
  <sheetData>
    <row r="1" spans="1:6" x14ac:dyDescent="0.2">
      <c r="A1" s="1" t="s">
        <v>0</v>
      </c>
      <c r="B1" s="12"/>
    </row>
    <row r="4" spans="1:6" ht="17.25" customHeight="1" x14ac:dyDescent="0.2"/>
    <row r="5" spans="1:6" ht="17.25" customHeight="1" x14ac:dyDescent="0.2">
      <c r="C5" s="2"/>
    </row>
    <row r="6" spans="1:6" ht="15.75" customHeight="1" x14ac:dyDescent="0.2"/>
    <row r="7" spans="1:6" x14ac:dyDescent="0.2">
      <c r="B7" s="3" t="s">
        <v>1</v>
      </c>
      <c r="C7" s="1" t="s">
        <v>2</v>
      </c>
      <c r="D7" s="1" t="s">
        <v>3</v>
      </c>
      <c r="E7" s="1" t="s">
        <v>4</v>
      </c>
      <c r="F7" s="1" t="s">
        <v>5</v>
      </c>
    </row>
    <row r="8" spans="1:6" x14ac:dyDescent="0.2">
      <c r="B8" s="1"/>
      <c r="C8" s="1"/>
      <c r="D8" s="1"/>
      <c r="E8" s="2"/>
      <c r="F8" s="1"/>
    </row>
    <row r="9" spans="1:6" x14ac:dyDescent="0.2">
      <c r="D9" s="2"/>
      <c r="E9" s="2"/>
    </row>
    <row r="11" spans="1:6" x14ac:dyDescent="0.2">
      <c r="B11" s="2"/>
      <c r="C11" s="2"/>
      <c r="D11" s="11"/>
      <c r="E11" s="11"/>
    </row>
    <row r="12" spans="1:6" x14ac:dyDescent="0.2">
      <c r="B12" s="2"/>
      <c r="C12" s="2"/>
      <c r="E12" s="2"/>
    </row>
    <row r="13" spans="1:6" x14ac:dyDescent="0.2">
      <c r="B13" s="2"/>
      <c r="C13" s="2"/>
    </row>
    <row r="14" spans="1:6" x14ac:dyDescent="0.2">
      <c r="B14" s="2"/>
      <c r="C14" s="2"/>
      <c r="D14" s="5"/>
    </row>
    <row r="15" spans="1:6" x14ac:dyDescent="0.2">
      <c r="B15" s="2"/>
      <c r="C15" s="2"/>
      <c r="E15" s="2"/>
    </row>
    <row r="16" spans="1:6" x14ac:dyDescent="0.2">
      <c r="B16" s="2"/>
      <c r="C16" s="2"/>
      <c r="E16" s="2"/>
    </row>
    <row r="17" spans="2:5" x14ac:dyDescent="0.2">
      <c r="B17" s="2"/>
      <c r="C17" s="2"/>
      <c r="E17" s="2"/>
    </row>
    <row r="18" spans="2:5" x14ac:dyDescent="0.2">
      <c r="B18" s="2"/>
      <c r="C18" s="2"/>
      <c r="E18" s="2"/>
    </row>
    <row r="19" spans="2:5" x14ac:dyDescent="0.2">
      <c r="B19" s="2"/>
      <c r="C19" s="2"/>
      <c r="E19" s="2"/>
    </row>
    <row r="20" spans="2:5" x14ac:dyDescent="0.2">
      <c r="D20" s="5"/>
    </row>
    <row r="21" spans="2:5" x14ac:dyDescent="0.2">
      <c r="E21" s="2"/>
    </row>
    <row r="23" spans="2:5" x14ac:dyDescent="0.2">
      <c r="B23" s="2"/>
      <c r="C23" s="2"/>
      <c r="D23" s="2"/>
      <c r="E23" s="2"/>
    </row>
    <row r="24" spans="2:5" x14ac:dyDescent="0.2">
      <c r="B24" s="2"/>
      <c r="C24" s="2"/>
    </row>
    <row r="25" spans="2:5" x14ac:dyDescent="0.2">
      <c r="B25" s="2"/>
      <c r="C25" s="2"/>
      <c r="D25" s="5"/>
      <c r="E25" s="2"/>
    </row>
    <row r="26" spans="2:5" x14ac:dyDescent="0.2">
      <c r="B26" s="3"/>
      <c r="C26" s="2"/>
      <c r="E26" s="2"/>
    </row>
    <row r="27" spans="2:5" x14ac:dyDescent="0.2">
      <c r="E27" s="2"/>
    </row>
    <row r="29" spans="2:5" x14ac:dyDescent="0.2">
      <c r="B29" s="2"/>
      <c r="C29" s="2"/>
      <c r="D29" s="2"/>
      <c r="E29" s="2"/>
    </row>
    <row r="30" spans="2:5" x14ac:dyDescent="0.2">
      <c r="B30" s="2"/>
      <c r="C30" s="2"/>
    </row>
    <row r="31" spans="2:5" x14ac:dyDescent="0.2">
      <c r="B31" s="2"/>
      <c r="C31" s="2"/>
      <c r="E31" s="2"/>
    </row>
    <row r="32" spans="2:5" x14ac:dyDescent="0.2">
      <c r="B32" s="2"/>
      <c r="C32" s="2"/>
      <c r="E32" s="2"/>
    </row>
  </sheetData>
  <phoneticPr fontId="0" type="noConversion"/>
  <pageMargins left="0.75" right="0.75" top="1" bottom="1" header="0.5" footer="0.5"/>
  <pageSetup paperSize="9" orientation="portrait" horizontalDpi="1200" verticalDpi="300" r:id="rId1"/>
  <headerFooter alignWithMargins="0"/>
  <drawing r:id="rId2"/>
  <legacyDrawing r:id="rId3"/>
  <controls>
    <mc:AlternateContent xmlns:mc="http://schemas.openxmlformats.org/markup-compatibility/2006">
      <mc:Choice Requires="x14">
        <control shapeId="63495" r:id="rId4" name="cmdRefreshUnits">
          <controlPr defaultSize="0" autoLine="0" r:id="rId5">
            <anchor moveWithCells="1">
              <from>
                <xdr:col>3</xdr:col>
                <xdr:colOff>66675</xdr:colOff>
                <xdr:row>2</xdr:row>
                <xdr:rowOff>114300</xdr:rowOff>
              </from>
              <to>
                <xdr:col>3</xdr:col>
                <xdr:colOff>619125</xdr:colOff>
                <xdr:row>4</xdr:row>
                <xdr:rowOff>104775</xdr:rowOff>
              </to>
            </anchor>
          </controlPr>
        </control>
      </mc:Choice>
      <mc:Fallback>
        <control shapeId="63495" r:id="rId4" name="cmdRefreshUnits"/>
      </mc:Fallback>
    </mc:AlternateContent>
    <mc:AlternateContent xmlns:mc="http://schemas.openxmlformats.org/markup-compatibility/2006">
      <mc:Choice Requires="x14">
        <control shapeId="63494" r:id="rId6" name="cmdCommUnit">
          <controlPr defaultSize="0" autoLine="0" r:id="rId7">
            <anchor moveWithCells="1">
              <from>
                <xdr:col>3</xdr:col>
                <xdr:colOff>28575</xdr:colOff>
                <xdr:row>4</xdr:row>
                <xdr:rowOff>180975</xdr:rowOff>
              </from>
              <to>
                <xdr:col>4</xdr:col>
                <xdr:colOff>19050</xdr:colOff>
                <xdr:row>6</xdr:row>
                <xdr:rowOff>0</xdr:rowOff>
              </to>
            </anchor>
          </controlPr>
        </control>
      </mc:Choice>
      <mc:Fallback>
        <control shapeId="63494" r:id="rId6" name="cmdCommUnit"/>
      </mc:Fallback>
    </mc:AlternateContent>
    <mc:AlternateContent xmlns:mc="http://schemas.openxmlformats.org/markup-compatibility/2006">
      <mc:Choice Requires="x14">
        <control shapeId="63493" r:id="rId8" name="cmdCheckCommoditiesSheet">
          <controlPr defaultSize="0" autoLine="0" autoPict="0" r:id="rId9">
            <anchor moveWithCells="1">
              <from>
                <xdr:col>0</xdr:col>
                <xdr:colOff>28575</xdr:colOff>
                <xdr:row>2</xdr:row>
                <xdr:rowOff>142875</xdr:rowOff>
              </from>
              <to>
                <xdr:col>0</xdr:col>
                <xdr:colOff>828675</xdr:colOff>
                <xdr:row>4</xdr:row>
                <xdr:rowOff>0</xdr:rowOff>
              </to>
            </anchor>
          </controlPr>
        </control>
      </mc:Choice>
      <mc:Fallback>
        <control shapeId="63493" r:id="rId8" name="cmdCheckCommoditiesSheet"/>
      </mc:Fallback>
    </mc:AlternateContent>
    <mc:AlternateContent xmlns:mc="http://schemas.openxmlformats.org/markup-compatibility/2006">
      <mc:Choice Requires="x14">
        <control shapeId="63492" r:id="rId10" name="cmdMaterialSets">
          <controlPr defaultSize="0" autoLine="0" r:id="rId11">
            <anchor moveWithCells="1">
              <from>
                <xdr:col>4</xdr:col>
                <xdr:colOff>1019175</xdr:colOff>
                <xdr:row>3</xdr:row>
                <xdr:rowOff>104775</xdr:rowOff>
              </from>
              <to>
                <xdr:col>5</xdr:col>
                <xdr:colOff>0</xdr:colOff>
                <xdr:row>4</xdr:row>
                <xdr:rowOff>123825</xdr:rowOff>
              </to>
            </anchor>
          </controlPr>
        </control>
      </mc:Choice>
      <mc:Fallback>
        <control shapeId="63492" r:id="rId10" name="cmdMaterialSets"/>
      </mc:Fallback>
    </mc:AlternateContent>
    <mc:AlternateContent xmlns:mc="http://schemas.openxmlformats.org/markup-compatibility/2006">
      <mc:Choice Requires="x14">
        <control shapeId="63491" r:id="rId12" name="cmdEmissionSets">
          <controlPr defaultSize="0" autoLine="0" r:id="rId13">
            <anchor moveWithCells="1">
              <from>
                <xdr:col>4</xdr:col>
                <xdr:colOff>1019175</xdr:colOff>
                <xdr:row>4</xdr:row>
                <xdr:rowOff>180975</xdr:rowOff>
              </from>
              <to>
                <xdr:col>5</xdr:col>
                <xdr:colOff>0</xdr:colOff>
                <xdr:row>6</xdr:row>
                <xdr:rowOff>0</xdr:rowOff>
              </to>
            </anchor>
          </controlPr>
        </control>
      </mc:Choice>
      <mc:Fallback>
        <control shapeId="63491" r:id="rId12" name="cmdEmissionSets"/>
      </mc:Fallback>
    </mc:AlternateContent>
    <mc:AlternateContent xmlns:mc="http://schemas.openxmlformats.org/markup-compatibility/2006">
      <mc:Choice Requires="x14">
        <control shapeId="63490" r:id="rId14" name="cmdDemandSets">
          <controlPr defaultSize="0" autoLine="0" r:id="rId15">
            <anchor moveWithCells="1">
              <from>
                <xdr:col>4</xdr:col>
                <xdr:colOff>28575</xdr:colOff>
                <xdr:row>4</xdr:row>
                <xdr:rowOff>180975</xdr:rowOff>
              </from>
              <to>
                <xdr:col>4</xdr:col>
                <xdr:colOff>1000125</xdr:colOff>
                <xdr:row>6</xdr:row>
                <xdr:rowOff>0</xdr:rowOff>
              </to>
            </anchor>
          </controlPr>
        </control>
      </mc:Choice>
      <mc:Fallback>
        <control shapeId="63490" r:id="rId14" name="cmdDemandSets"/>
      </mc:Fallback>
    </mc:AlternateContent>
    <mc:AlternateContent xmlns:mc="http://schemas.openxmlformats.org/markup-compatibility/2006">
      <mc:Choice Requires="x14">
        <control shapeId="63489" r:id="rId16" name="cmdEnergySets">
          <controlPr defaultSize="0" autoLine="0" r:id="rId17">
            <anchor moveWithCells="1">
              <from>
                <xdr:col>4</xdr:col>
                <xdr:colOff>28575</xdr:colOff>
                <xdr:row>3</xdr:row>
                <xdr:rowOff>104775</xdr:rowOff>
              </from>
              <to>
                <xdr:col>4</xdr:col>
                <xdr:colOff>1000125</xdr:colOff>
                <xdr:row>4</xdr:row>
                <xdr:rowOff>123825</xdr:rowOff>
              </to>
            </anchor>
          </controlPr>
        </control>
      </mc:Choice>
      <mc:Fallback>
        <control shapeId="63489" r:id="rId16" name="cmdEnergySets"/>
      </mc:Fallback>
    </mc:AlternateContent>
  </control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9"/>
  </sheetPr>
  <dimension ref="B2:T260"/>
  <sheetViews>
    <sheetView showFormulas="1" topLeftCell="A23" zoomScaleNormal="100" workbookViewId="0">
      <selection activeCell="D9" sqref="D9"/>
    </sheetView>
  </sheetViews>
  <sheetFormatPr defaultColWidth="12.5703125" defaultRowHeight="12.75" x14ac:dyDescent="0.2"/>
  <cols>
    <col min="1" max="1" width="3.42578125" style="18" customWidth="1"/>
    <col min="2" max="2" width="14" style="18" customWidth="1"/>
    <col min="3" max="3" width="33.140625" style="18" customWidth="1"/>
    <col min="4" max="4" width="12.85546875" style="18" bestFit="1" customWidth="1"/>
    <col min="5" max="5" width="50.7109375" style="18" bestFit="1" customWidth="1"/>
    <col min="6" max="6" width="57.42578125" style="18" bestFit="1" customWidth="1"/>
    <col min="7" max="7" width="25.28515625" style="18" bestFit="1" customWidth="1"/>
    <col min="8" max="8" width="19.140625" style="18" bestFit="1" customWidth="1"/>
    <col min="9" max="9" width="23.5703125" style="18" bestFit="1" customWidth="1"/>
    <col min="10" max="10" width="18.140625" style="18" bestFit="1" customWidth="1"/>
    <col min="11" max="11" width="14.28515625" style="18" bestFit="1" customWidth="1"/>
    <col min="12" max="13" width="12.7109375" style="18" bestFit="1" customWidth="1"/>
    <col min="14" max="14" width="12.28515625" style="18" bestFit="1" customWidth="1"/>
    <col min="15" max="15" width="12.42578125" style="18" bestFit="1" customWidth="1"/>
    <col min="16" max="16" width="16.140625" style="18" bestFit="1" customWidth="1"/>
    <col min="17" max="17" width="117.140625" style="18" bestFit="1" customWidth="1"/>
    <col min="18" max="18" width="10.5703125" style="18" bestFit="1" customWidth="1"/>
    <col min="19" max="19" width="150.7109375" style="18" bestFit="1" customWidth="1"/>
    <col min="20" max="20" width="207" style="18" bestFit="1" customWidth="1"/>
    <col min="21" max="16384" width="12.5703125" style="18"/>
  </cols>
  <sheetData>
    <row r="2" spans="2:6" x14ac:dyDescent="0.2">
      <c r="B2" s="15" t="s">
        <v>2168</v>
      </c>
      <c r="C2" s="13" t="s">
        <v>2169</v>
      </c>
      <c r="D2" s="15"/>
      <c r="E2" s="15"/>
      <c r="F2" s="15"/>
    </row>
    <row r="3" spans="2:6" x14ac:dyDescent="0.2">
      <c r="B3" s="15" t="s">
        <v>2170</v>
      </c>
      <c r="C3" s="15"/>
      <c r="D3" s="15"/>
      <c r="E3" s="15"/>
      <c r="F3" s="15"/>
    </row>
    <row r="4" spans="2:6" x14ac:dyDescent="0.2">
      <c r="B4" s="15"/>
      <c r="C4" s="15" t="s">
        <v>2171</v>
      </c>
      <c r="D4" s="15"/>
      <c r="E4" s="15"/>
      <c r="F4" s="15"/>
    </row>
    <row r="5" spans="2:6" x14ac:dyDescent="0.2">
      <c r="B5" s="15"/>
      <c r="C5" s="15"/>
      <c r="D5" s="15"/>
      <c r="E5" s="15"/>
    </row>
    <row r="6" spans="2:6" x14ac:dyDescent="0.2">
      <c r="B6" s="302"/>
      <c r="C6" s="302" t="s">
        <v>2172</v>
      </c>
      <c r="D6" s="302" t="s">
        <v>2173</v>
      </c>
      <c r="E6" s="302" t="s">
        <v>2174</v>
      </c>
    </row>
    <row r="7" spans="2:6" x14ac:dyDescent="0.2">
      <c r="B7" s="302" t="s">
        <v>2175</v>
      </c>
      <c r="C7" s="302" t="s">
        <v>2176</v>
      </c>
      <c r="D7" s="302" t="s">
        <v>26</v>
      </c>
      <c r="E7" s="302" t="s">
        <v>26</v>
      </c>
    </row>
    <row r="8" spans="2:6" x14ac:dyDescent="0.2">
      <c r="B8" s="306" t="s">
        <v>1562</v>
      </c>
      <c r="C8" s="306">
        <v>53.06</v>
      </c>
      <c r="D8" s="306">
        <f>E8/1000</f>
        <v>5.5981271360000008E-2</v>
      </c>
      <c r="E8" s="306">
        <f t="shared" ref="E8:E20" si="0">C8*quad_to_PJ/1000</f>
        <v>55.981271360000008</v>
      </c>
    </row>
    <row r="9" spans="2:6" x14ac:dyDescent="0.2">
      <c r="B9" s="306" t="s">
        <v>2177</v>
      </c>
      <c r="C9" s="306">
        <v>73.150000000000006</v>
      </c>
      <c r="D9" s="306">
        <f t="shared" ref="D9:D20" si="1">E9/1000</f>
        <v>7.7177346399999999E-2</v>
      </c>
      <c r="E9" s="306">
        <f t="shared" si="0"/>
        <v>77.177346400000005</v>
      </c>
    </row>
    <row r="10" spans="2:6" x14ac:dyDescent="0.2">
      <c r="B10" s="306" t="s">
        <v>2178</v>
      </c>
      <c r="C10" s="306">
        <v>70.88</v>
      </c>
      <c r="D10" s="306">
        <f t="shared" si="1"/>
        <v>7.4782369279999997E-2</v>
      </c>
      <c r="E10" s="306">
        <f t="shared" si="0"/>
        <v>74.782369279999998</v>
      </c>
    </row>
    <row r="11" spans="2:6" x14ac:dyDescent="0.2">
      <c r="B11" s="306" t="s">
        <v>1511</v>
      </c>
      <c r="C11" s="306">
        <v>72.31</v>
      </c>
      <c r="D11" s="306">
        <f t="shared" si="1"/>
        <v>7.6291099360000003E-2</v>
      </c>
      <c r="E11" s="306">
        <f t="shared" si="0"/>
        <v>76.291099360000004</v>
      </c>
    </row>
    <row r="12" spans="2:6" x14ac:dyDescent="0.2">
      <c r="B12" s="306" t="s">
        <v>2179</v>
      </c>
      <c r="C12" s="306">
        <v>62.28</v>
      </c>
      <c r="D12" s="306">
        <f t="shared" si="1"/>
        <v>6.5708887680000008E-2</v>
      </c>
      <c r="E12" s="306">
        <f t="shared" si="0"/>
        <v>65.708887680000004</v>
      </c>
    </row>
    <row r="13" spans="2:6" x14ac:dyDescent="0.2">
      <c r="B13" s="306" t="s">
        <v>1722</v>
      </c>
      <c r="C13" s="306">
        <v>70.88</v>
      </c>
      <c r="D13" s="306">
        <f t="shared" si="1"/>
        <v>7.4782369279999997E-2</v>
      </c>
      <c r="E13" s="306">
        <f t="shared" si="0"/>
        <v>74.782369279999998</v>
      </c>
    </row>
    <row r="14" spans="2:6" x14ac:dyDescent="0.2">
      <c r="B14" s="306" t="s">
        <v>2180</v>
      </c>
      <c r="C14" s="306">
        <v>78.8</v>
      </c>
      <c r="D14" s="306">
        <f t="shared" si="1"/>
        <v>8.3138412800000006E-2</v>
      </c>
      <c r="E14" s="306">
        <f t="shared" si="0"/>
        <v>83.138412800000012</v>
      </c>
    </row>
    <row r="15" spans="2:6" x14ac:dyDescent="0.2">
      <c r="B15" s="306" t="s">
        <v>2181</v>
      </c>
      <c r="C15" s="306">
        <v>71.02</v>
      </c>
      <c r="D15" s="306">
        <f t="shared" si="1"/>
        <v>7.4930077120000008E-2</v>
      </c>
      <c r="E15" s="306">
        <f t="shared" si="0"/>
        <v>74.930077120000007</v>
      </c>
    </row>
    <row r="16" spans="2:6" x14ac:dyDescent="0.2">
      <c r="B16" s="306" t="s">
        <v>2182</v>
      </c>
      <c r="C16" s="306">
        <v>102.12</v>
      </c>
      <c r="D16" s="306">
        <f t="shared" si="1"/>
        <v>0.10774231872000001</v>
      </c>
      <c r="E16" s="306">
        <f t="shared" si="0"/>
        <v>107.74231872000001</v>
      </c>
    </row>
    <row r="17" spans="2:15" x14ac:dyDescent="0.2">
      <c r="B17" s="306" t="s">
        <v>2183</v>
      </c>
      <c r="C17" s="306">
        <f>94.7</f>
        <v>94.7</v>
      </c>
      <c r="D17" s="306">
        <f t="shared" si="1"/>
        <v>9.9913803199999998E-2</v>
      </c>
      <c r="E17" s="306">
        <f t="shared" si="0"/>
        <v>99.913803200000004</v>
      </c>
    </row>
    <row r="18" spans="2:15" x14ac:dyDescent="0.2">
      <c r="B18" s="306" t="s">
        <v>2184</v>
      </c>
      <c r="C18" s="306">
        <f>95.35</f>
        <v>95.35</v>
      </c>
      <c r="D18" s="306">
        <f t="shared" si="1"/>
        <v>0.10059958959999998</v>
      </c>
      <c r="E18" s="306">
        <f t="shared" si="0"/>
        <v>100.59958959999999</v>
      </c>
    </row>
    <row r="19" spans="2:15" x14ac:dyDescent="0.2">
      <c r="B19" s="306" t="s">
        <v>2185</v>
      </c>
      <c r="C19" s="306">
        <v>95.35</v>
      </c>
      <c r="D19" s="306">
        <f t="shared" si="1"/>
        <v>0.10059958959999998</v>
      </c>
      <c r="E19" s="306">
        <f t="shared" si="0"/>
        <v>100.59958959999999</v>
      </c>
    </row>
    <row r="20" spans="2:15" x14ac:dyDescent="0.2">
      <c r="B20" s="306" t="s">
        <v>2186</v>
      </c>
      <c r="C20" s="306">
        <f>93.98</f>
        <v>93.98</v>
      </c>
      <c r="D20" s="306">
        <f t="shared" si="1"/>
        <v>9.9154162880000007E-2</v>
      </c>
      <c r="E20" s="306">
        <f t="shared" si="0"/>
        <v>99.154162880000001</v>
      </c>
    </row>
    <row r="22" spans="2:15" x14ac:dyDescent="0.2">
      <c r="B22" s="589" t="s">
        <v>2187</v>
      </c>
      <c r="C22" s="589"/>
      <c r="D22" s="590"/>
      <c r="E22" s="594" t="s">
        <v>2188</v>
      </c>
      <c r="F22" s="512" t="s">
        <v>2189</v>
      </c>
      <c r="G22" s="512"/>
      <c r="H22" s="589"/>
      <c r="I22" s="589"/>
      <c r="J22" s="589"/>
      <c r="K22" s="512"/>
      <c r="L22" s="512"/>
      <c r="M22" s="512"/>
      <c r="N22" s="512"/>
      <c r="O22" s="512"/>
    </row>
    <row r="23" spans="2:15" x14ac:dyDescent="0.2">
      <c r="B23" s="589" t="s">
        <v>2190</v>
      </c>
      <c r="C23" s="589"/>
      <c r="D23" s="590"/>
      <c r="E23" s="589"/>
      <c r="F23" s="512" t="s">
        <v>2191</v>
      </c>
      <c r="G23" s="512"/>
      <c r="H23" s="589"/>
      <c r="I23" s="589"/>
      <c r="J23" s="589"/>
      <c r="K23" s="512"/>
      <c r="L23" s="512"/>
      <c r="M23" s="512"/>
      <c r="N23" s="512"/>
      <c r="O23" s="512"/>
    </row>
    <row r="24" spans="2:15" x14ac:dyDescent="0.2">
      <c r="B24" s="512"/>
      <c r="C24" s="512"/>
      <c r="D24" s="512"/>
      <c r="E24" s="512"/>
      <c r="F24" s="512" t="s">
        <v>2192</v>
      </c>
      <c r="G24" s="512"/>
      <c r="H24" s="293"/>
      <c r="I24" s="293"/>
      <c r="J24" s="293"/>
      <c r="K24" s="293"/>
      <c r="L24" s="293"/>
      <c r="M24" s="293"/>
      <c r="N24" s="293"/>
      <c r="O24" s="293"/>
    </row>
    <row r="25" spans="2:15" x14ac:dyDescent="0.2">
      <c r="B25" s="512"/>
      <c r="C25" s="512"/>
      <c r="D25" s="512"/>
      <c r="E25" s="512"/>
      <c r="F25" s="512"/>
      <c r="G25" s="512"/>
      <c r="H25" s="293"/>
      <c r="I25" s="293"/>
      <c r="J25" s="293"/>
      <c r="K25" s="293"/>
      <c r="L25" s="293"/>
      <c r="M25" s="293"/>
      <c r="N25" s="293"/>
      <c r="O25" s="293"/>
    </row>
    <row r="26" spans="2:15" x14ac:dyDescent="0.2">
      <c r="B26" s="293" t="s">
        <v>2193</v>
      </c>
      <c r="C26" s="293" t="s">
        <v>2194</v>
      </c>
      <c r="D26" s="293" t="s">
        <v>2195</v>
      </c>
      <c r="E26" s="293" t="s">
        <v>2196</v>
      </c>
      <c r="F26" s="293" t="s">
        <v>2175</v>
      </c>
      <c r="G26" s="591" t="s">
        <v>2197</v>
      </c>
      <c r="H26" s="592" t="s">
        <v>2198</v>
      </c>
      <c r="I26" s="592" t="s">
        <v>2199</v>
      </c>
      <c r="J26" s="592" t="s">
        <v>2200</v>
      </c>
      <c r="K26" s="592" t="s">
        <v>2201</v>
      </c>
      <c r="L26" s="592" t="s">
        <v>2202</v>
      </c>
      <c r="M26" s="592" t="s">
        <v>2203</v>
      </c>
      <c r="N26" s="592" t="s">
        <v>2204</v>
      </c>
      <c r="O26" s="592" t="s">
        <v>2205</v>
      </c>
    </row>
    <row r="27" spans="2:15" x14ac:dyDescent="0.2">
      <c r="B27" s="541" t="s">
        <v>63</v>
      </c>
      <c r="C27" s="541" t="str">
        <f t="shared" ref="C27:C46" si="2">D27&amp;E27&amp;F27</f>
        <v>Space heatingBoilerWood</v>
      </c>
      <c r="D27" s="541" t="s">
        <v>2206</v>
      </c>
      <c r="E27" s="541" t="s">
        <v>2207</v>
      </c>
      <c r="F27" s="541" t="s">
        <v>1572</v>
      </c>
      <c r="G27" s="593">
        <v>88.905246106165848</v>
      </c>
      <c r="H27" s="593">
        <v>1.0748065374927783E-2</v>
      </c>
      <c r="I27" s="593">
        <v>0.12680825708658253</v>
      </c>
      <c r="J27" s="593">
        <v>0.70373708963144821</v>
      </c>
      <c r="K27" s="593">
        <f>J27*0.86</f>
        <v>0.6052138970830454</v>
      </c>
      <c r="L27" s="593">
        <v>1.1519337812962567</v>
      </c>
      <c r="M27" s="593">
        <v>5.1881544168748119</v>
      </c>
      <c r="N27" s="593">
        <v>0.18729739993150055</v>
      </c>
      <c r="O27" s="593">
        <v>3.9808319152014561E-3</v>
      </c>
    </row>
    <row r="28" spans="2:15" x14ac:dyDescent="0.2">
      <c r="B28" s="541" t="s">
        <v>52</v>
      </c>
      <c r="C28" s="541" t="str">
        <f t="shared" si="2"/>
        <v>Space heatingFurnaceNatural gas</v>
      </c>
      <c r="D28" s="541" t="s">
        <v>2206</v>
      </c>
      <c r="E28" s="541" t="s">
        <v>2208</v>
      </c>
      <c r="F28" s="541" t="s">
        <v>1562</v>
      </c>
      <c r="G28" s="593">
        <v>50.253263843805051</v>
      </c>
      <c r="H28" s="593">
        <v>2.5069701152660706E-4</v>
      </c>
      <c r="I28" s="593">
        <v>3.9275865139168441E-2</v>
      </c>
      <c r="J28" s="593">
        <v>2.1727074332305945E-4</v>
      </c>
      <c r="K28" s="593">
        <v>1.7966619159406839E-4</v>
      </c>
      <c r="L28" s="593">
        <v>2.2980559389938981E-3</v>
      </c>
      <c r="M28" s="593">
        <v>1.6713134101773802E-2</v>
      </c>
      <c r="N28" s="593">
        <v>4.7390856133350664E-3</v>
      </c>
      <c r="O28" s="593">
        <v>9.4781712266701334E-5</v>
      </c>
    </row>
    <row r="29" spans="2:15" x14ac:dyDescent="0.2">
      <c r="B29" s="541" t="s">
        <v>56</v>
      </c>
      <c r="C29" s="541" t="str">
        <f t="shared" si="2"/>
        <v>Space heatingFurnaceDistillate oil</v>
      </c>
      <c r="D29" s="541" t="s">
        <v>2206</v>
      </c>
      <c r="E29" s="541" t="s">
        <v>2208</v>
      </c>
      <c r="F29" s="541" t="s">
        <v>2209</v>
      </c>
      <c r="G29" s="593">
        <v>70.100554392452295</v>
      </c>
      <c r="H29" s="593">
        <v>0.13206150464122579</v>
      </c>
      <c r="I29" s="593">
        <v>5.5800635763898224E-2</v>
      </c>
      <c r="J29" s="593">
        <v>7.3780840621154318E-3</v>
      </c>
      <c r="K29" s="593">
        <v>6.6030752320612894E-3</v>
      </c>
      <c r="L29" s="593">
        <v>2.1700247241515976E-3</v>
      </c>
      <c r="M29" s="593">
        <v>1.5500176601082839E-2</v>
      </c>
      <c r="N29" s="593">
        <v>5.5180628699854906E-3</v>
      </c>
      <c r="O29" s="593">
        <v>5.6869027360020798E-4</v>
      </c>
    </row>
    <row r="30" spans="2:15" x14ac:dyDescent="0.2">
      <c r="B30" s="541" t="s">
        <v>61</v>
      </c>
      <c r="C30" s="541" t="str">
        <f t="shared" si="2"/>
        <v>Space heatingFurnaceLPG</v>
      </c>
      <c r="D30" s="541" t="s">
        <v>2206</v>
      </c>
      <c r="E30" s="541" t="s">
        <v>2208</v>
      </c>
      <c r="F30" s="541" t="s">
        <v>2179</v>
      </c>
      <c r="G30" s="593">
        <v>59.693522385568492</v>
      </c>
      <c r="H30" s="593">
        <v>2.8147727954268173E-4</v>
      </c>
      <c r="I30" s="593">
        <v>6.2863259097865581E-2</v>
      </c>
      <c r="J30" s="593">
        <v>2.3456439961890146E-4</v>
      </c>
      <c r="K30" s="593">
        <v>1.8765151969512116E-4</v>
      </c>
      <c r="L30" s="593">
        <v>2.439469756036575E-3</v>
      </c>
      <c r="M30" s="593">
        <v>1.782689437103651E-2</v>
      </c>
      <c r="N30" s="593">
        <v>1.0425988349337147E-2</v>
      </c>
      <c r="O30" s="593">
        <v>5.6869027360020798E-4</v>
      </c>
    </row>
    <row r="31" spans="2:15" x14ac:dyDescent="0.2">
      <c r="B31" s="541" t="s">
        <v>59</v>
      </c>
      <c r="C31" s="541" t="str">
        <f t="shared" si="2"/>
        <v>Space heatingFurnaceKerosene</v>
      </c>
      <c r="D31" s="541" t="s">
        <v>2206</v>
      </c>
      <c r="E31" s="541" t="s">
        <v>2208</v>
      </c>
      <c r="F31" s="541" t="s">
        <v>1511</v>
      </c>
      <c r="G31" s="593">
        <v>71.275847624559404</v>
      </c>
      <c r="H31" s="593">
        <v>0.13567165159349917</v>
      </c>
      <c r="I31" s="593">
        <v>5.7326049969084157E-2</v>
      </c>
      <c r="J31" s="593">
        <v>7.2612996627506596E-3</v>
      </c>
      <c r="K31" s="593">
        <v>6.5288001353679169E-3</v>
      </c>
      <c r="L31" s="593">
        <v>2.140172532179142E-3</v>
      </c>
      <c r="M31" s="593">
        <v>1.5923902769190042E-2</v>
      </c>
      <c r="N31" s="593">
        <v>5.6689093858316554E-3</v>
      </c>
      <c r="O31" s="593">
        <v>5.6869027360020798E-4</v>
      </c>
    </row>
    <row r="32" spans="2:15" x14ac:dyDescent="0.2">
      <c r="B32" s="541" t="s">
        <v>52</v>
      </c>
      <c r="C32" s="541" t="str">
        <f t="shared" si="2"/>
        <v>Space heatingRadiantNatural gas</v>
      </c>
      <c r="D32" s="541" t="s">
        <v>2206</v>
      </c>
      <c r="E32" s="541" t="s">
        <v>2210</v>
      </c>
      <c r="F32" s="541" t="s">
        <v>1562</v>
      </c>
      <c r="G32" s="593">
        <v>50.253263843805051</v>
      </c>
      <c r="H32" s="593">
        <v>2.5069701152660706E-4</v>
      </c>
      <c r="I32" s="593">
        <v>3.9275865139168441E-2</v>
      </c>
      <c r="J32" s="593">
        <v>2.1727074332305945E-4</v>
      </c>
      <c r="K32" s="593">
        <v>1.7966619159406839E-4</v>
      </c>
      <c r="L32" s="593">
        <v>2.2980559389938981E-3</v>
      </c>
      <c r="M32" s="593">
        <v>1.6713134101773802E-2</v>
      </c>
      <c r="N32" s="593">
        <v>4.7390856133350664E-3</v>
      </c>
      <c r="O32" s="593">
        <v>9.4781712266701334E-5</v>
      </c>
    </row>
    <row r="33" spans="2:20" x14ac:dyDescent="0.2">
      <c r="B33" s="541" t="s">
        <v>56</v>
      </c>
      <c r="C33" s="541" t="str">
        <f t="shared" si="2"/>
        <v>Space heatingRadiantDistillate oil</v>
      </c>
      <c r="D33" s="541" t="s">
        <v>2206</v>
      </c>
      <c r="E33" s="541" t="s">
        <v>2210</v>
      </c>
      <c r="F33" s="541" t="s">
        <v>2209</v>
      </c>
      <c r="G33" s="593">
        <v>70.100554392452295</v>
      </c>
      <c r="H33" s="593">
        <v>0.13206150464122579</v>
      </c>
      <c r="I33" s="593">
        <v>5.5800635763898224E-2</v>
      </c>
      <c r="J33" s="593">
        <v>7.3780840621154318E-3</v>
      </c>
      <c r="K33" s="593">
        <v>6.6030752320612894E-3</v>
      </c>
      <c r="L33" s="593">
        <v>2.1700247241515976E-3</v>
      </c>
      <c r="M33" s="593">
        <v>1.5500176601082839E-2</v>
      </c>
      <c r="N33" s="593">
        <v>5.5180628699854906E-3</v>
      </c>
      <c r="O33" s="593">
        <v>5.6869027360020798E-4</v>
      </c>
    </row>
    <row r="34" spans="2:20" x14ac:dyDescent="0.2">
      <c r="B34" s="541" t="s">
        <v>63</v>
      </c>
      <c r="C34" s="541" t="str">
        <f t="shared" si="2"/>
        <v>Space heatingRadiantWood</v>
      </c>
      <c r="D34" s="541" t="s">
        <v>2206</v>
      </c>
      <c r="E34" s="541" t="s">
        <v>2210</v>
      </c>
      <c r="F34" s="541" t="s">
        <v>1572</v>
      </c>
      <c r="G34" s="593">
        <v>88.905246106165848</v>
      </c>
      <c r="H34" s="593">
        <v>1.0748065374927783E-2</v>
      </c>
      <c r="I34" s="593">
        <v>0.12680825708658253</v>
      </c>
      <c r="J34" s="593">
        <v>0.70373708963144821</v>
      </c>
      <c r="K34" s="593">
        <f>J34*0.86</f>
        <v>0.6052138970830454</v>
      </c>
      <c r="L34" s="593">
        <v>1.1519337812962567</v>
      </c>
      <c r="M34" s="593">
        <v>5.1881544168748119</v>
      </c>
      <c r="N34" s="593">
        <v>0.18729739993150055</v>
      </c>
      <c r="O34" s="593">
        <v>3.9808319152014561E-3</v>
      </c>
    </row>
    <row r="35" spans="2:20" x14ac:dyDescent="0.2">
      <c r="B35" s="541" t="s">
        <v>52</v>
      </c>
      <c r="C35" s="541" t="str">
        <f t="shared" si="2"/>
        <v>Space coolingHeat pumpNatural gas</v>
      </c>
      <c r="D35" s="541" t="s">
        <v>2211</v>
      </c>
      <c r="E35" s="541" t="s">
        <v>1568</v>
      </c>
      <c r="F35" s="541" t="s">
        <v>1562</v>
      </c>
      <c r="G35" s="593">
        <v>50.253263843805051</v>
      </c>
      <c r="H35" s="593">
        <v>2.5069701152660706E-4</v>
      </c>
      <c r="I35" s="593">
        <v>3.9275865139168441E-2</v>
      </c>
      <c r="J35" s="593">
        <v>2.1727074332305945E-4</v>
      </c>
      <c r="K35" s="593">
        <v>1.7966619159406839E-4</v>
      </c>
      <c r="L35" s="593">
        <v>2.2980559389938981E-3</v>
      </c>
      <c r="M35" s="593">
        <v>1.6713134101773802E-2</v>
      </c>
      <c r="N35" s="593">
        <v>4.7390856133350664E-3</v>
      </c>
      <c r="O35" s="593">
        <v>9.4781712266701334E-5</v>
      </c>
    </row>
    <row r="36" spans="2:20" x14ac:dyDescent="0.2">
      <c r="B36" s="541" t="s">
        <v>52</v>
      </c>
      <c r="C36" s="541" t="str">
        <f t="shared" si="2"/>
        <v>Water heatingTankNatural gas</v>
      </c>
      <c r="D36" s="541" t="s">
        <v>2212</v>
      </c>
      <c r="E36" s="541" t="s">
        <v>2213</v>
      </c>
      <c r="F36" s="541" t="s">
        <v>1562</v>
      </c>
      <c r="G36" s="593">
        <v>50.253263843805051</v>
      </c>
      <c r="H36" s="593">
        <v>2.5069701152660706E-4</v>
      </c>
      <c r="I36" s="593">
        <v>3.9275865139168441E-2</v>
      </c>
      <c r="J36" s="593">
        <v>2.1727074332305945E-4</v>
      </c>
      <c r="K36" s="593">
        <v>1.7966619159406839E-4</v>
      </c>
      <c r="L36" s="593">
        <v>2.2980559389938981E-3</v>
      </c>
      <c r="M36" s="593">
        <v>1.6713134101773802E-2</v>
      </c>
      <c r="N36" s="593">
        <v>4.7390856133350664E-3</v>
      </c>
      <c r="O36" s="593">
        <v>9.4781712266701334E-5</v>
      </c>
    </row>
    <row r="37" spans="2:20" x14ac:dyDescent="0.2">
      <c r="B37" s="541" t="s">
        <v>56</v>
      </c>
      <c r="C37" s="541" t="str">
        <f t="shared" si="2"/>
        <v>Water heatingTankDistillate oil</v>
      </c>
      <c r="D37" s="541" t="s">
        <v>2212</v>
      </c>
      <c r="E37" s="541" t="s">
        <v>2213</v>
      </c>
      <c r="F37" s="541" t="s">
        <v>2209</v>
      </c>
      <c r="G37" s="593">
        <v>70.100554392452295</v>
      </c>
      <c r="H37" s="593">
        <v>0.13206150464122579</v>
      </c>
      <c r="I37" s="593">
        <v>5.5800635763898224E-2</v>
      </c>
      <c r="J37" s="593">
        <v>7.3780840621154318E-3</v>
      </c>
      <c r="K37" s="593">
        <v>6.6030752320612894E-3</v>
      </c>
      <c r="L37" s="593">
        <v>2.1700247241515976E-3</v>
      </c>
      <c r="M37" s="593">
        <v>1.5500176601082839E-2</v>
      </c>
      <c r="N37" s="593">
        <v>5.5180628699854906E-3</v>
      </c>
      <c r="O37" s="593">
        <v>5.6869027360020798E-4</v>
      </c>
    </row>
    <row r="38" spans="2:20" x14ac:dyDescent="0.2">
      <c r="B38" s="541" t="s">
        <v>61</v>
      </c>
      <c r="C38" s="541" t="str">
        <f t="shared" si="2"/>
        <v>Water heatingTankLPG</v>
      </c>
      <c r="D38" s="541" t="s">
        <v>2212</v>
      </c>
      <c r="E38" s="541" t="s">
        <v>2213</v>
      </c>
      <c r="F38" s="541" t="s">
        <v>2179</v>
      </c>
      <c r="G38" s="593">
        <v>59.693522385568492</v>
      </c>
      <c r="H38" s="593">
        <v>2.8147727954268173E-4</v>
      </c>
      <c r="I38" s="593">
        <v>6.2863259097865581E-2</v>
      </c>
      <c r="J38" s="593">
        <v>2.3456439961890146E-4</v>
      </c>
      <c r="K38" s="593">
        <v>1.8765151969512116E-4</v>
      </c>
      <c r="L38" s="593">
        <v>2.439469756036575E-3</v>
      </c>
      <c r="M38" s="593">
        <v>1.782689437103651E-2</v>
      </c>
      <c r="N38" s="593">
        <v>1.0425988349337147E-2</v>
      </c>
      <c r="O38" s="593">
        <v>5.6869027360020798E-4</v>
      </c>
    </row>
    <row r="39" spans="2:20" x14ac:dyDescent="0.2">
      <c r="B39" s="541" t="s">
        <v>52</v>
      </c>
      <c r="C39" s="541" t="str">
        <f t="shared" si="2"/>
        <v>Water heatingInstantaneousNatural gas</v>
      </c>
      <c r="D39" s="541" t="s">
        <v>2212</v>
      </c>
      <c r="E39" s="541" t="s">
        <v>2214</v>
      </c>
      <c r="F39" s="541" t="s">
        <v>1562</v>
      </c>
      <c r="G39" s="593">
        <v>50.253263843805051</v>
      </c>
      <c r="H39" s="593">
        <v>2.5069701152660706E-4</v>
      </c>
      <c r="I39" s="593">
        <v>3.9275865139168441E-2</v>
      </c>
      <c r="J39" s="593">
        <v>2.1727074332305945E-4</v>
      </c>
      <c r="K39" s="593">
        <v>1.7966619159406839E-4</v>
      </c>
      <c r="L39" s="593">
        <v>2.2980559389938981E-3</v>
      </c>
      <c r="M39" s="593">
        <v>1.6713134101773802E-2</v>
      </c>
      <c r="N39" s="593">
        <v>4.7390856133350664E-3</v>
      </c>
      <c r="O39" s="593">
        <v>9.4781712266701334E-5</v>
      </c>
    </row>
    <row r="40" spans="2:20" x14ac:dyDescent="0.2">
      <c r="B40" s="541" t="s">
        <v>56</v>
      </c>
      <c r="C40" s="541" t="str">
        <f t="shared" si="2"/>
        <v>Water heatingBoilerDistillate oil</v>
      </c>
      <c r="D40" s="541" t="s">
        <v>2212</v>
      </c>
      <c r="E40" s="541" t="s">
        <v>2207</v>
      </c>
      <c r="F40" s="541" t="s">
        <v>2209</v>
      </c>
      <c r="G40" s="593">
        <v>70.100554392452295</v>
      </c>
      <c r="H40" s="593">
        <v>0.13206150464122579</v>
      </c>
      <c r="I40" s="593">
        <v>5.5800635763898224E-2</v>
      </c>
      <c r="J40" s="593">
        <v>7.3780840621154318E-3</v>
      </c>
      <c r="K40" s="593">
        <v>6.6030752320612894E-3</v>
      </c>
      <c r="L40" s="593">
        <v>2.1700247241515976E-3</v>
      </c>
      <c r="M40" s="593">
        <v>1.5500176601082839E-2</v>
      </c>
      <c r="N40" s="593">
        <v>5.5180628699854906E-3</v>
      </c>
      <c r="O40" s="593">
        <v>5.6869027360020798E-4</v>
      </c>
    </row>
    <row r="41" spans="2:20" x14ac:dyDescent="0.2">
      <c r="B41" s="541" t="s">
        <v>63</v>
      </c>
      <c r="C41" s="541" t="str">
        <f t="shared" si="2"/>
        <v>Water heatingBoilerWood</v>
      </c>
      <c r="D41" s="541" t="s">
        <v>2212</v>
      </c>
      <c r="E41" s="541" t="s">
        <v>2207</v>
      </c>
      <c r="F41" s="541" t="s">
        <v>1572</v>
      </c>
      <c r="G41" s="593">
        <v>88.905246106165848</v>
      </c>
      <c r="H41" s="593">
        <v>1.0748065374927783E-2</v>
      </c>
      <c r="I41" s="593">
        <v>0.12680825708658253</v>
      </c>
      <c r="J41" s="593">
        <v>0.70373708963144821</v>
      </c>
      <c r="K41" s="593">
        <f>J41*0.86</f>
        <v>0.6052138970830454</v>
      </c>
      <c r="L41" s="593">
        <v>1.1519337812962567</v>
      </c>
      <c r="M41" s="593">
        <v>5.1881544168748119</v>
      </c>
      <c r="N41" s="593">
        <v>0.18729739993150055</v>
      </c>
      <c r="O41" s="593">
        <v>3.9808319152014561E-3</v>
      </c>
    </row>
    <row r="42" spans="2:20" x14ac:dyDescent="0.2">
      <c r="B42" s="541" t="s">
        <v>52</v>
      </c>
      <c r="C42" s="541" t="str">
        <f t="shared" si="2"/>
        <v>OtherN/ANatural gas</v>
      </c>
      <c r="D42" s="541" t="s">
        <v>1723</v>
      </c>
      <c r="E42" s="541" t="s">
        <v>2110</v>
      </c>
      <c r="F42" s="541" t="s">
        <v>1562</v>
      </c>
      <c r="G42" s="593">
        <v>50.253263843805051</v>
      </c>
      <c r="H42" s="593">
        <v>2.5069701152660706E-4</v>
      </c>
      <c r="I42" s="593">
        <v>3.9275865139168441E-2</v>
      </c>
      <c r="J42" s="593">
        <v>2.1727074332305945E-4</v>
      </c>
      <c r="K42" s="593">
        <v>1.7966619159406839E-4</v>
      </c>
      <c r="L42" s="593">
        <v>2.2980559389938981E-3</v>
      </c>
      <c r="M42" s="593">
        <v>1.6713134101773802E-2</v>
      </c>
      <c r="N42" s="593">
        <v>4.7390856133350664E-3</v>
      </c>
      <c r="O42" s="593">
        <v>9.4781712266701334E-5</v>
      </c>
    </row>
    <row r="43" spans="2:20" x14ac:dyDescent="0.2">
      <c r="B43" s="541" t="s">
        <v>56</v>
      </c>
      <c r="C43" s="541" t="str">
        <f t="shared" si="2"/>
        <v>OtherN/ADistillate oil</v>
      </c>
      <c r="D43" s="541" t="s">
        <v>1723</v>
      </c>
      <c r="E43" s="541" t="s">
        <v>2110</v>
      </c>
      <c r="F43" s="541" t="s">
        <v>2209</v>
      </c>
      <c r="G43" s="593">
        <v>70.100554392452295</v>
      </c>
      <c r="H43" s="593">
        <v>0.13206150464122579</v>
      </c>
      <c r="I43" s="593">
        <v>5.5800635763898224E-2</v>
      </c>
      <c r="J43" s="593">
        <v>7.3780840621154318E-3</v>
      </c>
      <c r="K43" s="593">
        <v>6.6030752320612894E-3</v>
      </c>
      <c r="L43" s="593">
        <v>2.1700247241515976E-3</v>
      </c>
      <c r="M43" s="593">
        <v>1.5500176601082839E-2</v>
      </c>
      <c r="N43" s="593">
        <v>5.5180628699854906E-3</v>
      </c>
      <c r="O43" s="593">
        <v>5.6869027360020798E-4</v>
      </c>
    </row>
    <row r="44" spans="2:20" x14ac:dyDescent="0.2">
      <c r="B44" s="541" t="s">
        <v>61</v>
      </c>
      <c r="C44" s="541" t="str">
        <f t="shared" si="2"/>
        <v>OtherN/ALPG</v>
      </c>
      <c r="D44" s="541" t="s">
        <v>1723</v>
      </c>
      <c r="E44" s="541" t="s">
        <v>2110</v>
      </c>
      <c r="F44" s="541" t="s">
        <v>2179</v>
      </c>
      <c r="G44" s="593">
        <v>59.693522385568492</v>
      </c>
      <c r="H44" s="593">
        <v>2.8147727954268173E-4</v>
      </c>
      <c r="I44" s="593">
        <v>6.2863259097865581E-2</v>
      </c>
      <c r="J44" s="593">
        <v>2.3456439961890146E-4</v>
      </c>
      <c r="K44" s="593">
        <v>1.8765151969512116E-4</v>
      </c>
      <c r="L44" s="593">
        <v>2.439469756036575E-3</v>
      </c>
      <c r="M44" s="593">
        <v>1.782689437103651E-2</v>
      </c>
      <c r="N44" s="593">
        <v>1.0425988349337147E-2</v>
      </c>
      <c r="O44" s="593">
        <v>5.6869027360020798E-4</v>
      </c>
    </row>
    <row r="45" spans="2:20" x14ac:dyDescent="0.2">
      <c r="B45" s="541" t="s">
        <v>59</v>
      </c>
      <c r="C45" s="541" t="str">
        <f t="shared" si="2"/>
        <v>OtherN/AKerosene</v>
      </c>
      <c r="D45" s="541" t="s">
        <v>1723</v>
      </c>
      <c r="E45" s="541" t="s">
        <v>2110</v>
      </c>
      <c r="F45" s="541" t="s">
        <v>1511</v>
      </c>
      <c r="G45" s="593">
        <v>71.275847624559404</v>
      </c>
      <c r="H45" s="593">
        <v>0.13567165159349917</v>
      </c>
      <c r="I45" s="593">
        <v>5.7326049969084157E-2</v>
      </c>
      <c r="J45" s="593">
        <v>7.2612996627506596E-3</v>
      </c>
      <c r="K45" s="593">
        <v>6.5288001353679169E-3</v>
      </c>
      <c r="L45" s="593">
        <v>2.140172532179142E-3</v>
      </c>
      <c r="M45" s="593">
        <v>1.5923902769190042E-2</v>
      </c>
      <c r="N45" s="593">
        <v>5.6689093858316554E-3</v>
      </c>
      <c r="O45" s="593">
        <v>5.6869027360020798E-4</v>
      </c>
    </row>
    <row r="46" spans="2:20" x14ac:dyDescent="0.2">
      <c r="B46" s="541" t="s">
        <v>63</v>
      </c>
      <c r="C46" s="541" t="str">
        <f t="shared" si="2"/>
        <v>OtherN/AWood</v>
      </c>
      <c r="D46" s="541" t="s">
        <v>1723</v>
      </c>
      <c r="E46" s="541" t="s">
        <v>2110</v>
      </c>
      <c r="F46" s="541" t="s">
        <v>1572</v>
      </c>
      <c r="G46" s="593">
        <v>88.905246106165848</v>
      </c>
      <c r="H46" s="593">
        <v>1.0748065374927783E-2</v>
      </c>
      <c r="I46" s="593">
        <v>0.12680825708658253</v>
      </c>
      <c r="J46" s="593">
        <v>0.70373708963144821</v>
      </c>
      <c r="K46" s="593">
        <f>J46*0.86</f>
        <v>0.6052138970830454</v>
      </c>
      <c r="L46" s="593">
        <v>1.1519337812962567</v>
      </c>
      <c r="M46" s="593">
        <v>5.1881544168748119</v>
      </c>
      <c r="N46" s="593">
        <v>0.18729739993150055</v>
      </c>
      <c r="O46" s="593">
        <v>3.9808319152014561E-3</v>
      </c>
    </row>
    <row r="47" spans="2:20" x14ac:dyDescent="0.2">
      <c r="G47" s="41"/>
    </row>
    <row r="48" spans="2:20" ht="18.75" x14ac:dyDescent="0.2">
      <c r="B48" s="584" t="s">
        <v>2215</v>
      </c>
      <c r="C48" s="585"/>
      <c r="D48" s="585"/>
      <c r="E48" s="585"/>
      <c r="F48" s="585"/>
      <c r="G48" s="585"/>
      <c r="H48" s="585"/>
      <c r="I48" s="585"/>
      <c r="J48" s="585"/>
      <c r="K48" s="585"/>
      <c r="L48" s="585"/>
      <c r="M48" s="585"/>
      <c r="N48" s="585"/>
      <c r="O48" s="585"/>
      <c r="P48" s="585"/>
      <c r="Q48" s="585"/>
      <c r="R48" s="585"/>
      <c r="S48" s="585"/>
      <c r="T48" s="586"/>
    </row>
    <row r="49" spans="2:20" ht="15.75" x14ac:dyDescent="0.25">
      <c r="B49" s="587" t="s">
        <v>2216</v>
      </c>
      <c r="C49" s="585"/>
      <c r="D49" s="585"/>
      <c r="E49" s="585"/>
      <c r="F49" s="585"/>
      <c r="G49" s="585"/>
      <c r="H49" s="585"/>
      <c r="I49" s="585"/>
      <c r="J49" s="585"/>
      <c r="K49" s="585"/>
      <c r="L49" s="585"/>
      <c r="M49" s="585"/>
      <c r="N49" s="585"/>
      <c r="O49" s="585"/>
      <c r="P49" s="585"/>
      <c r="Q49" s="585"/>
      <c r="R49" s="585"/>
      <c r="S49" s="585"/>
      <c r="T49" s="586"/>
    </row>
    <row r="50" spans="2:20" x14ac:dyDescent="0.2">
      <c r="B50" s="585"/>
      <c r="C50" s="585"/>
      <c r="D50" s="585"/>
      <c r="E50" s="585"/>
      <c r="F50" s="585"/>
      <c r="G50" s="585"/>
      <c r="H50" s="585"/>
      <c r="I50" s="585"/>
      <c r="J50" s="585"/>
      <c r="K50" s="585"/>
      <c r="L50" s="585"/>
      <c r="M50" s="585"/>
      <c r="N50" s="585"/>
      <c r="O50" s="585"/>
      <c r="P50" s="585"/>
      <c r="Q50" s="585"/>
      <c r="R50" s="585"/>
      <c r="S50" s="585"/>
      <c r="T50" s="586"/>
    </row>
    <row r="51" spans="2:20" ht="15" x14ac:dyDescent="0.25">
      <c r="B51" s="588" t="s">
        <v>2217</v>
      </c>
      <c r="C51" s="588" t="s">
        <v>2218</v>
      </c>
      <c r="D51" s="588" t="s">
        <v>14</v>
      </c>
      <c r="E51" s="588" t="s">
        <v>2219</v>
      </c>
      <c r="F51" s="588" t="s">
        <v>2220</v>
      </c>
      <c r="G51" s="588" t="s">
        <v>2221</v>
      </c>
      <c r="H51" s="588" t="s">
        <v>2222</v>
      </c>
      <c r="I51" s="588" t="s">
        <v>2223</v>
      </c>
      <c r="J51" s="588" t="s">
        <v>2224</v>
      </c>
      <c r="K51" s="588" t="s">
        <v>2225</v>
      </c>
      <c r="L51" s="588" t="s">
        <v>2226</v>
      </c>
      <c r="M51" s="588" t="s">
        <v>2227</v>
      </c>
      <c r="N51" s="588" t="s">
        <v>2228</v>
      </c>
      <c r="O51" s="588" t="s">
        <v>1661</v>
      </c>
      <c r="P51" s="588" t="s">
        <v>2229</v>
      </c>
      <c r="Q51" s="588" t="s">
        <v>2230</v>
      </c>
      <c r="R51" s="588" t="s">
        <v>2231</v>
      </c>
      <c r="S51" s="588" t="s">
        <v>2232</v>
      </c>
      <c r="T51" s="588" t="s">
        <v>2233</v>
      </c>
    </row>
    <row r="52" spans="2:20" x14ac:dyDescent="0.2">
      <c r="B52" s="580" t="s">
        <v>2234</v>
      </c>
      <c r="C52" s="580" t="s">
        <v>2235</v>
      </c>
      <c r="D52" s="580" t="s">
        <v>2236</v>
      </c>
      <c r="E52" s="580" t="s">
        <v>2237</v>
      </c>
      <c r="F52" s="580" t="s">
        <v>2238</v>
      </c>
      <c r="G52" s="580" t="s">
        <v>2239</v>
      </c>
      <c r="H52" s="580" t="s">
        <v>1707</v>
      </c>
      <c r="I52" s="580" t="s">
        <v>2240</v>
      </c>
      <c r="J52" s="580"/>
      <c r="K52" s="581">
        <v>0.2</v>
      </c>
      <c r="L52" s="580"/>
      <c r="M52" s="580"/>
      <c r="N52" s="580"/>
      <c r="O52" s="580" t="s">
        <v>2241</v>
      </c>
      <c r="P52" s="580" t="s">
        <v>2242</v>
      </c>
      <c r="Q52" s="580" t="s">
        <v>2243</v>
      </c>
      <c r="R52" s="580"/>
      <c r="S52" s="580" t="s">
        <v>2244</v>
      </c>
      <c r="T52" s="580" t="s">
        <v>2245</v>
      </c>
    </row>
    <row r="53" spans="2:20" x14ac:dyDescent="0.2">
      <c r="B53" s="580" t="s">
        <v>2234</v>
      </c>
      <c r="C53" s="580" t="s">
        <v>2235</v>
      </c>
      <c r="D53" s="580" t="s">
        <v>2236</v>
      </c>
      <c r="E53" s="580" t="s">
        <v>2246</v>
      </c>
      <c r="F53" s="580" t="s">
        <v>2247</v>
      </c>
      <c r="G53" s="580" t="s">
        <v>2239</v>
      </c>
      <c r="H53" s="580" t="s">
        <v>2248</v>
      </c>
      <c r="I53" s="580" t="s">
        <v>2249</v>
      </c>
      <c r="J53" s="580"/>
      <c r="K53" s="582">
        <v>0</v>
      </c>
      <c r="L53" s="580"/>
      <c r="M53" s="580"/>
      <c r="N53" s="580"/>
      <c r="O53" s="580" t="s">
        <v>2241</v>
      </c>
      <c r="P53" s="580" t="s">
        <v>2242</v>
      </c>
      <c r="Q53" s="580" t="s">
        <v>2243</v>
      </c>
      <c r="R53" s="580"/>
      <c r="S53" s="580" t="s">
        <v>2250</v>
      </c>
      <c r="T53" s="580" t="s">
        <v>2245</v>
      </c>
    </row>
    <row r="54" spans="2:20" x14ac:dyDescent="0.2">
      <c r="B54" s="580" t="s">
        <v>2234</v>
      </c>
      <c r="C54" s="580" t="s">
        <v>2235</v>
      </c>
      <c r="D54" s="580" t="s">
        <v>2236</v>
      </c>
      <c r="E54" s="580" t="s">
        <v>2246</v>
      </c>
      <c r="F54" s="580" t="s">
        <v>2251</v>
      </c>
      <c r="G54" s="580" t="s">
        <v>2239</v>
      </c>
      <c r="H54" s="580" t="s">
        <v>2248</v>
      </c>
      <c r="I54" s="580" t="s">
        <v>2252</v>
      </c>
      <c r="J54" s="580"/>
      <c r="K54" s="581">
        <v>0</v>
      </c>
      <c r="L54" s="580"/>
      <c r="M54" s="580"/>
      <c r="N54" s="580"/>
      <c r="O54" s="580" t="s">
        <v>2241</v>
      </c>
      <c r="P54" s="580" t="s">
        <v>2242</v>
      </c>
      <c r="Q54" s="580" t="s">
        <v>2243</v>
      </c>
      <c r="R54" s="580"/>
      <c r="S54" s="580" t="s">
        <v>2250</v>
      </c>
      <c r="T54" s="580" t="s">
        <v>2245</v>
      </c>
    </row>
    <row r="55" spans="2:20" x14ac:dyDescent="0.2">
      <c r="B55" s="580" t="s">
        <v>2234</v>
      </c>
      <c r="C55" s="580" t="s">
        <v>2235</v>
      </c>
      <c r="D55" s="580" t="s">
        <v>2236</v>
      </c>
      <c r="E55" s="580" t="s">
        <v>2246</v>
      </c>
      <c r="F55" s="580" t="s">
        <v>2253</v>
      </c>
      <c r="G55" s="580" t="s">
        <v>2239</v>
      </c>
      <c r="H55" s="580" t="s">
        <v>2254</v>
      </c>
      <c r="I55" s="580" t="s">
        <v>2249</v>
      </c>
      <c r="J55" s="580"/>
      <c r="K55" s="581">
        <v>0</v>
      </c>
      <c r="L55" s="580"/>
      <c r="M55" s="580"/>
      <c r="N55" s="580"/>
      <c r="O55" s="580" t="s">
        <v>2241</v>
      </c>
      <c r="P55" s="580" t="s">
        <v>2242</v>
      </c>
      <c r="Q55" s="580" t="s">
        <v>2243</v>
      </c>
      <c r="R55" s="580"/>
      <c r="S55" s="580" t="s">
        <v>2250</v>
      </c>
      <c r="T55" s="580" t="s">
        <v>2245</v>
      </c>
    </row>
    <row r="56" spans="2:20" x14ac:dyDescent="0.2">
      <c r="B56" s="580" t="s">
        <v>2234</v>
      </c>
      <c r="C56" s="580" t="s">
        <v>2235</v>
      </c>
      <c r="D56" s="580" t="s">
        <v>2236</v>
      </c>
      <c r="E56" s="580" t="s">
        <v>2246</v>
      </c>
      <c r="F56" s="580" t="s">
        <v>2255</v>
      </c>
      <c r="G56" s="580" t="s">
        <v>2239</v>
      </c>
      <c r="H56" s="580" t="s">
        <v>2254</v>
      </c>
      <c r="I56" s="580" t="s">
        <v>2252</v>
      </c>
      <c r="J56" s="580"/>
      <c r="K56" s="581">
        <v>0</v>
      </c>
      <c r="L56" s="580"/>
      <c r="M56" s="580"/>
      <c r="N56" s="580"/>
      <c r="O56" s="580" t="s">
        <v>2241</v>
      </c>
      <c r="P56" s="580" t="s">
        <v>2242</v>
      </c>
      <c r="Q56" s="580" t="s">
        <v>2243</v>
      </c>
      <c r="R56" s="580"/>
      <c r="S56" s="580" t="s">
        <v>2256</v>
      </c>
      <c r="T56" s="580" t="s">
        <v>2245</v>
      </c>
    </row>
    <row r="57" spans="2:20" x14ac:dyDescent="0.2">
      <c r="B57" s="581" t="s">
        <v>2234</v>
      </c>
      <c r="C57" s="581" t="s">
        <v>2235</v>
      </c>
      <c r="D57" s="581" t="s">
        <v>2236</v>
      </c>
      <c r="E57" s="581" t="s">
        <v>2257</v>
      </c>
      <c r="F57" s="581" t="s">
        <v>2258</v>
      </c>
      <c r="G57" s="581" t="s">
        <v>2259</v>
      </c>
      <c r="H57" s="581" t="s">
        <v>2260</v>
      </c>
      <c r="I57" s="581" t="s">
        <v>2236</v>
      </c>
      <c r="J57" s="581"/>
      <c r="K57" s="581">
        <v>0.09</v>
      </c>
      <c r="L57" s="580"/>
      <c r="M57" s="580"/>
      <c r="N57" s="580"/>
      <c r="O57" s="580" t="s">
        <v>2241</v>
      </c>
      <c r="P57" s="580" t="s">
        <v>2242</v>
      </c>
      <c r="Q57" s="580" t="s">
        <v>2243</v>
      </c>
      <c r="R57" s="580"/>
      <c r="S57" s="580" t="s">
        <v>2261</v>
      </c>
      <c r="T57" s="580" t="s">
        <v>2245</v>
      </c>
    </row>
    <row r="58" spans="2:20" x14ac:dyDescent="0.2">
      <c r="B58" s="580" t="s">
        <v>2234</v>
      </c>
      <c r="C58" s="580" t="s">
        <v>2235</v>
      </c>
      <c r="D58" s="580" t="s">
        <v>2236</v>
      </c>
      <c r="E58" s="580" t="s">
        <v>2257</v>
      </c>
      <c r="F58" s="580" t="s">
        <v>2262</v>
      </c>
      <c r="G58" s="580" t="s">
        <v>2239</v>
      </c>
      <c r="H58" s="580" t="s">
        <v>2263</v>
      </c>
      <c r="I58" s="580" t="s">
        <v>2264</v>
      </c>
      <c r="J58" s="580"/>
      <c r="K58" s="581">
        <v>0.13</v>
      </c>
      <c r="L58" s="580"/>
      <c r="M58" s="580"/>
      <c r="N58" s="580"/>
      <c r="O58" s="580" t="s">
        <v>2241</v>
      </c>
      <c r="P58" s="580" t="s">
        <v>2242</v>
      </c>
      <c r="Q58" s="580" t="s">
        <v>2243</v>
      </c>
      <c r="R58" s="580"/>
      <c r="S58" s="580" t="s">
        <v>2265</v>
      </c>
      <c r="T58" s="580" t="s">
        <v>2245</v>
      </c>
    </row>
    <row r="59" spans="2:20" x14ac:dyDescent="0.2">
      <c r="B59" s="580" t="s">
        <v>2234</v>
      </c>
      <c r="C59" s="580" t="s">
        <v>2235</v>
      </c>
      <c r="D59" s="580" t="s">
        <v>2236</v>
      </c>
      <c r="E59" s="580" t="s">
        <v>2266</v>
      </c>
      <c r="F59" s="580" t="s">
        <v>2267</v>
      </c>
      <c r="G59" s="580" t="s">
        <v>2239</v>
      </c>
      <c r="H59" s="580" t="s">
        <v>2268</v>
      </c>
      <c r="I59" s="580" t="s">
        <v>2269</v>
      </c>
      <c r="J59" s="580"/>
      <c r="K59" s="581">
        <v>0.03</v>
      </c>
      <c r="L59" s="580"/>
      <c r="M59" s="580"/>
      <c r="N59" s="580"/>
      <c r="O59" s="580" t="s">
        <v>2241</v>
      </c>
      <c r="P59" s="580" t="s">
        <v>2242</v>
      </c>
      <c r="Q59" s="580" t="s">
        <v>2243</v>
      </c>
      <c r="R59" s="580"/>
      <c r="S59" s="580" t="s">
        <v>2270</v>
      </c>
      <c r="T59" s="580" t="s">
        <v>2245</v>
      </c>
    </row>
    <row r="60" spans="2:20" x14ac:dyDescent="0.2">
      <c r="B60" s="580" t="s">
        <v>2234</v>
      </c>
      <c r="C60" s="580" t="s">
        <v>2235</v>
      </c>
      <c r="D60" s="580" t="s">
        <v>2236</v>
      </c>
      <c r="E60" s="580" t="s">
        <v>2271</v>
      </c>
      <c r="F60" s="580" t="s">
        <v>2258</v>
      </c>
      <c r="G60" s="580" t="s">
        <v>2259</v>
      </c>
      <c r="H60" s="580" t="s">
        <v>2260</v>
      </c>
      <c r="I60" s="580" t="s">
        <v>2236</v>
      </c>
      <c r="J60" s="580"/>
      <c r="K60" s="581">
        <v>0.09</v>
      </c>
      <c r="L60" s="580"/>
      <c r="M60" s="580"/>
      <c r="N60" s="580"/>
      <c r="O60" s="580" t="s">
        <v>2241</v>
      </c>
      <c r="P60" s="580" t="s">
        <v>2242</v>
      </c>
      <c r="Q60" s="580" t="s">
        <v>2243</v>
      </c>
      <c r="R60" s="580"/>
      <c r="S60" s="580" t="s">
        <v>2261</v>
      </c>
      <c r="T60" s="580" t="s">
        <v>2245</v>
      </c>
    </row>
    <row r="61" spans="2:20" x14ac:dyDescent="0.2">
      <c r="B61" s="580" t="s">
        <v>2234</v>
      </c>
      <c r="C61" s="580" t="s">
        <v>2235</v>
      </c>
      <c r="D61" s="580" t="s">
        <v>2236</v>
      </c>
      <c r="E61" s="580" t="s">
        <v>2271</v>
      </c>
      <c r="F61" s="580" t="s">
        <v>2267</v>
      </c>
      <c r="G61" s="580" t="s">
        <v>2239</v>
      </c>
      <c r="H61" s="580" t="s">
        <v>2268</v>
      </c>
      <c r="I61" s="580" t="s">
        <v>2269</v>
      </c>
      <c r="J61" s="580"/>
      <c r="K61" s="581">
        <v>0.03</v>
      </c>
      <c r="L61" s="580"/>
      <c r="M61" s="580"/>
      <c r="N61" s="580"/>
      <c r="O61" s="580" t="s">
        <v>2241</v>
      </c>
      <c r="P61" s="580" t="s">
        <v>2242</v>
      </c>
      <c r="Q61" s="580" t="s">
        <v>2243</v>
      </c>
      <c r="R61" s="580"/>
      <c r="S61" s="580" t="s">
        <v>2270</v>
      </c>
      <c r="T61" s="580" t="s">
        <v>2245</v>
      </c>
    </row>
    <row r="62" spans="2:20" x14ac:dyDescent="0.2">
      <c r="B62" s="580" t="s">
        <v>2234</v>
      </c>
      <c r="C62" s="580" t="s">
        <v>2235</v>
      </c>
      <c r="D62" s="580" t="s">
        <v>2236</v>
      </c>
      <c r="E62" s="580" t="s">
        <v>2272</v>
      </c>
      <c r="F62" s="580" t="s">
        <v>2273</v>
      </c>
      <c r="G62" s="580" t="s">
        <v>2239</v>
      </c>
      <c r="H62" s="580" t="s">
        <v>1483</v>
      </c>
      <c r="I62" s="580" t="s">
        <v>2269</v>
      </c>
      <c r="J62" s="580"/>
      <c r="K62" s="581">
        <v>0.5</v>
      </c>
      <c r="L62" s="580"/>
      <c r="M62" s="580"/>
      <c r="N62" s="580"/>
      <c r="O62" s="580" t="s">
        <v>2241</v>
      </c>
      <c r="P62" s="580" t="s">
        <v>2242</v>
      </c>
      <c r="Q62" s="580" t="s">
        <v>2243</v>
      </c>
      <c r="R62" s="580"/>
      <c r="S62" s="580" t="s">
        <v>2274</v>
      </c>
      <c r="T62" s="580" t="s">
        <v>2245</v>
      </c>
    </row>
    <row r="63" spans="2:20" x14ac:dyDescent="0.2">
      <c r="B63" s="580" t="s">
        <v>2234</v>
      </c>
      <c r="C63" s="580" t="s">
        <v>2235</v>
      </c>
      <c r="D63" s="580" t="s">
        <v>2236</v>
      </c>
      <c r="E63" s="580" t="s">
        <v>2275</v>
      </c>
      <c r="F63" s="580" t="s">
        <v>2273</v>
      </c>
      <c r="G63" s="580" t="s">
        <v>2239</v>
      </c>
      <c r="H63" s="580" t="s">
        <v>1483</v>
      </c>
      <c r="I63" s="580" t="s">
        <v>2269</v>
      </c>
      <c r="J63" s="580"/>
      <c r="K63" s="581">
        <v>0.5</v>
      </c>
      <c r="L63" s="580"/>
      <c r="M63" s="580"/>
      <c r="N63" s="580"/>
      <c r="O63" s="580" t="s">
        <v>2241</v>
      </c>
      <c r="P63" s="580" t="s">
        <v>2242</v>
      </c>
      <c r="Q63" s="580" t="s">
        <v>2243</v>
      </c>
      <c r="R63" s="580"/>
      <c r="S63" s="580" t="s">
        <v>2274</v>
      </c>
      <c r="T63" s="580" t="s">
        <v>2245</v>
      </c>
    </row>
    <row r="64" spans="2:20" x14ac:dyDescent="0.2">
      <c r="B64" s="580" t="s">
        <v>2234</v>
      </c>
      <c r="C64" s="580" t="s">
        <v>2235</v>
      </c>
      <c r="D64" s="580" t="s">
        <v>2236</v>
      </c>
      <c r="E64" s="580" t="s">
        <v>2276</v>
      </c>
      <c r="F64" s="580" t="s">
        <v>2273</v>
      </c>
      <c r="G64" s="580" t="s">
        <v>2239</v>
      </c>
      <c r="H64" s="580" t="s">
        <v>1483</v>
      </c>
      <c r="I64" s="580" t="s">
        <v>2269</v>
      </c>
      <c r="J64" s="580"/>
      <c r="K64" s="581">
        <v>0.5</v>
      </c>
      <c r="L64" s="580"/>
      <c r="M64" s="580"/>
      <c r="N64" s="580"/>
      <c r="O64" s="580" t="s">
        <v>2241</v>
      </c>
      <c r="P64" s="580" t="s">
        <v>2242</v>
      </c>
      <c r="Q64" s="580" t="s">
        <v>2243</v>
      </c>
      <c r="R64" s="580"/>
      <c r="S64" s="580" t="s">
        <v>2274</v>
      </c>
      <c r="T64" s="580" t="s">
        <v>2245</v>
      </c>
    </row>
    <row r="65" spans="2:20" x14ac:dyDescent="0.2">
      <c r="B65" s="581" t="s">
        <v>2234</v>
      </c>
      <c r="C65" s="581" t="s">
        <v>2235</v>
      </c>
      <c r="D65" s="581" t="s">
        <v>2236</v>
      </c>
      <c r="E65" s="581" t="s">
        <v>2277</v>
      </c>
      <c r="F65" s="581" t="s">
        <v>2238</v>
      </c>
      <c r="G65" s="581" t="s">
        <v>2239</v>
      </c>
      <c r="H65" s="581" t="s">
        <v>1707</v>
      </c>
      <c r="I65" s="581" t="s">
        <v>2240</v>
      </c>
      <c r="J65" s="581"/>
      <c r="K65" s="581">
        <v>0.2</v>
      </c>
      <c r="L65" s="580"/>
      <c r="M65" s="580"/>
      <c r="N65" s="580"/>
      <c r="O65" s="580" t="s">
        <v>2241</v>
      </c>
      <c r="P65" s="580" t="s">
        <v>2242</v>
      </c>
      <c r="Q65" s="580" t="s">
        <v>2243</v>
      </c>
      <c r="R65" s="580"/>
      <c r="S65" s="580" t="s">
        <v>2244</v>
      </c>
      <c r="T65" s="580" t="s">
        <v>2245</v>
      </c>
    </row>
    <row r="66" spans="2:20" x14ac:dyDescent="0.2">
      <c r="B66" s="580" t="s">
        <v>2234</v>
      </c>
      <c r="C66" s="580" t="s">
        <v>2235</v>
      </c>
      <c r="D66" s="580" t="s">
        <v>2236</v>
      </c>
      <c r="E66" s="580" t="s">
        <v>2278</v>
      </c>
      <c r="F66" s="580" t="s">
        <v>2238</v>
      </c>
      <c r="G66" s="580" t="s">
        <v>2239</v>
      </c>
      <c r="H66" s="580" t="s">
        <v>1707</v>
      </c>
      <c r="I66" s="580" t="s">
        <v>2240</v>
      </c>
      <c r="J66" s="580"/>
      <c r="K66" s="581">
        <v>0.2</v>
      </c>
      <c r="L66" s="580"/>
      <c r="M66" s="580"/>
      <c r="N66" s="580"/>
      <c r="O66" s="580" t="s">
        <v>2241</v>
      </c>
      <c r="P66" s="580" t="s">
        <v>2242</v>
      </c>
      <c r="Q66" s="580" t="s">
        <v>2243</v>
      </c>
      <c r="R66" s="580"/>
      <c r="S66" s="580" t="s">
        <v>2244</v>
      </c>
      <c r="T66" s="580" t="s">
        <v>2245</v>
      </c>
    </row>
    <row r="67" spans="2:20" x14ac:dyDescent="0.2">
      <c r="B67" s="580" t="s">
        <v>2234</v>
      </c>
      <c r="C67" s="580" t="s">
        <v>2235</v>
      </c>
      <c r="D67" s="580" t="s">
        <v>2236</v>
      </c>
      <c r="E67" s="580" t="s">
        <v>2279</v>
      </c>
      <c r="F67" s="580" t="s">
        <v>2238</v>
      </c>
      <c r="G67" s="580" t="s">
        <v>2239</v>
      </c>
      <c r="H67" s="580" t="s">
        <v>1707</v>
      </c>
      <c r="I67" s="580" t="s">
        <v>2240</v>
      </c>
      <c r="J67" s="580"/>
      <c r="K67" s="581">
        <v>0.2</v>
      </c>
      <c r="L67" s="580"/>
      <c r="M67" s="580"/>
      <c r="N67" s="580"/>
      <c r="O67" s="580" t="s">
        <v>2241</v>
      </c>
      <c r="P67" s="580" t="s">
        <v>2242</v>
      </c>
      <c r="Q67" s="580" t="s">
        <v>2243</v>
      </c>
      <c r="R67" s="580"/>
      <c r="S67" s="580" t="s">
        <v>2244</v>
      </c>
      <c r="T67" s="580" t="s">
        <v>2245</v>
      </c>
    </row>
    <row r="68" spans="2:20" x14ac:dyDescent="0.2">
      <c r="B68" s="580" t="s">
        <v>2234</v>
      </c>
      <c r="C68" s="580" t="s">
        <v>2235</v>
      </c>
      <c r="D68" s="580" t="s">
        <v>2236</v>
      </c>
      <c r="E68" s="580" t="s">
        <v>2280</v>
      </c>
      <c r="F68" s="580" t="s">
        <v>2238</v>
      </c>
      <c r="G68" s="580" t="s">
        <v>2239</v>
      </c>
      <c r="H68" s="580" t="s">
        <v>1707</v>
      </c>
      <c r="I68" s="580" t="s">
        <v>2240</v>
      </c>
      <c r="J68" s="580"/>
      <c r="K68" s="581">
        <v>0.2</v>
      </c>
      <c r="L68" s="580"/>
      <c r="M68" s="580"/>
      <c r="N68" s="580"/>
      <c r="O68" s="580" t="s">
        <v>2241</v>
      </c>
      <c r="P68" s="580" t="s">
        <v>2242</v>
      </c>
      <c r="Q68" s="580" t="s">
        <v>2243</v>
      </c>
      <c r="R68" s="580"/>
      <c r="S68" s="580" t="s">
        <v>2244</v>
      </c>
      <c r="T68" s="580" t="s">
        <v>2245</v>
      </c>
    </row>
    <row r="69" spans="2:20" x14ac:dyDescent="0.2">
      <c r="B69" s="580" t="s">
        <v>2234</v>
      </c>
      <c r="C69" s="580" t="s">
        <v>2235</v>
      </c>
      <c r="D69" s="580" t="s">
        <v>2236</v>
      </c>
      <c r="E69" s="580" t="s">
        <v>2281</v>
      </c>
      <c r="F69" s="580" t="s">
        <v>2282</v>
      </c>
      <c r="G69" s="580" t="s">
        <v>2239</v>
      </c>
      <c r="H69" s="580" t="s">
        <v>2248</v>
      </c>
      <c r="I69" s="580" t="s">
        <v>2240</v>
      </c>
      <c r="J69" s="580"/>
      <c r="K69" s="581">
        <v>0.66</v>
      </c>
      <c r="L69" s="580"/>
      <c r="M69" s="580"/>
      <c r="N69" s="580"/>
      <c r="O69" s="580" t="s">
        <v>2241</v>
      </c>
      <c r="P69" s="580" t="s">
        <v>2242</v>
      </c>
      <c r="Q69" s="580" t="s">
        <v>2243</v>
      </c>
      <c r="R69" s="580"/>
      <c r="S69" s="580" t="s">
        <v>2283</v>
      </c>
      <c r="T69" s="580" t="s">
        <v>2245</v>
      </c>
    </row>
    <row r="70" spans="2:20" x14ac:dyDescent="0.2">
      <c r="B70" s="580" t="s">
        <v>2234</v>
      </c>
      <c r="C70" s="580" t="s">
        <v>2235</v>
      </c>
      <c r="D70" s="580" t="s">
        <v>2236</v>
      </c>
      <c r="E70" s="580" t="s">
        <v>2284</v>
      </c>
      <c r="F70" s="580" t="s">
        <v>2282</v>
      </c>
      <c r="G70" s="580" t="s">
        <v>2239</v>
      </c>
      <c r="H70" s="580" t="s">
        <v>2248</v>
      </c>
      <c r="I70" s="580" t="s">
        <v>2240</v>
      </c>
      <c r="J70" s="580"/>
      <c r="K70" s="581">
        <v>0.66</v>
      </c>
      <c r="L70" s="580"/>
      <c r="M70" s="580"/>
      <c r="N70" s="580"/>
      <c r="O70" s="580" t="s">
        <v>2241</v>
      </c>
      <c r="P70" s="580" t="s">
        <v>2242</v>
      </c>
      <c r="Q70" s="580" t="s">
        <v>2243</v>
      </c>
      <c r="R70" s="580"/>
      <c r="S70" s="580" t="s">
        <v>2283</v>
      </c>
      <c r="T70" s="580" t="s">
        <v>2245</v>
      </c>
    </row>
    <row r="71" spans="2:20" x14ac:dyDescent="0.2">
      <c r="B71" s="580" t="s">
        <v>2234</v>
      </c>
      <c r="C71" s="580" t="s">
        <v>2235</v>
      </c>
      <c r="D71" s="580" t="s">
        <v>2236</v>
      </c>
      <c r="E71" s="580" t="s">
        <v>2284</v>
      </c>
      <c r="F71" s="580" t="s">
        <v>2285</v>
      </c>
      <c r="G71" s="580" t="s">
        <v>2239</v>
      </c>
      <c r="H71" s="580" t="s">
        <v>2254</v>
      </c>
      <c r="I71" s="580" t="s">
        <v>2286</v>
      </c>
      <c r="J71" s="580"/>
      <c r="K71" s="581">
        <v>0.05</v>
      </c>
      <c r="L71" s="580"/>
      <c r="M71" s="580"/>
      <c r="N71" s="580"/>
      <c r="O71" s="580" t="s">
        <v>2241</v>
      </c>
      <c r="P71" s="580" t="s">
        <v>2287</v>
      </c>
      <c r="Q71" s="580" t="s">
        <v>2288</v>
      </c>
      <c r="R71" s="580"/>
      <c r="S71" s="580"/>
      <c r="T71" s="580" t="s">
        <v>2289</v>
      </c>
    </row>
    <row r="72" spans="2:20" x14ac:dyDescent="0.2">
      <c r="B72" s="580" t="s">
        <v>2234</v>
      </c>
      <c r="C72" s="580" t="s">
        <v>2235</v>
      </c>
      <c r="D72" s="580" t="s">
        <v>2236</v>
      </c>
      <c r="E72" s="580" t="s">
        <v>2290</v>
      </c>
      <c r="F72" s="580" t="s">
        <v>2282</v>
      </c>
      <c r="G72" s="580" t="s">
        <v>2239</v>
      </c>
      <c r="H72" s="580" t="s">
        <v>2248</v>
      </c>
      <c r="I72" s="580" t="s">
        <v>2240</v>
      </c>
      <c r="J72" s="580"/>
      <c r="K72" s="581">
        <v>0.66</v>
      </c>
      <c r="L72" s="580"/>
      <c r="M72" s="580"/>
      <c r="N72" s="580"/>
      <c r="O72" s="580" t="s">
        <v>2241</v>
      </c>
      <c r="P72" s="580" t="s">
        <v>2242</v>
      </c>
      <c r="Q72" s="580" t="s">
        <v>2243</v>
      </c>
      <c r="R72" s="580"/>
      <c r="S72" s="580" t="s">
        <v>2283</v>
      </c>
      <c r="T72" s="580" t="s">
        <v>2245</v>
      </c>
    </row>
    <row r="73" spans="2:20" x14ac:dyDescent="0.2">
      <c r="B73" s="580" t="s">
        <v>2234</v>
      </c>
      <c r="C73" s="580" t="s">
        <v>2235</v>
      </c>
      <c r="D73" s="580" t="s">
        <v>2236</v>
      </c>
      <c r="E73" s="580" t="s">
        <v>2290</v>
      </c>
      <c r="F73" s="580" t="s">
        <v>2285</v>
      </c>
      <c r="G73" s="580" t="s">
        <v>2239</v>
      </c>
      <c r="H73" s="580" t="s">
        <v>2254</v>
      </c>
      <c r="I73" s="580" t="s">
        <v>2286</v>
      </c>
      <c r="J73" s="580"/>
      <c r="K73" s="581">
        <v>0.05</v>
      </c>
      <c r="L73" s="580"/>
      <c r="M73" s="580"/>
      <c r="N73" s="580"/>
      <c r="O73" s="580" t="s">
        <v>2241</v>
      </c>
      <c r="P73" s="580" t="s">
        <v>2287</v>
      </c>
      <c r="Q73" s="580" t="s">
        <v>2288</v>
      </c>
      <c r="R73" s="580"/>
      <c r="S73" s="580"/>
      <c r="T73" s="580" t="s">
        <v>2289</v>
      </c>
    </row>
    <row r="74" spans="2:20" x14ac:dyDescent="0.2">
      <c r="B74" s="580" t="s">
        <v>2234</v>
      </c>
      <c r="C74" s="580" t="s">
        <v>2235</v>
      </c>
      <c r="D74" s="580" t="s">
        <v>2236</v>
      </c>
      <c r="E74" s="580" t="s">
        <v>2291</v>
      </c>
      <c r="F74" s="580" t="s">
        <v>2282</v>
      </c>
      <c r="G74" s="580" t="s">
        <v>2239</v>
      </c>
      <c r="H74" s="580" t="s">
        <v>2248</v>
      </c>
      <c r="I74" s="580" t="s">
        <v>2240</v>
      </c>
      <c r="J74" s="580"/>
      <c r="K74" s="581">
        <v>0.66</v>
      </c>
      <c r="L74" s="580"/>
      <c r="M74" s="580"/>
      <c r="N74" s="580"/>
      <c r="O74" s="580" t="s">
        <v>2241</v>
      </c>
      <c r="P74" s="580" t="s">
        <v>2242</v>
      </c>
      <c r="Q74" s="580" t="s">
        <v>2243</v>
      </c>
      <c r="R74" s="580"/>
      <c r="S74" s="580" t="s">
        <v>2283</v>
      </c>
      <c r="T74" s="580" t="s">
        <v>2245</v>
      </c>
    </row>
    <row r="75" spans="2:20" x14ac:dyDescent="0.2">
      <c r="B75" s="580" t="s">
        <v>2234</v>
      </c>
      <c r="C75" s="580" t="s">
        <v>2235</v>
      </c>
      <c r="D75" s="580" t="s">
        <v>2236</v>
      </c>
      <c r="E75" s="580" t="s">
        <v>2291</v>
      </c>
      <c r="F75" s="580" t="s">
        <v>2285</v>
      </c>
      <c r="G75" s="580" t="s">
        <v>2239</v>
      </c>
      <c r="H75" s="580" t="s">
        <v>2254</v>
      </c>
      <c r="I75" s="580" t="s">
        <v>2286</v>
      </c>
      <c r="J75" s="580"/>
      <c r="K75" s="581">
        <v>0.05</v>
      </c>
      <c r="L75" s="580"/>
      <c r="M75" s="580"/>
      <c r="N75" s="580"/>
      <c r="O75" s="580" t="s">
        <v>2241</v>
      </c>
      <c r="P75" s="580" t="s">
        <v>2287</v>
      </c>
      <c r="Q75" s="580" t="s">
        <v>2288</v>
      </c>
      <c r="R75" s="580"/>
      <c r="S75" s="580"/>
      <c r="T75" s="580" t="s">
        <v>2289</v>
      </c>
    </row>
    <row r="76" spans="2:20" x14ac:dyDescent="0.2">
      <c r="B76" s="580" t="s">
        <v>2234</v>
      </c>
      <c r="C76" s="580" t="s">
        <v>2235</v>
      </c>
      <c r="D76" s="580" t="s">
        <v>2236</v>
      </c>
      <c r="E76" s="580" t="s">
        <v>2292</v>
      </c>
      <c r="F76" s="580" t="s">
        <v>2293</v>
      </c>
      <c r="G76" s="580" t="s">
        <v>2294</v>
      </c>
      <c r="H76" s="580" t="s">
        <v>2260</v>
      </c>
      <c r="I76" s="580" t="s">
        <v>2236</v>
      </c>
      <c r="J76" s="580"/>
      <c r="K76" s="581">
        <v>0.09</v>
      </c>
      <c r="L76" s="580"/>
      <c r="M76" s="580"/>
      <c r="N76" s="580"/>
      <c r="O76" s="580" t="s">
        <v>2241</v>
      </c>
      <c r="P76" s="580" t="s">
        <v>2242</v>
      </c>
      <c r="Q76" s="580" t="s">
        <v>2243</v>
      </c>
      <c r="R76" s="580"/>
      <c r="S76" s="580" t="s">
        <v>2261</v>
      </c>
      <c r="T76" s="580" t="s">
        <v>2245</v>
      </c>
    </row>
    <row r="77" spans="2:20" x14ac:dyDescent="0.2">
      <c r="B77" s="580" t="s">
        <v>2234</v>
      </c>
      <c r="C77" s="580" t="s">
        <v>2235</v>
      </c>
      <c r="D77" s="580" t="s">
        <v>2236</v>
      </c>
      <c r="E77" s="580" t="s">
        <v>2292</v>
      </c>
      <c r="F77" s="580" t="s">
        <v>2262</v>
      </c>
      <c r="G77" s="580" t="s">
        <v>2239</v>
      </c>
      <c r="H77" s="580" t="s">
        <v>2263</v>
      </c>
      <c r="I77" s="580" t="s">
        <v>2264</v>
      </c>
      <c r="J77" s="580"/>
      <c r="K77" s="581">
        <v>0.13</v>
      </c>
      <c r="L77" s="580"/>
      <c r="M77" s="580"/>
      <c r="N77" s="580"/>
      <c r="O77" s="580" t="s">
        <v>2241</v>
      </c>
      <c r="P77" s="580" t="s">
        <v>2242</v>
      </c>
      <c r="Q77" s="580" t="s">
        <v>2243</v>
      </c>
      <c r="R77" s="580"/>
      <c r="S77" s="580" t="s">
        <v>2265</v>
      </c>
      <c r="T77" s="580" t="s">
        <v>2245</v>
      </c>
    </row>
    <row r="78" spans="2:20" x14ac:dyDescent="0.2">
      <c r="B78" s="580" t="s">
        <v>2234</v>
      </c>
      <c r="C78" s="580" t="s">
        <v>2235</v>
      </c>
      <c r="D78" s="580" t="s">
        <v>2236</v>
      </c>
      <c r="E78" s="580" t="s">
        <v>2295</v>
      </c>
      <c r="F78" s="580" t="s">
        <v>2293</v>
      </c>
      <c r="G78" s="580" t="s">
        <v>2294</v>
      </c>
      <c r="H78" s="580" t="s">
        <v>2260</v>
      </c>
      <c r="I78" s="580" t="s">
        <v>2236</v>
      </c>
      <c r="J78" s="580"/>
      <c r="K78" s="581">
        <v>0.09</v>
      </c>
      <c r="L78" s="580"/>
      <c r="M78" s="580"/>
      <c r="N78" s="580"/>
      <c r="O78" s="580" t="s">
        <v>2241</v>
      </c>
      <c r="P78" s="580" t="s">
        <v>2242</v>
      </c>
      <c r="Q78" s="580" t="s">
        <v>2243</v>
      </c>
      <c r="R78" s="580"/>
      <c r="S78" s="580" t="s">
        <v>2261</v>
      </c>
      <c r="T78" s="580" t="s">
        <v>2245</v>
      </c>
    </row>
    <row r="79" spans="2:20" x14ac:dyDescent="0.2">
      <c r="B79" s="580" t="s">
        <v>2234</v>
      </c>
      <c r="C79" s="580" t="s">
        <v>2235</v>
      </c>
      <c r="D79" s="580" t="s">
        <v>2236</v>
      </c>
      <c r="E79" s="580" t="s">
        <v>2296</v>
      </c>
      <c r="F79" s="580" t="s">
        <v>2293</v>
      </c>
      <c r="G79" s="580" t="s">
        <v>2294</v>
      </c>
      <c r="H79" s="580" t="s">
        <v>2260</v>
      </c>
      <c r="I79" s="580" t="s">
        <v>2236</v>
      </c>
      <c r="J79" s="580"/>
      <c r="K79" s="581">
        <v>0.09</v>
      </c>
      <c r="L79" s="580"/>
      <c r="M79" s="580"/>
      <c r="N79" s="580"/>
      <c r="O79" s="580" t="s">
        <v>2241</v>
      </c>
      <c r="P79" s="580" t="s">
        <v>2242</v>
      </c>
      <c r="Q79" s="580" t="s">
        <v>2243</v>
      </c>
      <c r="R79" s="580"/>
      <c r="S79" s="580" t="s">
        <v>2261</v>
      </c>
      <c r="T79" s="580" t="s">
        <v>2245</v>
      </c>
    </row>
    <row r="80" spans="2:20" x14ac:dyDescent="0.2">
      <c r="B80" s="580" t="s">
        <v>2234</v>
      </c>
      <c r="C80" s="580" t="s">
        <v>2235</v>
      </c>
      <c r="D80" s="580" t="s">
        <v>2236</v>
      </c>
      <c r="E80" s="580" t="s">
        <v>2296</v>
      </c>
      <c r="F80" s="580" t="s">
        <v>2262</v>
      </c>
      <c r="G80" s="580" t="s">
        <v>2239</v>
      </c>
      <c r="H80" s="580" t="s">
        <v>2263</v>
      </c>
      <c r="I80" s="580" t="s">
        <v>2264</v>
      </c>
      <c r="J80" s="580"/>
      <c r="K80" s="581">
        <v>0.13</v>
      </c>
      <c r="L80" s="580"/>
      <c r="M80" s="580"/>
      <c r="N80" s="580"/>
      <c r="O80" s="580" t="s">
        <v>2241</v>
      </c>
      <c r="P80" s="580" t="s">
        <v>2242</v>
      </c>
      <c r="Q80" s="580" t="s">
        <v>2243</v>
      </c>
      <c r="R80" s="580"/>
      <c r="S80" s="580" t="s">
        <v>2265</v>
      </c>
      <c r="T80" s="580" t="s">
        <v>2245</v>
      </c>
    </row>
    <row r="81" spans="2:20" x14ac:dyDescent="0.2">
      <c r="B81" s="580" t="s">
        <v>2234</v>
      </c>
      <c r="C81" s="580" t="s">
        <v>2235</v>
      </c>
      <c r="D81" s="580" t="s">
        <v>2236</v>
      </c>
      <c r="E81" s="580" t="s">
        <v>2297</v>
      </c>
      <c r="F81" s="580" t="s">
        <v>2293</v>
      </c>
      <c r="G81" s="580" t="s">
        <v>2294</v>
      </c>
      <c r="H81" s="580" t="s">
        <v>2260</v>
      </c>
      <c r="I81" s="580" t="s">
        <v>2236</v>
      </c>
      <c r="J81" s="580"/>
      <c r="K81" s="581">
        <v>0.09</v>
      </c>
      <c r="L81" s="580"/>
      <c r="M81" s="580"/>
      <c r="N81" s="580"/>
      <c r="O81" s="580" t="s">
        <v>2241</v>
      </c>
      <c r="P81" s="580" t="s">
        <v>2242</v>
      </c>
      <c r="Q81" s="580" t="s">
        <v>2243</v>
      </c>
      <c r="R81" s="580"/>
      <c r="S81" s="580" t="s">
        <v>2261</v>
      </c>
      <c r="T81" s="580" t="s">
        <v>2245</v>
      </c>
    </row>
    <row r="82" spans="2:20" x14ac:dyDescent="0.2">
      <c r="B82" s="580" t="s">
        <v>2234</v>
      </c>
      <c r="C82" s="580" t="s">
        <v>2235</v>
      </c>
      <c r="D82" s="580" t="s">
        <v>2236</v>
      </c>
      <c r="E82" s="580" t="s">
        <v>2297</v>
      </c>
      <c r="F82" s="580" t="s">
        <v>2262</v>
      </c>
      <c r="G82" s="580" t="s">
        <v>2239</v>
      </c>
      <c r="H82" s="580" t="s">
        <v>2263</v>
      </c>
      <c r="I82" s="580" t="s">
        <v>2264</v>
      </c>
      <c r="J82" s="580"/>
      <c r="K82" s="581">
        <v>0.13</v>
      </c>
      <c r="L82" s="580"/>
      <c r="M82" s="580"/>
      <c r="N82" s="580"/>
      <c r="O82" s="580" t="s">
        <v>2241</v>
      </c>
      <c r="P82" s="580" t="s">
        <v>2242</v>
      </c>
      <c r="Q82" s="580" t="s">
        <v>2243</v>
      </c>
      <c r="R82" s="580"/>
      <c r="S82" s="580" t="s">
        <v>2265</v>
      </c>
      <c r="T82" s="580" t="s">
        <v>2245</v>
      </c>
    </row>
    <row r="83" spans="2:20" x14ac:dyDescent="0.2">
      <c r="B83" s="580" t="s">
        <v>2234</v>
      </c>
      <c r="C83" s="580" t="s">
        <v>2235</v>
      </c>
      <c r="D83" s="580" t="s">
        <v>2236</v>
      </c>
      <c r="E83" s="580" t="s">
        <v>2298</v>
      </c>
      <c r="F83" s="580" t="s">
        <v>2267</v>
      </c>
      <c r="G83" s="580" t="s">
        <v>2239</v>
      </c>
      <c r="H83" s="580" t="s">
        <v>2268</v>
      </c>
      <c r="I83" s="580" t="s">
        <v>2269</v>
      </c>
      <c r="J83" s="580"/>
      <c r="K83" s="581">
        <v>0.03</v>
      </c>
      <c r="L83" s="580"/>
      <c r="M83" s="580"/>
      <c r="N83" s="580"/>
      <c r="O83" s="580" t="s">
        <v>2241</v>
      </c>
      <c r="P83" s="580" t="s">
        <v>2242</v>
      </c>
      <c r="Q83" s="580" t="s">
        <v>2243</v>
      </c>
      <c r="R83" s="580"/>
      <c r="S83" s="580" t="s">
        <v>2270</v>
      </c>
      <c r="T83" s="580" t="s">
        <v>2245</v>
      </c>
    </row>
    <row r="84" spans="2:20" x14ac:dyDescent="0.2">
      <c r="B84" s="580" t="s">
        <v>2234</v>
      </c>
      <c r="C84" s="580" t="s">
        <v>2235</v>
      </c>
      <c r="D84" s="580" t="s">
        <v>2236</v>
      </c>
      <c r="E84" s="580" t="s">
        <v>2299</v>
      </c>
      <c r="F84" s="580" t="s">
        <v>2267</v>
      </c>
      <c r="G84" s="580" t="s">
        <v>2239</v>
      </c>
      <c r="H84" s="580" t="s">
        <v>2268</v>
      </c>
      <c r="I84" s="580" t="s">
        <v>2269</v>
      </c>
      <c r="J84" s="580"/>
      <c r="K84" s="581">
        <v>0.03</v>
      </c>
      <c r="L84" s="580"/>
      <c r="M84" s="580"/>
      <c r="N84" s="580"/>
      <c r="O84" s="580" t="s">
        <v>2241</v>
      </c>
      <c r="P84" s="580" t="s">
        <v>2242</v>
      </c>
      <c r="Q84" s="580" t="s">
        <v>2243</v>
      </c>
      <c r="R84" s="580"/>
      <c r="S84" s="580" t="s">
        <v>2270</v>
      </c>
      <c r="T84" s="580" t="s">
        <v>2245</v>
      </c>
    </row>
    <row r="85" spans="2:20" x14ac:dyDescent="0.2">
      <c r="B85" s="580" t="s">
        <v>2234</v>
      </c>
      <c r="C85" s="580" t="s">
        <v>2235</v>
      </c>
      <c r="D85" s="580" t="s">
        <v>2236</v>
      </c>
      <c r="E85" s="580" t="s">
        <v>2300</v>
      </c>
      <c r="F85" s="580" t="s">
        <v>2267</v>
      </c>
      <c r="G85" s="580" t="s">
        <v>2239</v>
      </c>
      <c r="H85" s="580" t="s">
        <v>2268</v>
      </c>
      <c r="I85" s="580" t="s">
        <v>2269</v>
      </c>
      <c r="J85" s="580"/>
      <c r="K85" s="581">
        <v>0.03</v>
      </c>
      <c r="L85" s="580"/>
      <c r="M85" s="580"/>
      <c r="N85" s="580"/>
      <c r="O85" s="580" t="s">
        <v>2241</v>
      </c>
      <c r="P85" s="580" t="s">
        <v>2242</v>
      </c>
      <c r="Q85" s="580" t="s">
        <v>2243</v>
      </c>
      <c r="R85" s="580"/>
      <c r="S85" s="580" t="s">
        <v>2270</v>
      </c>
      <c r="T85" s="580" t="s">
        <v>2245</v>
      </c>
    </row>
    <row r="86" spans="2:20" x14ac:dyDescent="0.2">
      <c r="B86" s="580" t="s">
        <v>2234</v>
      </c>
      <c r="C86" s="580" t="s">
        <v>2235</v>
      </c>
      <c r="D86" s="580" t="s">
        <v>2236</v>
      </c>
      <c r="E86" s="580" t="s">
        <v>2301</v>
      </c>
      <c r="F86" s="580" t="s">
        <v>2267</v>
      </c>
      <c r="G86" s="580" t="s">
        <v>2239</v>
      </c>
      <c r="H86" s="580" t="s">
        <v>2268</v>
      </c>
      <c r="I86" s="580" t="s">
        <v>2269</v>
      </c>
      <c r="J86" s="580"/>
      <c r="K86" s="581">
        <v>0.03</v>
      </c>
      <c r="L86" s="580"/>
      <c r="M86" s="580"/>
      <c r="N86" s="580"/>
      <c r="O86" s="580" t="s">
        <v>2241</v>
      </c>
      <c r="P86" s="580" t="s">
        <v>2242</v>
      </c>
      <c r="Q86" s="580" t="s">
        <v>2243</v>
      </c>
      <c r="R86" s="580"/>
      <c r="S86" s="580" t="s">
        <v>2270</v>
      </c>
      <c r="T86" s="580" t="s">
        <v>2245</v>
      </c>
    </row>
    <row r="87" spans="2:20" x14ac:dyDescent="0.2">
      <c r="B87" s="580" t="s">
        <v>2234</v>
      </c>
      <c r="C87" s="580" t="s">
        <v>2235</v>
      </c>
      <c r="D87" s="580" t="s">
        <v>2236</v>
      </c>
      <c r="E87" s="580" t="s">
        <v>2302</v>
      </c>
      <c r="F87" s="580" t="s">
        <v>2273</v>
      </c>
      <c r="G87" s="580" t="s">
        <v>2239</v>
      </c>
      <c r="H87" s="580" t="s">
        <v>1483</v>
      </c>
      <c r="I87" s="580" t="s">
        <v>2269</v>
      </c>
      <c r="J87" s="580"/>
      <c r="K87" s="581">
        <v>0.5</v>
      </c>
      <c r="L87" s="580"/>
      <c r="M87" s="580"/>
      <c r="N87" s="580"/>
      <c r="O87" s="580" t="s">
        <v>2241</v>
      </c>
      <c r="P87" s="580" t="s">
        <v>2242</v>
      </c>
      <c r="Q87" s="580" t="s">
        <v>2243</v>
      </c>
      <c r="R87" s="580"/>
      <c r="S87" s="580" t="s">
        <v>2274</v>
      </c>
      <c r="T87" s="580" t="s">
        <v>2245</v>
      </c>
    </row>
    <row r="88" spans="2:20" x14ac:dyDescent="0.2">
      <c r="B88" s="580" t="s">
        <v>2234</v>
      </c>
      <c r="C88" s="580" t="s">
        <v>2235</v>
      </c>
      <c r="D88" s="580" t="s">
        <v>2236</v>
      </c>
      <c r="E88" s="580" t="s">
        <v>2303</v>
      </c>
      <c r="F88" s="580" t="s">
        <v>2273</v>
      </c>
      <c r="G88" s="580" t="s">
        <v>2239</v>
      </c>
      <c r="H88" s="580" t="s">
        <v>1483</v>
      </c>
      <c r="I88" s="580" t="s">
        <v>2269</v>
      </c>
      <c r="J88" s="580"/>
      <c r="K88" s="581">
        <v>0.5</v>
      </c>
      <c r="L88" s="580"/>
      <c r="M88" s="580"/>
      <c r="N88" s="580"/>
      <c r="O88" s="580" t="s">
        <v>2241</v>
      </c>
      <c r="P88" s="580" t="s">
        <v>2242</v>
      </c>
      <c r="Q88" s="580" t="s">
        <v>2243</v>
      </c>
      <c r="R88" s="580"/>
      <c r="S88" s="580" t="s">
        <v>2274</v>
      </c>
      <c r="T88" s="580" t="s">
        <v>2245</v>
      </c>
    </row>
    <row r="89" spans="2:20" x14ac:dyDescent="0.2">
      <c r="B89" s="580" t="s">
        <v>2234</v>
      </c>
      <c r="C89" s="580" t="s">
        <v>2235</v>
      </c>
      <c r="D89" s="580" t="s">
        <v>2236</v>
      </c>
      <c r="E89" s="580" t="s">
        <v>2304</v>
      </c>
      <c r="F89" s="580" t="s">
        <v>2273</v>
      </c>
      <c r="G89" s="580" t="s">
        <v>2239</v>
      </c>
      <c r="H89" s="580" t="s">
        <v>1483</v>
      </c>
      <c r="I89" s="580" t="s">
        <v>2269</v>
      </c>
      <c r="J89" s="580"/>
      <c r="K89" s="581">
        <v>0.5</v>
      </c>
      <c r="L89" s="580"/>
      <c r="M89" s="580"/>
      <c r="N89" s="580"/>
      <c r="O89" s="580" t="s">
        <v>2241</v>
      </c>
      <c r="P89" s="580" t="s">
        <v>2242</v>
      </c>
      <c r="Q89" s="580" t="s">
        <v>2243</v>
      </c>
      <c r="R89" s="580"/>
      <c r="S89" s="580" t="s">
        <v>2274</v>
      </c>
      <c r="T89" s="580" t="s">
        <v>2245</v>
      </c>
    </row>
    <row r="90" spans="2:20" x14ac:dyDescent="0.2">
      <c r="B90" s="580" t="s">
        <v>2234</v>
      </c>
      <c r="C90" s="580" t="s">
        <v>2235</v>
      </c>
      <c r="D90" s="580" t="s">
        <v>2236</v>
      </c>
      <c r="E90" s="580" t="s">
        <v>2305</v>
      </c>
      <c r="F90" s="580" t="s">
        <v>2273</v>
      </c>
      <c r="G90" s="580" t="s">
        <v>2239</v>
      </c>
      <c r="H90" s="580" t="s">
        <v>1483</v>
      </c>
      <c r="I90" s="580" t="s">
        <v>2269</v>
      </c>
      <c r="J90" s="580"/>
      <c r="K90" s="581">
        <v>0.5</v>
      </c>
      <c r="L90" s="580"/>
      <c r="M90" s="580"/>
      <c r="N90" s="580"/>
      <c r="O90" s="580" t="s">
        <v>2241</v>
      </c>
      <c r="P90" s="580" t="s">
        <v>2242</v>
      </c>
      <c r="Q90" s="580" t="s">
        <v>2243</v>
      </c>
      <c r="R90" s="580"/>
      <c r="S90" s="580" t="s">
        <v>2274</v>
      </c>
      <c r="T90" s="580" t="s">
        <v>2245</v>
      </c>
    </row>
    <row r="91" spans="2:20" x14ac:dyDescent="0.2">
      <c r="B91" s="580" t="s">
        <v>2234</v>
      </c>
      <c r="C91" s="580" t="s">
        <v>2235</v>
      </c>
      <c r="D91" s="580" t="s">
        <v>2236</v>
      </c>
      <c r="E91" s="580" t="s">
        <v>2306</v>
      </c>
      <c r="F91" s="580" t="s">
        <v>2273</v>
      </c>
      <c r="G91" s="580" t="s">
        <v>2239</v>
      </c>
      <c r="H91" s="580" t="s">
        <v>1483</v>
      </c>
      <c r="I91" s="580" t="s">
        <v>2269</v>
      </c>
      <c r="J91" s="580"/>
      <c r="K91" s="581">
        <v>0.5</v>
      </c>
      <c r="L91" s="580"/>
      <c r="M91" s="580"/>
      <c r="N91" s="580"/>
      <c r="O91" s="580" t="s">
        <v>2241</v>
      </c>
      <c r="P91" s="580" t="s">
        <v>2242</v>
      </c>
      <c r="Q91" s="580" t="s">
        <v>2243</v>
      </c>
      <c r="R91" s="580"/>
      <c r="S91" s="580" t="s">
        <v>2274</v>
      </c>
      <c r="T91" s="580" t="s">
        <v>2245</v>
      </c>
    </row>
    <row r="92" spans="2:20" x14ac:dyDescent="0.2">
      <c r="B92" s="580" t="s">
        <v>2234</v>
      </c>
      <c r="C92" s="580" t="s">
        <v>2235</v>
      </c>
      <c r="D92" s="580" t="s">
        <v>2236</v>
      </c>
      <c r="E92" s="580" t="s">
        <v>2307</v>
      </c>
      <c r="F92" s="580" t="s">
        <v>2273</v>
      </c>
      <c r="G92" s="580" t="s">
        <v>2239</v>
      </c>
      <c r="H92" s="580" t="s">
        <v>1483</v>
      </c>
      <c r="I92" s="580" t="s">
        <v>2269</v>
      </c>
      <c r="J92" s="580"/>
      <c r="K92" s="581">
        <v>0.5</v>
      </c>
      <c r="L92" s="580"/>
      <c r="M92" s="580"/>
      <c r="N92" s="580"/>
      <c r="O92" s="580" t="s">
        <v>2241</v>
      </c>
      <c r="P92" s="580" t="s">
        <v>2242</v>
      </c>
      <c r="Q92" s="580" t="s">
        <v>2243</v>
      </c>
      <c r="R92" s="580"/>
      <c r="S92" s="580" t="s">
        <v>2274</v>
      </c>
      <c r="T92" s="580" t="s">
        <v>2245</v>
      </c>
    </row>
    <row r="93" spans="2:20" x14ac:dyDescent="0.2">
      <c r="B93" s="580" t="s">
        <v>2234</v>
      </c>
      <c r="C93" s="580" t="s">
        <v>2235</v>
      </c>
      <c r="D93" s="580" t="s">
        <v>2236</v>
      </c>
      <c r="E93" s="580" t="s">
        <v>2308</v>
      </c>
      <c r="F93" s="580" t="s">
        <v>2273</v>
      </c>
      <c r="G93" s="580" t="s">
        <v>2239</v>
      </c>
      <c r="H93" s="580" t="s">
        <v>1483</v>
      </c>
      <c r="I93" s="580" t="s">
        <v>2269</v>
      </c>
      <c r="J93" s="580"/>
      <c r="K93" s="581">
        <v>0.5</v>
      </c>
      <c r="L93" s="580"/>
      <c r="M93" s="580"/>
      <c r="N93" s="580"/>
      <c r="O93" s="580" t="s">
        <v>2241</v>
      </c>
      <c r="P93" s="580" t="s">
        <v>2242</v>
      </c>
      <c r="Q93" s="580" t="s">
        <v>2243</v>
      </c>
      <c r="R93" s="580"/>
      <c r="S93" s="580" t="s">
        <v>2274</v>
      </c>
      <c r="T93" s="580" t="s">
        <v>2245</v>
      </c>
    </row>
    <row r="94" spans="2:20" x14ac:dyDescent="0.2">
      <c r="B94" s="580" t="s">
        <v>2234</v>
      </c>
      <c r="C94" s="580" t="s">
        <v>2235</v>
      </c>
      <c r="D94" s="580" t="s">
        <v>2236</v>
      </c>
      <c r="E94" s="580" t="s">
        <v>2309</v>
      </c>
      <c r="F94" s="580" t="s">
        <v>2273</v>
      </c>
      <c r="G94" s="580" t="s">
        <v>2239</v>
      </c>
      <c r="H94" s="580" t="s">
        <v>1483</v>
      </c>
      <c r="I94" s="580" t="s">
        <v>2269</v>
      </c>
      <c r="J94" s="580"/>
      <c r="K94" s="581">
        <v>0.5</v>
      </c>
      <c r="L94" s="580"/>
      <c r="M94" s="580"/>
      <c r="N94" s="580"/>
      <c r="O94" s="580" t="s">
        <v>2241</v>
      </c>
      <c r="P94" s="580" t="s">
        <v>2242</v>
      </c>
      <c r="Q94" s="580" t="s">
        <v>2243</v>
      </c>
      <c r="R94" s="580"/>
      <c r="S94" s="580" t="s">
        <v>2274</v>
      </c>
      <c r="T94" s="580" t="s">
        <v>2245</v>
      </c>
    </row>
    <row r="95" spans="2:20" x14ac:dyDescent="0.2">
      <c r="B95" s="580" t="s">
        <v>2234</v>
      </c>
      <c r="C95" s="580" t="s">
        <v>2235</v>
      </c>
      <c r="D95" s="580" t="s">
        <v>2236</v>
      </c>
      <c r="E95" s="580" t="s">
        <v>2310</v>
      </c>
      <c r="F95" s="580" t="s">
        <v>2273</v>
      </c>
      <c r="G95" s="580" t="s">
        <v>2239</v>
      </c>
      <c r="H95" s="580" t="s">
        <v>1483</v>
      </c>
      <c r="I95" s="580" t="s">
        <v>2269</v>
      </c>
      <c r="J95" s="580"/>
      <c r="K95" s="581">
        <v>0.5</v>
      </c>
      <c r="L95" s="580"/>
      <c r="M95" s="580"/>
      <c r="N95" s="580"/>
      <c r="O95" s="580" t="s">
        <v>2241</v>
      </c>
      <c r="P95" s="580" t="s">
        <v>2242</v>
      </c>
      <c r="Q95" s="580" t="s">
        <v>2243</v>
      </c>
      <c r="R95" s="580"/>
      <c r="S95" s="580" t="s">
        <v>2274</v>
      </c>
      <c r="T95" s="580" t="s">
        <v>2245</v>
      </c>
    </row>
    <row r="96" spans="2:20" x14ac:dyDescent="0.2">
      <c r="B96" s="580" t="s">
        <v>2234</v>
      </c>
      <c r="C96" s="580" t="s">
        <v>2235</v>
      </c>
      <c r="D96" s="580" t="s">
        <v>2236</v>
      </c>
      <c r="E96" s="580" t="s">
        <v>2311</v>
      </c>
      <c r="F96" s="580" t="s">
        <v>2267</v>
      </c>
      <c r="G96" s="580" t="s">
        <v>2239</v>
      </c>
      <c r="H96" s="580" t="s">
        <v>2268</v>
      </c>
      <c r="I96" s="580" t="s">
        <v>2269</v>
      </c>
      <c r="J96" s="580"/>
      <c r="K96" s="581">
        <v>0.03</v>
      </c>
      <c r="L96" s="580"/>
      <c r="M96" s="580"/>
      <c r="N96" s="580"/>
      <c r="O96" s="580" t="s">
        <v>2241</v>
      </c>
      <c r="P96" s="580" t="s">
        <v>2242</v>
      </c>
      <c r="Q96" s="580" t="s">
        <v>2243</v>
      </c>
      <c r="R96" s="580"/>
      <c r="S96" s="580" t="s">
        <v>2270</v>
      </c>
      <c r="T96" s="580" t="s">
        <v>2245</v>
      </c>
    </row>
    <row r="97" spans="2:20" x14ac:dyDescent="0.2">
      <c r="B97" s="580" t="s">
        <v>2234</v>
      </c>
      <c r="C97" s="580" t="s">
        <v>2235</v>
      </c>
      <c r="D97" s="580" t="s">
        <v>2236</v>
      </c>
      <c r="E97" s="580" t="s">
        <v>2312</v>
      </c>
      <c r="F97" s="580" t="s">
        <v>2267</v>
      </c>
      <c r="G97" s="580" t="s">
        <v>2239</v>
      </c>
      <c r="H97" s="580" t="s">
        <v>2268</v>
      </c>
      <c r="I97" s="580" t="s">
        <v>2269</v>
      </c>
      <c r="J97" s="580"/>
      <c r="K97" s="581">
        <v>0.03</v>
      </c>
      <c r="L97" s="580"/>
      <c r="M97" s="580"/>
      <c r="N97" s="580"/>
      <c r="O97" s="580" t="s">
        <v>2241</v>
      </c>
      <c r="P97" s="580" t="s">
        <v>2242</v>
      </c>
      <c r="Q97" s="580" t="s">
        <v>2243</v>
      </c>
      <c r="R97" s="580"/>
      <c r="S97" s="580" t="s">
        <v>2270</v>
      </c>
      <c r="T97" s="580" t="s">
        <v>2245</v>
      </c>
    </row>
    <row r="98" spans="2:20" x14ac:dyDescent="0.2">
      <c r="B98" s="580" t="s">
        <v>2234</v>
      </c>
      <c r="C98" s="580" t="s">
        <v>2235</v>
      </c>
      <c r="D98" s="580" t="s">
        <v>2236</v>
      </c>
      <c r="E98" s="580" t="s">
        <v>2313</v>
      </c>
      <c r="F98" s="580" t="s">
        <v>2314</v>
      </c>
      <c r="G98" s="580" t="s">
        <v>2239</v>
      </c>
      <c r="H98" s="580" t="s">
        <v>2254</v>
      </c>
      <c r="I98" s="580" t="s">
        <v>2315</v>
      </c>
      <c r="J98" s="580"/>
      <c r="K98" s="581">
        <v>0.05</v>
      </c>
      <c r="L98" s="580"/>
      <c r="M98" s="580"/>
      <c r="N98" s="580"/>
      <c r="O98" s="580" t="s">
        <v>2241</v>
      </c>
      <c r="P98" s="580" t="s">
        <v>2287</v>
      </c>
      <c r="Q98" s="580" t="s">
        <v>2288</v>
      </c>
      <c r="R98" s="580"/>
      <c r="S98" s="580"/>
      <c r="T98" s="580" t="s">
        <v>2289</v>
      </c>
    </row>
    <row r="99" spans="2:20" x14ac:dyDescent="0.2">
      <c r="B99" s="581" t="s">
        <v>2234</v>
      </c>
      <c r="C99" s="581" t="s">
        <v>2235</v>
      </c>
      <c r="D99" s="581" t="s">
        <v>2236</v>
      </c>
      <c r="E99" s="581" t="s">
        <v>2316</v>
      </c>
      <c r="F99" s="581" t="s">
        <v>2317</v>
      </c>
      <c r="G99" s="581" t="s">
        <v>1635</v>
      </c>
      <c r="H99" s="581" t="s">
        <v>1511</v>
      </c>
      <c r="I99" s="581" t="s">
        <v>2236</v>
      </c>
      <c r="J99" s="581"/>
      <c r="K99" s="581">
        <v>0.1</v>
      </c>
      <c r="L99" s="580"/>
      <c r="M99" s="580"/>
      <c r="N99" s="580"/>
      <c r="O99" s="580" t="s">
        <v>2241</v>
      </c>
      <c r="P99" s="580" t="s">
        <v>2242</v>
      </c>
      <c r="Q99" s="580" t="s">
        <v>2243</v>
      </c>
      <c r="R99" s="580"/>
      <c r="S99" s="580" t="s">
        <v>2318</v>
      </c>
      <c r="T99" s="580" t="s">
        <v>2245</v>
      </c>
    </row>
    <row r="100" spans="2:20" x14ac:dyDescent="0.2">
      <c r="B100" s="581" t="s">
        <v>2234</v>
      </c>
      <c r="C100" s="581" t="s">
        <v>2235</v>
      </c>
      <c r="D100" s="581" t="s">
        <v>2236</v>
      </c>
      <c r="E100" s="581" t="s">
        <v>2319</v>
      </c>
      <c r="F100" s="581" t="s">
        <v>2320</v>
      </c>
      <c r="G100" s="581" t="s">
        <v>1635</v>
      </c>
      <c r="H100" s="581" t="s">
        <v>2179</v>
      </c>
      <c r="I100" s="581" t="s">
        <v>2236</v>
      </c>
      <c r="J100" s="581"/>
      <c r="K100" s="581">
        <v>0.1</v>
      </c>
      <c r="L100" s="580"/>
      <c r="M100" s="580"/>
      <c r="N100" s="580"/>
      <c r="O100" s="580" t="s">
        <v>2241</v>
      </c>
      <c r="P100" s="580" t="s">
        <v>2242</v>
      </c>
      <c r="Q100" s="580" t="s">
        <v>2243</v>
      </c>
      <c r="R100" s="580"/>
      <c r="S100" s="580" t="s">
        <v>2321</v>
      </c>
      <c r="T100" s="580" t="s">
        <v>2245</v>
      </c>
    </row>
    <row r="101" spans="2:20" x14ac:dyDescent="0.2">
      <c r="B101" s="581" t="s">
        <v>2234</v>
      </c>
      <c r="C101" s="581" t="s">
        <v>2235</v>
      </c>
      <c r="D101" s="581" t="s">
        <v>2236</v>
      </c>
      <c r="E101" s="581" t="s">
        <v>2322</v>
      </c>
      <c r="F101" s="581" t="s">
        <v>2273</v>
      </c>
      <c r="G101" s="581" t="s">
        <v>2239</v>
      </c>
      <c r="H101" s="581" t="s">
        <v>1483</v>
      </c>
      <c r="I101" s="581" t="s">
        <v>2269</v>
      </c>
      <c r="J101" s="581"/>
      <c r="K101" s="581">
        <v>0.5</v>
      </c>
      <c r="L101" s="580"/>
      <c r="M101" s="580"/>
      <c r="N101" s="580"/>
      <c r="O101" s="580" t="s">
        <v>2241</v>
      </c>
      <c r="P101" s="580" t="s">
        <v>2242</v>
      </c>
      <c r="Q101" s="580" t="s">
        <v>2243</v>
      </c>
      <c r="R101" s="580"/>
      <c r="S101" s="580" t="s">
        <v>2274</v>
      </c>
      <c r="T101" s="580" t="s">
        <v>2245</v>
      </c>
    </row>
    <row r="102" spans="2:20" x14ac:dyDescent="0.2">
      <c r="B102" s="580" t="s">
        <v>2234</v>
      </c>
      <c r="C102" s="580" t="s">
        <v>2235</v>
      </c>
      <c r="D102" s="580" t="s">
        <v>2236</v>
      </c>
      <c r="E102" s="580" t="s">
        <v>2323</v>
      </c>
      <c r="F102" s="580" t="s">
        <v>2267</v>
      </c>
      <c r="G102" s="580" t="s">
        <v>2239</v>
      </c>
      <c r="H102" s="580" t="s">
        <v>2268</v>
      </c>
      <c r="I102" s="580" t="s">
        <v>2269</v>
      </c>
      <c r="J102" s="580"/>
      <c r="K102" s="581">
        <v>0.03</v>
      </c>
      <c r="L102" s="580"/>
      <c r="M102" s="580"/>
      <c r="N102" s="580"/>
      <c r="O102" s="580" t="s">
        <v>2241</v>
      </c>
      <c r="P102" s="580" t="s">
        <v>2242</v>
      </c>
      <c r="Q102" s="580" t="s">
        <v>2243</v>
      </c>
      <c r="R102" s="580"/>
      <c r="S102" s="580" t="s">
        <v>2270</v>
      </c>
      <c r="T102" s="580" t="s">
        <v>2245</v>
      </c>
    </row>
    <row r="103" spans="2:20" x14ac:dyDescent="0.2">
      <c r="B103" s="580" t="s">
        <v>2234</v>
      </c>
      <c r="C103" s="580" t="s">
        <v>2235</v>
      </c>
      <c r="D103" s="580" t="s">
        <v>2236</v>
      </c>
      <c r="E103" s="580" t="s">
        <v>2324</v>
      </c>
      <c r="F103" s="580" t="s">
        <v>2325</v>
      </c>
      <c r="G103" s="580" t="s">
        <v>2326</v>
      </c>
      <c r="H103" s="580" t="s">
        <v>1721</v>
      </c>
      <c r="I103" s="580" t="s">
        <v>2327</v>
      </c>
      <c r="J103" s="580" t="s">
        <v>2328</v>
      </c>
      <c r="K103" s="581">
        <v>0.21</v>
      </c>
      <c r="L103" s="580"/>
      <c r="M103" s="580"/>
      <c r="N103" s="580"/>
      <c r="O103" s="580" t="s">
        <v>2241</v>
      </c>
      <c r="P103" s="580" t="s">
        <v>2242</v>
      </c>
      <c r="Q103" s="580" t="s">
        <v>2329</v>
      </c>
      <c r="R103" s="580"/>
      <c r="S103" s="580" t="s">
        <v>2330</v>
      </c>
      <c r="T103" s="580" t="s">
        <v>2331</v>
      </c>
    </row>
    <row r="104" spans="2:20" x14ac:dyDescent="0.2">
      <c r="B104" s="580" t="s">
        <v>2234</v>
      </c>
      <c r="C104" s="580" t="s">
        <v>2235</v>
      </c>
      <c r="D104" s="580" t="s">
        <v>2236</v>
      </c>
      <c r="E104" s="580" t="s">
        <v>2324</v>
      </c>
      <c r="F104" s="580" t="s">
        <v>2325</v>
      </c>
      <c r="G104" s="580" t="s">
        <v>2326</v>
      </c>
      <c r="H104" s="580" t="s">
        <v>1721</v>
      </c>
      <c r="I104" s="580" t="s">
        <v>2327</v>
      </c>
      <c r="J104" s="580" t="s">
        <v>2332</v>
      </c>
      <c r="K104" s="581">
        <v>0.21</v>
      </c>
      <c r="L104" s="580"/>
      <c r="M104" s="580"/>
      <c r="N104" s="580"/>
      <c r="O104" s="580" t="s">
        <v>2241</v>
      </c>
      <c r="P104" s="580" t="s">
        <v>2242</v>
      </c>
      <c r="Q104" s="580" t="s">
        <v>2329</v>
      </c>
      <c r="R104" s="580"/>
      <c r="S104" s="580" t="s">
        <v>2330</v>
      </c>
      <c r="T104" s="580" t="s">
        <v>2331</v>
      </c>
    </row>
    <row r="105" spans="2:20" x14ac:dyDescent="0.2">
      <c r="B105" s="580" t="s">
        <v>2234</v>
      </c>
      <c r="C105" s="580" t="s">
        <v>2235</v>
      </c>
      <c r="D105" s="580" t="s">
        <v>2236</v>
      </c>
      <c r="E105" s="580" t="s">
        <v>2333</v>
      </c>
      <c r="F105" s="580" t="s">
        <v>2325</v>
      </c>
      <c r="G105" s="580" t="s">
        <v>2326</v>
      </c>
      <c r="H105" s="580" t="s">
        <v>1721</v>
      </c>
      <c r="I105" s="580" t="s">
        <v>2327</v>
      </c>
      <c r="J105" s="580" t="s">
        <v>2328</v>
      </c>
      <c r="K105" s="581">
        <v>0.21</v>
      </c>
      <c r="L105" s="580"/>
      <c r="M105" s="580"/>
      <c r="N105" s="580"/>
      <c r="O105" s="580" t="s">
        <v>2241</v>
      </c>
      <c r="P105" s="580" t="s">
        <v>2242</v>
      </c>
      <c r="Q105" s="580" t="s">
        <v>2329</v>
      </c>
      <c r="R105" s="580"/>
      <c r="S105" s="580" t="s">
        <v>2330</v>
      </c>
      <c r="T105" s="580" t="s">
        <v>2331</v>
      </c>
    </row>
    <row r="106" spans="2:20" x14ac:dyDescent="0.2">
      <c r="B106" s="580" t="s">
        <v>2234</v>
      </c>
      <c r="C106" s="580" t="s">
        <v>2235</v>
      </c>
      <c r="D106" s="580" t="s">
        <v>2236</v>
      </c>
      <c r="E106" s="580" t="s">
        <v>2333</v>
      </c>
      <c r="F106" s="580" t="s">
        <v>2325</v>
      </c>
      <c r="G106" s="580" t="s">
        <v>2326</v>
      </c>
      <c r="H106" s="580" t="s">
        <v>1721</v>
      </c>
      <c r="I106" s="580" t="s">
        <v>2327</v>
      </c>
      <c r="J106" s="580" t="s">
        <v>2332</v>
      </c>
      <c r="K106" s="581">
        <v>0.21</v>
      </c>
      <c r="L106" s="580"/>
      <c r="M106" s="580"/>
      <c r="N106" s="580"/>
      <c r="O106" s="580" t="s">
        <v>2241</v>
      </c>
      <c r="P106" s="580" t="s">
        <v>2242</v>
      </c>
      <c r="Q106" s="580" t="s">
        <v>2329</v>
      </c>
      <c r="R106" s="580"/>
      <c r="S106" s="580" t="s">
        <v>2330</v>
      </c>
      <c r="T106" s="580" t="s">
        <v>2331</v>
      </c>
    </row>
    <row r="107" spans="2:20" x14ac:dyDescent="0.2">
      <c r="B107" s="580" t="s">
        <v>2234</v>
      </c>
      <c r="C107" s="580" t="s">
        <v>2235</v>
      </c>
      <c r="D107" s="580" t="s">
        <v>2236</v>
      </c>
      <c r="E107" s="580" t="s">
        <v>2334</v>
      </c>
      <c r="F107" s="580" t="s">
        <v>2325</v>
      </c>
      <c r="G107" s="580" t="s">
        <v>2326</v>
      </c>
      <c r="H107" s="580" t="s">
        <v>1721</v>
      </c>
      <c r="I107" s="580" t="s">
        <v>2327</v>
      </c>
      <c r="J107" s="580" t="s">
        <v>2328</v>
      </c>
      <c r="K107" s="581">
        <v>0.21</v>
      </c>
      <c r="L107" s="580"/>
      <c r="M107" s="580"/>
      <c r="N107" s="580"/>
      <c r="O107" s="580" t="s">
        <v>2241</v>
      </c>
      <c r="P107" s="580" t="s">
        <v>2242</v>
      </c>
      <c r="Q107" s="580" t="s">
        <v>2329</v>
      </c>
      <c r="R107" s="580"/>
      <c r="S107" s="580" t="s">
        <v>2330</v>
      </c>
      <c r="T107" s="580" t="s">
        <v>2331</v>
      </c>
    </row>
    <row r="108" spans="2:20" x14ac:dyDescent="0.2">
      <c r="B108" s="580" t="s">
        <v>2234</v>
      </c>
      <c r="C108" s="580" t="s">
        <v>2235</v>
      </c>
      <c r="D108" s="580" t="s">
        <v>2236</v>
      </c>
      <c r="E108" s="580" t="s">
        <v>2334</v>
      </c>
      <c r="F108" s="580" t="s">
        <v>2325</v>
      </c>
      <c r="G108" s="580" t="s">
        <v>2326</v>
      </c>
      <c r="H108" s="580" t="s">
        <v>1721</v>
      </c>
      <c r="I108" s="580" t="s">
        <v>2327</v>
      </c>
      <c r="J108" s="580" t="s">
        <v>2332</v>
      </c>
      <c r="K108" s="581">
        <v>0.21</v>
      </c>
      <c r="L108" s="580"/>
      <c r="M108" s="580"/>
      <c r="N108" s="580"/>
      <c r="O108" s="580" t="s">
        <v>2241</v>
      </c>
      <c r="P108" s="580" t="s">
        <v>2242</v>
      </c>
      <c r="Q108" s="580" t="s">
        <v>2329</v>
      </c>
      <c r="R108" s="580"/>
      <c r="S108" s="580" t="s">
        <v>2330</v>
      </c>
      <c r="T108" s="580" t="s">
        <v>2331</v>
      </c>
    </row>
    <row r="109" spans="2:20" x14ac:dyDescent="0.2">
      <c r="B109" s="580" t="s">
        <v>2234</v>
      </c>
      <c r="C109" s="580" t="s">
        <v>2235</v>
      </c>
      <c r="D109" s="580" t="s">
        <v>2236</v>
      </c>
      <c r="E109" s="580" t="s">
        <v>2335</v>
      </c>
      <c r="F109" s="580" t="s">
        <v>2325</v>
      </c>
      <c r="G109" s="580" t="s">
        <v>2326</v>
      </c>
      <c r="H109" s="580" t="s">
        <v>1721</v>
      </c>
      <c r="I109" s="580" t="s">
        <v>2327</v>
      </c>
      <c r="J109" s="580" t="s">
        <v>2328</v>
      </c>
      <c r="K109" s="581">
        <v>0.21</v>
      </c>
      <c r="L109" s="580"/>
      <c r="M109" s="580"/>
      <c r="N109" s="580"/>
      <c r="O109" s="580" t="s">
        <v>2241</v>
      </c>
      <c r="P109" s="580" t="s">
        <v>2242</v>
      </c>
      <c r="Q109" s="580" t="s">
        <v>2329</v>
      </c>
      <c r="R109" s="580"/>
      <c r="S109" s="580" t="s">
        <v>2330</v>
      </c>
      <c r="T109" s="580" t="s">
        <v>2331</v>
      </c>
    </row>
    <row r="110" spans="2:20" x14ac:dyDescent="0.2">
      <c r="B110" s="580" t="s">
        <v>2234</v>
      </c>
      <c r="C110" s="580" t="s">
        <v>2235</v>
      </c>
      <c r="D110" s="580" t="s">
        <v>2236</v>
      </c>
      <c r="E110" s="580" t="s">
        <v>2335</v>
      </c>
      <c r="F110" s="580" t="s">
        <v>2325</v>
      </c>
      <c r="G110" s="580" t="s">
        <v>2326</v>
      </c>
      <c r="H110" s="580" t="s">
        <v>1721</v>
      </c>
      <c r="I110" s="580" t="s">
        <v>2327</v>
      </c>
      <c r="J110" s="580" t="s">
        <v>2332</v>
      </c>
      <c r="K110" s="581">
        <v>0.21</v>
      </c>
      <c r="L110" s="580"/>
      <c r="M110" s="580"/>
      <c r="N110" s="580"/>
      <c r="O110" s="580" t="s">
        <v>2241</v>
      </c>
      <c r="P110" s="580" t="s">
        <v>2242</v>
      </c>
      <c r="Q110" s="580" t="s">
        <v>2329</v>
      </c>
      <c r="R110" s="580"/>
      <c r="S110" s="580" t="s">
        <v>2330</v>
      </c>
      <c r="T110" s="580" t="s">
        <v>2331</v>
      </c>
    </row>
    <row r="111" spans="2:20" x14ac:dyDescent="0.2">
      <c r="B111" s="580" t="s">
        <v>2234</v>
      </c>
      <c r="C111" s="580" t="s">
        <v>2235</v>
      </c>
      <c r="D111" s="580" t="s">
        <v>2236</v>
      </c>
      <c r="E111" s="580" t="s">
        <v>2336</v>
      </c>
      <c r="F111" s="580" t="s">
        <v>2337</v>
      </c>
      <c r="G111" s="580" t="s">
        <v>2326</v>
      </c>
      <c r="H111" s="580" t="s">
        <v>1721</v>
      </c>
      <c r="I111" s="580" t="s">
        <v>2338</v>
      </c>
      <c r="J111" s="580"/>
      <c r="K111" s="581">
        <v>0.21</v>
      </c>
      <c r="L111" s="580"/>
      <c r="M111" s="580"/>
      <c r="N111" s="580"/>
      <c r="O111" s="580" t="s">
        <v>2241</v>
      </c>
      <c r="P111" s="580" t="s">
        <v>2242</v>
      </c>
      <c r="Q111" s="580" t="s">
        <v>2329</v>
      </c>
      <c r="R111" s="580" t="s">
        <v>2269</v>
      </c>
      <c r="S111" s="580" t="s">
        <v>2330</v>
      </c>
      <c r="T111" s="580" t="s">
        <v>2331</v>
      </c>
    </row>
    <row r="112" spans="2:20" x14ac:dyDescent="0.2">
      <c r="B112" s="580" t="s">
        <v>2234</v>
      </c>
      <c r="C112" s="580" t="s">
        <v>2235</v>
      </c>
      <c r="D112" s="580" t="s">
        <v>2236</v>
      </c>
      <c r="E112" s="580" t="s">
        <v>2336</v>
      </c>
      <c r="F112" s="580" t="s">
        <v>2339</v>
      </c>
      <c r="G112" s="580" t="s">
        <v>2326</v>
      </c>
      <c r="H112" s="580" t="s">
        <v>1721</v>
      </c>
      <c r="I112" s="580" t="s">
        <v>2340</v>
      </c>
      <c r="J112" s="580"/>
      <c r="K112" s="581">
        <v>0.21</v>
      </c>
      <c r="L112" s="580"/>
      <c r="M112" s="580"/>
      <c r="N112" s="580"/>
      <c r="O112" s="580" t="s">
        <v>2241</v>
      </c>
      <c r="P112" s="580" t="s">
        <v>2242</v>
      </c>
      <c r="Q112" s="580" t="s">
        <v>2329</v>
      </c>
      <c r="R112" s="580" t="s">
        <v>2269</v>
      </c>
      <c r="S112" s="580" t="s">
        <v>2330</v>
      </c>
      <c r="T112" s="580" t="s">
        <v>2331</v>
      </c>
    </row>
    <row r="113" spans="2:20" x14ac:dyDescent="0.2">
      <c r="B113" s="580" t="s">
        <v>2234</v>
      </c>
      <c r="C113" s="580" t="s">
        <v>2235</v>
      </c>
      <c r="D113" s="580" t="s">
        <v>2236</v>
      </c>
      <c r="E113" s="580" t="s">
        <v>2341</v>
      </c>
      <c r="F113" s="580" t="s">
        <v>2342</v>
      </c>
      <c r="G113" s="580" t="s">
        <v>2326</v>
      </c>
      <c r="H113" s="580" t="s">
        <v>1721</v>
      </c>
      <c r="I113" s="580" t="s">
        <v>2343</v>
      </c>
      <c r="J113" s="580"/>
      <c r="K113" s="581">
        <v>0.21</v>
      </c>
      <c r="L113" s="580"/>
      <c r="M113" s="580"/>
      <c r="N113" s="580"/>
      <c r="O113" s="580" t="s">
        <v>2241</v>
      </c>
      <c r="P113" s="580" t="s">
        <v>2242</v>
      </c>
      <c r="Q113" s="580" t="s">
        <v>2329</v>
      </c>
      <c r="R113" s="580" t="s">
        <v>2269</v>
      </c>
      <c r="S113" s="580" t="s">
        <v>2330</v>
      </c>
      <c r="T113" s="580" t="s">
        <v>2331</v>
      </c>
    </row>
    <row r="114" spans="2:20" x14ac:dyDescent="0.2">
      <c r="B114" s="580" t="s">
        <v>2234</v>
      </c>
      <c r="C114" s="580" t="s">
        <v>2235</v>
      </c>
      <c r="D114" s="580" t="s">
        <v>2236</v>
      </c>
      <c r="E114" s="580" t="s">
        <v>2344</v>
      </c>
      <c r="F114" s="580" t="s">
        <v>2345</v>
      </c>
      <c r="G114" s="580" t="s">
        <v>2326</v>
      </c>
      <c r="H114" s="580" t="s">
        <v>1721</v>
      </c>
      <c r="I114" s="580" t="s">
        <v>2346</v>
      </c>
      <c r="J114" s="580"/>
      <c r="K114" s="581">
        <v>0.21</v>
      </c>
      <c r="L114" s="580"/>
      <c r="M114" s="580"/>
      <c r="N114" s="580"/>
      <c r="O114" s="580" t="s">
        <v>2241</v>
      </c>
      <c r="P114" s="580" t="s">
        <v>2242</v>
      </c>
      <c r="Q114" s="580" t="s">
        <v>2329</v>
      </c>
      <c r="R114" s="580" t="s">
        <v>2269</v>
      </c>
      <c r="S114" s="580" t="s">
        <v>2330</v>
      </c>
      <c r="T114" s="580" t="s">
        <v>2331</v>
      </c>
    </row>
    <row r="115" spans="2:20" x14ac:dyDescent="0.2">
      <c r="B115" s="580" t="s">
        <v>2234</v>
      </c>
      <c r="C115" s="580" t="s">
        <v>2235</v>
      </c>
      <c r="D115" s="580" t="s">
        <v>2236</v>
      </c>
      <c r="E115" s="580" t="s">
        <v>2347</v>
      </c>
      <c r="F115" s="580" t="s">
        <v>2348</v>
      </c>
      <c r="G115" s="580" t="s">
        <v>2326</v>
      </c>
      <c r="H115" s="580" t="s">
        <v>1722</v>
      </c>
      <c r="I115" s="580" t="s">
        <v>2349</v>
      </c>
      <c r="J115" s="580" t="s">
        <v>2328</v>
      </c>
      <c r="K115" s="581">
        <v>0.36</v>
      </c>
      <c r="L115" s="580"/>
      <c r="M115" s="580"/>
      <c r="N115" s="580"/>
      <c r="O115" s="580" t="s">
        <v>2241</v>
      </c>
      <c r="P115" s="580" t="s">
        <v>2242</v>
      </c>
      <c r="Q115" s="580" t="s">
        <v>2329</v>
      </c>
      <c r="R115" s="580"/>
      <c r="S115" s="580" t="s">
        <v>2330</v>
      </c>
      <c r="T115" s="580" t="s">
        <v>2331</v>
      </c>
    </row>
    <row r="116" spans="2:20" x14ac:dyDescent="0.2">
      <c r="B116" s="580" t="s">
        <v>2234</v>
      </c>
      <c r="C116" s="580" t="s">
        <v>2235</v>
      </c>
      <c r="D116" s="580" t="s">
        <v>2236</v>
      </c>
      <c r="E116" s="580" t="s">
        <v>2347</v>
      </c>
      <c r="F116" s="580" t="s">
        <v>2348</v>
      </c>
      <c r="G116" s="580" t="s">
        <v>2326</v>
      </c>
      <c r="H116" s="580" t="s">
        <v>1722</v>
      </c>
      <c r="I116" s="580" t="s">
        <v>2349</v>
      </c>
      <c r="J116" s="580" t="s">
        <v>2332</v>
      </c>
      <c r="K116" s="581">
        <v>0.36</v>
      </c>
      <c r="L116" s="580"/>
      <c r="M116" s="580"/>
      <c r="N116" s="580"/>
      <c r="O116" s="580" t="s">
        <v>2241</v>
      </c>
      <c r="P116" s="580" t="s">
        <v>2242</v>
      </c>
      <c r="Q116" s="580" t="s">
        <v>2329</v>
      </c>
      <c r="R116" s="580"/>
      <c r="S116" s="580" t="s">
        <v>2330</v>
      </c>
      <c r="T116" s="580" t="s">
        <v>2331</v>
      </c>
    </row>
    <row r="117" spans="2:20" x14ac:dyDescent="0.2">
      <c r="B117" s="580" t="s">
        <v>2234</v>
      </c>
      <c r="C117" s="580" t="s">
        <v>2235</v>
      </c>
      <c r="D117" s="580" t="s">
        <v>2236</v>
      </c>
      <c r="E117" s="580" t="s">
        <v>2350</v>
      </c>
      <c r="F117" s="580" t="s">
        <v>2348</v>
      </c>
      <c r="G117" s="580" t="s">
        <v>2326</v>
      </c>
      <c r="H117" s="580" t="s">
        <v>1722</v>
      </c>
      <c r="I117" s="580" t="s">
        <v>2349</v>
      </c>
      <c r="J117" s="580" t="s">
        <v>2328</v>
      </c>
      <c r="K117" s="581">
        <v>0.36</v>
      </c>
      <c r="L117" s="580"/>
      <c r="M117" s="580"/>
      <c r="N117" s="580"/>
      <c r="O117" s="580" t="s">
        <v>2241</v>
      </c>
      <c r="P117" s="580" t="s">
        <v>2242</v>
      </c>
      <c r="Q117" s="580" t="s">
        <v>2329</v>
      </c>
      <c r="R117" s="580"/>
      <c r="S117" s="580" t="s">
        <v>2330</v>
      </c>
      <c r="T117" s="580" t="s">
        <v>2331</v>
      </c>
    </row>
    <row r="118" spans="2:20" x14ac:dyDescent="0.2">
      <c r="B118" s="580" t="s">
        <v>2234</v>
      </c>
      <c r="C118" s="580" t="s">
        <v>2235</v>
      </c>
      <c r="D118" s="580" t="s">
        <v>2236</v>
      </c>
      <c r="E118" s="580" t="s">
        <v>2350</v>
      </c>
      <c r="F118" s="580" t="s">
        <v>2348</v>
      </c>
      <c r="G118" s="580" t="s">
        <v>2326</v>
      </c>
      <c r="H118" s="580" t="s">
        <v>1722</v>
      </c>
      <c r="I118" s="580" t="s">
        <v>2349</v>
      </c>
      <c r="J118" s="580" t="s">
        <v>2332</v>
      </c>
      <c r="K118" s="581">
        <v>0.36</v>
      </c>
      <c r="L118" s="580"/>
      <c r="M118" s="580"/>
      <c r="N118" s="580"/>
      <c r="O118" s="580" t="s">
        <v>2241</v>
      </c>
      <c r="P118" s="580" t="s">
        <v>2242</v>
      </c>
      <c r="Q118" s="580" t="s">
        <v>2329</v>
      </c>
      <c r="R118" s="580"/>
      <c r="S118" s="580" t="s">
        <v>2330</v>
      </c>
      <c r="T118" s="580" t="s">
        <v>2331</v>
      </c>
    </row>
    <row r="119" spans="2:20" x14ac:dyDescent="0.2">
      <c r="B119" s="580" t="s">
        <v>2234</v>
      </c>
      <c r="C119" s="580" t="s">
        <v>2235</v>
      </c>
      <c r="D119" s="580" t="s">
        <v>2236</v>
      </c>
      <c r="E119" s="580" t="s">
        <v>2351</v>
      </c>
      <c r="F119" s="580" t="s">
        <v>2348</v>
      </c>
      <c r="G119" s="580" t="s">
        <v>2326</v>
      </c>
      <c r="H119" s="580" t="s">
        <v>1722</v>
      </c>
      <c r="I119" s="580" t="s">
        <v>2349</v>
      </c>
      <c r="J119" s="580" t="s">
        <v>2328</v>
      </c>
      <c r="K119" s="581">
        <v>0.36</v>
      </c>
      <c r="L119" s="580"/>
      <c r="M119" s="580"/>
      <c r="N119" s="580"/>
      <c r="O119" s="580" t="s">
        <v>2241</v>
      </c>
      <c r="P119" s="580" t="s">
        <v>2242</v>
      </c>
      <c r="Q119" s="580" t="s">
        <v>2329</v>
      </c>
      <c r="R119" s="580"/>
      <c r="S119" s="580" t="s">
        <v>2330</v>
      </c>
      <c r="T119" s="580" t="s">
        <v>2331</v>
      </c>
    </row>
    <row r="120" spans="2:20" x14ac:dyDescent="0.2">
      <c r="B120" s="580" t="s">
        <v>2234</v>
      </c>
      <c r="C120" s="580" t="s">
        <v>2235</v>
      </c>
      <c r="D120" s="580" t="s">
        <v>2236</v>
      </c>
      <c r="E120" s="580" t="s">
        <v>2351</v>
      </c>
      <c r="F120" s="580" t="s">
        <v>2348</v>
      </c>
      <c r="G120" s="580" t="s">
        <v>2326</v>
      </c>
      <c r="H120" s="580" t="s">
        <v>1722</v>
      </c>
      <c r="I120" s="580" t="s">
        <v>2349</v>
      </c>
      <c r="J120" s="580" t="s">
        <v>2332</v>
      </c>
      <c r="K120" s="581">
        <v>0.36</v>
      </c>
      <c r="L120" s="580"/>
      <c r="M120" s="580"/>
      <c r="N120" s="580"/>
      <c r="O120" s="580" t="s">
        <v>2241</v>
      </c>
      <c r="P120" s="580" t="s">
        <v>2242</v>
      </c>
      <c r="Q120" s="580" t="s">
        <v>2329</v>
      </c>
      <c r="R120" s="580"/>
      <c r="S120" s="580" t="s">
        <v>2330</v>
      </c>
      <c r="T120" s="580" t="s">
        <v>2331</v>
      </c>
    </row>
    <row r="121" spans="2:20" x14ac:dyDescent="0.2">
      <c r="B121" s="580" t="s">
        <v>2234</v>
      </c>
      <c r="C121" s="580" t="s">
        <v>2235</v>
      </c>
      <c r="D121" s="580" t="s">
        <v>2236</v>
      </c>
      <c r="E121" s="580" t="s">
        <v>2352</v>
      </c>
      <c r="F121" s="580" t="s">
        <v>2348</v>
      </c>
      <c r="G121" s="580" t="s">
        <v>2326</v>
      </c>
      <c r="H121" s="580" t="s">
        <v>1722</v>
      </c>
      <c r="I121" s="580" t="s">
        <v>2349</v>
      </c>
      <c r="J121" s="580" t="s">
        <v>2328</v>
      </c>
      <c r="K121" s="581">
        <v>0.36</v>
      </c>
      <c r="L121" s="580"/>
      <c r="M121" s="580"/>
      <c r="N121" s="580"/>
      <c r="O121" s="580" t="s">
        <v>2241</v>
      </c>
      <c r="P121" s="580" t="s">
        <v>2242</v>
      </c>
      <c r="Q121" s="580" t="s">
        <v>2329</v>
      </c>
      <c r="R121" s="580"/>
      <c r="S121" s="580" t="s">
        <v>2330</v>
      </c>
      <c r="T121" s="580" t="s">
        <v>2331</v>
      </c>
    </row>
    <row r="122" spans="2:20" x14ac:dyDescent="0.2">
      <c r="B122" s="580" t="s">
        <v>2234</v>
      </c>
      <c r="C122" s="580" t="s">
        <v>2235</v>
      </c>
      <c r="D122" s="580" t="s">
        <v>2236</v>
      </c>
      <c r="E122" s="580" t="s">
        <v>2352</v>
      </c>
      <c r="F122" s="580" t="s">
        <v>2348</v>
      </c>
      <c r="G122" s="580" t="s">
        <v>2326</v>
      </c>
      <c r="H122" s="580" t="s">
        <v>1722</v>
      </c>
      <c r="I122" s="580" t="s">
        <v>2349</v>
      </c>
      <c r="J122" s="580" t="s">
        <v>2332</v>
      </c>
      <c r="K122" s="581">
        <v>0.36</v>
      </c>
      <c r="L122" s="580"/>
      <c r="M122" s="580"/>
      <c r="N122" s="580"/>
      <c r="O122" s="580" t="s">
        <v>2241</v>
      </c>
      <c r="P122" s="580" t="s">
        <v>2242</v>
      </c>
      <c r="Q122" s="580" t="s">
        <v>2329</v>
      </c>
      <c r="R122" s="580"/>
      <c r="S122" s="580" t="s">
        <v>2330</v>
      </c>
      <c r="T122" s="580" t="s">
        <v>2331</v>
      </c>
    </row>
    <row r="123" spans="2:20" x14ac:dyDescent="0.2">
      <c r="B123" s="580" t="s">
        <v>2234</v>
      </c>
      <c r="C123" s="580" t="s">
        <v>2235</v>
      </c>
      <c r="D123" s="580" t="s">
        <v>2236</v>
      </c>
      <c r="E123" s="580" t="s">
        <v>2353</v>
      </c>
      <c r="F123" s="580" t="s">
        <v>2354</v>
      </c>
      <c r="G123" s="580" t="s">
        <v>2326</v>
      </c>
      <c r="H123" s="580" t="s">
        <v>2355</v>
      </c>
      <c r="I123" s="580" t="s">
        <v>2356</v>
      </c>
      <c r="J123" s="580"/>
      <c r="K123" s="581">
        <v>0.2</v>
      </c>
      <c r="L123" s="580"/>
      <c r="M123" s="580"/>
      <c r="N123" s="580"/>
      <c r="O123" s="580" t="s">
        <v>2241</v>
      </c>
      <c r="P123" s="580" t="s">
        <v>2242</v>
      </c>
      <c r="Q123" s="580" t="s">
        <v>2329</v>
      </c>
      <c r="R123" s="580" t="s">
        <v>2269</v>
      </c>
      <c r="S123" s="580" t="s">
        <v>2357</v>
      </c>
      <c r="T123" s="580" t="s">
        <v>2331</v>
      </c>
    </row>
    <row r="124" spans="2:20" x14ac:dyDescent="0.2">
      <c r="B124" s="580" t="s">
        <v>2234</v>
      </c>
      <c r="C124" s="580" t="s">
        <v>2235</v>
      </c>
      <c r="D124" s="580" t="s">
        <v>2236</v>
      </c>
      <c r="E124" s="580" t="s">
        <v>2358</v>
      </c>
      <c r="F124" s="580" t="s">
        <v>2348</v>
      </c>
      <c r="G124" s="580" t="s">
        <v>2326</v>
      </c>
      <c r="H124" s="580" t="s">
        <v>1722</v>
      </c>
      <c r="I124" s="580" t="s">
        <v>2349</v>
      </c>
      <c r="J124" s="580" t="s">
        <v>2332</v>
      </c>
      <c r="K124" s="581">
        <v>0.36</v>
      </c>
      <c r="L124" s="580"/>
      <c r="M124" s="580"/>
      <c r="N124" s="580"/>
      <c r="O124" s="580" t="s">
        <v>2241</v>
      </c>
      <c r="P124" s="580" t="s">
        <v>2242</v>
      </c>
      <c r="Q124" s="580" t="s">
        <v>2329</v>
      </c>
      <c r="R124" s="580"/>
      <c r="S124" s="580" t="s">
        <v>2330</v>
      </c>
      <c r="T124" s="580" t="s">
        <v>2331</v>
      </c>
    </row>
    <row r="125" spans="2:20" x14ac:dyDescent="0.2">
      <c r="B125" s="580" t="s">
        <v>2234</v>
      </c>
      <c r="C125" s="580" t="s">
        <v>2235</v>
      </c>
      <c r="D125" s="580" t="s">
        <v>2236</v>
      </c>
      <c r="E125" s="580" t="s">
        <v>2358</v>
      </c>
      <c r="F125" s="580" t="s">
        <v>2348</v>
      </c>
      <c r="G125" s="580" t="s">
        <v>2326</v>
      </c>
      <c r="H125" s="580" t="s">
        <v>1722</v>
      </c>
      <c r="I125" s="580" t="s">
        <v>2349</v>
      </c>
      <c r="J125" s="580" t="s">
        <v>2328</v>
      </c>
      <c r="K125" s="581">
        <v>0.36</v>
      </c>
      <c r="L125" s="580"/>
      <c r="M125" s="580"/>
      <c r="N125" s="580"/>
      <c r="O125" s="580" t="s">
        <v>2241</v>
      </c>
      <c r="P125" s="580" t="s">
        <v>2242</v>
      </c>
      <c r="Q125" s="580" t="s">
        <v>2329</v>
      </c>
      <c r="R125" s="580"/>
      <c r="S125" s="580" t="s">
        <v>2330</v>
      </c>
      <c r="T125" s="580" t="s">
        <v>2331</v>
      </c>
    </row>
    <row r="126" spans="2:20" x14ac:dyDescent="0.2">
      <c r="B126" s="580" t="s">
        <v>2234</v>
      </c>
      <c r="C126" s="580" t="s">
        <v>2235</v>
      </c>
      <c r="D126" s="580" t="s">
        <v>2236</v>
      </c>
      <c r="E126" s="580" t="s">
        <v>2359</v>
      </c>
      <c r="F126" s="580" t="s">
        <v>2354</v>
      </c>
      <c r="G126" s="580" t="s">
        <v>2326</v>
      </c>
      <c r="H126" s="580" t="s">
        <v>2355</v>
      </c>
      <c r="I126" s="580" t="s">
        <v>2356</v>
      </c>
      <c r="J126" s="580"/>
      <c r="K126" s="581">
        <v>0.2</v>
      </c>
      <c r="L126" s="580"/>
      <c r="M126" s="580"/>
      <c r="N126" s="580"/>
      <c r="O126" s="580" t="s">
        <v>2241</v>
      </c>
      <c r="P126" s="580" t="s">
        <v>2242</v>
      </c>
      <c r="Q126" s="580" t="s">
        <v>2329</v>
      </c>
      <c r="R126" s="580" t="s">
        <v>2269</v>
      </c>
      <c r="S126" s="580" t="s">
        <v>2357</v>
      </c>
      <c r="T126" s="580" t="s">
        <v>2331</v>
      </c>
    </row>
    <row r="127" spans="2:20" x14ac:dyDescent="0.2">
      <c r="B127" s="580" t="s">
        <v>2234</v>
      </c>
      <c r="C127" s="580" t="s">
        <v>2235</v>
      </c>
      <c r="D127" s="580" t="s">
        <v>2236</v>
      </c>
      <c r="E127" s="580" t="s">
        <v>2360</v>
      </c>
      <c r="F127" s="580" t="s">
        <v>2361</v>
      </c>
      <c r="G127" s="580" t="s">
        <v>2326</v>
      </c>
      <c r="H127" s="580" t="s">
        <v>2268</v>
      </c>
      <c r="I127" s="580" t="s">
        <v>2343</v>
      </c>
      <c r="J127" s="580"/>
      <c r="K127" s="581">
        <v>0.21</v>
      </c>
      <c r="L127" s="580"/>
      <c r="M127" s="580"/>
      <c r="N127" s="580"/>
      <c r="O127" s="580" t="s">
        <v>2241</v>
      </c>
      <c r="P127" s="580" t="s">
        <v>2242</v>
      </c>
      <c r="Q127" s="580" t="s">
        <v>2329</v>
      </c>
      <c r="R127" s="580" t="s">
        <v>2269</v>
      </c>
      <c r="S127" s="580" t="s">
        <v>2330</v>
      </c>
      <c r="T127" s="580" t="s">
        <v>2331</v>
      </c>
    </row>
    <row r="128" spans="2:20" x14ac:dyDescent="0.2">
      <c r="B128" s="40" t="s">
        <v>2234</v>
      </c>
      <c r="C128" s="40" t="s">
        <v>2362</v>
      </c>
      <c r="D128" s="40" t="s">
        <v>2236</v>
      </c>
      <c r="E128" s="40" t="s">
        <v>2237</v>
      </c>
      <c r="F128" s="40" t="s">
        <v>2238</v>
      </c>
      <c r="G128" s="40" t="s">
        <v>2239</v>
      </c>
      <c r="H128" s="40" t="s">
        <v>1707</v>
      </c>
      <c r="I128" s="40" t="s">
        <v>2240</v>
      </c>
      <c r="J128" s="40"/>
      <c r="K128" s="583">
        <v>0.05</v>
      </c>
      <c r="L128" s="40"/>
      <c r="M128" s="40"/>
      <c r="N128" s="40"/>
      <c r="O128" s="40" t="s">
        <v>2241</v>
      </c>
      <c r="P128" s="40" t="s">
        <v>2242</v>
      </c>
      <c r="Q128" s="40" t="s">
        <v>2243</v>
      </c>
      <c r="R128" s="40"/>
      <c r="S128" s="40" t="s">
        <v>2244</v>
      </c>
      <c r="T128" s="40" t="s">
        <v>2245</v>
      </c>
    </row>
    <row r="129" spans="2:20" x14ac:dyDescent="0.2">
      <c r="B129" s="40" t="s">
        <v>2234</v>
      </c>
      <c r="C129" s="40" t="s">
        <v>2362</v>
      </c>
      <c r="D129" s="40" t="s">
        <v>2236</v>
      </c>
      <c r="E129" s="40" t="s">
        <v>2246</v>
      </c>
      <c r="F129" s="40" t="s">
        <v>2247</v>
      </c>
      <c r="G129" s="40" t="s">
        <v>2239</v>
      </c>
      <c r="H129" s="40" t="s">
        <v>2248</v>
      </c>
      <c r="I129" s="40" t="s">
        <v>2249</v>
      </c>
      <c r="J129" s="40"/>
      <c r="K129" s="583">
        <v>6.0000000000000001E-3</v>
      </c>
      <c r="L129" s="40"/>
      <c r="M129" s="40"/>
      <c r="N129" s="40"/>
      <c r="O129" s="40" t="s">
        <v>2241</v>
      </c>
      <c r="P129" s="40" t="s">
        <v>2242</v>
      </c>
      <c r="Q129" s="40" t="s">
        <v>2243</v>
      </c>
      <c r="R129" s="40"/>
      <c r="S129" s="40" t="s">
        <v>2250</v>
      </c>
      <c r="T129" s="40" t="s">
        <v>2245</v>
      </c>
    </row>
    <row r="130" spans="2:20" x14ac:dyDescent="0.2">
      <c r="B130" s="40" t="s">
        <v>2234</v>
      </c>
      <c r="C130" s="40" t="s">
        <v>2362</v>
      </c>
      <c r="D130" s="40" t="s">
        <v>2236</v>
      </c>
      <c r="E130" s="40" t="s">
        <v>2246</v>
      </c>
      <c r="F130" s="40" t="s">
        <v>2251</v>
      </c>
      <c r="G130" s="40" t="s">
        <v>2239</v>
      </c>
      <c r="H130" s="40" t="s">
        <v>2248</v>
      </c>
      <c r="I130" s="40" t="s">
        <v>2252</v>
      </c>
      <c r="J130" s="40"/>
      <c r="K130" s="583">
        <v>6.0000000000000001E-3</v>
      </c>
      <c r="L130" s="40"/>
      <c r="M130" s="40"/>
      <c r="N130" s="40"/>
      <c r="O130" s="40" t="s">
        <v>2241</v>
      </c>
      <c r="P130" s="40" t="s">
        <v>2242</v>
      </c>
      <c r="Q130" s="40" t="s">
        <v>2243</v>
      </c>
      <c r="R130" s="40"/>
      <c r="S130" s="40" t="s">
        <v>2250</v>
      </c>
      <c r="T130" s="40" t="s">
        <v>2245</v>
      </c>
    </row>
    <row r="131" spans="2:20" x14ac:dyDescent="0.2">
      <c r="B131" s="40" t="s">
        <v>2234</v>
      </c>
      <c r="C131" s="40" t="s">
        <v>2362</v>
      </c>
      <c r="D131" s="40" t="s">
        <v>2236</v>
      </c>
      <c r="E131" s="40" t="s">
        <v>2246</v>
      </c>
      <c r="F131" s="40" t="s">
        <v>2253</v>
      </c>
      <c r="G131" s="40" t="s">
        <v>2239</v>
      </c>
      <c r="H131" s="40" t="s">
        <v>2254</v>
      </c>
      <c r="I131" s="40" t="s">
        <v>2249</v>
      </c>
      <c r="J131" s="40"/>
      <c r="K131" s="583">
        <v>6.0000000000000001E-3</v>
      </c>
      <c r="L131" s="40"/>
      <c r="M131" s="40"/>
      <c r="N131" s="40"/>
      <c r="O131" s="40" t="s">
        <v>2241</v>
      </c>
      <c r="P131" s="40" t="s">
        <v>2242</v>
      </c>
      <c r="Q131" s="40" t="s">
        <v>2243</v>
      </c>
      <c r="R131" s="40"/>
      <c r="S131" s="40" t="s">
        <v>2250</v>
      </c>
      <c r="T131" s="40" t="s">
        <v>2245</v>
      </c>
    </row>
    <row r="132" spans="2:20" x14ac:dyDescent="0.2">
      <c r="B132" s="40" t="s">
        <v>2234</v>
      </c>
      <c r="C132" s="40" t="s">
        <v>2362</v>
      </c>
      <c r="D132" s="40" t="s">
        <v>2236</v>
      </c>
      <c r="E132" s="40" t="s">
        <v>2246</v>
      </c>
      <c r="F132" s="40" t="s">
        <v>2255</v>
      </c>
      <c r="G132" s="40" t="s">
        <v>2239</v>
      </c>
      <c r="H132" s="40" t="s">
        <v>2254</v>
      </c>
      <c r="I132" s="40" t="s">
        <v>2252</v>
      </c>
      <c r="J132" s="40"/>
      <c r="K132" s="583">
        <v>6.0000000000000001E-3</v>
      </c>
      <c r="L132" s="40"/>
      <c r="M132" s="40"/>
      <c r="N132" s="40"/>
      <c r="O132" s="40" t="s">
        <v>2241</v>
      </c>
      <c r="P132" s="40" t="s">
        <v>2242</v>
      </c>
      <c r="Q132" s="40" t="s">
        <v>2243</v>
      </c>
      <c r="R132" s="40"/>
      <c r="S132" s="40" t="s">
        <v>2363</v>
      </c>
      <c r="T132" s="40" t="s">
        <v>2245</v>
      </c>
    </row>
    <row r="133" spans="2:20" x14ac:dyDescent="0.2">
      <c r="B133" s="583" t="s">
        <v>2234</v>
      </c>
      <c r="C133" s="583" t="s">
        <v>2362</v>
      </c>
      <c r="D133" s="583" t="s">
        <v>2236</v>
      </c>
      <c r="E133" s="583" t="s">
        <v>2257</v>
      </c>
      <c r="F133" s="583" t="s">
        <v>2258</v>
      </c>
      <c r="G133" s="583" t="s">
        <v>2259</v>
      </c>
      <c r="H133" s="583" t="s">
        <v>2260</v>
      </c>
      <c r="I133" s="583" t="s">
        <v>2236</v>
      </c>
      <c r="J133" s="583"/>
      <c r="K133" s="583">
        <v>0.3</v>
      </c>
      <c r="L133" s="40"/>
      <c r="M133" s="40"/>
      <c r="N133" s="40"/>
      <c r="O133" s="40" t="s">
        <v>2241</v>
      </c>
      <c r="P133" s="40" t="s">
        <v>2242</v>
      </c>
      <c r="Q133" s="40" t="s">
        <v>2243</v>
      </c>
      <c r="R133" s="40"/>
      <c r="S133" s="40" t="s">
        <v>2261</v>
      </c>
      <c r="T133" s="40" t="s">
        <v>2245</v>
      </c>
    </row>
    <row r="134" spans="2:20" x14ac:dyDescent="0.2">
      <c r="B134" s="40" t="s">
        <v>2234</v>
      </c>
      <c r="C134" s="40" t="s">
        <v>2362</v>
      </c>
      <c r="D134" s="40" t="s">
        <v>2236</v>
      </c>
      <c r="E134" s="40" t="s">
        <v>2257</v>
      </c>
      <c r="F134" s="40" t="s">
        <v>2262</v>
      </c>
      <c r="G134" s="40" t="s">
        <v>2239</v>
      </c>
      <c r="H134" s="40" t="s">
        <v>2263</v>
      </c>
      <c r="I134" s="40" t="s">
        <v>2264</v>
      </c>
      <c r="J134" s="40"/>
      <c r="K134" s="583">
        <v>0.28999999999999998</v>
      </c>
      <c r="L134" s="40"/>
      <c r="M134" s="40"/>
      <c r="N134" s="40"/>
      <c r="O134" s="40" t="s">
        <v>2241</v>
      </c>
      <c r="P134" s="40" t="s">
        <v>2242</v>
      </c>
      <c r="Q134" s="40" t="s">
        <v>2243</v>
      </c>
      <c r="R134" s="40"/>
      <c r="S134" s="40" t="s">
        <v>2265</v>
      </c>
      <c r="T134" s="40" t="s">
        <v>2245</v>
      </c>
    </row>
    <row r="135" spans="2:20" x14ac:dyDescent="0.2">
      <c r="B135" s="40" t="s">
        <v>2234</v>
      </c>
      <c r="C135" s="40" t="s">
        <v>2362</v>
      </c>
      <c r="D135" s="40" t="s">
        <v>2236</v>
      </c>
      <c r="E135" s="40" t="s">
        <v>2266</v>
      </c>
      <c r="F135" s="40" t="s">
        <v>2267</v>
      </c>
      <c r="G135" s="40" t="s">
        <v>2239</v>
      </c>
      <c r="H135" s="40" t="s">
        <v>2268</v>
      </c>
      <c r="I135" s="40" t="s">
        <v>2269</v>
      </c>
      <c r="J135" s="40"/>
      <c r="K135" s="583">
        <v>0.08</v>
      </c>
      <c r="L135" s="40"/>
      <c r="M135" s="40"/>
      <c r="N135" s="40"/>
      <c r="O135" s="40" t="s">
        <v>2241</v>
      </c>
      <c r="P135" s="40" t="s">
        <v>2242</v>
      </c>
      <c r="Q135" s="40" t="s">
        <v>2243</v>
      </c>
      <c r="R135" s="40"/>
      <c r="S135" s="40" t="s">
        <v>2270</v>
      </c>
      <c r="T135" s="40" t="s">
        <v>2245</v>
      </c>
    </row>
    <row r="136" spans="2:20" x14ac:dyDescent="0.2">
      <c r="B136" s="40" t="s">
        <v>2234</v>
      </c>
      <c r="C136" s="40" t="s">
        <v>2362</v>
      </c>
      <c r="D136" s="40" t="s">
        <v>2236</v>
      </c>
      <c r="E136" s="40" t="s">
        <v>2271</v>
      </c>
      <c r="F136" s="40" t="s">
        <v>2258</v>
      </c>
      <c r="G136" s="40" t="s">
        <v>2259</v>
      </c>
      <c r="H136" s="40" t="s">
        <v>2260</v>
      </c>
      <c r="I136" s="40" t="s">
        <v>2236</v>
      </c>
      <c r="J136" s="40"/>
      <c r="K136" s="583">
        <v>0.3</v>
      </c>
      <c r="L136" s="40"/>
      <c r="M136" s="40"/>
      <c r="N136" s="40"/>
      <c r="O136" s="40" t="s">
        <v>2241</v>
      </c>
      <c r="P136" s="40" t="s">
        <v>2242</v>
      </c>
      <c r="Q136" s="40" t="s">
        <v>2243</v>
      </c>
      <c r="R136" s="40"/>
      <c r="S136" s="40" t="s">
        <v>2261</v>
      </c>
      <c r="T136" s="40" t="s">
        <v>2245</v>
      </c>
    </row>
    <row r="137" spans="2:20" x14ac:dyDescent="0.2">
      <c r="B137" s="40" t="s">
        <v>2234</v>
      </c>
      <c r="C137" s="40" t="s">
        <v>2362</v>
      </c>
      <c r="D137" s="40" t="s">
        <v>2236</v>
      </c>
      <c r="E137" s="40" t="s">
        <v>2271</v>
      </c>
      <c r="F137" s="40" t="s">
        <v>2267</v>
      </c>
      <c r="G137" s="40" t="s">
        <v>2239</v>
      </c>
      <c r="H137" s="40" t="s">
        <v>2268</v>
      </c>
      <c r="I137" s="40" t="s">
        <v>2269</v>
      </c>
      <c r="J137" s="40"/>
      <c r="K137" s="583">
        <v>0.08</v>
      </c>
      <c r="L137" s="40"/>
      <c r="M137" s="40"/>
      <c r="N137" s="40"/>
      <c r="O137" s="40" t="s">
        <v>2241</v>
      </c>
      <c r="P137" s="40" t="s">
        <v>2242</v>
      </c>
      <c r="Q137" s="40" t="s">
        <v>2243</v>
      </c>
      <c r="R137" s="40"/>
      <c r="S137" s="40" t="s">
        <v>2270</v>
      </c>
      <c r="T137" s="40" t="s">
        <v>2245</v>
      </c>
    </row>
    <row r="138" spans="2:20" x14ac:dyDescent="0.2">
      <c r="B138" s="40" t="s">
        <v>2234</v>
      </c>
      <c r="C138" s="40" t="s">
        <v>2362</v>
      </c>
      <c r="D138" s="40" t="s">
        <v>2236</v>
      </c>
      <c r="E138" s="40" t="s">
        <v>2272</v>
      </c>
      <c r="F138" s="40" t="s">
        <v>2273</v>
      </c>
      <c r="G138" s="40" t="s">
        <v>2239</v>
      </c>
      <c r="H138" s="40" t="s">
        <v>1483</v>
      </c>
      <c r="I138" s="40" t="s">
        <v>2269</v>
      </c>
      <c r="J138" s="40"/>
      <c r="K138" s="583">
        <v>0.06</v>
      </c>
      <c r="L138" s="40"/>
      <c r="M138" s="40"/>
      <c r="N138" s="40"/>
      <c r="O138" s="40" t="s">
        <v>2241</v>
      </c>
      <c r="P138" s="40" t="s">
        <v>2242</v>
      </c>
      <c r="Q138" s="40" t="s">
        <v>2243</v>
      </c>
      <c r="R138" s="40"/>
      <c r="S138" s="40" t="s">
        <v>2274</v>
      </c>
      <c r="T138" s="40" t="s">
        <v>2245</v>
      </c>
    </row>
    <row r="139" spans="2:20" x14ac:dyDescent="0.2">
      <c r="B139" s="40" t="s">
        <v>2234</v>
      </c>
      <c r="C139" s="40" t="s">
        <v>2362</v>
      </c>
      <c r="D139" s="40" t="s">
        <v>2236</v>
      </c>
      <c r="E139" s="40" t="s">
        <v>2275</v>
      </c>
      <c r="F139" s="40" t="s">
        <v>2273</v>
      </c>
      <c r="G139" s="40" t="s">
        <v>2239</v>
      </c>
      <c r="H139" s="40" t="s">
        <v>1483</v>
      </c>
      <c r="I139" s="40" t="s">
        <v>2269</v>
      </c>
      <c r="J139" s="40"/>
      <c r="K139" s="583">
        <v>0.06</v>
      </c>
      <c r="L139" s="40"/>
      <c r="M139" s="40"/>
      <c r="N139" s="40"/>
      <c r="O139" s="40" t="s">
        <v>2241</v>
      </c>
      <c r="P139" s="40" t="s">
        <v>2242</v>
      </c>
      <c r="Q139" s="40" t="s">
        <v>2243</v>
      </c>
      <c r="R139" s="40"/>
      <c r="S139" s="40" t="s">
        <v>2274</v>
      </c>
      <c r="T139" s="40" t="s">
        <v>2245</v>
      </c>
    </row>
    <row r="140" spans="2:20" x14ac:dyDescent="0.2">
      <c r="B140" s="40" t="s">
        <v>2234</v>
      </c>
      <c r="C140" s="40" t="s">
        <v>2362</v>
      </c>
      <c r="D140" s="40" t="s">
        <v>2236</v>
      </c>
      <c r="E140" s="40" t="s">
        <v>2276</v>
      </c>
      <c r="F140" s="40" t="s">
        <v>2273</v>
      </c>
      <c r="G140" s="40" t="s">
        <v>2239</v>
      </c>
      <c r="H140" s="40" t="s">
        <v>1483</v>
      </c>
      <c r="I140" s="40" t="s">
        <v>2269</v>
      </c>
      <c r="J140" s="40"/>
      <c r="K140" s="583">
        <v>0.06</v>
      </c>
      <c r="L140" s="40"/>
      <c r="M140" s="40"/>
      <c r="N140" s="40"/>
      <c r="O140" s="40" t="s">
        <v>2241</v>
      </c>
      <c r="P140" s="40" t="s">
        <v>2242</v>
      </c>
      <c r="Q140" s="40" t="s">
        <v>2243</v>
      </c>
      <c r="R140" s="40"/>
      <c r="S140" s="40" t="s">
        <v>2274</v>
      </c>
      <c r="T140" s="40" t="s">
        <v>2245</v>
      </c>
    </row>
    <row r="141" spans="2:20" x14ac:dyDescent="0.2">
      <c r="B141" s="40" t="s">
        <v>2234</v>
      </c>
      <c r="C141" s="40" t="s">
        <v>2362</v>
      </c>
      <c r="D141" s="40" t="s">
        <v>2236</v>
      </c>
      <c r="E141" s="40" t="s">
        <v>2277</v>
      </c>
      <c r="F141" s="40" t="s">
        <v>2238</v>
      </c>
      <c r="G141" s="40" t="s">
        <v>2239</v>
      </c>
      <c r="H141" s="40" t="s">
        <v>1707</v>
      </c>
      <c r="I141" s="40" t="s">
        <v>2240</v>
      </c>
      <c r="J141" s="40"/>
      <c r="K141" s="583">
        <v>0.05</v>
      </c>
      <c r="L141" s="40"/>
      <c r="M141" s="40"/>
      <c r="N141" s="40"/>
      <c r="O141" s="40" t="s">
        <v>2241</v>
      </c>
      <c r="P141" s="40" t="s">
        <v>2242</v>
      </c>
      <c r="Q141" s="40" t="s">
        <v>2243</v>
      </c>
      <c r="R141" s="40"/>
      <c r="S141" s="40" t="s">
        <v>2244</v>
      </c>
      <c r="T141" s="40" t="s">
        <v>2245</v>
      </c>
    </row>
    <row r="142" spans="2:20" x14ac:dyDescent="0.2">
      <c r="B142" s="40" t="s">
        <v>2234</v>
      </c>
      <c r="C142" s="40" t="s">
        <v>2362</v>
      </c>
      <c r="D142" s="40" t="s">
        <v>2236</v>
      </c>
      <c r="E142" s="40" t="s">
        <v>2278</v>
      </c>
      <c r="F142" s="40" t="s">
        <v>2238</v>
      </c>
      <c r="G142" s="40" t="s">
        <v>2239</v>
      </c>
      <c r="H142" s="40" t="s">
        <v>1707</v>
      </c>
      <c r="I142" s="40" t="s">
        <v>2240</v>
      </c>
      <c r="J142" s="40"/>
      <c r="K142" s="583">
        <v>0.05</v>
      </c>
      <c r="L142" s="40"/>
      <c r="M142" s="40"/>
      <c r="N142" s="40"/>
      <c r="O142" s="40" t="s">
        <v>2241</v>
      </c>
      <c r="P142" s="40" t="s">
        <v>2242</v>
      </c>
      <c r="Q142" s="40" t="s">
        <v>2243</v>
      </c>
      <c r="R142" s="40"/>
      <c r="S142" s="40" t="s">
        <v>2244</v>
      </c>
      <c r="T142" s="40" t="s">
        <v>2245</v>
      </c>
    </row>
    <row r="143" spans="2:20" x14ac:dyDescent="0.2">
      <c r="B143" s="40" t="s">
        <v>2234</v>
      </c>
      <c r="C143" s="40" t="s">
        <v>2362</v>
      </c>
      <c r="D143" s="40" t="s">
        <v>2236</v>
      </c>
      <c r="E143" s="40" t="s">
        <v>2279</v>
      </c>
      <c r="F143" s="40" t="s">
        <v>2238</v>
      </c>
      <c r="G143" s="40" t="s">
        <v>2239</v>
      </c>
      <c r="H143" s="40" t="s">
        <v>1707</v>
      </c>
      <c r="I143" s="40" t="s">
        <v>2240</v>
      </c>
      <c r="J143" s="40"/>
      <c r="K143" s="583">
        <v>0.05</v>
      </c>
      <c r="L143" s="40"/>
      <c r="M143" s="40"/>
      <c r="N143" s="40"/>
      <c r="O143" s="40" t="s">
        <v>2241</v>
      </c>
      <c r="P143" s="40" t="s">
        <v>2242</v>
      </c>
      <c r="Q143" s="40" t="s">
        <v>2243</v>
      </c>
      <c r="R143" s="40"/>
      <c r="S143" s="40" t="s">
        <v>2244</v>
      </c>
      <c r="T143" s="40" t="s">
        <v>2245</v>
      </c>
    </row>
    <row r="144" spans="2:20" x14ac:dyDescent="0.2">
      <c r="B144" s="40" t="s">
        <v>2234</v>
      </c>
      <c r="C144" s="40" t="s">
        <v>2362</v>
      </c>
      <c r="D144" s="40" t="s">
        <v>2236</v>
      </c>
      <c r="E144" s="40" t="s">
        <v>2280</v>
      </c>
      <c r="F144" s="40" t="s">
        <v>2238</v>
      </c>
      <c r="G144" s="40" t="s">
        <v>2239</v>
      </c>
      <c r="H144" s="40" t="s">
        <v>1707</v>
      </c>
      <c r="I144" s="40" t="s">
        <v>2240</v>
      </c>
      <c r="J144" s="40"/>
      <c r="K144" s="583">
        <v>0.05</v>
      </c>
      <c r="L144" s="40"/>
      <c r="M144" s="40"/>
      <c r="N144" s="40"/>
      <c r="O144" s="40" t="s">
        <v>2241</v>
      </c>
      <c r="P144" s="40" t="s">
        <v>2242</v>
      </c>
      <c r="Q144" s="40" t="s">
        <v>2243</v>
      </c>
      <c r="R144" s="40"/>
      <c r="S144" s="40" t="s">
        <v>2244</v>
      </c>
      <c r="T144" s="40" t="s">
        <v>2245</v>
      </c>
    </row>
    <row r="145" spans="2:20" x14ac:dyDescent="0.2">
      <c r="B145" s="40" t="s">
        <v>2234</v>
      </c>
      <c r="C145" s="40" t="s">
        <v>2362</v>
      </c>
      <c r="D145" s="40" t="s">
        <v>2236</v>
      </c>
      <c r="E145" s="40" t="s">
        <v>2281</v>
      </c>
      <c r="F145" s="40" t="s">
        <v>2282</v>
      </c>
      <c r="G145" s="40" t="s">
        <v>2239</v>
      </c>
      <c r="H145" s="40" t="s">
        <v>2248</v>
      </c>
      <c r="I145" s="40" t="s">
        <v>2240</v>
      </c>
      <c r="J145" s="40"/>
      <c r="K145" s="583">
        <v>0.05</v>
      </c>
      <c r="L145" s="40"/>
      <c r="M145" s="40"/>
      <c r="N145" s="40"/>
      <c r="O145" s="40" t="s">
        <v>2241</v>
      </c>
      <c r="P145" s="40" t="s">
        <v>2242</v>
      </c>
      <c r="Q145" s="40" t="s">
        <v>2243</v>
      </c>
      <c r="R145" s="40"/>
      <c r="S145" s="40" t="s">
        <v>2364</v>
      </c>
      <c r="T145" s="40" t="s">
        <v>2245</v>
      </c>
    </row>
    <row r="146" spans="2:20" x14ac:dyDescent="0.2">
      <c r="B146" s="40" t="s">
        <v>2234</v>
      </c>
      <c r="C146" s="40" t="s">
        <v>2362</v>
      </c>
      <c r="D146" s="40" t="s">
        <v>2236</v>
      </c>
      <c r="E146" s="40" t="s">
        <v>2284</v>
      </c>
      <c r="F146" s="40" t="s">
        <v>2282</v>
      </c>
      <c r="G146" s="40" t="s">
        <v>2239</v>
      </c>
      <c r="H146" s="40" t="s">
        <v>2248</v>
      </c>
      <c r="I146" s="40" t="s">
        <v>2240</v>
      </c>
      <c r="J146" s="40"/>
      <c r="K146" s="583">
        <v>0.05</v>
      </c>
      <c r="L146" s="40"/>
      <c r="M146" s="40"/>
      <c r="N146" s="40"/>
      <c r="O146" s="40" t="s">
        <v>2241</v>
      </c>
      <c r="P146" s="40" t="s">
        <v>2242</v>
      </c>
      <c r="Q146" s="40" t="s">
        <v>2243</v>
      </c>
      <c r="R146" s="40"/>
      <c r="S146" s="40" t="s">
        <v>2364</v>
      </c>
      <c r="T146" s="40" t="s">
        <v>2245</v>
      </c>
    </row>
    <row r="147" spans="2:20" x14ac:dyDescent="0.2">
      <c r="B147" s="40" t="s">
        <v>2234</v>
      </c>
      <c r="C147" s="40" t="s">
        <v>2362</v>
      </c>
      <c r="D147" s="40" t="s">
        <v>2236</v>
      </c>
      <c r="E147" s="40" t="s">
        <v>2284</v>
      </c>
      <c r="F147" s="40" t="s">
        <v>2285</v>
      </c>
      <c r="G147" s="40" t="s">
        <v>2239</v>
      </c>
      <c r="H147" s="40" t="s">
        <v>2254</v>
      </c>
      <c r="I147" s="40" t="s">
        <v>2286</v>
      </c>
      <c r="J147" s="40"/>
      <c r="K147" s="583">
        <v>0.2</v>
      </c>
      <c r="L147" s="40"/>
      <c r="M147" s="40"/>
      <c r="N147" s="40"/>
      <c r="O147" s="40" t="s">
        <v>2241</v>
      </c>
      <c r="P147" s="40" t="s">
        <v>2287</v>
      </c>
      <c r="Q147" s="40" t="s">
        <v>2288</v>
      </c>
      <c r="R147" s="40"/>
      <c r="S147" s="40"/>
      <c r="T147" s="40" t="s">
        <v>2289</v>
      </c>
    </row>
    <row r="148" spans="2:20" x14ac:dyDescent="0.2">
      <c r="B148" s="40" t="s">
        <v>2234</v>
      </c>
      <c r="C148" s="40" t="s">
        <v>2362</v>
      </c>
      <c r="D148" s="40" t="s">
        <v>2236</v>
      </c>
      <c r="E148" s="40" t="s">
        <v>2290</v>
      </c>
      <c r="F148" s="40" t="s">
        <v>2282</v>
      </c>
      <c r="G148" s="40" t="s">
        <v>2239</v>
      </c>
      <c r="H148" s="40" t="s">
        <v>2248</v>
      </c>
      <c r="I148" s="40" t="s">
        <v>2240</v>
      </c>
      <c r="J148" s="40"/>
      <c r="K148" s="583">
        <v>0.05</v>
      </c>
      <c r="L148" s="40"/>
      <c r="M148" s="40"/>
      <c r="N148" s="40"/>
      <c r="O148" s="40" t="s">
        <v>2241</v>
      </c>
      <c r="P148" s="40" t="s">
        <v>2242</v>
      </c>
      <c r="Q148" s="40" t="s">
        <v>2243</v>
      </c>
      <c r="R148" s="40"/>
      <c r="S148" s="40" t="s">
        <v>2364</v>
      </c>
      <c r="T148" s="40" t="s">
        <v>2245</v>
      </c>
    </row>
    <row r="149" spans="2:20" x14ac:dyDescent="0.2">
      <c r="B149" s="40" t="s">
        <v>2234</v>
      </c>
      <c r="C149" s="40" t="s">
        <v>2362</v>
      </c>
      <c r="D149" s="40" t="s">
        <v>2236</v>
      </c>
      <c r="E149" s="40" t="s">
        <v>2290</v>
      </c>
      <c r="F149" s="40" t="s">
        <v>2285</v>
      </c>
      <c r="G149" s="40" t="s">
        <v>2239</v>
      </c>
      <c r="H149" s="40" t="s">
        <v>2254</v>
      </c>
      <c r="I149" s="40" t="s">
        <v>2286</v>
      </c>
      <c r="J149" s="40"/>
      <c r="K149" s="583">
        <v>0.2</v>
      </c>
      <c r="L149" s="40"/>
      <c r="M149" s="40"/>
      <c r="N149" s="40"/>
      <c r="O149" s="40" t="s">
        <v>2241</v>
      </c>
      <c r="P149" s="40" t="s">
        <v>2287</v>
      </c>
      <c r="Q149" s="40" t="s">
        <v>2288</v>
      </c>
      <c r="R149" s="40"/>
      <c r="S149" s="40"/>
      <c r="T149" s="40" t="s">
        <v>2289</v>
      </c>
    </row>
    <row r="150" spans="2:20" x14ac:dyDescent="0.2">
      <c r="B150" s="40" t="s">
        <v>2234</v>
      </c>
      <c r="C150" s="40" t="s">
        <v>2362</v>
      </c>
      <c r="D150" s="40" t="s">
        <v>2236</v>
      </c>
      <c r="E150" s="40" t="s">
        <v>2291</v>
      </c>
      <c r="F150" s="40" t="s">
        <v>2282</v>
      </c>
      <c r="G150" s="40" t="s">
        <v>2239</v>
      </c>
      <c r="H150" s="40" t="s">
        <v>2248</v>
      </c>
      <c r="I150" s="40" t="s">
        <v>2240</v>
      </c>
      <c r="J150" s="40"/>
      <c r="K150" s="583">
        <v>0.05</v>
      </c>
      <c r="L150" s="40"/>
      <c r="M150" s="40"/>
      <c r="N150" s="40"/>
      <c r="O150" s="40" t="s">
        <v>2241</v>
      </c>
      <c r="P150" s="40" t="s">
        <v>2242</v>
      </c>
      <c r="Q150" s="40" t="s">
        <v>2243</v>
      </c>
      <c r="R150" s="40"/>
      <c r="S150" s="40" t="s">
        <v>2364</v>
      </c>
      <c r="T150" s="40" t="s">
        <v>2245</v>
      </c>
    </row>
    <row r="151" spans="2:20" x14ac:dyDescent="0.2">
      <c r="B151" s="40" t="s">
        <v>2234</v>
      </c>
      <c r="C151" s="40" t="s">
        <v>2362</v>
      </c>
      <c r="D151" s="40" t="s">
        <v>2236</v>
      </c>
      <c r="E151" s="40" t="s">
        <v>2291</v>
      </c>
      <c r="F151" s="40" t="s">
        <v>2285</v>
      </c>
      <c r="G151" s="40" t="s">
        <v>2239</v>
      </c>
      <c r="H151" s="40" t="s">
        <v>2254</v>
      </c>
      <c r="I151" s="40" t="s">
        <v>2286</v>
      </c>
      <c r="J151" s="40"/>
      <c r="K151" s="583">
        <v>0.2</v>
      </c>
      <c r="L151" s="40"/>
      <c r="M151" s="40"/>
      <c r="N151" s="40"/>
      <c r="O151" s="40" t="s">
        <v>2241</v>
      </c>
      <c r="P151" s="40" t="s">
        <v>2287</v>
      </c>
      <c r="Q151" s="40" t="s">
        <v>2288</v>
      </c>
      <c r="R151" s="40"/>
      <c r="S151" s="40"/>
      <c r="T151" s="40" t="s">
        <v>2289</v>
      </c>
    </row>
    <row r="152" spans="2:20" x14ac:dyDescent="0.2">
      <c r="B152" s="40" t="s">
        <v>2234</v>
      </c>
      <c r="C152" s="40" t="s">
        <v>2362</v>
      </c>
      <c r="D152" s="40" t="s">
        <v>2236</v>
      </c>
      <c r="E152" s="40" t="s">
        <v>2292</v>
      </c>
      <c r="F152" s="40" t="s">
        <v>2293</v>
      </c>
      <c r="G152" s="40" t="s">
        <v>2294</v>
      </c>
      <c r="H152" s="40" t="s">
        <v>2260</v>
      </c>
      <c r="I152" s="40" t="s">
        <v>2236</v>
      </c>
      <c r="J152" s="40"/>
      <c r="K152" s="583">
        <v>0.3</v>
      </c>
      <c r="L152" s="40"/>
      <c r="M152" s="40"/>
      <c r="N152" s="40"/>
      <c r="O152" s="40" t="s">
        <v>2241</v>
      </c>
      <c r="P152" s="40" t="s">
        <v>2242</v>
      </c>
      <c r="Q152" s="40" t="s">
        <v>2243</v>
      </c>
      <c r="R152" s="40"/>
      <c r="S152" s="40" t="s">
        <v>2261</v>
      </c>
      <c r="T152" s="40" t="s">
        <v>2245</v>
      </c>
    </row>
    <row r="153" spans="2:20" x14ac:dyDescent="0.2">
      <c r="B153" s="40" t="s">
        <v>2234</v>
      </c>
      <c r="C153" s="40" t="s">
        <v>2362</v>
      </c>
      <c r="D153" s="40" t="s">
        <v>2236</v>
      </c>
      <c r="E153" s="40" t="s">
        <v>2292</v>
      </c>
      <c r="F153" s="40" t="s">
        <v>2262</v>
      </c>
      <c r="G153" s="40" t="s">
        <v>2239</v>
      </c>
      <c r="H153" s="40" t="s">
        <v>2263</v>
      </c>
      <c r="I153" s="40" t="s">
        <v>2264</v>
      </c>
      <c r="J153" s="40"/>
      <c r="K153" s="583">
        <v>0.28999999999999998</v>
      </c>
      <c r="L153" s="40"/>
      <c r="M153" s="40"/>
      <c r="N153" s="40"/>
      <c r="O153" s="40" t="s">
        <v>2241</v>
      </c>
      <c r="P153" s="40" t="s">
        <v>2242</v>
      </c>
      <c r="Q153" s="40" t="s">
        <v>2243</v>
      </c>
      <c r="R153" s="40"/>
      <c r="S153" s="40" t="s">
        <v>2265</v>
      </c>
      <c r="T153" s="40" t="s">
        <v>2245</v>
      </c>
    </row>
    <row r="154" spans="2:20" x14ac:dyDescent="0.2">
      <c r="B154" s="40" t="s">
        <v>2234</v>
      </c>
      <c r="C154" s="40" t="s">
        <v>2362</v>
      </c>
      <c r="D154" s="40" t="s">
        <v>2236</v>
      </c>
      <c r="E154" s="40" t="s">
        <v>2295</v>
      </c>
      <c r="F154" s="40" t="s">
        <v>2293</v>
      </c>
      <c r="G154" s="40" t="s">
        <v>2294</v>
      </c>
      <c r="H154" s="40" t="s">
        <v>2260</v>
      </c>
      <c r="I154" s="40" t="s">
        <v>2236</v>
      </c>
      <c r="J154" s="40"/>
      <c r="K154" s="583">
        <v>0.3</v>
      </c>
      <c r="L154" s="40"/>
      <c r="M154" s="40"/>
      <c r="N154" s="40"/>
      <c r="O154" s="40" t="s">
        <v>2241</v>
      </c>
      <c r="P154" s="40" t="s">
        <v>2242</v>
      </c>
      <c r="Q154" s="40" t="s">
        <v>2243</v>
      </c>
      <c r="R154" s="40"/>
      <c r="S154" s="40" t="s">
        <v>2261</v>
      </c>
      <c r="T154" s="40" t="s">
        <v>2245</v>
      </c>
    </row>
    <row r="155" spans="2:20" x14ac:dyDescent="0.2">
      <c r="B155" s="40" t="s">
        <v>2234</v>
      </c>
      <c r="C155" s="40" t="s">
        <v>2362</v>
      </c>
      <c r="D155" s="40" t="s">
        <v>2236</v>
      </c>
      <c r="E155" s="40" t="s">
        <v>2296</v>
      </c>
      <c r="F155" s="40" t="s">
        <v>2293</v>
      </c>
      <c r="G155" s="40" t="s">
        <v>2294</v>
      </c>
      <c r="H155" s="40" t="s">
        <v>2260</v>
      </c>
      <c r="I155" s="40" t="s">
        <v>2236</v>
      </c>
      <c r="J155" s="40"/>
      <c r="K155" s="583">
        <v>0.3</v>
      </c>
      <c r="L155" s="40"/>
      <c r="M155" s="40"/>
      <c r="N155" s="40"/>
      <c r="O155" s="40" t="s">
        <v>2241</v>
      </c>
      <c r="P155" s="40" t="s">
        <v>2242</v>
      </c>
      <c r="Q155" s="40" t="s">
        <v>2243</v>
      </c>
      <c r="R155" s="40"/>
      <c r="S155" s="40" t="s">
        <v>2261</v>
      </c>
      <c r="T155" s="40" t="s">
        <v>2245</v>
      </c>
    </row>
    <row r="156" spans="2:20" x14ac:dyDescent="0.2">
      <c r="B156" s="40" t="s">
        <v>2234</v>
      </c>
      <c r="C156" s="40" t="s">
        <v>2362</v>
      </c>
      <c r="D156" s="40" t="s">
        <v>2236</v>
      </c>
      <c r="E156" s="40" t="s">
        <v>2296</v>
      </c>
      <c r="F156" s="40" t="s">
        <v>2262</v>
      </c>
      <c r="G156" s="40" t="s">
        <v>2239</v>
      </c>
      <c r="H156" s="40" t="s">
        <v>2263</v>
      </c>
      <c r="I156" s="40" t="s">
        <v>2264</v>
      </c>
      <c r="J156" s="40"/>
      <c r="K156" s="583">
        <v>0.28999999999999998</v>
      </c>
      <c r="L156" s="40"/>
      <c r="M156" s="40"/>
      <c r="N156" s="40"/>
      <c r="O156" s="40" t="s">
        <v>2241</v>
      </c>
      <c r="P156" s="40" t="s">
        <v>2242</v>
      </c>
      <c r="Q156" s="40" t="s">
        <v>2243</v>
      </c>
      <c r="R156" s="40"/>
      <c r="S156" s="40" t="s">
        <v>2265</v>
      </c>
      <c r="T156" s="40" t="s">
        <v>2245</v>
      </c>
    </row>
    <row r="157" spans="2:20" x14ac:dyDescent="0.2">
      <c r="B157" s="40" t="s">
        <v>2234</v>
      </c>
      <c r="C157" s="40" t="s">
        <v>2362</v>
      </c>
      <c r="D157" s="40" t="s">
        <v>2236</v>
      </c>
      <c r="E157" s="40" t="s">
        <v>2297</v>
      </c>
      <c r="F157" s="40" t="s">
        <v>2293</v>
      </c>
      <c r="G157" s="40" t="s">
        <v>2294</v>
      </c>
      <c r="H157" s="40" t="s">
        <v>2260</v>
      </c>
      <c r="I157" s="40" t="s">
        <v>2236</v>
      </c>
      <c r="J157" s="40"/>
      <c r="K157" s="583">
        <v>0.3</v>
      </c>
      <c r="L157" s="40"/>
      <c r="M157" s="40"/>
      <c r="N157" s="40"/>
      <c r="O157" s="40" t="s">
        <v>2241</v>
      </c>
      <c r="P157" s="40" t="s">
        <v>2242</v>
      </c>
      <c r="Q157" s="40" t="s">
        <v>2243</v>
      </c>
      <c r="R157" s="40"/>
      <c r="S157" s="40" t="s">
        <v>2261</v>
      </c>
      <c r="T157" s="40" t="s">
        <v>2245</v>
      </c>
    </row>
    <row r="158" spans="2:20" x14ac:dyDescent="0.2">
      <c r="B158" s="40" t="s">
        <v>2234</v>
      </c>
      <c r="C158" s="40" t="s">
        <v>2362</v>
      </c>
      <c r="D158" s="40" t="s">
        <v>2236</v>
      </c>
      <c r="E158" s="40" t="s">
        <v>2297</v>
      </c>
      <c r="F158" s="40" t="s">
        <v>2262</v>
      </c>
      <c r="G158" s="40" t="s">
        <v>2239</v>
      </c>
      <c r="H158" s="40" t="s">
        <v>2263</v>
      </c>
      <c r="I158" s="40" t="s">
        <v>2264</v>
      </c>
      <c r="J158" s="40"/>
      <c r="K158" s="583">
        <v>0.28999999999999998</v>
      </c>
      <c r="L158" s="40"/>
      <c r="M158" s="40"/>
      <c r="N158" s="40"/>
      <c r="O158" s="40" t="s">
        <v>2241</v>
      </c>
      <c r="P158" s="40" t="s">
        <v>2242</v>
      </c>
      <c r="Q158" s="40" t="s">
        <v>2243</v>
      </c>
      <c r="R158" s="40"/>
      <c r="S158" s="40" t="s">
        <v>2265</v>
      </c>
      <c r="T158" s="40" t="s">
        <v>2245</v>
      </c>
    </row>
    <row r="159" spans="2:20" x14ac:dyDescent="0.2">
      <c r="B159" s="40" t="s">
        <v>2234</v>
      </c>
      <c r="C159" s="40" t="s">
        <v>2362</v>
      </c>
      <c r="D159" s="40" t="s">
        <v>2236</v>
      </c>
      <c r="E159" s="40" t="s">
        <v>2298</v>
      </c>
      <c r="F159" s="40" t="s">
        <v>2267</v>
      </c>
      <c r="G159" s="40" t="s">
        <v>2239</v>
      </c>
      <c r="H159" s="40" t="s">
        <v>2268</v>
      </c>
      <c r="I159" s="40" t="s">
        <v>2269</v>
      </c>
      <c r="J159" s="40"/>
      <c r="K159" s="583">
        <v>0.08</v>
      </c>
      <c r="L159" s="40"/>
      <c r="M159" s="40"/>
      <c r="N159" s="40"/>
      <c r="O159" s="40" t="s">
        <v>2241</v>
      </c>
      <c r="P159" s="40" t="s">
        <v>2242</v>
      </c>
      <c r="Q159" s="40" t="s">
        <v>2243</v>
      </c>
      <c r="R159" s="40"/>
      <c r="S159" s="40" t="s">
        <v>2270</v>
      </c>
      <c r="T159" s="40" t="s">
        <v>2245</v>
      </c>
    </row>
    <row r="160" spans="2:20" x14ac:dyDescent="0.2">
      <c r="B160" s="40" t="s">
        <v>2234</v>
      </c>
      <c r="C160" s="40" t="s">
        <v>2362</v>
      </c>
      <c r="D160" s="40" t="s">
        <v>2236</v>
      </c>
      <c r="E160" s="40" t="s">
        <v>2299</v>
      </c>
      <c r="F160" s="40" t="s">
        <v>2267</v>
      </c>
      <c r="G160" s="40" t="s">
        <v>2239</v>
      </c>
      <c r="H160" s="40" t="s">
        <v>2268</v>
      </c>
      <c r="I160" s="40" t="s">
        <v>2269</v>
      </c>
      <c r="J160" s="40"/>
      <c r="K160" s="583">
        <v>0.08</v>
      </c>
      <c r="L160" s="40"/>
      <c r="M160" s="40"/>
      <c r="N160" s="40"/>
      <c r="O160" s="40" t="s">
        <v>2241</v>
      </c>
      <c r="P160" s="40" t="s">
        <v>2242</v>
      </c>
      <c r="Q160" s="40" t="s">
        <v>2243</v>
      </c>
      <c r="R160" s="40"/>
      <c r="S160" s="40" t="s">
        <v>2270</v>
      </c>
      <c r="T160" s="40" t="s">
        <v>2245</v>
      </c>
    </row>
    <row r="161" spans="2:20" x14ac:dyDescent="0.2">
      <c r="B161" s="40" t="s">
        <v>2234</v>
      </c>
      <c r="C161" s="40" t="s">
        <v>2362</v>
      </c>
      <c r="D161" s="40" t="s">
        <v>2236</v>
      </c>
      <c r="E161" s="40" t="s">
        <v>2300</v>
      </c>
      <c r="F161" s="40" t="s">
        <v>2267</v>
      </c>
      <c r="G161" s="40" t="s">
        <v>2239</v>
      </c>
      <c r="H161" s="40" t="s">
        <v>2268</v>
      </c>
      <c r="I161" s="40" t="s">
        <v>2269</v>
      </c>
      <c r="J161" s="40"/>
      <c r="K161" s="583">
        <v>0.08</v>
      </c>
      <c r="L161" s="40"/>
      <c r="M161" s="40"/>
      <c r="N161" s="40"/>
      <c r="O161" s="40" t="s">
        <v>2241</v>
      </c>
      <c r="P161" s="40" t="s">
        <v>2242</v>
      </c>
      <c r="Q161" s="40" t="s">
        <v>2243</v>
      </c>
      <c r="R161" s="40"/>
      <c r="S161" s="40" t="s">
        <v>2270</v>
      </c>
      <c r="T161" s="40" t="s">
        <v>2245</v>
      </c>
    </row>
    <row r="162" spans="2:20" x14ac:dyDescent="0.2">
      <c r="B162" s="40" t="s">
        <v>2234</v>
      </c>
      <c r="C162" s="40" t="s">
        <v>2362</v>
      </c>
      <c r="D162" s="40" t="s">
        <v>2236</v>
      </c>
      <c r="E162" s="40" t="s">
        <v>2301</v>
      </c>
      <c r="F162" s="40" t="s">
        <v>2267</v>
      </c>
      <c r="G162" s="40" t="s">
        <v>2239</v>
      </c>
      <c r="H162" s="40" t="s">
        <v>2268</v>
      </c>
      <c r="I162" s="40" t="s">
        <v>2269</v>
      </c>
      <c r="J162" s="40"/>
      <c r="K162" s="583">
        <v>0.08</v>
      </c>
      <c r="L162" s="40"/>
      <c r="M162" s="40"/>
      <c r="N162" s="40"/>
      <c r="O162" s="40" t="s">
        <v>2241</v>
      </c>
      <c r="P162" s="40" t="s">
        <v>2242</v>
      </c>
      <c r="Q162" s="40" t="s">
        <v>2243</v>
      </c>
      <c r="R162" s="40"/>
      <c r="S162" s="40" t="s">
        <v>2270</v>
      </c>
      <c r="T162" s="40" t="s">
        <v>2245</v>
      </c>
    </row>
    <row r="163" spans="2:20" x14ac:dyDescent="0.2">
      <c r="B163" s="40" t="s">
        <v>2234</v>
      </c>
      <c r="C163" s="40" t="s">
        <v>2362</v>
      </c>
      <c r="D163" s="40" t="s">
        <v>2236</v>
      </c>
      <c r="E163" s="40" t="s">
        <v>2302</v>
      </c>
      <c r="F163" s="40" t="s">
        <v>2273</v>
      </c>
      <c r="G163" s="40" t="s">
        <v>2239</v>
      </c>
      <c r="H163" s="40" t="s">
        <v>1483</v>
      </c>
      <c r="I163" s="40" t="s">
        <v>2269</v>
      </c>
      <c r="J163" s="40"/>
      <c r="K163" s="583">
        <v>0.06</v>
      </c>
      <c r="L163" s="40"/>
      <c r="M163" s="40"/>
      <c r="N163" s="40"/>
      <c r="O163" s="40" t="s">
        <v>2241</v>
      </c>
      <c r="P163" s="40" t="s">
        <v>2242</v>
      </c>
      <c r="Q163" s="40" t="s">
        <v>2243</v>
      </c>
      <c r="R163" s="40"/>
      <c r="S163" s="40" t="s">
        <v>2274</v>
      </c>
      <c r="T163" s="40" t="s">
        <v>2245</v>
      </c>
    </row>
    <row r="164" spans="2:20" x14ac:dyDescent="0.2">
      <c r="B164" s="40" t="s">
        <v>2234</v>
      </c>
      <c r="C164" s="40" t="s">
        <v>2362</v>
      </c>
      <c r="D164" s="40" t="s">
        <v>2236</v>
      </c>
      <c r="E164" s="40" t="s">
        <v>2303</v>
      </c>
      <c r="F164" s="40" t="s">
        <v>2273</v>
      </c>
      <c r="G164" s="40" t="s">
        <v>2239</v>
      </c>
      <c r="H164" s="40" t="s">
        <v>1483</v>
      </c>
      <c r="I164" s="40" t="s">
        <v>2269</v>
      </c>
      <c r="J164" s="40"/>
      <c r="K164" s="583">
        <v>0.06</v>
      </c>
      <c r="L164" s="40"/>
      <c r="M164" s="40"/>
      <c r="N164" s="40"/>
      <c r="O164" s="40" t="s">
        <v>2241</v>
      </c>
      <c r="P164" s="40" t="s">
        <v>2242</v>
      </c>
      <c r="Q164" s="40" t="s">
        <v>2243</v>
      </c>
      <c r="R164" s="40"/>
      <c r="S164" s="40" t="s">
        <v>2274</v>
      </c>
      <c r="T164" s="40" t="s">
        <v>2245</v>
      </c>
    </row>
    <row r="165" spans="2:20" x14ac:dyDescent="0.2">
      <c r="B165" s="40" t="s">
        <v>2234</v>
      </c>
      <c r="C165" s="40" t="s">
        <v>2362</v>
      </c>
      <c r="D165" s="40" t="s">
        <v>2236</v>
      </c>
      <c r="E165" s="40" t="s">
        <v>2304</v>
      </c>
      <c r="F165" s="40" t="s">
        <v>2273</v>
      </c>
      <c r="G165" s="40" t="s">
        <v>2239</v>
      </c>
      <c r="H165" s="40" t="s">
        <v>1483</v>
      </c>
      <c r="I165" s="40" t="s">
        <v>2269</v>
      </c>
      <c r="J165" s="40"/>
      <c r="K165" s="583">
        <v>0.06</v>
      </c>
      <c r="L165" s="40"/>
      <c r="M165" s="40"/>
      <c r="N165" s="40"/>
      <c r="O165" s="40" t="s">
        <v>2241</v>
      </c>
      <c r="P165" s="40" t="s">
        <v>2242</v>
      </c>
      <c r="Q165" s="40" t="s">
        <v>2243</v>
      </c>
      <c r="R165" s="40"/>
      <c r="S165" s="40" t="s">
        <v>2274</v>
      </c>
      <c r="T165" s="40" t="s">
        <v>2245</v>
      </c>
    </row>
    <row r="166" spans="2:20" x14ac:dyDescent="0.2">
      <c r="B166" s="40" t="s">
        <v>2234</v>
      </c>
      <c r="C166" s="40" t="s">
        <v>2362</v>
      </c>
      <c r="D166" s="40" t="s">
        <v>2236</v>
      </c>
      <c r="E166" s="40" t="s">
        <v>2305</v>
      </c>
      <c r="F166" s="40" t="s">
        <v>2273</v>
      </c>
      <c r="G166" s="40" t="s">
        <v>2239</v>
      </c>
      <c r="H166" s="40" t="s">
        <v>1483</v>
      </c>
      <c r="I166" s="40" t="s">
        <v>2269</v>
      </c>
      <c r="J166" s="40"/>
      <c r="K166" s="583">
        <v>0.06</v>
      </c>
      <c r="L166" s="40"/>
      <c r="M166" s="40"/>
      <c r="N166" s="40"/>
      <c r="O166" s="40" t="s">
        <v>2241</v>
      </c>
      <c r="P166" s="40" t="s">
        <v>2242</v>
      </c>
      <c r="Q166" s="40" t="s">
        <v>2243</v>
      </c>
      <c r="R166" s="40"/>
      <c r="S166" s="40" t="s">
        <v>2274</v>
      </c>
      <c r="T166" s="40" t="s">
        <v>2245</v>
      </c>
    </row>
    <row r="167" spans="2:20" x14ac:dyDescent="0.2">
      <c r="B167" s="40" t="s">
        <v>2234</v>
      </c>
      <c r="C167" s="40" t="s">
        <v>2362</v>
      </c>
      <c r="D167" s="40" t="s">
        <v>2236</v>
      </c>
      <c r="E167" s="40" t="s">
        <v>2306</v>
      </c>
      <c r="F167" s="40" t="s">
        <v>2273</v>
      </c>
      <c r="G167" s="40" t="s">
        <v>2239</v>
      </c>
      <c r="H167" s="40" t="s">
        <v>1483</v>
      </c>
      <c r="I167" s="40" t="s">
        <v>2269</v>
      </c>
      <c r="J167" s="40"/>
      <c r="K167" s="583">
        <v>0.06</v>
      </c>
      <c r="L167" s="40"/>
      <c r="M167" s="40"/>
      <c r="N167" s="40"/>
      <c r="O167" s="40" t="s">
        <v>2241</v>
      </c>
      <c r="P167" s="40" t="s">
        <v>2242</v>
      </c>
      <c r="Q167" s="40" t="s">
        <v>2243</v>
      </c>
      <c r="R167" s="40"/>
      <c r="S167" s="40" t="s">
        <v>2274</v>
      </c>
      <c r="T167" s="40" t="s">
        <v>2245</v>
      </c>
    </row>
    <row r="168" spans="2:20" x14ac:dyDescent="0.2">
      <c r="B168" s="40" t="s">
        <v>2234</v>
      </c>
      <c r="C168" s="40" t="s">
        <v>2362</v>
      </c>
      <c r="D168" s="40" t="s">
        <v>2236</v>
      </c>
      <c r="E168" s="40" t="s">
        <v>2307</v>
      </c>
      <c r="F168" s="40" t="s">
        <v>2273</v>
      </c>
      <c r="G168" s="40" t="s">
        <v>2239</v>
      </c>
      <c r="H168" s="40" t="s">
        <v>1483</v>
      </c>
      <c r="I168" s="40" t="s">
        <v>2269</v>
      </c>
      <c r="J168" s="40"/>
      <c r="K168" s="583">
        <v>0.06</v>
      </c>
      <c r="L168" s="40"/>
      <c r="M168" s="40"/>
      <c r="N168" s="40"/>
      <c r="O168" s="40" t="s">
        <v>2241</v>
      </c>
      <c r="P168" s="40" t="s">
        <v>2242</v>
      </c>
      <c r="Q168" s="40" t="s">
        <v>2243</v>
      </c>
      <c r="R168" s="40"/>
      <c r="S168" s="40" t="s">
        <v>2274</v>
      </c>
      <c r="T168" s="40" t="s">
        <v>2245</v>
      </c>
    </row>
    <row r="169" spans="2:20" x14ac:dyDescent="0.2">
      <c r="B169" s="40" t="s">
        <v>2234</v>
      </c>
      <c r="C169" s="40" t="s">
        <v>2362</v>
      </c>
      <c r="D169" s="40" t="s">
        <v>2236</v>
      </c>
      <c r="E169" s="40" t="s">
        <v>2308</v>
      </c>
      <c r="F169" s="40" t="s">
        <v>2273</v>
      </c>
      <c r="G169" s="40" t="s">
        <v>2239</v>
      </c>
      <c r="H169" s="40" t="s">
        <v>1483</v>
      </c>
      <c r="I169" s="40" t="s">
        <v>2269</v>
      </c>
      <c r="J169" s="40"/>
      <c r="K169" s="583">
        <v>0.06</v>
      </c>
      <c r="L169" s="40"/>
      <c r="M169" s="40"/>
      <c r="N169" s="40"/>
      <c r="O169" s="40" t="s">
        <v>2241</v>
      </c>
      <c r="P169" s="40" t="s">
        <v>2242</v>
      </c>
      <c r="Q169" s="40" t="s">
        <v>2243</v>
      </c>
      <c r="R169" s="40"/>
      <c r="S169" s="40" t="s">
        <v>2274</v>
      </c>
      <c r="T169" s="40" t="s">
        <v>2245</v>
      </c>
    </row>
    <row r="170" spans="2:20" x14ac:dyDescent="0.2">
      <c r="B170" s="40" t="s">
        <v>2234</v>
      </c>
      <c r="C170" s="40" t="s">
        <v>2362</v>
      </c>
      <c r="D170" s="40" t="s">
        <v>2236</v>
      </c>
      <c r="E170" s="40" t="s">
        <v>2309</v>
      </c>
      <c r="F170" s="40" t="s">
        <v>2273</v>
      </c>
      <c r="G170" s="40" t="s">
        <v>2239</v>
      </c>
      <c r="H170" s="40" t="s">
        <v>1483</v>
      </c>
      <c r="I170" s="40" t="s">
        <v>2269</v>
      </c>
      <c r="J170" s="40"/>
      <c r="K170" s="583">
        <v>0.06</v>
      </c>
      <c r="L170" s="40"/>
      <c r="M170" s="40"/>
      <c r="N170" s="40"/>
      <c r="O170" s="40" t="s">
        <v>2241</v>
      </c>
      <c r="P170" s="40" t="s">
        <v>2242</v>
      </c>
      <c r="Q170" s="40" t="s">
        <v>2243</v>
      </c>
      <c r="R170" s="40"/>
      <c r="S170" s="40" t="s">
        <v>2274</v>
      </c>
      <c r="T170" s="40" t="s">
        <v>2245</v>
      </c>
    </row>
    <row r="171" spans="2:20" x14ac:dyDescent="0.2">
      <c r="B171" s="40" t="s">
        <v>2234</v>
      </c>
      <c r="C171" s="40" t="s">
        <v>2362</v>
      </c>
      <c r="D171" s="40" t="s">
        <v>2236</v>
      </c>
      <c r="E171" s="40" t="s">
        <v>2310</v>
      </c>
      <c r="F171" s="40" t="s">
        <v>2273</v>
      </c>
      <c r="G171" s="40" t="s">
        <v>2239</v>
      </c>
      <c r="H171" s="40" t="s">
        <v>1483</v>
      </c>
      <c r="I171" s="40" t="s">
        <v>2269</v>
      </c>
      <c r="J171" s="40"/>
      <c r="K171" s="583">
        <v>0.06</v>
      </c>
      <c r="L171" s="40"/>
      <c r="M171" s="40"/>
      <c r="N171" s="40"/>
      <c r="O171" s="40" t="s">
        <v>2241</v>
      </c>
      <c r="P171" s="40" t="s">
        <v>2242</v>
      </c>
      <c r="Q171" s="40" t="s">
        <v>2243</v>
      </c>
      <c r="R171" s="40"/>
      <c r="S171" s="40" t="s">
        <v>2274</v>
      </c>
      <c r="T171" s="40" t="s">
        <v>2245</v>
      </c>
    </row>
    <row r="172" spans="2:20" x14ac:dyDescent="0.2">
      <c r="B172" s="40" t="s">
        <v>2234</v>
      </c>
      <c r="C172" s="40" t="s">
        <v>2362</v>
      </c>
      <c r="D172" s="40" t="s">
        <v>2236</v>
      </c>
      <c r="E172" s="40" t="s">
        <v>2311</v>
      </c>
      <c r="F172" s="40" t="s">
        <v>2267</v>
      </c>
      <c r="G172" s="40" t="s">
        <v>2239</v>
      </c>
      <c r="H172" s="40" t="s">
        <v>2268</v>
      </c>
      <c r="I172" s="40" t="s">
        <v>2269</v>
      </c>
      <c r="J172" s="40"/>
      <c r="K172" s="583">
        <v>0.08</v>
      </c>
      <c r="L172" s="40"/>
      <c r="M172" s="40"/>
      <c r="N172" s="40"/>
      <c r="O172" s="40" t="s">
        <v>2241</v>
      </c>
      <c r="P172" s="40" t="s">
        <v>2242</v>
      </c>
      <c r="Q172" s="40" t="s">
        <v>2243</v>
      </c>
      <c r="R172" s="40"/>
      <c r="S172" s="40" t="s">
        <v>2270</v>
      </c>
      <c r="T172" s="40" t="s">
        <v>2245</v>
      </c>
    </row>
    <row r="173" spans="2:20" x14ac:dyDescent="0.2">
      <c r="B173" s="40" t="s">
        <v>2234</v>
      </c>
      <c r="C173" s="40" t="s">
        <v>2362</v>
      </c>
      <c r="D173" s="40" t="s">
        <v>2236</v>
      </c>
      <c r="E173" s="40" t="s">
        <v>2312</v>
      </c>
      <c r="F173" s="40" t="s">
        <v>2267</v>
      </c>
      <c r="G173" s="40" t="s">
        <v>2239</v>
      </c>
      <c r="H173" s="40" t="s">
        <v>2268</v>
      </c>
      <c r="I173" s="40" t="s">
        <v>2269</v>
      </c>
      <c r="J173" s="40"/>
      <c r="K173" s="583">
        <v>0.08</v>
      </c>
      <c r="L173" s="40"/>
      <c r="M173" s="40"/>
      <c r="N173" s="40"/>
      <c r="O173" s="40" t="s">
        <v>2241</v>
      </c>
      <c r="P173" s="40" t="s">
        <v>2242</v>
      </c>
      <c r="Q173" s="40" t="s">
        <v>2243</v>
      </c>
      <c r="R173" s="40"/>
      <c r="S173" s="40" t="s">
        <v>2270</v>
      </c>
      <c r="T173" s="40" t="s">
        <v>2245</v>
      </c>
    </row>
    <row r="174" spans="2:20" x14ac:dyDescent="0.2">
      <c r="B174" s="40" t="s">
        <v>2234</v>
      </c>
      <c r="C174" s="40" t="s">
        <v>2362</v>
      </c>
      <c r="D174" s="40" t="s">
        <v>2236</v>
      </c>
      <c r="E174" s="40" t="s">
        <v>2313</v>
      </c>
      <c r="F174" s="40" t="s">
        <v>2314</v>
      </c>
      <c r="G174" s="40" t="s">
        <v>2239</v>
      </c>
      <c r="H174" s="40" t="s">
        <v>2254</v>
      </c>
      <c r="I174" s="40" t="s">
        <v>2315</v>
      </c>
      <c r="J174" s="40"/>
      <c r="K174" s="583">
        <v>0.2</v>
      </c>
      <c r="L174" s="40"/>
      <c r="M174" s="40"/>
      <c r="N174" s="40"/>
      <c r="O174" s="40" t="s">
        <v>2241</v>
      </c>
      <c r="P174" s="40" t="s">
        <v>2287</v>
      </c>
      <c r="Q174" s="40" t="s">
        <v>2288</v>
      </c>
      <c r="R174" s="40"/>
      <c r="S174" s="40"/>
      <c r="T174" s="40" t="s">
        <v>2289</v>
      </c>
    </row>
    <row r="175" spans="2:20" x14ac:dyDescent="0.2">
      <c r="B175" s="40" t="s">
        <v>2234</v>
      </c>
      <c r="C175" s="40" t="s">
        <v>2362</v>
      </c>
      <c r="D175" s="40" t="s">
        <v>2236</v>
      </c>
      <c r="E175" s="40" t="s">
        <v>2316</v>
      </c>
      <c r="F175" s="40" t="s">
        <v>2317</v>
      </c>
      <c r="G175" s="40" t="s">
        <v>1635</v>
      </c>
      <c r="H175" s="40" t="s">
        <v>1511</v>
      </c>
      <c r="I175" s="40" t="s">
        <v>2236</v>
      </c>
      <c r="J175" s="40"/>
      <c r="K175" s="583">
        <v>0.13</v>
      </c>
      <c r="L175" s="40"/>
      <c r="M175" s="40"/>
      <c r="N175" s="40"/>
      <c r="O175" s="40" t="s">
        <v>2241</v>
      </c>
      <c r="P175" s="40" t="s">
        <v>2242</v>
      </c>
      <c r="Q175" s="40" t="s">
        <v>2243</v>
      </c>
      <c r="R175" s="40"/>
      <c r="S175" s="40" t="s">
        <v>2318</v>
      </c>
      <c r="T175" s="40" t="s">
        <v>2245</v>
      </c>
    </row>
    <row r="176" spans="2:20" x14ac:dyDescent="0.2">
      <c r="B176" s="583" t="s">
        <v>2234</v>
      </c>
      <c r="C176" s="583" t="s">
        <v>2362</v>
      </c>
      <c r="D176" s="583" t="s">
        <v>2236</v>
      </c>
      <c r="E176" s="583" t="s">
        <v>2319</v>
      </c>
      <c r="F176" s="583" t="s">
        <v>2320</v>
      </c>
      <c r="G176" s="583" t="s">
        <v>1635</v>
      </c>
      <c r="H176" s="583" t="s">
        <v>2179</v>
      </c>
      <c r="I176" s="583" t="s">
        <v>2236</v>
      </c>
      <c r="J176" s="583"/>
      <c r="K176" s="583">
        <v>0.13</v>
      </c>
      <c r="L176" s="40"/>
      <c r="M176" s="40"/>
      <c r="N176" s="40"/>
      <c r="O176" s="40" t="s">
        <v>2241</v>
      </c>
      <c r="P176" s="40" t="s">
        <v>2242</v>
      </c>
      <c r="Q176" s="40" t="s">
        <v>2243</v>
      </c>
      <c r="R176" s="40"/>
      <c r="S176" s="40" t="s">
        <v>2321</v>
      </c>
      <c r="T176" s="40" t="s">
        <v>2245</v>
      </c>
    </row>
    <row r="177" spans="2:20" x14ac:dyDescent="0.2">
      <c r="B177" s="583" t="s">
        <v>2234</v>
      </c>
      <c r="C177" s="583" t="s">
        <v>2362</v>
      </c>
      <c r="D177" s="583" t="s">
        <v>2236</v>
      </c>
      <c r="E177" s="583" t="s">
        <v>2322</v>
      </c>
      <c r="F177" s="583" t="s">
        <v>2273</v>
      </c>
      <c r="G177" s="583" t="s">
        <v>2239</v>
      </c>
      <c r="H177" s="583" t="s">
        <v>1483</v>
      </c>
      <c r="I177" s="583" t="s">
        <v>2269</v>
      </c>
      <c r="J177" s="583"/>
      <c r="K177" s="583">
        <v>0.06</v>
      </c>
      <c r="L177" s="40"/>
      <c r="M177" s="40"/>
      <c r="N177" s="40"/>
      <c r="O177" s="40" t="s">
        <v>2241</v>
      </c>
      <c r="P177" s="40" t="s">
        <v>2242</v>
      </c>
      <c r="Q177" s="40" t="s">
        <v>2243</v>
      </c>
      <c r="R177" s="40"/>
      <c r="S177" s="40" t="s">
        <v>2274</v>
      </c>
      <c r="T177" s="40" t="s">
        <v>2245</v>
      </c>
    </row>
    <row r="178" spans="2:20" x14ac:dyDescent="0.2">
      <c r="B178" s="583" t="s">
        <v>2234</v>
      </c>
      <c r="C178" s="583" t="s">
        <v>2362</v>
      </c>
      <c r="D178" s="583" t="s">
        <v>2236</v>
      </c>
      <c r="E178" s="583" t="s">
        <v>2323</v>
      </c>
      <c r="F178" s="583" t="s">
        <v>2267</v>
      </c>
      <c r="G178" s="583" t="s">
        <v>2239</v>
      </c>
      <c r="H178" s="583" t="s">
        <v>2268</v>
      </c>
      <c r="I178" s="583" t="s">
        <v>2269</v>
      </c>
      <c r="J178" s="583"/>
      <c r="K178" s="583">
        <v>0.08</v>
      </c>
      <c r="L178" s="40"/>
      <c r="M178" s="40"/>
      <c r="N178" s="40"/>
      <c r="O178" s="40" t="s">
        <v>2241</v>
      </c>
      <c r="P178" s="40" t="s">
        <v>2242</v>
      </c>
      <c r="Q178" s="40" t="s">
        <v>2243</v>
      </c>
      <c r="R178" s="40"/>
      <c r="S178" s="40" t="s">
        <v>2270</v>
      </c>
      <c r="T178" s="40" t="s">
        <v>2245</v>
      </c>
    </row>
    <row r="179" spans="2:20" x14ac:dyDescent="0.2">
      <c r="B179" s="40" t="s">
        <v>2234</v>
      </c>
      <c r="C179" s="40" t="s">
        <v>2362</v>
      </c>
      <c r="D179" s="40" t="s">
        <v>2236</v>
      </c>
      <c r="E179" s="40" t="s">
        <v>2324</v>
      </c>
      <c r="F179" s="40" t="s">
        <v>2325</v>
      </c>
      <c r="G179" s="40" t="s">
        <v>2326</v>
      </c>
      <c r="H179" s="40" t="s">
        <v>1721</v>
      </c>
      <c r="I179" s="40" t="s">
        <v>2327</v>
      </c>
      <c r="J179" s="40" t="s">
        <v>2328</v>
      </c>
      <c r="K179" s="583">
        <v>0.66</v>
      </c>
      <c r="L179" s="40"/>
      <c r="M179" s="40"/>
      <c r="N179" s="40"/>
      <c r="O179" s="40" t="s">
        <v>2241</v>
      </c>
      <c r="P179" s="40" t="s">
        <v>2242</v>
      </c>
      <c r="Q179" s="40" t="s">
        <v>2329</v>
      </c>
      <c r="R179" s="40"/>
      <c r="S179" s="40" t="s">
        <v>2330</v>
      </c>
      <c r="T179" s="40" t="s">
        <v>2331</v>
      </c>
    </row>
    <row r="180" spans="2:20" x14ac:dyDescent="0.2">
      <c r="B180" s="40" t="s">
        <v>2234</v>
      </c>
      <c r="C180" s="40" t="s">
        <v>2362</v>
      </c>
      <c r="D180" s="40" t="s">
        <v>2236</v>
      </c>
      <c r="E180" s="40" t="s">
        <v>2324</v>
      </c>
      <c r="F180" s="40" t="s">
        <v>2325</v>
      </c>
      <c r="G180" s="40" t="s">
        <v>2326</v>
      </c>
      <c r="H180" s="40" t="s">
        <v>1721</v>
      </c>
      <c r="I180" s="40" t="s">
        <v>2327</v>
      </c>
      <c r="J180" s="40" t="s">
        <v>2332</v>
      </c>
      <c r="K180" s="583">
        <v>0.66</v>
      </c>
      <c r="L180" s="40"/>
      <c r="M180" s="40"/>
      <c r="N180" s="40"/>
      <c r="O180" s="40" t="s">
        <v>2241</v>
      </c>
      <c r="P180" s="40" t="s">
        <v>2242</v>
      </c>
      <c r="Q180" s="40" t="s">
        <v>2329</v>
      </c>
      <c r="R180" s="40"/>
      <c r="S180" s="40" t="s">
        <v>2330</v>
      </c>
      <c r="T180" s="40" t="s">
        <v>2331</v>
      </c>
    </row>
    <row r="181" spans="2:20" x14ac:dyDescent="0.2">
      <c r="B181" s="40" t="s">
        <v>2234</v>
      </c>
      <c r="C181" s="40" t="s">
        <v>2362</v>
      </c>
      <c r="D181" s="40" t="s">
        <v>2236</v>
      </c>
      <c r="E181" s="40" t="s">
        <v>2333</v>
      </c>
      <c r="F181" s="40" t="s">
        <v>2325</v>
      </c>
      <c r="G181" s="40" t="s">
        <v>2326</v>
      </c>
      <c r="H181" s="40" t="s">
        <v>1721</v>
      </c>
      <c r="I181" s="40" t="s">
        <v>2327</v>
      </c>
      <c r="J181" s="40" t="s">
        <v>2328</v>
      </c>
      <c r="K181" s="583">
        <v>0.66</v>
      </c>
      <c r="L181" s="40"/>
      <c r="M181" s="40"/>
      <c r="N181" s="40"/>
      <c r="O181" s="40" t="s">
        <v>2241</v>
      </c>
      <c r="P181" s="40" t="s">
        <v>2242</v>
      </c>
      <c r="Q181" s="40" t="s">
        <v>2329</v>
      </c>
      <c r="R181" s="40"/>
      <c r="S181" s="40" t="s">
        <v>2330</v>
      </c>
      <c r="T181" s="40" t="s">
        <v>2331</v>
      </c>
    </row>
    <row r="182" spans="2:20" x14ac:dyDescent="0.2">
      <c r="B182" s="40" t="s">
        <v>2234</v>
      </c>
      <c r="C182" s="40" t="s">
        <v>2362</v>
      </c>
      <c r="D182" s="40" t="s">
        <v>2236</v>
      </c>
      <c r="E182" s="40" t="s">
        <v>2333</v>
      </c>
      <c r="F182" s="40" t="s">
        <v>2325</v>
      </c>
      <c r="G182" s="40" t="s">
        <v>2326</v>
      </c>
      <c r="H182" s="40" t="s">
        <v>1721</v>
      </c>
      <c r="I182" s="40" t="s">
        <v>2327</v>
      </c>
      <c r="J182" s="40" t="s">
        <v>2332</v>
      </c>
      <c r="K182" s="583">
        <v>0.66</v>
      </c>
      <c r="L182" s="40"/>
      <c r="M182" s="40"/>
      <c r="N182" s="40"/>
      <c r="O182" s="40" t="s">
        <v>2241</v>
      </c>
      <c r="P182" s="40" t="s">
        <v>2242</v>
      </c>
      <c r="Q182" s="40" t="s">
        <v>2329</v>
      </c>
      <c r="R182" s="40"/>
      <c r="S182" s="40" t="s">
        <v>2330</v>
      </c>
      <c r="T182" s="40" t="s">
        <v>2331</v>
      </c>
    </row>
    <row r="183" spans="2:20" x14ac:dyDescent="0.2">
      <c r="B183" s="40" t="s">
        <v>2234</v>
      </c>
      <c r="C183" s="40" t="s">
        <v>2362</v>
      </c>
      <c r="D183" s="40" t="s">
        <v>2236</v>
      </c>
      <c r="E183" s="40" t="s">
        <v>2334</v>
      </c>
      <c r="F183" s="40" t="s">
        <v>2325</v>
      </c>
      <c r="G183" s="40" t="s">
        <v>2326</v>
      </c>
      <c r="H183" s="40" t="s">
        <v>1721</v>
      </c>
      <c r="I183" s="40" t="s">
        <v>2327</v>
      </c>
      <c r="J183" s="40" t="s">
        <v>2328</v>
      </c>
      <c r="K183" s="583">
        <v>0.66</v>
      </c>
      <c r="L183" s="40"/>
      <c r="M183" s="40"/>
      <c r="N183" s="40"/>
      <c r="O183" s="40" t="s">
        <v>2241</v>
      </c>
      <c r="P183" s="40" t="s">
        <v>2242</v>
      </c>
      <c r="Q183" s="40" t="s">
        <v>2329</v>
      </c>
      <c r="R183" s="40"/>
      <c r="S183" s="40" t="s">
        <v>2330</v>
      </c>
      <c r="T183" s="40" t="s">
        <v>2331</v>
      </c>
    </row>
    <row r="184" spans="2:20" x14ac:dyDescent="0.2">
      <c r="B184" s="40" t="s">
        <v>2234</v>
      </c>
      <c r="C184" s="40" t="s">
        <v>2362</v>
      </c>
      <c r="D184" s="40" t="s">
        <v>2236</v>
      </c>
      <c r="E184" s="40" t="s">
        <v>2334</v>
      </c>
      <c r="F184" s="40" t="s">
        <v>2325</v>
      </c>
      <c r="G184" s="40" t="s">
        <v>2326</v>
      </c>
      <c r="H184" s="40" t="s">
        <v>1721</v>
      </c>
      <c r="I184" s="40" t="s">
        <v>2327</v>
      </c>
      <c r="J184" s="40" t="s">
        <v>2332</v>
      </c>
      <c r="K184" s="583">
        <v>0.66</v>
      </c>
      <c r="L184" s="40"/>
      <c r="M184" s="40"/>
      <c r="N184" s="40"/>
      <c r="O184" s="40" t="s">
        <v>2241</v>
      </c>
      <c r="P184" s="40" t="s">
        <v>2242</v>
      </c>
      <c r="Q184" s="40" t="s">
        <v>2329</v>
      </c>
      <c r="R184" s="40"/>
      <c r="S184" s="40" t="s">
        <v>2330</v>
      </c>
      <c r="T184" s="40" t="s">
        <v>2331</v>
      </c>
    </row>
    <row r="185" spans="2:20" x14ac:dyDescent="0.2">
      <c r="B185" s="40" t="s">
        <v>2234</v>
      </c>
      <c r="C185" s="40" t="s">
        <v>2362</v>
      </c>
      <c r="D185" s="40" t="s">
        <v>2236</v>
      </c>
      <c r="E185" s="40" t="s">
        <v>2335</v>
      </c>
      <c r="F185" s="40" t="s">
        <v>2325</v>
      </c>
      <c r="G185" s="40" t="s">
        <v>2326</v>
      </c>
      <c r="H185" s="40" t="s">
        <v>1721</v>
      </c>
      <c r="I185" s="40" t="s">
        <v>2327</v>
      </c>
      <c r="J185" s="40" t="s">
        <v>2328</v>
      </c>
      <c r="K185" s="583">
        <v>0.66</v>
      </c>
      <c r="L185" s="40"/>
      <c r="M185" s="40"/>
      <c r="N185" s="40"/>
      <c r="O185" s="40" t="s">
        <v>2241</v>
      </c>
      <c r="P185" s="40" t="s">
        <v>2242</v>
      </c>
      <c r="Q185" s="40" t="s">
        <v>2329</v>
      </c>
      <c r="R185" s="40"/>
      <c r="S185" s="40" t="s">
        <v>2330</v>
      </c>
      <c r="T185" s="40" t="s">
        <v>2331</v>
      </c>
    </row>
    <row r="186" spans="2:20" x14ac:dyDescent="0.2">
      <c r="B186" s="40" t="s">
        <v>2234</v>
      </c>
      <c r="C186" s="40" t="s">
        <v>2362</v>
      </c>
      <c r="D186" s="40" t="s">
        <v>2236</v>
      </c>
      <c r="E186" s="40" t="s">
        <v>2335</v>
      </c>
      <c r="F186" s="40" t="s">
        <v>2325</v>
      </c>
      <c r="G186" s="40" t="s">
        <v>2326</v>
      </c>
      <c r="H186" s="40" t="s">
        <v>1721</v>
      </c>
      <c r="I186" s="40" t="s">
        <v>2327</v>
      </c>
      <c r="J186" s="40" t="s">
        <v>2332</v>
      </c>
      <c r="K186" s="583">
        <v>0.66</v>
      </c>
      <c r="L186" s="40"/>
      <c r="M186" s="40"/>
      <c r="N186" s="40"/>
      <c r="O186" s="40" t="s">
        <v>2241</v>
      </c>
      <c r="P186" s="40" t="s">
        <v>2242</v>
      </c>
      <c r="Q186" s="40" t="s">
        <v>2329</v>
      </c>
      <c r="R186" s="40"/>
      <c r="S186" s="40" t="s">
        <v>2330</v>
      </c>
      <c r="T186" s="40" t="s">
        <v>2331</v>
      </c>
    </row>
    <row r="187" spans="2:20" x14ac:dyDescent="0.2">
      <c r="B187" s="40" t="s">
        <v>2234</v>
      </c>
      <c r="C187" s="40" t="s">
        <v>2362</v>
      </c>
      <c r="D187" s="40" t="s">
        <v>2236</v>
      </c>
      <c r="E187" s="40" t="s">
        <v>2336</v>
      </c>
      <c r="F187" s="40" t="s">
        <v>2337</v>
      </c>
      <c r="G187" s="40" t="s">
        <v>2326</v>
      </c>
      <c r="H187" s="40" t="s">
        <v>1721</v>
      </c>
      <c r="I187" s="40" t="s">
        <v>2338</v>
      </c>
      <c r="J187" s="40"/>
      <c r="K187" s="583">
        <v>0.66</v>
      </c>
      <c r="L187" s="40"/>
      <c r="M187" s="40"/>
      <c r="N187" s="40"/>
      <c r="O187" s="40" t="s">
        <v>2241</v>
      </c>
      <c r="P187" s="40" t="s">
        <v>2242</v>
      </c>
      <c r="Q187" s="40" t="s">
        <v>2329</v>
      </c>
      <c r="R187" s="40" t="s">
        <v>2269</v>
      </c>
      <c r="S187" s="40" t="s">
        <v>2330</v>
      </c>
      <c r="T187" s="40" t="s">
        <v>2331</v>
      </c>
    </row>
    <row r="188" spans="2:20" x14ac:dyDescent="0.2">
      <c r="B188" s="40" t="s">
        <v>2234</v>
      </c>
      <c r="C188" s="40" t="s">
        <v>2362</v>
      </c>
      <c r="D188" s="40" t="s">
        <v>2236</v>
      </c>
      <c r="E188" s="40" t="s">
        <v>2336</v>
      </c>
      <c r="F188" s="40" t="s">
        <v>2339</v>
      </c>
      <c r="G188" s="40" t="s">
        <v>2326</v>
      </c>
      <c r="H188" s="40" t="s">
        <v>1721</v>
      </c>
      <c r="I188" s="40" t="s">
        <v>2340</v>
      </c>
      <c r="J188" s="40"/>
      <c r="K188" s="583">
        <v>0.66</v>
      </c>
      <c r="L188" s="40"/>
      <c r="M188" s="40"/>
      <c r="N188" s="40"/>
      <c r="O188" s="40" t="s">
        <v>2241</v>
      </c>
      <c r="P188" s="40" t="s">
        <v>2242</v>
      </c>
      <c r="Q188" s="40" t="s">
        <v>2329</v>
      </c>
      <c r="R188" s="40" t="s">
        <v>2269</v>
      </c>
      <c r="S188" s="40" t="s">
        <v>2330</v>
      </c>
      <c r="T188" s="40" t="s">
        <v>2331</v>
      </c>
    </row>
    <row r="189" spans="2:20" x14ac:dyDescent="0.2">
      <c r="B189" s="40" t="s">
        <v>2234</v>
      </c>
      <c r="C189" s="40" t="s">
        <v>2362</v>
      </c>
      <c r="D189" s="40" t="s">
        <v>2236</v>
      </c>
      <c r="E189" s="40" t="s">
        <v>2341</v>
      </c>
      <c r="F189" s="40" t="s">
        <v>2342</v>
      </c>
      <c r="G189" s="40" t="s">
        <v>2326</v>
      </c>
      <c r="H189" s="40" t="s">
        <v>1721</v>
      </c>
      <c r="I189" s="40" t="s">
        <v>2343</v>
      </c>
      <c r="J189" s="40"/>
      <c r="K189" s="583">
        <v>0.66</v>
      </c>
      <c r="L189" s="40"/>
      <c r="M189" s="40"/>
      <c r="N189" s="40"/>
      <c r="O189" s="40" t="s">
        <v>2241</v>
      </c>
      <c r="P189" s="40" t="s">
        <v>2242</v>
      </c>
      <c r="Q189" s="40" t="s">
        <v>2329</v>
      </c>
      <c r="R189" s="40" t="s">
        <v>2269</v>
      </c>
      <c r="S189" s="40" t="s">
        <v>2330</v>
      </c>
      <c r="T189" s="40" t="s">
        <v>2331</v>
      </c>
    </row>
    <row r="190" spans="2:20" x14ac:dyDescent="0.2">
      <c r="B190" s="40" t="s">
        <v>2234</v>
      </c>
      <c r="C190" s="40" t="s">
        <v>2362</v>
      </c>
      <c r="D190" s="40" t="s">
        <v>2236</v>
      </c>
      <c r="E190" s="40" t="s">
        <v>2344</v>
      </c>
      <c r="F190" s="40" t="s">
        <v>2345</v>
      </c>
      <c r="G190" s="40" t="s">
        <v>2326</v>
      </c>
      <c r="H190" s="40" t="s">
        <v>1721</v>
      </c>
      <c r="I190" s="40" t="s">
        <v>2346</v>
      </c>
      <c r="J190" s="40"/>
      <c r="K190" s="583">
        <v>0.66</v>
      </c>
      <c r="L190" s="40"/>
      <c r="M190" s="40"/>
      <c r="N190" s="40"/>
      <c r="O190" s="40" t="s">
        <v>2241</v>
      </c>
      <c r="P190" s="40" t="s">
        <v>2242</v>
      </c>
      <c r="Q190" s="40" t="s">
        <v>2329</v>
      </c>
      <c r="R190" s="40" t="s">
        <v>2269</v>
      </c>
      <c r="S190" s="40" t="s">
        <v>2330</v>
      </c>
      <c r="T190" s="40" t="s">
        <v>2331</v>
      </c>
    </row>
    <row r="191" spans="2:20" x14ac:dyDescent="0.2">
      <c r="B191" s="40" t="s">
        <v>2234</v>
      </c>
      <c r="C191" s="40" t="s">
        <v>2362</v>
      </c>
      <c r="D191" s="40" t="s">
        <v>2236</v>
      </c>
      <c r="E191" s="40" t="s">
        <v>2347</v>
      </c>
      <c r="F191" s="40" t="s">
        <v>2348</v>
      </c>
      <c r="G191" s="40" t="s">
        <v>2326</v>
      </c>
      <c r="H191" s="40" t="s">
        <v>1722</v>
      </c>
      <c r="I191" s="40" t="s">
        <v>2349</v>
      </c>
      <c r="J191" s="40" t="s">
        <v>2328</v>
      </c>
      <c r="K191" s="583">
        <v>0.34</v>
      </c>
      <c r="L191" s="40"/>
      <c r="M191" s="40"/>
      <c r="N191" s="40"/>
      <c r="O191" s="40" t="s">
        <v>2241</v>
      </c>
      <c r="P191" s="40" t="s">
        <v>2242</v>
      </c>
      <c r="Q191" s="40" t="s">
        <v>2329</v>
      </c>
      <c r="R191" s="40"/>
      <c r="S191" s="40" t="s">
        <v>2330</v>
      </c>
      <c r="T191" s="40" t="s">
        <v>2331</v>
      </c>
    </row>
    <row r="192" spans="2:20" x14ac:dyDescent="0.2">
      <c r="B192" s="40" t="s">
        <v>2234</v>
      </c>
      <c r="C192" s="40" t="s">
        <v>2362</v>
      </c>
      <c r="D192" s="40" t="s">
        <v>2236</v>
      </c>
      <c r="E192" s="40" t="s">
        <v>2347</v>
      </c>
      <c r="F192" s="40" t="s">
        <v>2348</v>
      </c>
      <c r="G192" s="40" t="s">
        <v>2326</v>
      </c>
      <c r="H192" s="40" t="s">
        <v>1722</v>
      </c>
      <c r="I192" s="40" t="s">
        <v>2349</v>
      </c>
      <c r="J192" s="40" t="s">
        <v>2332</v>
      </c>
      <c r="K192" s="583">
        <v>0.34</v>
      </c>
      <c r="L192" s="40"/>
      <c r="M192" s="40"/>
      <c r="N192" s="40"/>
      <c r="O192" s="40" t="s">
        <v>2241</v>
      </c>
      <c r="P192" s="40" t="s">
        <v>2242</v>
      </c>
      <c r="Q192" s="40" t="s">
        <v>2329</v>
      </c>
      <c r="R192" s="40"/>
      <c r="S192" s="40" t="s">
        <v>2330</v>
      </c>
      <c r="T192" s="40" t="s">
        <v>2331</v>
      </c>
    </row>
    <row r="193" spans="2:20" x14ac:dyDescent="0.2">
      <c r="B193" s="40" t="s">
        <v>2234</v>
      </c>
      <c r="C193" s="40" t="s">
        <v>2362</v>
      </c>
      <c r="D193" s="40" t="s">
        <v>2236</v>
      </c>
      <c r="E193" s="40" t="s">
        <v>2350</v>
      </c>
      <c r="F193" s="40" t="s">
        <v>2348</v>
      </c>
      <c r="G193" s="40" t="s">
        <v>2326</v>
      </c>
      <c r="H193" s="40" t="s">
        <v>1722</v>
      </c>
      <c r="I193" s="40" t="s">
        <v>2349</v>
      </c>
      <c r="J193" s="40" t="s">
        <v>2328</v>
      </c>
      <c r="K193" s="583">
        <v>0.34</v>
      </c>
      <c r="L193" s="40"/>
      <c r="M193" s="40"/>
      <c r="N193" s="40"/>
      <c r="O193" s="40" t="s">
        <v>2241</v>
      </c>
      <c r="P193" s="40" t="s">
        <v>2242</v>
      </c>
      <c r="Q193" s="40" t="s">
        <v>2329</v>
      </c>
      <c r="R193" s="40"/>
      <c r="S193" s="40" t="s">
        <v>2330</v>
      </c>
      <c r="T193" s="40" t="s">
        <v>2331</v>
      </c>
    </row>
    <row r="194" spans="2:20" x14ac:dyDescent="0.2">
      <c r="B194" s="40" t="s">
        <v>2234</v>
      </c>
      <c r="C194" s="40" t="s">
        <v>2362</v>
      </c>
      <c r="D194" s="40" t="s">
        <v>2236</v>
      </c>
      <c r="E194" s="40" t="s">
        <v>2350</v>
      </c>
      <c r="F194" s="40" t="s">
        <v>2348</v>
      </c>
      <c r="G194" s="40" t="s">
        <v>2326</v>
      </c>
      <c r="H194" s="40" t="s">
        <v>1722</v>
      </c>
      <c r="I194" s="40" t="s">
        <v>2349</v>
      </c>
      <c r="J194" s="40" t="s">
        <v>2332</v>
      </c>
      <c r="K194" s="583">
        <v>0.34</v>
      </c>
      <c r="L194" s="40"/>
      <c r="M194" s="40"/>
      <c r="N194" s="40"/>
      <c r="O194" s="40" t="s">
        <v>2241</v>
      </c>
      <c r="P194" s="40" t="s">
        <v>2242</v>
      </c>
      <c r="Q194" s="40" t="s">
        <v>2329</v>
      </c>
      <c r="R194" s="40"/>
      <c r="S194" s="40" t="s">
        <v>2330</v>
      </c>
      <c r="T194" s="40" t="s">
        <v>2331</v>
      </c>
    </row>
    <row r="195" spans="2:20" x14ac:dyDescent="0.2">
      <c r="B195" s="40" t="s">
        <v>2234</v>
      </c>
      <c r="C195" s="40" t="s">
        <v>2362</v>
      </c>
      <c r="D195" s="40" t="s">
        <v>2236</v>
      </c>
      <c r="E195" s="40" t="s">
        <v>2351</v>
      </c>
      <c r="F195" s="40" t="s">
        <v>2348</v>
      </c>
      <c r="G195" s="40" t="s">
        <v>2326</v>
      </c>
      <c r="H195" s="40" t="s">
        <v>1722</v>
      </c>
      <c r="I195" s="40" t="s">
        <v>2349</v>
      </c>
      <c r="J195" s="40" t="s">
        <v>2328</v>
      </c>
      <c r="K195" s="583">
        <v>0.34</v>
      </c>
      <c r="L195" s="40"/>
      <c r="M195" s="40"/>
      <c r="N195" s="40"/>
      <c r="O195" s="40" t="s">
        <v>2241</v>
      </c>
      <c r="P195" s="40" t="s">
        <v>2242</v>
      </c>
      <c r="Q195" s="40" t="s">
        <v>2329</v>
      </c>
      <c r="R195" s="40"/>
      <c r="S195" s="40" t="s">
        <v>2330</v>
      </c>
      <c r="T195" s="40" t="s">
        <v>2331</v>
      </c>
    </row>
    <row r="196" spans="2:20" x14ac:dyDescent="0.2">
      <c r="B196" s="40" t="s">
        <v>2234</v>
      </c>
      <c r="C196" s="40" t="s">
        <v>2362</v>
      </c>
      <c r="D196" s="40" t="s">
        <v>2236</v>
      </c>
      <c r="E196" s="40" t="s">
        <v>2351</v>
      </c>
      <c r="F196" s="40" t="s">
        <v>2348</v>
      </c>
      <c r="G196" s="40" t="s">
        <v>2326</v>
      </c>
      <c r="H196" s="40" t="s">
        <v>1722</v>
      </c>
      <c r="I196" s="40" t="s">
        <v>2349</v>
      </c>
      <c r="J196" s="40" t="s">
        <v>2332</v>
      </c>
      <c r="K196" s="583">
        <v>0.34</v>
      </c>
      <c r="L196" s="40"/>
      <c r="M196" s="40"/>
      <c r="N196" s="40"/>
      <c r="O196" s="40" t="s">
        <v>2241</v>
      </c>
      <c r="P196" s="40" t="s">
        <v>2242</v>
      </c>
      <c r="Q196" s="40" t="s">
        <v>2329</v>
      </c>
      <c r="R196" s="40"/>
      <c r="S196" s="40" t="s">
        <v>2330</v>
      </c>
      <c r="T196" s="40" t="s">
        <v>2331</v>
      </c>
    </row>
    <row r="197" spans="2:20" x14ac:dyDescent="0.2">
      <c r="B197" s="40" t="s">
        <v>2234</v>
      </c>
      <c r="C197" s="40" t="s">
        <v>2362</v>
      </c>
      <c r="D197" s="40" t="s">
        <v>2236</v>
      </c>
      <c r="E197" s="40" t="s">
        <v>2352</v>
      </c>
      <c r="F197" s="40" t="s">
        <v>2348</v>
      </c>
      <c r="G197" s="40" t="s">
        <v>2326</v>
      </c>
      <c r="H197" s="40" t="s">
        <v>1722</v>
      </c>
      <c r="I197" s="40" t="s">
        <v>2349</v>
      </c>
      <c r="J197" s="40" t="s">
        <v>2328</v>
      </c>
      <c r="K197" s="583">
        <v>0.34</v>
      </c>
      <c r="L197" s="40"/>
      <c r="M197" s="40"/>
      <c r="N197" s="40"/>
      <c r="O197" s="40" t="s">
        <v>2241</v>
      </c>
      <c r="P197" s="40" t="s">
        <v>2242</v>
      </c>
      <c r="Q197" s="40" t="s">
        <v>2329</v>
      </c>
      <c r="R197" s="40"/>
      <c r="S197" s="40" t="s">
        <v>2330</v>
      </c>
      <c r="T197" s="40" t="s">
        <v>2331</v>
      </c>
    </row>
    <row r="198" spans="2:20" x14ac:dyDescent="0.2">
      <c r="B198" s="40" t="s">
        <v>2234</v>
      </c>
      <c r="C198" s="40" t="s">
        <v>2362</v>
      </c>
      <c r="D198" s="40" t="s">
        <v>2236</v>
      </c>
      <c r="E198" s="40" t="s">
        <v>2352</v>
      </c>
      <c r="F198" s="40" t="s">
        <v>2348</v>
      </c>
      <c r="G198" s="40" t="s">
        <v>2326</v>
      </c>
      <c r="H198" s="40" t="s">
        <v>1722</v>
      </c>
      <c r="I198" s="40" t="s">
        <v>2349</v>
      </c>
      <c r="J198" s="40" t="s">
        <v>2332</v>
      </c>
      <c r="K198" s="583">
        <v>0.34</v>
      </c>
      <c r="L198" s="40"/>
      <c r="M198" s="40"/>
      <c r="N198" s="40"/>
      <c r="O198" s="40" t="s">
        <v>2241</v>
      </c>
      <c r="P198" s="40" t="s">
        <v>2242</v>
      </c>
      <c r="Q198" s="40" t="s">
        <v>2329</v>
      </c>
      <c r="R198" s="40"/>
      <c r="S198" s="40" t="s">
        <v>2330</v>
      </c>
      <c r="T198" s="40" t="s">
        <v>2331</v>
      </c>
    </row>
    <row r="199" spans="2:20" x14ac:dyDescent="0.2">
      <c r="B199" s="40" t="s">
        <v>2234</v>
      </c>
      <c r="C199" s="40" t="s">
        <v>2362</v>
      </c>
      <c r="D199" s="40" t="s">
        <v>2236</v>
      </c>
      <c r="E199" s="40" t="s">
        <v>2353</v>
      </c>
      <c r="F199" s="40" t="s">
        <v>2354</v>
      </c>
      <c r="G199" s="40" t="s">
        <v>2326</v>
      </c>
      <c r="H199" s="40" t="s">
        <v>2355</v>
      </c>
      <c r="I199" s="40" t="s">
        <v>2356</v>
      </c>
      <c r="J199" s="40"/>
      <c r="K199" s="583">
        <v>0.7</v>
      </c>
      <c r="L199" s="40"/>
      <c r="M199" s="40"/>
      <c r="N199" s="40"/>
      <c r="O199" s="40" t="s">
        <v>2241</v>
      </c>
      <c r="P199" s="40" t="s">
        <v>2242</v>
      </c>
      <c r="Q199" s="40" t="s">
        <v>2329</v>
      </c>
      <c r="R199" s="40" t="s">
        <v>2269</v>
      </c>
      <c r="S199" s="40" t="s">
        <v>2357</v>
      </c>
      <c r="T199" s="40" t="s">
        <v>2331</v>
      </c>
    </row>
    <row r="200" spans="2:20" x14ac:dyDescent="0.2">
      <c r="B200" s="40" t="s">
        <v>2234</v>
      </c>
      <c r="C200" s="40" t="s">
        <v>2362</v>
      </c>
      <c r="D200" s="40" t="s">
        <v>2236</v>
      </c>
      <c r="E200" s="40" t="s">
        <v>2358</v>
      </c>
      <c r="F200" s="40" t="s">
        <v>2348</v>
      </c>
      <c r="G200" s="40" t="s">
        <v>2326</v>
      </c>
      <c r="H200" s="40" t="s">
        <v>1722</v>
      </c>
      <c r="I200" s="40" t="s">
        <v>2349</v>
      </c>
      <c r="J200" s="40" t="s">
        <v>2328</v>
      </c>
      <c r="K200" s="583">
        <v>0.34</v>
      </c>
      <c r="L200" s="40"/>
      <c r="M200" s="40"/>
      <c r="N200" s="40"/>
      <c r="O200" s="40" t="s">
        <v>2241</v>
      </c>
      <c r="P200" s="40" t="s">
        <v>2242</v>
      </c>
      <c r="Q200" s="40" t="s">
        <v>2329</v>
      </c>
      <c r="R200" s="40"/>
      <c r="S200" s="40" t="s">
        <v>2330</v>
      </c>
      <c r="T200" s="40" t="s">
        <v>2331</v>
      </c>
    </row>
    <row r="201" spans="2:20" x14ac:dyDescent="0.2">
      <c r="B201" s="40" t="s">
        <v>2234</v>
      </c>
      <c r="C201" s="40" t="s">
        <v>2362</v>
      </c>
      <c r="D201" s="40" t="s">
        <v>2236</v>
      </c>
      <c r="E201" s="40" t="s">
        <v>2358</v>
      </c>
      <c r="F201" s="40" t="s">
        <v>2348</v>
      </c>
      <c r="G201" s="40" t="s">
        <v>2326</v>
      </c>
      <c r="H201" s="40" t="s">
        <v>1722</v>
      </c>
      <c r="I201" s="40" t="s">
        <v>2349</v>
      </c>
      <c r="J201" s="40" t="s">
        <v>2332</v>
      </c>
      <c r="K201" s="583">
        <v>0.34</v>
      </c>
      <c r="L201" s="40"/>
      <c r="M201" s="40"/>
      <c r="N201" s="40"/>
      <c r="O201" s="40" t="s">
        <v>2241</v>
      </c>
      <c r="P201" s="40" t="s">
        <v>2242</v>
      </c>
      <c r="Q201" s="40" t="s">
        <v>2329</v>
      </c>
      <c r="R201" s="40"/>
      <c r="S201" s="40" t="s">
        <v>2330</v>
      </c>
      <c r="T201" s="40" t="s">
        <v>2331</v>
      </c>
    </row>
    <row r="202" spans="2:20" x14ac:dyDescent="0.2">
      <c r="B202" s="40" t="s">
        <v>2234</v>
      </c>
      <c r="C202" s="40" t="s">
        <v>2362</v>
      </c>
      <c r="D202" s="40" t="s">
        <v>2236</v>
      </c>
      <c r="E202" s="40" t="s">
        <v>2359</v>
      </c>
      <c r="F202" s="40" t="s">
        <v>2354</v>
      </c>
      <c r="G202" s="40" t="s">
        <v>2326</v>
      </c>
      <c r="H202" s="40" t="s">
        <v>2355</v>
      </c>
      <c r="I202" s="40" t="s">
        <v>2356</v>
      </c>
      <c r="J202" s="40"/>
      <c r="K202" s="583">
        <v>0.7</v>
      </c>
      <c r="L202" s="40"/>
      <c r="M202" s="40"/>
      <c r="N202" s="40"/>
      <c r="O202" s="40" t="s">
        <v>2241</v>
      </c>
      <c r="P202" s="40" t="s">
        <v>2242</v>
      </c>
      <c r="Q202" s="40" t="s">
        <v>2329</v>
      </c>
      <c r="R202" s="40" t="s">
        <v>2269</v>
      </c>
      <c r="S202" s="40" t="s">
        <v>2357</v>
      </c>
      <c r="T202" s="40" t="s">
        <v>2331</v>
      </c>
    </row>
    <row r="203" spans="2:20" x14ac:dyDescent="0.2">
      <c r="B203" s="40" t="s">
        <v>2234</v>
      </c>
      <c r="C203" s="40" t="s">
        <v>2362</v>
      </c>
      <c r="D203" s="40" t="s">
        <v>2236</v>
      </c>
      <c r="E203" s="40" t="s">
        <v>2360</v>
      </c>
      <c r="F203" s="40" t="s">
        <v>2361</v>
      </c>
      <c r="G203" s="40" t="s">
        <v>2326</v>
      </c>
      <c r="H203" s="40" t="s">
        <v>2268</v>
      </c>
      <c r="I203" s="40" t="s">
        <v>2343</v>
      </c>
      <c r="J203" s="40"/>
      <c r="K203" s="583">
        <v>0.66</v>
      </c>
      <c r="L203" s="40"/>
      <c r="M203" s="40"/>
      <c r="N203" s="40"/>
      <c r="O203" s="40" t="s">
        <v>2241</v>
      </c>
      <c r="P203" s="40" t="s">
        <v>2242</v>
      </c>
      <c r="Q203" s="40" t="s">
        <v>2329</v>
      </c>
      <c r="R203" s="40" t="s">
        <v>2269</v>
      </c>
      <c r="S203" s="40" t="s">
        <v>2330</v>
      </c>
      <c r="T203" s="40" t="s">
        <v>2331</v>
      </c>
    </row>
    <row r="204" spans="2:20" x14ac:dyDescent="0.2">
      <c r="B204" s="40" t="s">
        <v>2234</v>
      </c>
      <c r="C204" s="40" t="s">
        <v>2362</v>
      </c>
      <c r="D204" s="40" t="s">
        <v>2236</v>
      </c>
      <c r="E204" s="40" t="s">
        <v>2237</v>
      </c>
      <c r="F204" s="40" t="s">
        <v>2365</v>
      </c>
      <c r="G204" s="40" t="s">
        <v>2366</v>
      </c>
      <c r="H204" s="40" t="s">
        <v>2367</v>
      </c>
      <c r="I204" s="40" t="s">
        <v>2236</v>
      </c>
      <c r="J204" s="40"/>
      <c r="K204" s="40"/>
      <c r="L204" s="40">
        <v>9.2999999999999999E-2</v>
      </c>
      <c r="M204" s="40">
        <v>0.31</v>
      </c>
      <c r="N204" s="583">
        <f t="shared" ref="N204:N255" si="3">(L204+M204)/2</f>
        <v>0.20150000000000001</v>
      </c>
      <c r="O204" s="40" t="s">
        <v>2241</v>
      </c>
      <c r="P204" s="40" t="s">
        <v>2368</v>
      </c>
      <c r="Q204" s="40" t="s">
        <v>2288</v>
      </c>
      <c r="R204" s="40"/>
      <c r="S204" s="40"/>
      <c r="T204" s="40" t="s">
        <v>2369</v>
      </c>
    </row>
    <row r="205" spans="2:20" x14ac:dyDescent="0.2">
      <c r="B205" s="40" t="s">
        <v>2234</v>
      </c>
      <c r="C205" s="40" t="s">
        <v>2362</v>
      </c>
      <c r="D205" s="40" t="s">
        <v>2236</v>
      </c>
      <c r="E205" s="40" t="s">
        <v>2246</v>
      </c>
      <c r="F205" s="40" t="s">
        <v>2370</v>
      </c>
      <c r="G205" s="40" t="s">
        <v>2366</v>
      </c>
      <c r="H205" s="40" t="s">
        <v>2371</v>
      </c>
      <c r="I205" s="40" t="s">
        <v>2236</v>
      </c>
      <c r="J205" s="40"/>
      <c r="K205" s="40"/>
      <c r="L205" s="40">
        <v>3.6999999999999998E-2</v>
      </c>
      <c r="M205" s="40">
        <v>7.0999999999999994E-2</v>
      </c>
      <c r="N205" s="583">
        <f t="shared" si="3"/>
        <v>5.3999999999999992E-2</v>
      </c>
      <c r="O205" s="40" t="s">
        <v>2241</v>
      </c>
      <c r="P205" s="40" t="s">
        <v>2368</v>
      </c>
      <c r="Q205" s="40" t="s">
        <v>2288</v>
      </c>
      <c r="R205" s="40"/>
      <c r="S205" s="40"/>
      <c r="T205" s="40" t="s">
        <v>2369</v>
      </c>
    </row>
    <row r="206" spans="2:20" x14ac:dyDescent="0.2">
      <c r="B206" s="40" t="s">
        <v>2234</v>
      </c>
      <c r="C206" s="40" t="s">
        <v>2362</v>
      </c>
      <c r="D206" s="40" t="s">
        <v>2236</v>
      </c>
      <c r="E206" s="40" t="s">
        <v>2372</v>
      </c>
      <c r="F206" s="40" t="s">
        <v>2370</v>
      </c>
      <c r="G206" s="40" t="s">
        <v>2366</v>
      </c>
      <c r="H206" s="40" t="s">
        <v>2371</v>
      </c>
      <c r="I206" s="40" t="s">
        <v>2236</v>
      </c>
      <c r="J206" s="40"/>
      <c r="K206" s="40"/>
      <c r="L206" s="40">
        <v>3.6999999999999998E-2</v>
      </c>
      <c r="M206" s="40">
        <v>7.0999999999999994E-2</v>
      </c>
      <c r="N206" s="583">
        <f t="shared" si="3"/>
        <v>5.3999999999999992E-2</v>
      </c>
      <c r="O206" s="40" t="s">
        <v>2241</v>
      </c>
      <c r="P206" s="40" t="s">
        <v>2368</v>
      </c>
      <c r="Q206" s="40" t="s">
        <v>2288</v>
      </c>
      <c r="R206" s="40"/>
      <c r="S206" s="40"/>
      <c r="T206" s="40" t="s">
        <v>2369</v>
      </c>
    </row>
    <row r="207" spans="2:20" x14ac:dyDescent="0.2">
      <c r="B207" s="40" t="s">
        <v>2234</v>
      </c>
      <c r="C207" s="40" t="s">
        <v>2362</v>
      </c>
      <c r="D207" s="40" t="s">
        <v>2236</v>
      </c>
      <c r="E207" s="40" t="s">
        <v>2257</v>
      </c>
      <c r="F207" s="40" t="s">
        <v>2373</v>
      </c>
      <c r="G207" s="40" t="s">
        <v>2366</v>
      </c>
      <c r="H207" s="40" t="s">
        <v>2374</v>
      </c>
      <c r="I207" s="40" t="s">
        <v>2236</v>
      </c>
      <c r="J207" s="40"/>
      <c r="K207" s="40"/>
      <c r="L207" s="40">
        <v>7.3999999999999996E-2</v>
      </c>
      <c r="M207" s="40">
        <v>0.13</v>
      </c>
      <c r="N207" s="583">
        <f t="shared" si="3"/>
        <v>0.10200000000000001</v>
      </c>
      <c r="O207" s="40" t="s">
        <v>2241</v>
      </c>
      <c r="P207" s="40" t="s">
        <v>2368</v>
      </c>
      <c r="Q207" s="40" t="s">
        <v>2288</v>
      </c>
      <c r="R207" s="40"/>
      <c r="S207" s="40"/>
      <c r="T207" s="40" t="s">
        <v>2369</v>
      </c>
    </row>
    <row r="208" spans="2:20" x14ac:dyDescent="0.2">
      <c r="B208" s="40" t="s">
        <v>2234</v>
      </c>
      <c r="C208" s="40" t="s">
        <v>2362</v>
      </c>
      <c r="D208" s="40" t="s">
        <v>2236</v>
      </c>
      <c r="E208" s="40" t="s">
        <v>2266</v>
      </c>
      <c r="F208" s="40" t="s">
        <v>2373</v>
      </c>
      <c r="G208" s="40" t="s">
        <v>2366</v>
      </c>
      <c r="H208" s="40" t="s">
        <v>2374</v>
      </c>
      <c r="I208" s="40" t="s">
        <v>2236</v>
      </c>
      <c r="J208" s="40"/>
      <c r="K208" s="40"/>
      <c r="L208" s="40">
        <v>7.3999999999999996E-2</v>
      </c>
      <c r="M208" s="40">
        <v>0.13</v>
      </c>
      <c r="N208" s="583">
        <f t="shared" si="3"/>
        <v>0.10200000000000001</v>
      </c>
      <c r="O208" s="40" t="s">
        <v>2241</v>
      </c>
      <c r="P208" s="40" t="s">
        <v>2368</v>
      </c>
      <c r="Q208" s="40" t="s">
        <v>2288</v>
      </c>
      <c r="R208" s="40"/>
      <c r="S208" s="40"/>
      <c r="T208" s="40" t="s">
        <v>2369</v>
      </c>
    </row>
    <row r="209" spans="2:20" x14ac:dyDescent="0.2">
      <c r="B209" s="40" t="s">
        <v>2234</v>
      </c>
      <c r="C209" s="40" t="s">
        <v>2362</v>
      </c>
      <c r="D209" s="40" t="s">
        <v>2236</v>
      </c>
      <c r="E209" s="40" t="s">
        <v>2271</v>
      </c>
      <c r="F209" s="40" t="s">
        <v>2373</v>
      </c>
      <c r="G209" s="40" t="s">
        <v>2366</v>
      </c>
      <c r="H209" s="40" t="s">
        <v>2374</v>
      </c>
      <c r="I209" s="40" t="s">
        <v>2236</v>
      </c>
      <c r="J209" s="40"/>
      <c r="K209" s="40"/>
      <c r="L209" s="40">
        <v>7.3999999999999996E-2</v>
      </c>
      <c r="M209" s="40">
        <v>0.13</v>
      </c>
      <c r="N209" s="583">
        <f t="shared" si="3"/>
        <v>0.10200000000000001</v>
      </c>
      <c r="O209" s="40" t="s">
        <v>2241</v>
      </c>
      <c r="P209" s="40" t="s">
        <v>2368</v>
      </c>
      <c r="Q209" s="40" t="s">
        <v>2288</v>
      </c>
      <c r="R209" s="40"/>
      <c r="S209" s="40"/>
      <c r="T209" s="40" t="s">
        <v>2369</v>
      </c>
    </row>
    <row r="210" spans="2:20" x14ac:dyDescent="0.2">
      <c r="B210" s="40" t="s">
        <v>2234</v>
      </c>
      <c r="C210" s="40" t="s">
        <v>2362</v>
      </c>
      <c r="D210" s="40" t="s">
        <v>2236</v>
      </c>
      <c r="E210" s="40" t="s">
        <v>2272</v>
      </c>
      <c r="F210" s="40" t="s">
        <v>2375</v>
      </c>
      <c r="G210" s="40" t="s">
        <v>2366</v>
      </c>
      <c r="H210" s="40" t="s">
        <v>1483</v>
      </c>
      <c r="I210" s="40" t="s">
        <v>2236</v>
      </c>
      <c r="J210" s="40"/>
      <c r="K210" s="40"/>
      <c r="L210" s="40">
        <v>6.7000000000000004E-2</v>
      </c>
      <c r="M210" s="40">
        <v>0.15</v>
      </c>
      <c r="N210" s="583">
        <f t="shared" si="3"/>
        <v>0.1085</v>
      </c>
      <c r="O210" s="40" t="s">
        <v>2241</v>
      </c>
      <c r="P210" s="40" t="s">
        <v>2368</v>
      </c>
      <c r="Q210" s="40" t="s">
        <v>2288</v>
      </c>
      <c r="R210" s="40"/>
      <c r="S210" s="40"/>
      <c r="T210" s="40" t="s">
        <v>2369</v>
      </c>
    </row>
    <row r="211" spans="2:20" x14ac:dyDescent="0.2">
      <c r="B211" s="40" t="s">
        <v>2234</v>
      </c>
      <c r="C211" s="40" t="s">
        <v>2362</v>
      </c>
      <c r="D211" s="40" t="s">
        <v>2236</v>
      </c>
      <c r="E211" s="40" t="s">
        <v>2275</v>
      </c>
      <c r="F211" s="40" t="s">
        <v>2375</v>
      </c>
      <c r="G211" s="40" t="s">
        <v>2366</v>
      </c>
      <c r="H211" s="40" t="s">
        <v>1483</v>
      </c>
      <c r="I211" s="40" t="s">
        <v>2236</v>
      </c>
      <c r="J211" s="40"/>
      <c r="K211" s="40"/>
      <c r="L211" s="40">
        <v>6.7000000000000004E-2</v>
      </c>
      <c r="M211" s="40">
        <v>0.15</v>
      </c>
      <c r="N211" s="583">
        <f t="shared" si="3"/>
        <v>0.1085</v>
      </c>
      <c r="O211" s="40" t="s">
        <v>2241</v>
      </c>
      <c r="P211" s="40" t="s">
        <v>2368</v>
      </c>
      <c r="Q211" s="40" t="s">
        <v>2288</v>
      </c>
      <c r="R211" s="40"/>
      <c r="S211" s="40"/>
      <c r="T211" s="40" t="s">
        <v>2369</v>
      </c>
    </row>
    <row r="212" spans="2:20" x14ac:dyDescent="0.2">
      <c r="B212" s="40" t="s">
        <v>2234</v>
      </c>
      <c r="C212" s="40" t="s">
        <v>2362</v>
      </c>
      <c r="D212" s="40" t="s">
        <v>2236</v>
      </c>
      <c r="E212" s="40" t="s">
        <v>2276</v>
      </c>
      <c r="F212" s="40" t="s">
        <v>2375</v>
      </c>
      <c r="G212" s="40" t="s">
        <v>2366</v>
      </c>
      <c r="H212" s="40" t="s">
        <v>1483</v>
      </c>
      <c r="I212" s="40" t="s">
        <v>2236</v>
      </c>
      <c r="J212" s="40"/>
      <c r="K212" s="40"/>
      <c r="L212" s="40">
        <v>6.7000000000000004E-2</v>
      </c>
      <c r="M212" s="40">
        <v>0.15</v>
      </c>
      <c r="N212" s="583">
        <f t="shared" si="3"/>
        <v>0.1085</v>
      </c>
      <c r="O212" s="40" t="s">
        <v>2241</v>
      </c>
      <c r="P212" s="40" t="s">
        <v>2368</v>
      </c>
      <c r="Q212" s="40" t="s">
        <v>2288</v>
      </c>
      <c r="R212" s="40"/>
      <c r="S212" s="40"/>
      <c r="T212" s="40" t="s">
        <v>2369</v>
      </c>
    </row>
    <row r="213" spans="2:20" x14ac:dyDescent="0.2">
      <c r="B213" s="40" t="s">
        <v>2234</v>
      </c>
      <c r="C213" s="40" t="s">
        <v>2362</v>
      </c>
      <c r="D213" s="40" t="s">
        <v>2236</v>
      </c>
      <c r="E213" s="40" t="s">
        <v>2277</v>
      </c>
      <c r="F213" s="40" t="s">
        <v>2376</v>
      </c>
      <c r="G213" s="40" t="s">
        <v>2377</v>
      </c>
      <c r="H213" s="40" t="s">
        <v>1572</v>
      </c>
      <c r="I213" s="40" t="s">
        <v>2236</v>
      </c>
      <c r="J213" s="40"/>
      <c r="K213" s="40"/>
      <c r="L213" s="40">
        <v>9.2999999999999999E-2</v>
      </c>
      <c r="M213" s="40">
        <v>0.31</v>
      </c>
      <c r="N213" s="583">
        <f t="shared" si="3"/>
        <v>0.20150000000000001</v>
      </c>
      <c r="O213" s="40" t="s">
        <v>2241</v>
      </c>
      <c r="P213" s="40" t="s">
        <v>2368</v>
      </c>
      <c r="Q213" s="40" t="s">
        <v>2288</v>
      </c>
      <c r="R213" s="40"/>
      <c r="S213" s="40"/>
      <c r="T213" s="40" t="s">
        <v>2369</v>
      </c>
    </row>
    <row r="214" spans="2:20" x14ac:dyDescent="0.2">
      <c r="B214" s="40" t="s">
        <v>2234</v>
      </c>
      <c r="C214" s="40" t="s">
        <v>2362</v>
      </c>
      <c r="D214" s="40" t="s">
        <v>2236</v>
      </c>
      <c r="E214" s="40" t="s">
        <v>2278</v>
      </c>
      <c r="F214" s="40" t="s">
        <v>2376</v>
      </c>
      <c r="G214" s="40" t="s">
        <v>2377</v>
      </c>
      <c r="H214" s="40" t="s">
        <v>1572</v>
      </c>
      <c r="I214" s="40" t="s">
        <v>2236</v>
      </c>
      <c r="J214" s="40"/>
      <c r="K214" s="40"/>
      <c r="L214" s="40">
        <v>9.2999999999999999E-2</v>
      </c>
      <c r="M214" s="40">
        <v>0.31</v>
      </c>
      <c r="N214" s="583">
        <f t="shared" si="3"/>
        <v>0.20150000000000001</v>
      </c>
      <c r="O214" s="40" t="s">
        <v>2241</v>
      </c>
      <c r="P214" s="40" t="s">
        <v>2368</v>
      </c>
      <c r="Q214" s="40" t="s">
        <v>2288</v>
      </c>
      <c r="R214" s="40"/>
      <c r="S214" s="40"/>
      <c r="T214" s="40" t="s">
        <v>2369</v>
      </c>
    </row>
    <row r="215" spans="2:20" x14ac:dyDescent="0.2">
      <c r="B215" s="40" t="s">
        <v>2234</v>
      </c>
      <c r="C215" s="40" t="s">
        <v>2362</v>
      </c>
      <c r="D215" s="40" t="s">
        <v>2236</v>
      </c>
      <c r="E215" s="40" t="s">
        <v>2378</v>
      </c>
      <c r="F215" s="40" t="s">
        <v>2376</v>
      </c>
      <c r="G215" s="40" t="s">
        <v>2377</v>
      </c>
      <c r="H215" s="40" t="s">
        <v>1572</v>
      </c>
      <c r="I215" s="40" t="s">
        <v>2236</v>
      </c>
      <c r="J215" s="40"/>
      <c r="K215" s="40"/>
      <c r="L215" s="40">
        <v>9.2999999999999999E-2</v>
      </c>
      <c r="M215" s="40">
        <v>0.31</v>
      </c>
      <c r="N215" s="583">
        <f t="shared" si="3"/>
        <v>0.20150000000000001</v>
      </c>
      <c r="O215" s="40" t="s">
        <v>2241</v>
      </c>
      <c r="P215" s="40" t="s">
        <v>2368</v>
      </c>
      <c r="Q215" s="40" t="s">
        <v>2288</v>
      </c>
      <c r="R215" s="40"/>
      <c r="S215" s="40"/>
      <c r="T215" s="40" t="s">
        <v>2369</v>
      </c>
    </row>
    <row r="216" spans="2:20" x14ac:dyDescent="0.2">
      <c r="B216" s="40" t="s">
        <v>2234</v>
      </c>
      <c r="C216" s="40" t="s">
        <v>2362</v>
      </c>
      <c r="D216" s="40" t="s">
        <v>2236</v>
      </c>
      <c r="E216" s="40" t="s">
        <v>2279</v>
      </c>
      <c r="F216" s="40" t="s">
        <v>2376</v>
      </c>
      <c r="G216" s="40" t="s">
        <v>2377</v>
      </c>
      <c r="H216" s="40" t="s">
        <v>1572</v>
      </c>
      <c r="I216" s="40" t="s">
        <v>2236</v>
      </c>
      <c r="J216" s="40"/>
      <c r="K216" s="40"/>
      <c r="L216" s="40">
        <v>9.2999999999999999E-2</v>
      </c>
      <c r="M216" s="40">
        <v>0.31</v>
      </c>
      <c r="N216" s="583">
        <f t="shared" si="3"/>
        <v>0.20150000000000001</v>
      </c>
      <c r="O216" s="40" t="s">
        <v>2241</v>
      </c>
      <c r="P216" s="40" t="s">
        <v>2368</v>
      </c>
      <c r="Q216" s="40" t="s">
        <v>2288</v>
      </c>
      <c r="R216" s="40"/>
      <c r="S216" s="40"/>
      <c r="T216" s="40" t="s">
        <v>2369</v>
      </c>
    </row>
    <row r="217" spans="2:20" x14ac:dyDescent="0.2">
      <c r="B217" s="40" t="s">
        <v>2234</v>
      </c>
      <c r="C217" s="40" t="s">
        <v>2362</v>
      </c>
      <c r="D217" s="40" t="s">
        <v>2236</v>
      </c>
      <c r="E217" s="40" t="s">
        <v>2280</v>
      </c>
      <c r="F217" s="40" t="s">
        <v>2376</v>
      </c>
      <c r="G217" s="40" t="s">
        <v>2377</v>
      </c>
      <c r="H217" s="40" t="s">
        <v>1572</v>
      </c>
      <c r="I217" s="40" t="s">
        <v>2236</v>
      </c>
      <c r="J217" s="40"/>
      <c r="K217" s="40"/>
      <c r="L217" s="40">
        <v>9.2999999999999999E-2</v>
      </c>
      <c r="M217" s="40">
        <v>0.31</v>
      </c>
      <c r="N217" s="583">
        <f t="shared" si="3"/>
        <v>0.20150000000000001</v>
      </c>
      <c r="O217" s="40" t="s">
        <v>2241</v>
      </c>
      <c r="P217" s="40" t="s">
        <v>2368</v>
      </c>
      <c r="Q217" s="40" t="s">
        <v>2288</v>
      </c>
      <c r="R217" s="40"/>
      <c r="S217" s="40"/>
      <c r="T217" s="40" t="s">
        <v>2369</v>
      </c>
    </row>
    <row r="218" spans="2:20" x14ac:dyDescent="0.2">
      <c r="B218" s="40" t="s">
        <v>2234</v>
      </c>
      <c r="C218" s="40" t="s">
        <v>2362</v>
      </c>
      <c r="D218" s="40" t="s">
        <v>2236</v>
      </c>
      <c r="E218" s="40" t="s">
        <v>2281</v>
      </c>
      <c r="F218" s="40" t="s">
        <v>2379</v>
      </c>
      <c r="G218" s="40" t="s">
        <v>2377</v>
      </c>
      <c r="H218" s="40" t="s">
        <v>2371</v>
      </c>
      <c r="I218" s="40" t="s">
        <v>2236</v>
      </c>
      <c r="J218" s="40"/>
      <c r="K218" s="40"/>
      <c r="L218" s="40">
        <v>3.6999999999999998E-2</v>
      </c>
      <c r="M218" s="40">
        <v>7.0999999999999994E-2</v>
      </c>
      <c r="N218" s="583">
        <f t="shared" si="3"/>
        <v>5.3999999999999992E-2</v>
      </c>
      <c r="O218" s="40" t="s">
        <v>2241</v>
      </c>
      <c r="P218" s="40" t="s">
        <v>2368</v>
      </c>
      <c r="Q218" s="40" t="s">
        <v>2288</v>
      </c>
      <c r="R218" s="40"/>
      <c r="S218" s="40"/>
      <c r="T218" s="40" t="s">
        <v>2369</v>
      </c>
    </row>
    <row r="219" spans="2:20" x14ac:dyDescent="0.2">
      <c r="B219" s="40" t="s">
        <v>2234</v>
      </c>
      <c r="C219" s="40" t="s">
        <v>2362</v>
      </c>
      <c r="D219" s="40" t="s">
        <v>2236</v>
      </c>
      <c r="E219" s="40" t="s">
        <v>2284</v>
      </c>
      <c r="F219" s="40" t="s">
        <v>2379</v>
      </c>
      <c r="G219" s="40" t="s">
        <v>2377</v>
      </c>
      <c r="H219" s="40" t="s">
        <v>2371</v>
      </c>
      <c r="I219" s="40" t="s">
        <v>2236</v>
      </c>
      <c r="J219" s="40"/>
      <c r="K219" s="40"/>
      <c r="L219" s="40">
        <v>3.6999999999999998E-2</v>
      </c>
      <c r="M219" s="40">
        <v>7.0999999999999994E-2</v>
      </c>
      <c r="N219" s="583">
        <f t="shared" si="3"/>
        <v>5.3999999999999992E-2</v>
      </c>
      <c r="O219" s="40" t="s">
        <v>2241</v>
      </c>
      <c r="P219" s="40" t="s">
        <v>2368</v>
      </c>
      <c r="Q219" s="40" t="s">
        <v>2288</v>
      </c>
      <c r="R219" s="40"/>
      <c r="S219" s="40"/>
      <c r="T219" s="40" t="s">
        <v>2369</v>
      </c>
    </row>
    <row r="220" spans="2:20" x14ac:dyDescent="0.2">
      <c r="B220" s="40" t="s">
        <v>2234</v>
      </c>
      <c r="C220" s="40" t="s">
        <v>2362</v>
      </c>
      <c r="D220" s="40" t="s">
        <v>2236</v>
      </c>
      <c r="E220" s="40" t="s">
        <v>2380</v>
      </c>
      <c r="F220" s="40" t="s">
        <v>2379</v>
      </c>
      <c r="G220" s="40" t="s">
        <v>2377</v>
      </c>
      <c r="H220" s="40" t="s">
        <v>2371</v>
      </c>
      <c r="I220" s="40" t="s">
        <v>2236</v>
      </c>
      <c r="J220" s="40"/>
      <c r="K220" s="40"/>
      <c r="L220" s="40">
        <v>3.6999999999999998E-2</v>
      </c>
      <c r="M220" s="40">
        <v>7.0999999999999994E-2</v>
      </c>
      <c r="N220" s="583">
        <f t="shared" si="3"/>
        <v>5.3999999999999992E-2</v>
      </c>
      <c r="O220" s="40" t="s">
        <v>2241</v>
      </c>
      <c r="P220" s="40" t="s">
        <v>2368</v>
      </c>
      <c r="Q220" s="40" t="s">
        <v>2288</v>
      </c>
      <c r="R220" s="40"/>
      <c r="S220" s="40"/>
      <c r="T220" s="40" t="s">
        <v>2369</v>
      </c>
    </row>
    <row r="221" spans="2:20" x14ac:dyDescent="0.2">
      <c r="B221" s="40" t="s">
        <v>2234</v>
      </c>
      <c r="C221" s="40" t="s">
        <v>2362</v>
      </c>
      <c r="D221" s="40" t="s">
        <v>2236</v>
      </c>
      <c r="E221" s="40" t="s">
        <v>2290</v>
      </c>
      <c r="F221" s="40" t="s">
        <v>2379</v>
      </c>
      <c r="G221" s="40" t="s">
        <v>2377</v>
      </c>
      <c r="H221" s="40" t="s">
        <v>2371</v>
      </c>
      <c r="I221" s="40" t="s">
        <v>2236</v>
      </c>
      <c r="J221" s="40"/>
      <c r="K221" s="40"/>
      <c r="L221" s="40">
        <v>3.6999999999999998E-2</v>
      </c>
      <c r="M221" s="40">
        <v>7.0999999999999994E-2</v>
      </c>
      <c r="N221" s="583">
        <f t="shared" si="3"/>
        <v>5.3999999999999992E-2</v>
      </c>
      <c r="O221" s="40" t="s">
        <v>2241</v>
      </c>
      <c r="P221" s="40" t="s">
        <v>2368</v>
      </c>
      <c r="Q221" s="40" t="s">
        <v>2288</v>
      </c>
      <c r="R221" s="40"/>
      <c r="S221" s="40"/>
      <c r="T221" s="40" t="s">
        <v>2369</v>
      </c>
    </row>
    <row r="222" spans="2:20" x14ac:dyDescent="0.2">
      <c r="B222" s="40" t="s">
        <v>2234</v>
      </c>
      <c r="C222" s="40" t="s">
        <v>2362</v>
      </c>
      <c r="D222" s="40" t="s">
        <v>2236</v>
      </c>
      <c r="E222" s="40" t="s">
        <v>2291</v>
      </c>
      <c r="F222" s="40" t="s">
        <v>2379</v>
      </c>
      <c r="G222" s="40" t="s">
        <v>2377</v>
      </c>
      <c r="H222" s="40" t="s">
        <v>2371</v>
      </c>
      <c r="I222" s="40" t="s">
        <v>2236</v>
      </c>
      <c r="J222" s="40"/>
      <c r="K222" s="40"/>
      <c r="L222" s="40">
        <v>3.6999999999999998E-2</v>
      </c>
      <c r="M222" s="40">
        <v>7.0999999999999994E-2</v>
      </c>
      <c r="N222" s="583">
        <f t="shared" si="3"/>
        <v>5.3999999999999992E-2</v>
      </c>
      <c r="O222" s="40" t="s">
        <v>2241</v>
      </c>
      <c r="P222" s="40" t="s">
        <v>2368</v>
      </c>
      <c r="Q222" s="40" t="s">
        <v>2288</v>
      </c>
      <c r="R222" s="40"/>
      <c r="S222" s="40"/>
      <c r="T222" s="40" t="s">
        <v>2369</v>
      </c>
    </row>
    <row r="223" spans="2:20" x14ac:dyDescent="0.2">
      <c r="B223" s="40" t="s">
        <v>2234</v>
      </c>
      <c r="C223" s="40" t="s">
        <v>2362</v>
      </c>
      <c r="D223" s="40" t="s">
        <v>2236</v>
      </c>
      <c r="E223" s="40" t="s">
        <v>2292</v>
      </c>
      <c r="F223" s="40" t="s">
        <v>2381</v>
      </c>
      <c r="G223" s="40" t="s">
        <v>2377</v>
      </c>
      <c r="H223" s="40" t="s">
        <v>2374</v>
      </c>
      <c r="I223" s="40" t="s">
        <v>2236</v>
      </c>
      <c r="J223" s="40"/>
      <c r="K223" s="40"/>
      <c r="L223" s="40">
        <v>7.3999999999999996E-2</v>
      </c>
      <c r="M223" s="40">
        <v>0.13</v>
      </c>
      <c r="N223" s="583">
        <f t="shared" si="3"/>
        <v>0.10200000000000001</v>
      </c>
      <c r="O223" s="40" t="s">
        <v>2241</v>
      </c>
      <c r="P223" s="40" t="s">
        <v>2368</v>
      </c>
      <c r="Q223" s="40" t="s">
        <v>2288</v>
      </c>
      <c r="R223" s="40"/>
      <c r="S223" s="40"/>
      <c r="T223" s="40" t="s">
        <v>2369</v>
      </c>
    </row>
    <row r="224" spans="2:20" x14ac:dyDescent="0.2">
      <c r="B224" s="40" t="s">
        <v>2234</v>
      </c>
      <c r="C224" s="40" t="s">
        <v>2362</v>
      </c>
      <c r="D224" s="40" t="s">
        <v>2236</v>
      </c>
      <c r="E224" s="40" t="s">
        <v>2295</v>
      </c>
      <c r="F224" s="40" t="s">
        <v>2381</v>
      </c>
      <c r="G224" s="40" t="s">
        <v>2377</v>
      </c>
      <c r="H224" s="40" t="s">
        <v>2374</v>
      </c>
      <c r="I224" s="40" t="s">
        <v>2236</v>
      </c>
      <c r="J224" s="40"/>
      <c r="K224" s="40"/>
      <c r="L224" s="40">
        <v>7.3999999999999996E-2</v>
      </c>
      <c r="M224" s="40">
        <v>0.13</v>
      </c>
      <c r="N224" s="583">
        <f t="shared" si="3"/>
        <v>0.10200000000000001</v>
      </c>
      <c r="O224" s="40" t="s">
        <v>2241</v>
      </c>
      <c r="P224" s="40" t="s">
        <v>2368</v>
      </c>
      <c r="Q224" s="40" t="s">
        <v>2288</v>
      </c>
      <c r="R224" s="40"/>
      <c r="S224" s="40"/>
      <c r="T224" s="40" t="s">
        <v>2369</v>
      </c>
    </row>
    <row r="225" spans="2:20" x14ac:dyDescent="0.2">
      <c r="B225" s="40" t="s">
        <v>2234</v>
      </c>
      <c r="C225" s="40" t="s">
        <v>2362</v>
      </c>
      <c r="D225" s="40" t="s">
        <v>2236</v>
      </c>
      <c r="E225" s="40" t="s">
        <v>2296</v>
      </c>
      <c r="F225" s="40" t="s">
        <v>2381</v>
      </c>
      <c r="G225" s="40" t="s">
        <v>2377</v>
      </c>
      <c r="H225" s="40" t="s">
        <v>2374</v>
      </c>
      <c r="I225" s="40" t="s">
        <v>2236</v>
      </c>
      <c r="J225" s="40"/>
      <c r="K225" s="40"/>
      <c r="L225" s="40">
        <v>7.3999999999999996E-2</v>
      </c>
      <c r="M225" s="40">
        <v>0.13</v>
      </c>
      <c r="N225" s="583">
        <f t="shared" si="3"/>
        <v>0.10200000000000001</v>
      </c>
      <c r="O225" s="40" t="s">
        <v>2241</v>
      </c>
      <c r="P225" s="40" t="s">
        <v>2368</v>
      </c>
      <c r="Q225" s="40" t="s">
        <v>2288</v>
      </c>
      <c r="R225" s="40"/>
      <c r="S225" s="40"/>
      <c r="T225" s="40" t="s">
        <v>2369</v>
      </c>
    </row>
    <row r="226" spans="2:20" x14ac:dyDescent="0.2">
      <c r="B226" s="40" t="s">
        <v>2234</v>
      </c>
      <c r="C226" s="40" t="s">
        <v>2362</v>
      </c>
      <c r="D226" s="40" t="s">
        <v>2236</v>
      </c>
      <c r="E226" s="40" t="s">
        <v>2297</v>
      </c>
      <c r="F226" s="40" t="s">
        <v>2381</v>
      </c>
      <c r="G226" s="40" t="s">
        <v>2377</v>
      </c>
      <c r="H226" s="40" t="s">
        <v>2374</v>
      </c>
      <c r="I226" s="40" t="s">
        <v>2236</v>
      </c>
      <c r="J226" s="40"/>
      <c r="K226" s="40"/>
      <c r="L226" s="40">
        <v>7.3999999999999996E-2</v>
      </c>
      <c r="M226" s="40">
        <v>0.13</v>
      </c>
      <c r="N226" s="583">
        <f t="shared" si="3"/>
        <v>0.10200000000000001</v>
      </c>
      <c r="O226" s="40" t="s">
        <v>2241</v>
      </c>
      <c r="P226" s="40" t="s">
        <v>2368</v>
      </c>
      <c r="Q226" s="40" t="s">
        <v>2288</v>
      </c>
      <c r="R226" s="40"/>
      <c r="S226" s="40"/>
      <c r="T226" s="40" t="s">
        <v>2369</v>
      </c>
    </row>
    <row r="227" spans="2:20" x14ac:dyDescent="0.2">
      <c r="B227" s="40" t="s">
        <v>2234</v>
      </c>
      <c r="C227" s="40" t="s">
        <v>2362</v>
      </c>
      <c r="D227" s="40" t="s">
        <v>2236</v>
      </c>
      <c r="E227" s="40" t="s">
        <v>2298</v>
      </c>
      <c r="F227" s="40" t="s">
        <v>2381</v>
      </c>
      <c r="G227" s="40" t="s">
        <v>2377</v>
      </c>
      <c r="H227" s="40" t="s">
        <v>2374</v>
      </c>
      <c r="I227" s="40" t="s">
        <v>2236</v>
      </c>
      <c r="J227" s="40"/>
      <c r="K227" s="40"/>
      <c r="L227" s="40">
        <v>7.3999999999999996E-2</v>
      </c>
      <c r="M227" s="40">
        <v>0.13</v>
      </c>
      <c r="N227" s="583">
        <f t="shared" si="3"/>
        <v>0.10200000000000001</v>
      </c>
      <c r="O227" s="40" t="s">
        <v>2241</v>
      </c>
      <c r="P227" s="40" t="s">
        <v>2368</v>
      </c>
      <c r="Q227" s="40" t="s">
        <v>2288</v>
      </c>
      <c r="R227" s="40"/>
      <c r="S227" s="40"/>
      <c r="T227" s="40" t="s">
        <v>2369</v>
      </c>
    </row>
    <row r="228" spans="2:20" x14ac:dyDescent="0.2">
      <c r="B228" s="40" t="s">
        <v>2234</v>
      </c>
      <c r="C228" s="40" t="s">
        <v>2362</v>
      </c>
      <c r="D228" s="40" t="s">
        <v>2236</v>
      </c>
      <c r="E228" s="40" t="s">
        <v>2299</v>
      </c>
      <c r="F228" s="40" t="s">
        <v>2381</v>
      </c>
      <c r="G228" s="40" t="s">
        <v>2377</v>
      </c>
      <c r="H228" s="40" t="s">
        <v>2374</v>
      </c>
      <c r="I228" s="40" t="s">
        <v>2236</v>
      </c>
      <c r="J228" s="40"/>
      <c r="K228" s="40"/>
      <c r="L228" s="40">
        <v>7.3999999999999996E-2</v>
      </c>
      <c r="M228" s="40">
        <v>0.13</v>
      </c>
      <c r="N228" s="583">
        <f t="shared" si="3"/>
        <v>0.10200000000000001</v>
      </c>
      <c r="O228" s="40" t="s">
        <v>2241</v>
      </c>
      <c r="P228" s="40" t="s">
        <v>2368</v>
      </c>
      <c r="Q228" s="40" t="s">
        <v>2288</v>
      </c>
      <c r="R228" s="40"/>
      <c r="S228" s="40"/>
      <c r="T228" s="40" t="s">
        <v>2369</v>
      </c>
    </row>
    <row r="229" spans="2:20" x14ac:dyDescent="0.2">
      <c r="B229" s="40" t="s">
        <v>2234</v>
      </c>
      <c r="C229" s="40" t="s">
        <v>2362</v>
      </c>
      <c r="D229" s="40" t="s">
        <v>2236</v>
      </c>
      <c r="E229" s="40" t="s">
        <v>2300</v>
      </c>
      <c r="F229" s="40" t="s">
        <v>2381</v>
      </c>
      <c r="G229" s="40" t="s">
        <v>2377</v>
      </c>
      <c r="H229" s="40" t="s">
        <v>2374</v>
      </c>
      <c r="I229" s="40" t="s">
        <v>2236</v>
      </c>
      <c r="J229" s="40"/>
      <c r="K229" s="40"/>
      <c r="L229" s="40">
        <v>7.3999999999999996E-2</v>
      </c>
      <c r="M229" s="40">
        <v>0.13</v>
      </c>
      <c r="N229" s="583">
        <f t="shared" si="3"/>
        <v>0.10200000000000001</v>
      </c>
      <c r="O229" s="40" t="s">
        <v>2241</v>
      </c>
      <c r="P229" s="40" t="s">
        <v>2368</v>
      </c>
      <c r="Q229" s="40" t="s">
        <v>2288</v>
      </c>
      <c r="R229" s="40"/>
      <c r="S229" s="40"/>
      <c r="T229" s="40" t="s">
        <v>2369</v>
      </c>
    </row>
    <row r="230" spans="2:20" x14ac:dyDescent="0.2">
      <c r="B230" s="40" t="s">
        <v>2234</v>
      </c>
      <c r="C230" s="40" t="s">
        <v>2362</v>
      </c>
      <c r="D230" s="40" t="s">
        <v>2236</v>
      </c>
      <c r="E230" s="40" t="s">
        <v>2301</v>
      </c>
      <c r="F230" s="40" t="s">
        <v>2381</v>
      </c>
      <c r="G230" s="40" t="s">
        <v>2377</v>
      </c>
      <c r="H230" s="40" t="s">
        <v>2374</v>
      </c>
      <c r="I230" s="40" t="s">
        <v>2236</v>
      </c>
      <c r="J230" s="40"/>
      <c r="K230" s="40"/>
      <c r="L230" s="40">
        <v>7.3999999999999996E-2</v>
      </c>
      <c r="M230" s="40">
        <v>0.13</v>
      </c>
      <c r="N230" s="583">
        <f t="shared" si="3"/>
        <v>0.10200000000000001</v>
      </c>
      <c r="O230" s="40" t="s">
        <v>2241</v>
      </c>
      <c r="P230" s="40" t="s">
        <v>2368</v>
      </c>
      <c r="Q230" s="40" t="s">
        <v>2288</v>
      </c>
      <c r="R230" s="40"/>
      <c r="S230" s="40"/>
      <c r="T230" s="40" t="s">
        <v>2369</v>
      </c>
    </row>
    <row r="231" spans="2:20" x14ac:dyDescent="0.2">
      <c r="B231" s="40" t="s">
        <v>2234</v>
      </c>
      <c r="C231" s="40" t="s">
        <v>2362</v>
      </c>
      <c r="D231" s="40" t="s">
        <v>2236</v>
      </c>
      <c r="E231" s="40" t="s">
        <v>2302</v>
      </c>
      <c r="F231" s="40" t="s">
        <v>2382</v>
      </c>
      <c r="G231" s="40" t="s">
        <v>2377</v>
      </c>
      <c r="H231" s="40" t="s">
        <v>1483</v>
      </c>
      <c r="I231" s="40" t="s">
        <v>2236</v>
      </c>
      <c r="J231" s="40"/>
      <c r="K231" s="40"/>
      <c r="L231" s="40">
        <v>6.7000000000000004E-2</v>
      </c>
      <c r="M231" s="40">
        <v>0.15</v>
      </c>
      <c r="N231" s="583">
        <f t="shared" si="3"/>
        <v>0.1085</v>
      </c>
      <c r="O231" s="40" t="s">
        <v>2241</v>
      </c>
      <c r="P231" s="40" t="s">
        <v>2368</v>
      </c>
      <c r="Q231" s="40" t="s">
        <v>2288</v>
      </c>
      <c r="R231" s="40"/>
      <c r="S231" s="40"/>
      <c r="T231" s="40" t="s">
        <v>2369</v>
      </c>
    </row>
    <row r="232" spans="2:20" x14ac:dyDescent="0.2">
      <c r="B232" s="40" t="s">
        <v>2234</v>
      </c>
      <c r="C232" s="40" t="s">
        <v>2362</v>
      </c>
      <c r="D232" s="40" t="s">
        <v>2236</v>
      </c>
      <c r="E232" s="40" t="s">
        <v>2303</v>
      </c>
      <c r="F232" s="40" t="s">
        <v>2382</v>
      </c>
      <c r="G232" s="40" t="s">
        <v>2377</v>
      </c>
      <c r="H232" s="40" t="s">
        <v>1483</v>
      </c>
      <c r="I232" s="40" t="s">
        <v>2236</v>
      </c>
      <c r="J232" s="40"/>
      <c r="K232" s="40"/>
      <c r="L232" s="40">
        <v>6.7000000000000004E-2</v>
      </c>
      <c r="M232" s="40">
        <v>0.15</v>
      </c>
      <c r="N232" s="583">
        <f t="shared" si="3"/>
        <v>0.1085</v>
      </c>
      <c r="O232" s="40" t="s">
        <v>2241</v>
      </c>
      <c r="P232" s="40" t="s">
        <v>2368</v>
      </c>
      <c r="Q232" s="40" t="s">
        <v>2288</v>
      </c>
      <c r="R232" s="40"/>
      <c r="S232" s="40"/>
      <c r="T232" s="40" t="s">
        <v>2369</v>
      </c>
    </row>
    <row r="233" spans="2:20" x14ac:dyDescent="0.2">
      <c r="B233" s="40" t="s">
        <v>2234</v>
      </c>
      <c r="C233" s="40" t="s">
        <v>2362</v>
      </c>
      <c r="D233" s="40" t="s">
        <v>2236</v>
      </c>
      <c r="E233" s="40" t="s">
        <v>2304</v>
      </c>
      <c r="F233" s="40" t="s">
        <v>2382</v>
      </c>
      <c r="G233" s="40" t="s">
        <v>2377</v>
      </c>
      <c r="H233" s="40" t="s">
        <v>1483</v>
      </c>
      <c r="I233" s="40" t="s">
        <v>2236</v>
      </c>
      <c r="J233" s="40"/>
      <c r="K233" s="40"/>
      <c r="L233" s="40">
        <v>6.7000000000000004E-2</v>
      </c>
      <c r="M233" s="40">
        <v>0.15</v>
      </c>
      <c r="N233" s="583">
        <f t="shared" si="3"/>
        <v>0.1085</v>
      </c>
      <c r="O233" s="40" t="s">
        <v>2241</v>
      </c>
      <c r="P233" s="40" t="s">
        <v>2368</v>
      </c>
      <c r="Q233" s="40" t="s">
        <v>2288</v>
      </c>
      <c r="R233" s="40"/>
      <c r="S233" s="40"/>
      <c r="T233" s="40" t="s">
        <v>2369</v>
      </c>
    </row>
    <row r="234" spans="2:20" x14ac:dyDescent="0.2">
      <c r="B234" s="40" t="s">
        <v>2234</v>
      </c>
      <c r="C234" s="40" t="s">
        <v>2362</v>
      </c>
      <c r="D234" s="40" t="s">
        <v>2236</v>
      </c>
      <c r="E234" s="40" t="s">
        <v>2305</v>
      </c>
      <c r="F234" s="40" t="s">
        <v>2382</v>
      </c>
      <c r="G234" s="40" t="s">
        <v>2377</v>
      </c>
      <c r="H234" s="40" t="s">
        <v>1483</v>
      </c>
      <c r="I234" s="40" t="s">
        <v>2236</v>
      </c>
      <c r="J234" s="40"/>
      <c r="K234" s="40"/>
      <c r="L234" s="40">
        <v>6.7000000000000004E-2</v>
      </c>
      <c r="M234" s="40">
        <v>0.15</v>
      </c>
      <c r="N234" s="583">
        <f t="shared" si="3"/>
        <v>0.1085</v>
      </c>
      <c r="O234" s="40" t="s">
        <v>2241</v>
      </c>
      <c r="P234" s="40" t="s">
        <v>2368</v>
      </c>
      <c r="Q234" s="40" t="s">
        <v>2288</v>
      </c>
      <c r="R234" s="40"/>
      <c r="S234" s="40"/>
      <c r="T234" s="40" t="s">
        <v>2369</v>
      </c>
    </row>
    <row r="235" spans="2:20" x14ac:dyDescent="0.2">
      <c r="B235" s="40" t="s">
        <v>2234</v>
      </c>
      <c r="C235" s="40" t="s">
        <v>2362</v>
      </c>
      <c r="D235" s="40" t="s">
        <v>2236</v>
      </c>
      <c r="E235" s="40" t="s">
        <v>2306</v>
      </c>
      <c r="F235" s="40" t="s">
        <v>2382</v>
      </c>
      <c r="G235" s="40" t="s">
        <v>2377</v>
      </c>
      <c r="H235" s="40" t="s">
        <v>1483</v>
      </c>
      <c r="I235" s="40" t="s">
        <v>2236</v>
      </c>
      <c r="J235" s="40"/>
      <c r="K235" s="40"/>
      <c r="L235" s="40">
        <v>6.7000000000000004E-2</v>
      </c>
      <c r="M235" s="40">
        <v>0.15</v>
      </c>
      <c r="N235" s="583">
        <f t="shared" si="3"/>
        <v>0.1085</v>
      </c>
      <c r="O235" s="40" t="s">
        <v>2241</v>
      </c>
      <c r="P235" s="40" t="s">
        <v>2368</v>
      </c>
      <c r="Q235" s="40" t="s">
        <v>2288</v>
      </c>
      <c r="R235" s="40"/>
      <c r="S235" s="40"/>
      <c r="T235" s="40" t="s">
        <v>2369</v>
      </c>
    </row>
    <row r="236" spans="2:20" x14ac:dyDescent="0.2">
      <c r="B236" s="40" t="s">
        <v>2234</v>
      </c>
      <c r="C236" s="40" t="s">
        <v>2362</v>
      </c>
      <c r="D236" s="40" t="s">
        <v>2236</v>
      </c>
      <c r="E236" s="40" t="s">
        <v>2307</v>
      </c>
      <c r="F236" s="40" t="s">
        <v>2382</v>
      </c>
      <c r="G236" s="40" t="s">
        <v>2377</v>
      </c>
      <c r="H236" s="40" t="s">
        <v>1483</v>
      </c>
      <c r="I236" s="40" t="s">
        <v>2236</v>
      </c>
      <c r="J236" s="40"/>
      <c r="K236" s="40"/>
      <c r="L236" s="40">
        <v>6.7000000000000004E-2</v>
      </c>
      <c r="M236" s="40">
        <v>0.15</v>
      </c>
      <c r="N236" s="583">
        <f t="shared" si="3"/>
        <v>0.1085</v>
      </c>
      <c r="O236" s="40" t="s">
        <v>2241</v>
      </c>
      <c r="P236" s="40" t="s">
        <v>2368</v>
      </c>
      <c r="Q236" s="40" t="s">
        <v>2288</v>
      </c>
      <c r="R236" s="40"/>
      <c r="S236" s="40"/>
      <c r="T236" s="40" t="s">
        <v>2369</v>
      </c>
    </row>
    <row r="237" spans="2:20" x14ac:dyDescent="0.2">
      <c r="B237" s="40" t="s">
        <v>2234</v>
      </c>
      <c r="C237" s="40" t="s">
        <v>2362</v>
      </c>
      <c r="D237" s="40" t="s">
        <v>2236</v>
      </c>
      <c r="E237" s="40" t="s">
        <v>2308</v>
      </c>
      <c r="F237" s="40" t="s">
        <v>2382</v>
      </c>
      <c r="G237" s="40" t="s">
        <v>2377</v>
      </c>
      <c r="H237" s="40" t="s">
        <v>1483</v>
      </c>
      <c r="I237" s="40" t="s">
        <v>2236</v>
      </c>
      <c r="J237" s="40"/>
      <c r="K237" s="40"/>
      <c r="L237" s="40">
        <v>6.7000000000000004E-2</v>
      </c>
      <c r="M237" s="40">
        <v>0.15</v>
      </c>
      <c r="N237" s="583">
        <f t="shared" si="3"/>
        <v>0.1085</v>
      </c>
      <c r="O237" s="40" t="s">
        <v>2241</v>
      </c>
      <c r="P237" s="40" t="s">
        <v>2368</v>
      </c>
      <c r="Q237" s="40" t="s">
        <v>2288</v>
      </c>
      <c r="R237" s="40"/>
      <c r="S237" s="40"/>
      <c r="T237" s="40" t="s">
        <v>2369</v>
      </c>
    </row>
    <row r="238" spans="2:20" x14ac:dyDescent="0.2">
      <c r="B238" s="40" t="s">
        <v>2234</v>
      </c>
      <c r="C238" s="40" t="s">
        <v>2362</v>
      </c>
      <c r="D238" s="40" t="s">
        <v>2236</v>
      </c>
      <c r="E238" s="40" t="s">
        <v>2309</v>
      </c>
      <c r="F238" s="40" t="s">
        <v>2382</v>
      </c>
      <c r="G238" s="40" t="s">
        <v>2377</v>
      </c>
      <c r="H238" s="40" t="s">
        <v>1483</v>
      </c>
      <c r="I238" s="40" t="s">
        <v>2236</v>
      </c>
      <c r="J238" s="40"/>
      <c r="K238" s="40"/>
      <c r="L238" s="40">
        <v>6.7000000000000004E-2</v>
      </c>
      <c r="M238" s="40">
        <v>0.15</v>
      </c>
      <c r="N238" s="583">
        <f t="shared" si="3"/>
        <v>0.1085</v>
      </c>
      <c r="O238" s="40" t="s">
        <v>2241</v>
      </c>
      <c r="P238" s="40" t="s">
        <v>2368</v>
      </c>
      <c r="Q238" s="40" t="s">
        <v>2288</v>
      </c>
      <c r="R238" s="40"/>
      <c r="S238" s="40"/>
      <c r="T238" s="40" t="s">
        <v>2369</v>
      </c>
    </row>
    <row r="239" spans="2:20" x14ac:dyDescent="0.2">
      <c r="B239" s="40" t="s">
        <v>2234</v>
      </c>
      <c r="C239" s="40" t="s">
        <v>2362</v>
      </c>
      <c r="D239" s="40" t="s">
        <v>2236</v>
      </c>
      <c r="E239" s="40" t="s">
        <v>2310</v>
      </c>
      <c r="F239" s="40" t="s">
        <v>2382</v>
      </c>
      <c r="G239" s="40" t="s">
        <v>2377</v>
      </c>
      <c r="H239" s="40" t="s">
        <v>1483</v>
      </c>
      <c r="I239" s="40" t="s">
        <v>2236</v>
      </c>
      <c r="J239" s="40"/>
      <c r="K239" s="40"/>
      <c r="L239" s="40">
        <v>6.7000000000000004E-2</v>
      </c>
      <c r="M239" s="40">
        <v>0.15</v>
      </c>
      <c r="N239" s="583">
        <f t="shared" si="3"/>
        <v>0.1085</v>
      </c>
      <c r="O239" s="40" t="s">
        <v>2241</v>
      </c>
      <c r="P239" s="40" t="s">
        <v>2368</v>
      </c>
      <c r="Q239" s="40" t="s">
        <v>2288</v>
      </c>
      <c r="R239" s="40"/>
      <c r="S239" s="40"/>
      <c r="T239" s="40" t="s">
        <v>2369</v>
      </c>
    </row>
    <row r="240" spans="2:20" x14ac:dyDescent="0.2">
      <c r="B240" s="40" t="s">
        <v>2234</v>
      </c>
      <c r="C240" s="40" t="s">
        <v>2362</v>
      </c>
      <c r="D240" s="40" t="s">
        <v>2236</v>
      </c>
      <c r="E240" s="40" t="s">
        <v>2311</v>
      </c>
      <c r="F240" s="40" t="s">
        <v>2381</v>
      </c>
      <c r="G240" s="40" t="s">
        <v>2377</v>
      </c>
      <c r="H240" s="40" t="s">
        <v>2374</v>
      </c>
      <c r="I240" s="40" t="s">
        <v>2236</v>
      </c>
      <c r="J240" s="40"/>
      <c r="K240" s="40"/>
      <c r="L240" s="40">
        <v>7.3999999999999996E-2</v>
      </c>
      <c r="M240" s="40">
        <v>0.13</v>
      </c>
      <c r="N240" s="583">
        <f t="shared" si="3"/>
        <v>0.10200000000000001</v>
      </c>
      <c r="O240" s="40" t="s">
        <v>2241</v>
      </c>
      <c r="P240" s="40" t="s">
        <v>2368</v>
      </c>
      <c r="Q240" s="40" t="s">
        <v>2288</v>
      </c>
      <c r="R240" s="40"/>
      <c r="S240" s="40"/>
      <c r="T240" s="40" t="s">
        <v>2369</v>
      </c>
    </row>
    <row r="241" spans="2:20" x14ac:dyDescent="0.2">
      <c r="B241" s="40" t="s">
        <v>2234</v>
      </c>
      <c r="C241" s="40" t="s">
        <v>2362</v>
      </c>
      <c r="D241" s="40" t="s">
        <v>2236</v>
      </c>
      <c r="E241" s="40" t="s">
        <v>2312</v>
      </c>
      <c r="F241" s="40" t="s">
        <v>2381</v>
      </c>
      <c r="G241" s="40" t="s">
        <v>2377</v>
      </c>
      <c r="H241" s="40" t="s">
        <v>2374</v>
      </c>
      <c r="I241" s="40" t="s">
        <v>2236</v>
      </c>
      <c r="J241" s="40"/>
      <c r="K241" s="40"/>
      <c r="L241" s="40">
        <v>7.3999999999999996E-2</v>
      </c>
      <c r="M241" s="40">
        <v>0.13</v>
      </c>
      <c r="N241" s="583">
        <f t="shared" si="3"/>
        <v>0.10200000000000001</v>
      </c>
      <c r="O241" s="40" t="s">
        <v>2241</v>
      </c>
      <c r="P241" s="40" t="s">
        <v>2368</v>
      </c>
      <c r="Q241" s="40" t="s">
        <v>2288</v>
      </c>
      <c r="R241" s="40"/>
      <c r="S241" s="40"/>
      <c r="T241" s="40" t="s">
        <v>2369</v>
      </c>
    </row>
    <row r="242" spans="2:20" x14ac:dyDescent="0.2">
      <c r="B242" s="40" t="s">
        <v>2234</v>
      </c>
      <c r="C242" s="40" t="s">
        <v>2362</v>
      </c>
      <c r="D242" s="40" t="s">
        <v>2236</v>
      </c>
      <c r="E242" s="40" t="s">
        <v>2383</v>
      </c>
      <c r="F242" s="40" t="s">
        <v>2384</v>
      </c>
      <c r="G242" s="40" t="s">
        <v>2385</v>
      </c>
      <c r="H242" s="40" t="s">
        <v>2236</v>
      </c>
      <c r="I242" s="40" t="s">
        <v>2236</v>
      </c>
      <c r="J242" s="40"/>
      <c r="K242" s="40"/>
      <c r="L242" s="40">
        <v>3.0000000000000001E-3</v>
      </c>
      <c r="M242" s="40">
        <v>4.0000000000000001E-3</v>
      </c>
      <c r="N242" s="583">
        <f t="shared" si="3"/>
        <v>3.5000000000000001E-3</v>
      </c>
      <c r="O242" s="40" t="s">
        <v>2241</v>
      </c>
      <c r="P242" s="40" t="s">
        <v>2368</v>
      </c>
      <c r="Q242" s="40" t="s">
        <v>2288</v>
      </c>
      <c r="R242" s="40"/>
      <c r="S242" s="40"/>
      <c r="T242" s="40" t="s">
        <v>2369</v>
      </c>
    </row>
    <row r="243" spans="2:20" x14ac:dyDescent="0.2">
      <c r="B243" s="583" t="s">
        <v>2234</v>
      </c>
      <c r="C243" s="583" t="s">
        <v>2362</v>
      </c>
      <c r="D243" s="583" t="s">
        <v>2236</v>
      </c>
      <c r="E243" s="583" t="s">
        <v>2386</v>
      </c>
      <c r="F243" s="583" t="s">
        <v>2387</v>
      </c>
      <c r="G243" s="583" t="s">
        <v>2388</v>
      </c>
      <c r="H243" s="583" t="s">
        <v>1572</v>
      </c>
      <c r="I243" s="583" t="s">
        <v>2236</v>
      </c>
      <c r="J243" s="583"/>
      <c r="K243" s="583"/>
      <c r="L243" s="583">
        <v>6.0999999999999999E-2</v>
      </c>
      <c r="M243" s="583">
        <v>0.09</v>
      </c>
      <c r="N243" s="583">
        <f t="shared" si="3"/>
        <v>7.5499999999999998E-2</v>
      </c>
      <c r="O243" s="40" t="s">
        <v>2241</v>
      </c>
      <c r="P243" s="40" t="s">
        <v>2368</v>
      </c>
      <c r="Q243" s="40" t="s">
        <v>2288</v>
      </c>
      <c r="R243" s="40"/>
      <c r="S243" s="40"/>
      <c r="T243" s="40" t="s">
        <v>2369</v>
      </c>
    </row>
    <row r="244" spans="2:20" x14ac:dyDescent="0.2">
      <c r="B244" s="40" t="s">
        <v>2234</v>
      </c>
      <c r="C244" s="40" t="s">
        <v>2362</v>
      </c>
      <c r="D244" s="40" t="s">
        <v>2236</v>
      </c>
      <c r="E244" s="40" t="s">
        <v>2322</v>
      </c>
      <c r="F244" s="40" t="s">
        <v>2389</v>
      </c>
      <c r="G244" s="40" t="s">
        <v>2388</v>
      </c>
      <c r="H244" s="40" t="s">
        <v>1483</v>
      </c>
      <c r="I244" s="40" t="s">
        <v>2236</v>
      </c>
      <c r="J244" s="40"/>
      <c r="K244" s="40"/>
      <c r="L244" s="40">
        <v>6.7000000000000004E-2</v>
      </c>
      <c r="M244" s="40">
        <v>0.15</v>
      </c>
      <c r="N244" s="583">
        <f t="shared" si="3"/>
        <v>0.1085</v>
      </c>
      <c r="O244" s="40" t="s">
        <v>2241</v>
      </c>
      <c r="P244" s="40" t="s">
        <v>2368</v>
      </c>
      <c r="Q244" s="40" t="s">
        <v>2288</v>
      </c>
      <c r="R244" s="40"/>
      <c r="S244" s="40"/>
      <c r="T244" s="40" t="s">
        <v>2369</v>
      </c>
    </row>
    <row r="245" spans="2:20" x14ac:dyDescent="0.2">
      <c r="B245" s="40" t="s">
        <v>2234</v>
      </c>
      <c r="C245" s="40" t="s">
        <v>2362</v>
      </c>
      <c r="D245" s="40" t="s">
        <v>2236</v>
      </c>
      <c r="E245" s="40" t="s">
        <v>2324</v>
      </c>
      <c r="F245" s="40" t="s">
        <v>2390</v>
      </c>
      <c r="G245" s="40" t="s">
        <v>2391</v>
      </c>
      <c r="H245" s="40" t="s">
        <v>1721</v>
      </c>
      <c r="I245" s="40" t="s">
        <v>2236</v>
      </c>
      <c r="J245" s="40"/>
      <c r="K245" s="40"/>
      <c r="L245" s="40">
        <v>0.43</v>
      </c>
      <c r="M245" s="40">
        <v>0.59</v>
      </c>
      <c r="N245" s="583">
        <f t="shared" si="3"/>
        <v>0.51</v>
      </c>
      <c r="O245" s="40" t="s">
        <v>2241</v>
      </c>
      <c r="P245" s="40" t="s">
        <v>2368</v>
      </c>
      <c r="Q245" s="40" t="s">
        <v>2288</v>
      </c>
      <c r="R245" s="40"/>
      <c r="S245" s="40"/>
      <c r="T245" s="40" t="s">
        <v>2369</v>
      </c>
    </row>
    <row r="246" spans="2:20" x14ac:dyDescent="0.2">
      <c r="B246" s="40" t="s">
        <v>2234</v>
      </c>
      <c r="C246" s="40" t="s">
        <v>2362</v>
      </c>
      <c r="D246" s="40" t="s">
        <v>2236</v>
      </c>
      <c r="E246" s="40" t="s">
        <v>2333</v>
      </c>
      <c r="F246" s="40" t="s">
        <v>2390</v>
      </c>
      <c r="G246" s="40" t="s">
        <v>2391</v>
      </c>
      <c r="H246" s="40" t="s">
        <v>1721</v>
      </c>
      <c r="I246" s="40" t="s">
        <v>2236</v>
      </c>
      <c r="J246" s="40"/>
      <c r="K246" s="40"/>
      <c r="L246" s="40">
        <v>0.43</v>
      </c>
      <c r="M246" s="40">
        <v>0.59</v>
      </c>
      <c r="N246" s="583">
        <f t="shared" si="3"/>
        <v>0.51</v>
      </c>
      <c r="O246" s="40" t="s">
        <v>2241</v>
      </c>
      <c r="P246" s="40" t="s">
        <v>2368</v>
      </c>
      <c r="Q246" s="40" t="s">
        <v>2288</v>
      </c>
      <c r="R246" s="40"/>
      <c r="S246" s="40"/>
      <c r="T246" s="40" t="s">
        <v>2369</v>
      </c>
    </row>
    <row r="247" spans="2:20" x14ac:dyDescent="0.2">
      <c r="B247" s="40" t="s">
        <v>2234</v>
      </c>
      <c r="C247" s="40" t="s">
        <v>2362</v>
      </c>
      <c r="D247" s="40" t="s">
        <v>2236</v>
      </c>
      <c r="E247" s="40" t="s">
        <v>2334</v>
      </c>
      <c r="F247" s="40" t="s">
        <v>2390</v>
      </c>
      <c r="G247" s="40" t="s">
        <v>2391</v>
      </c>
      <c r="H247" s="40" t="s">
        <v>1721</v>
      </c>
      <c r="I247" s="40" t="s">
        <v>2236</v>
      </c>
      <c r="J247" s="40"/>
      <c r="K247" s="40"/>
      <c r="L247" s="40">
        <v>0.43</v>
      </c>
      <c r="M247" s="40">
        <v>0.59</v>
      </c>
      <c r="N247" s="583">
        <f t="shared" si="3"/>
        <v>0.51</v>
      </c>
      <c r="O247" s="40" t="s">
        <v>2241</v>
      </c>
      <c r="P247" s="40" t="s">
        <v>2368</v>
      </c>
      <c r="Q247" s="40" t="s">
        <v>2288</v>
      </c>
      <c r="R247" s="40"/>
      <c r="S247" s="40"/>
      <c r="T247" s="40" t="s">
        <v>2369</v>
      </c>
    </row>
    <row r="248" spans="2:20" x14ac:dyDescent="0.2">
      <c r="B248" s="40" t="s">
        <v>2234</v>
      </c>
      <c r="C248" s="40" t="s">
        <v>2362</v>
      </c>
      <c r="D248" s="40" t="s">
        <v>2236</v>
      </c>
      <c r="E248" s="40" t="s">
        <v>2335</v>
      </c>
      <c r="F248" s="40" t="s">
        <v>2390</v>
      </c>
      <c r="G248" s="40" t="s">
        <v>2391</v>
      </c>
      <c r="H248" s="40" t="s">
        <v>1721</v>
      </c>
      <c r="I248" s="40" t="s">
        <v>2236</v>
      </c>
      <c r="J248" s="40"/>
      <c r="K248" s="40"/>
      <c r="L248" s="40">
        <v>0.43</v>
      </c>
      <c r="M248" s="40">
        <v>0.59</v>
      </c>
      <c r="N248" s="583">
        <f t="shared" si="3"/>
        <v>0.51</v>
      </c>
      <c r="O248" s="40" t="s">
        <v>2241</v>
      </c>
      <c r="P248" s="40" t="s">
        <v>2368</v>
      </c>
      <c r="Q248" s="40" t="s">
        <v>2288</v>
      </c>
      <c r="R248" s="40"/>
      <c r="S248" s="40"/>
      <c r="T248" s="40" t="s">
        <v>2369</v>
      </c>
    </row>
    <row r="249" spans="2:20" x14ac:dyDescent="0.2">
      <c r="B249" s="40" t="s">
        <v>2234</v>
      </c>
      <c r="C249" s="40" t="s">
        <v>2362</v>
      </c>
      <c r="D249" s="40" t="s">
        <v>2236</v>
      </c>
      <c r="E249" s="40" t="s">
        <v>2336</v>
      </c>
      <c r="F249" s="40" t="s">
        <v>2392</v>
      </c>
      <c r="G249" s="40" t="s">
        <v>2393</v>
      </c>
      <c r="H249" s="40" t="s">
        <v>1721</v>
      </c>
      <c r="I249" s="40" t="s">
        <v>2236</v>
      </c>
      <c r="J249" s="40"/>
      <c r="K249" s="40"/>
      <c r="L249" s="40">
        <v>0.43</v>
      </c>
      <c r="M249" s="40">
        <v>0.59</v>
      </c>
      <c r="N249" s="583">
        <f t="shared" si="3"/>
        <v>0.51</v>
      </c>
      <c r="O249" s="40" t="s">
        <v>2241</v>
      </c>
      <c r="P249" s="40" t="s">
        <v>2368</v>
      </c>
      <c r="Q249" s="40" t="s">
        <v>2288</v>
      </c>
      <c r="R249" s="40"/>
      <c r="S249" s="40" t="s">
        <v>2394</v>
      </c>
      <c r="T249" s="40" t="s">
        <v>2369</v>
      </c>
    </row>
    <row r="250" spans="2:20" x14ac:dyDescent="0.2">
      <c r="B250" s="40" t="s">
        <v>2234</v>
      </c>
      <c r="C250" s="40" t="s">
        <v>2362</v>
      </c>
      <c r="D250" s="40" t="s">
        <v>2236</v>
      </c>
      <c r="E250" s="40" t="s">
        <v>2341</v>
      </c>
      <c r="F250" s="40" t="s">
        <v>2395</v>
      </c>
      <c r="G250" s="40" t="s">
        <v>2396</v>
      </c>
      <c r="H250" s="40" t="s">
        <v>2236</v>
      </c>
      <c r="I250" s="40" t="s">
        <v>2236</v>
      </c>
      <c r="J250" s="40"/>
      <c r="K250" s="40"/>
      <c r="L250" s="40">
        <v>0.43</v>
      </c>
      <c r="M250" s="40">
        <v>0.59</v>
      </c>
      <c r="N250" s="583">
        <f t="shared" si="3"/>
        <v>0.51</v>
      </c>
      <c r="O250" s="40" t="s">
        <v>2241</v>
      </c>
      <c r="P250" s="40" t="s">
        <v>2368</v>
      </c>
      <c r="Q250" s="40" t="s">
        <v>2288</v>
      </c>
      <c r="R250" s="40"/>
      <c r="S250" s="40" t="s">
        <v>2394</v>
      </c>
      <c r="T250" s="40" t="s">
        <v>2369</v>
      </c>
    </row>
    <row r="251" spans="2:20" x14ac:dyDescent="0.2">
      <c r="B251" s="40" t="s">
        <v>2234</v>
      </c>
      <c r="C251" s="40" t="s">
        <v>2362</v>
      </c>
      <c r="D251" s="40" t="s">
        <v>2236</v>
      </c>
      <c r="E251" s="40" t="s">
        <v>2344</v>
      </c>
      <c r="F251" s="40" t="s">
        <v>2397</v>
      </c>
      <c r="G251" s="40" t="s">
        <v>2398</v>
      </c>
      <c r="H251" s="40" t="s">
        <v>1721</v>
      </c>
      <c r="I251" s="40" t="s">
        <v>2236</v>
      </c>
      <c r="J251" s="40"/>
      <c r="K251" s="40"/>
      <c r="L251" s="40">
        <v>0.43</v>
      </c>
      <c r="M251" s="40">
        <v>0.59</v>
      </c>
      <c r="N251" s="583">
        <f t="shared" si="3"/>
        <v>0.51</v>
      </c>
      <c r="O251" s="40" t="s">
        <v>2241</v>
      </c>
      <c r="P251" s="40" t="s">
        <v>2368</v>
      </c>
      <c r="Q251" s="40" t="s">
        <v>2288</v>
      </c>
      <c r="R251" s="40"/>
      <c r="S251" s="40" t="s">
        <v>2394</v>
      </c>
      <c r="T251" s="40" t="s">
        <v>2369</v>
      </c>
    </row>
    <row r="252" spans="2:20" x14ac:dyDescent="0.2">
      <c r="B252" s="40" t="s">
        <v>2234</v>
      </c>
      <c r="C252" s="40" t="s">
        <v>2362</v>
      </c>
      <c r="D252" s="40" t="s">
        <v>2236</v>
      </c>
      <c r="E252" s="40" t="s">
        <v>2347</v>
      </c>
      <c r="F252" s="40" t="s">
        <v>2399</v>
      </c>
      <c r="G252" s="40" t="s">
        <v>2391</v>
      </c>
      <c r="H252" s="40" t="s">
        <v>1722</v>
      </c>
      <c r="I252" s="40" t="s">
        <v>2236</v>
      </c>
      <c r="J252" s="40"/>
      <c r="K252" s="40"/>
      <c r="L252" s="40">
        <v>0.27</v>
      </c>
      <c r="M252" s="40">
        <v>0.6</v>
      </c>
      <c r="N252" s="583">
        <f t="shared" si="3"/>
        <v>0.435</v>
      </c>
      <c r="O252" s="40" t="s">
        <v>2241</v>
      </c>
      <c r="P252" s="40" t="s">
        <v>2368</v>
      </c>
      <c r="Q252" s="40" t="s">
        <v>2400</v>
      </c>
      <c r="R252" s="40"/>
      <c r="S252" s="40"/>
      <c r="T252" s="40" t="s">
        <v>2369</v>
      </c>
    </row>
    <row r="253" spans="2:20" x14ac:dyDescent="0.2">
      <c r="B253" s="40" t="s">
        <v>2234</v>
      </c>
      <c r="C253" s="40" t="s">
        <v>2362</v>
      </c>
      <c r="D253" s="40" t="s">
        <v>2236</v>
      </c>
      <c r="E253" s="40" t="s">
        <v>2350</v>
      </c>
      <c r="F253" s="40" t="s">
        <v>2399</v>
      </c>
      <c r="G253" s="40" t="s">
        <v>2391</v>
      </c>
      <c r="H253" s="40" t="s">
        <v>1722</v>
      </c>
      <c r="I253" s="40" t="s">
        <v>2236</v>
      </c>
      <c r="J253" s="40"/>
      <c r="K253" s="40"/>
      <c r="L253" s="40">
        <v>0.27</v>
      </c>
      <c r="M253" s="40">
        <v>0.6</v>
      </c>
      <c r="N253" s="583">
        <f t="shared" si="3"/>
        <v>0.435</v>
      </c>
      <c r="O253" s="40" t="s">
        <v>2241</v>
      </c>
      <c r="P253" s="40" t="s">
        <v>2368</v>
      </c>
      <c r="Q253" s="40" t="s">
        <v>2400</v>
      </c>
      <c r="R253" s="40"/>
      <c r="S253" s="40"/>
      <c r="T253" s="40" t="s">
        <v>2369</v>
      </c>
    </row>
    <row r="254" spans="2:20" x14ac:dyDescent="0.2">
      <c r="B254" s="40" t="s">
        <v>2234</v>
      </c>
      <c r="C254" s="40" t="s">
        <v>2362</v>
      </c>
      <c r="D254" s="40" t="s">
        <v>2236</v>
      </c>
      <c r="E254" s="40" t="s">
        <v>2351</v>
      </c>
      <c r="F254" s="40" t="s">
        <v>2399</v>
      </c>
      <c r="G254" s="40" t="s">
        <v>2391</v>
      </c>
      <c r="H254" s="40" t="s">
        <v>1722</v>
      </c>
      <c r="I254" s="40" t="s">
        <v>2236</v>
      </c>
      <c r="J254" s="40"/>
      <c r="K254" s="40"/>
      <c r="L254" s="40">
        <v>0.27</v>
      </c>
      <c r="M254" s="40">
        <v>0.6</v>
      </c>
      <c r="N254" s="583">
        <f t="shared" si="3"/>
        <v>0.435</v>
      </c>
      <c r="O254" s="40" t="s">
        <v>2241</v>
      </c>
      <c r="P254" s="40" t="s">
        <v>2368</v>
      </c>
      <c r="Q254" s="40" t="s">
        <v>2400</v>
      </c>
      <c r="R254" s="40"/>
      <c r="S254" s="40"/>
      <c r="T254" s="40" t="s">
        <v>2369</v>
      </c>
    </row>
    <row r="255" spans="2:20" x14ac:dyDescent="0.2">
      <c r="B255" s="40" t="s">
        <v>2234</v>
      </c>
      <c r="C255" s="40" t="s">
        <v>2362</v>
      </c>
      <c r="D255" s="40" t="s">
        <v>2236</v>
      </c>
      <c r="E255" s="40" t="s">
        <v>2352</v>
      </c>
      <c r="F255" s="40" t="s">
        <v>2399</v>
      </c>
      <c r="G255" s="40" t="s">
        <v>2391</v>
      </c>
      <c r="H255" s="40" t="s">
        <v>1722</v>
      </c>
      <c r="I255" s="40" t="s">
        <v>2236</v>
      </c>
      <c r="J255" s="40"/>
      <c r="K255" s="40"/>
      <c r="L255" s="40">
        <v>0.27</v>
      </c>
      <c r="M255" s="40">
        <v>0.6</v>
      </c>
      <c r="N255" s="583">
        <f t="shared" si="3"/>
        <v>0.435</v>
      </c>
      <c r="O255" s="40" t="s">
        <v>2241</v>
      </c>
      <c r="P255" s="40" t="s">
        <v>2368</v>
      </c>
      <c r="Q255" s="40" t="s">
        <v>2400</v>
      </c>
      <c r="R255" s="40"/>
      <c r="S255" s="40"/>
      <c r="T255" s="40" t="s">
        <v>2369</v>
      </c>
    </row>
    <row r="256" spans="2:20" x14ac:dyDescent="0.2">
      <c r="B256" s="40" t="s">
        <v>2234</v>
      </c>
      <c r="C256" s="40" t="s">
        <v>2362</v>
      </c>
      <c r="D256" s="40" t="s">
        <v>2236</v>
      </c>
      <c r="E256" s="40" t="s">
        <v>2353</v>
      </c>
      <c r="F256" s="40" t="s">
        <v>2401</v>
      </c>
      <c r="G256" s="40" t="s">
        <v>2356</v>
      </c>
      <c r="H256" s="40" t="s">
        <v>2236</v>
      </c>
      <c r="I256" s="40" t="s">
        <v>2236</v>
      </c>
      <c r="J256" s="40"/>
      <c r="K256" s="40"/>
      <c r="L256" s="40">
        <v>0.7</v>
      </c>
      <c r="M256" s="40"/>
      <c r="N256" s="583"/>
      <c r="O256" s="40" t="s">
        <v>2241</v>
      </c>
      <c r="P256" s="40" t="s">
        <v>2368</v>
      </c>
      <c r="Q256" s="40" t="s">
        <v>2288</v>
      </c>
      <c r="R256" s="40"/>
      <c r="S256" s="40"/>
      <c r="T256" s="40" t="s">
        <v>2369</v>
      </c>
    </row>
    <row r="257" spans="2:20" x14ac:dyDescent="0.2">
      <c r="B257" s="40" t="s">
        <v>2234</v>
      </c>
      <c r="C257" s="40" t="s">
        <v>2362</v>
      </c>
      <c r="D257" s="40" t="s">
        <v>2236</v>
      </c>
      <c r="E257" s="40" t="s">
        <v>2402</v>
      </c>
      <c r="F257" s="40" t="s">
        <v>2403</v>
      </c>
      <c r="G257" s="40" t="s">
        <v>2393</v>
      </c>
      <c r="H257" s="40" t="s">
        <v>1722</v>
      </c>
      <c r="I257" s="40" t="s">
        <v>2236</v>
      </c>
      <c r="J257" s="40"/>
      <c r="K257" s="40"/>
      <c r="L257" s="40">
        <v>0.27</v>
      </c>
      <c r="M257" s="40">
        <v>0.6</v>
      </c>
      <c r="N257" s="583">
        <f>(L257+M257)/2</f>
        <v>0.435</v>
      </c>
      <c r="O257" s="40" t="s">
        <v>2241</v>
      </c>
      <c r="P257" s="40" t="s">
        <v>2368</v>
      </c>
      <c r="Q257" s="40" t="s">
        <v>2288</v>
      </c>
      <c r="R257" s="40"/>
      <c r="S257" s="40" t="s">
        <v>2394</v>
      </c>
      <c r="T257" s="40" t="s">
        <v>2369</v>
      </c>
    </row>
    <row r="258" spans="2:20" x14ac:dyDescent="0.2">
      <c r="B258" s="40" t="s">
        <v>2234</v>
      </c>
      <c r="C258" s="40" t="s">
        <v>2362</v>
      </c>
      <c r="D258" s="40" t="s">
        <v>2236</v>
      </c>
      <c r="E258" s="40" t="s">
        <v>2358</v>
      </c>
      <c r="F258" s="40" t="s">
        <v>2395</v>
      </c>
      <c r="G258" s="40" t="s">
        <v>2396</v>
      </c>
      <c r="H258" s="40" t="s">
        <v>2236</v>
      </c>
      <c r="I258" s="40" t="s">
        <v>2236</v>
      </c>
      <c r="J258" s="40"/>
      <c r="K258" s="40"/>
      <c r="L258" s="40">
        <v>0.43</v>
      </c>
      <c r="M258" s="40">
        <v>0.59</v>
      </c>
      <c r="N258" s="583">
        <f>(L258+M258)/2</f>
        <v>0.51</v>
      </c>
      <c r="O258" s="40" t="s">
        <v>2241</v>
      </c>
      <c r="P258" s="40" t="s">
        <v>2368</v>
      </c>
      <c r="Q258" s="40" t="s">
        <v>2288</v>
      </c>
      <c r="R258" s="40"/>
      <c r="S258" s="40" t="s">
        <v>2394</v>
      </c>
      <c r="T258" s="40" t="s">
        <v>2369</v>
      </c>
    </row>
    <row r="259" spans="2:20" x14ac:dyDescent="0.2">
      <c r="B259" s="40" t="s">
        <v>2234</v>
      </c>
      <c r="C259" s="40" t="s">
        <v>2362</v>
      </c>
      <c r="D259" s="40" t="s">
        <v>2236</v>
      </c>
      <c r="E259" s="40" t="s">
        <v>2359</v>
      </c>
      <c r="F259" s="40" t="s">
        <v>2401</v>
      </c>
      <c r="G259" s="40" t="s">
        <v>2356</v>
      </c>
      <c r="H259" s="40" t="s">
        <v>2236</v>
      </c>
      <c r="I259" s="40" t="s">
        <v>2236</v>
      </c>
      <c r="J259" s="40"/>
      <c r="K259" s="40"/>
      <c r="L259" s="40">
        <v>0.7</v>
      </c>
      <c r="M259" s="40"/>
      <c r="N259" s="583"/>
      <c r="O259" s="40" t="s">
        <v>2241</v>
      </c>
      <c r="P259" s="40" t="s">
        <v>2368</v>
      </c>
      <c r="Q259" s="40" t="s">
        <v>2288</v>
      </c>
      <c r="R259" s="40"/>
      <c r="S259" s="40"/>
      <c r="T259" s="40" t="s">
        <v>2369</v>
      </c>
    </row>
    <row r="260" spans="2:20" x14ac:dyDescent="0.2">
      <c r="B260" s="40" t="s">
        <v>2234</v>
      </c>
      <c r="C260" s="40" t="s">
        <v>2362</v>
      </c>
      <c r="D260" s="40" t="s">
        <v>2236</v>
      </c>
      <c r="E260" s="40" t="s">
        <v>2360</v>
      </c>
      <c r="F260" s="40" t="s">
        <v>2395</v>
      </c>
      <c r="G260" s="40" t="s">
        <v>2396</v>
      </c>
      <c r="H260" s="40" t="s">
        <v>2236</v>
      </c>
      <c r="I260" s="40" t="s">
        <v>2236</v>
      </c>
      <c r="J260" s="40"/>
      <c r="K260" s="40"/>
      <c r="L260" s="40">
        <v>0.43</v>
      </c>
      <c r="M260" s="40">
        <v>0.59</v>
      </c>
      <c r="N260" s="583">
        <f>(L260+M260)/2</f>
        <v>0.51</v>
      </c>
      <c r="O260" s="40" t="s">
        <v>2241</v>
      </c>
      <c r="P260" s="40" t="s">
        <v>2368</v>
      </c>
      <c r="Q260" s="40" t="s">
        <v>2288</v>
      </c>
      <c r="R260" s="40"/>
      <c r="S260" s="40" t="s">
        <v>2394</v>
      </c>
      <c r="T260" s="40" t="s">
        <v>2369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C356E-B1FE-4D36-8639-1EF6CF4719B2}">
  <dimension ref="A1:S99"/>
  <sheetViews>
    <sheetView workbookViewId="0">
      <selection activeCell="B24" sqref="B24"/>
    </sheetView>
  </sheetViews>
  <sheetFormatPr defaultColWidth="9.42578125" defaultRowHeight="15" x14ac:dyDescent="0.25"/>
  <cols>
    <col min="1" max="1" width="18.42578125" style="775" customWidth="1"/>
    <col min="2" max="2" width="13.42578125" style="775" customWidth="1"/>
    <col min="3" max="3" width="15.42578125" style="775" bestFit="1" customWidth="1"/>
    <col min="4" max="4" width="4.42578125" style="775" customWidth="1"/>
    <col min="5" max="5" width="9" style="775" customWidth="1"/>
    <col min="6" max="6" width="19.42578125" style="775" bestFit="1" customWidth="1"/>
    <col min="7" max="7" width="15.42578125" style="775" bestFit="1" customWidth="1"/>
    <col min="8" max="8" width="4.42578125" style="775" customWidth="1"/>
    <col min="9" max="9" width="6.42578125" style="775" customWidth="1"/>
    <col min="10" max="10" width="19.42578125" style="775" bestFit="1" customWidth="1"/>
    <col min="11" max="11" width="9.42578125" style="775" customWidth="1"/>
    <col min="12" max="12" width="9.42578125" style="776" customWidth="1"/>
    <col min="13" max="13" width="14.42578125" style="776" customWidth="1"/>
    <col min="14" max="19" width="12.42578125" style="776" customWidth="1"/>
    <col min="20" max="22" width="9.42578125" style="776" customWidth="1"/>
    <col min="23" max="16384" width="9.42578125" style="776"/>
  </cols>
  <sheetData>
    <row r="1" spans="1:19" ht="18" customHeight="1" x14ac:dyDescent="0.3">
      <c r="A1" s="774" t="s">
        <v>2404</v>
      </c>
      <c r="L1" s="885"/>
      <c r="M1" s="885" t="s">
        <v>2405</v>
      </c>
      <c r="N1" s="885"/>
      <c r="O1" s="885"/>
      <c r="P1" s="885"/>
      <c r="Q1" s="885"/>
      <c r="R1" s="777"/>
      <c r="S1" s="777" t="s">
        <v>2406</v>
      </c>
    </row>
    <row r="2" spans="1:19" x14ac:dyDescent="0.25">
      <c r="G2" s="778">
        <f>447/B10</f>
        <v>124166666666.66666</v>
      </c>
      <c r="L2" s="885"/>
      <c r="M2" s="779" t="s">
        <v>2407</v>
      </c>
      <c r="N2" s="885"/>
      <c r="O2" s="885"/>
      <c r="P2" s="885"/>
      <c r="Q2" s="885"/>
      <c r="R2" s="777"/>
      <c r="S2" s="777" t="s">
        <v>2408</v>
      </c>
    </row>
    <row r="3" spans="1:19" ht="16.149999999999999" customHeight="1" thickBot="1" x14ac:dyDescent="0.3">
      <c r="L3" s="885"/>
      <c r="M3" s="931" t="s">
        <v>2409</v>
      </c>
      <c r="N3" s="926"/>
      <c r="O3" s="926"/>
      <c r="P3" s="926"/>
      <c r="Q3" s="926"/>
      <c r="R3" s="926"/>
      <c r="S3" s="926"/>
    </row>
    <row r="4" spans="1:19" ht="15" customHeight="1" thickBot="1" x14ac:dyDescent="0.3">
      <c r="B4" s="780" t="s">
        <v>2410</v>
      </c>
      <c r="C4" s="781"/>
      <c r="E4" s="780" t="s">
        <v>2411</v>
      </c>
      <c r="F4" s="781"/>
      <c r="I4" s="780" t="s">
        <v>2412</v>
      </c>
      <c r="J4" s="781"/>
      <c r="L4" s="885"/>
      <c r="M4" s="782"/>
      <c r="N4" s="783" t="s">
        <v>2413</v>
      </c>
      <c r="O4" s="783"/>
      <c r="P4" s="783" t="s">
        <v>2414</v>
      </c>
      <c r="Q4" s="783"/>
      <c r="R4" s="784" t="s">
        <v>2415</v>
      </c>
      <c r="S4" s="784" t="s">
        <v>2414</v>
      </c>
    </row>
    <row r="5" spans="1:19" ht="25.15" customHeight="1" thickBot="1" x14ac:dyDescent="0.3">
      <c r="B5" s="785">
        <f>1/10^9</f>
        <v>1.0000000000000001E-9</v>
      </c>
      <c r="C5" s="786" t="s">
        <v>2416</v>
      </c>
      <c r="E5" s="787">
        <v>2.2050000000000001</v>
      </c>
      <c r="F5" s="786" t="s">
        <v>2417</v>
      </c>
      <c r="I5" s="788" t="s">
        <v>2418</v>
      </c>
      <c r="J5" s="789" t="s">
        <v>2419</v>
      </c>
      <c r="L5" s="885"/>
      <c r="M5" s="790" t="s">
        <v>2420</v>
      </c>
      <c r="N5" s="791" t="s">
        <v>2421</v>
      </c>
      <c r="O5" s="791"/>
      <c r="P5" s="791" t="s">
        <v>2421</v>
      </c>
      <c r="Q5" s="791"/>
      <c r="R5" s="792" t="s">
        <v>2422</v>
      </c>
      <c r="S5" s="793" t="s">
        <v>2422</v>
      </c>
    </row>
    <row r="6" spans="1:19" ht="15" customHeight="1" thickTop="1" x14ac:dyDescent="0.25">
      <c r="B6" s="785">
        <f>1/10^6</f>
        <v>9.9999999999999995E-7</v>
      </c>
      <c r="C6" s="786" t="s">
        <v>2423</v>
      </c>
      <c r="E6" s="794">
        <v>2000</v>
      </c>
      <c r="F6" s="786" t="s">
        <v>2424</v>
      </c>
      <c r="I6" s="788" t="s">
        <v>2425</v>
      </c>
      <c r="J6" s="789" t="s">
        <v>2426</v>
      </c>
      <c r="L6" s="885"/>
      <c r="M6" s="932" t="s">
        <v>2427</v>
      </c>
      <c r="N6" s="933"/>
      <c r="O6" s="933"/>
      <c r="P6" s="933"/>
      <c r="Q6" s="933"/>
      <c r="R6" s="933"/>
      <c r="S6" s="934"/>
    </row>
    <row r="7" spans="1:19" x14ac:dyDescent="0.25">
      <c r="B7" s="795">
        <f>1055.056/10^15</f>
        <v>1.0550560000000001E-12</v>
      </c>
      <c r="C7" s="786" t="s">
        <v>2428</v>
      </c>
      <c r="E7" s="787">
        <v>56</v>
      </c>
      <c r="F7" s="786" t="s">
        <v>2429</v>
      </c>
      <c r="I7" s="796" t="s">
        <v>450</v>
      </c>
      <c r="J7" s="789" t="s">
        <v>1649</v>
      </c>
      <c r="L7" s="885"/>
      <c r="M7" s="797" t="s">
        <v>1487</v>
      </c>
      <c r="N7" s="798">
        <v>12.7</v>
      </c>
      <c r="O7" s="798" t="s">
        <v>1704</v>
      </c>
      <c r="P7" s="798">
        <f t="shared" ref="P7:P15" si="0">N7/2.20462</f>
        <v>5.7606299498326248</v>
      </c>
      <c r="Q7" s="798" t="s">
        <v>1704</v>
      </c>
      <c r="R7" s="798">
        <v>139.04859867504859</v>
      </c>
      <c r="S7" s="799">
        <f t="shared" ref="S7:S13" si="1">(R7/2.20462)</f>
        <v>63.071458425963932</v>
      </c>
    </row>
    <row r="8" spans="1:19" x14ac:dyDescent="0.25">
      <c r="B8" s="795">
        <f>1055.056/10^9</f>
        <v>1.0550560000000001E-6</v>
      </c>
      <c r="C8" s="786" t="s">
        <v>2430</v>
      </c>
      <c r="E8" s="787">
        <v>60</v>
      </c>
      <c r="F8" s="786" t="s">
        <v>2431</v>
      </c>
      <c r="I8" s="788" t="s">
        <v>453</v>
      </c>
      <c r="J8" s="789" t="s">
        <v>1644</v>
      </c>
      <c r="L8" s="885"/>
      <c r="M8" s="797" t="s">
        <v>2432</v>
      </c>
      <c r="N8" s="798">
        <v>14.8</v>
      </c>
      <c r="O8" s="798" t="s">
        <v>1704</v>
      </c>
      <c r="P8" s="798">
        <f t="shared" si="0"/>
        <v>6.7131750596474689</v>
      </c>
      <c r="Q8" s="798" t="s">
        <v>1704</v>
      </c>
      <c r="R8" s="798">
        <v>143.1982900251287</v>
      </c>
      <c r="S8" s="799">
        <f t="shared" si="1"/>
        <v>64.95372899870668</v>
      </c>
    </row>
    <row r="9" spans="1:19" ht="18.600000000000001" customHeight="1" x14ac:dyDescent="0.25">
      <c r="B9" s="795">
        <v>1055.056</v>
      </c>
      <c r="C9" s="786" t="s">
        <v>2433</v>
      </c>
      <c r="E9" s="785">
        <f>E6*10^6</f>
        <v>2000000000</v>
      </c>
      <c r="F9" s="786" t="s">
        <v>2434</v>
      </c>
      <c r="I9" s="788" t="s">
        <v>384</v>
      </c>
      <c r="J9" s="789" t="s">
        <v>1650</v>
      </c>
      <c r="L9" s="885"/>
      <c r="M9" s="797" t="s">
        <v>2435</v>
      </c>
      <c r="N9" s="798">
        <v>13.7</v>
      </c>
      <c r="O9" s="798" t="s">
        <v>1704</v>
      </c>
      <c r="P9" s="798">
        <f t="shared" si="0"/>
        <v>6.214222859268264</v>
      </c>
      <c r="Q9" s="798" t="s">
        <v>1704</v>
      </c>
      <c r="R9" s="798">
        <v>141.1234443500887</v>
      </c>
      <c r="S9" s="799">
        <f t="shared" si="1"/>
        <v>64.012593712335331</v>
      </c>
    </row>
    <row r="10" spans="1:19" ht="21" customHeight="1" thickBot="1" x14ac:dyDescent="0.3">
      <c r="B10" s="800">
        <f>3.6*B5</f>
        <v>3.6000000000000004E-9</v>
      </c>
      <c r="C10" s="801" t="s">
        <v>2436</v>
      </c>
      <c r="E10" s="802">
        <f>LbsPerKg/LbsPerTon</f>
        <v>1.1025E-3</v>
      </c>
      <c r="F10" s="786" t="s">
        <v>2437</v>
      </c>
      <c r="I10" s="796" t="s">
        <v>458</v>
      </c>
      <c r="J10" s="789" t="s">
        <v>1844</v>
      </c>
      <c r="L10" s="885"/>
      <c r="M10" s="797" t="s">
        <v>2438</v>
      </c>
      <c r="N10" s="798">
        <v>22.4</v>
      </c>
      <c r="O10" s="798" t="s">
        <v>1704</v>
      </c>
      <c r="P10" s="798">
        <f t="shared" si="0"/>
        <v>10.160481171358329</v>
      </c>
      <c r="Q10" s="798" t="s">
        <v>1704</v>
      </c>
      <c r="R10" s="798">
        <v>161.30000000000001</v>
      </c>
      <c r="S10" s="799">
        <f t="shared" si="1"/>
        <v>73.164536291968702</v>
      </c>
    </row>
    <row r="11" spans="1:19" ht="15" customHeight="1" thickBot="1" x14ac:dyDescent="0.3">
      <c r="E11" s="803">
        <f>1/E10</f>
        <v>907.02947845804988</v>
      </c>
      <c r="F11" s="786" t="s">
        <v>2439</v>
      </c>
      <c r="I11" s="804" t="s">
        <v>461</v>
      </c>
      <c r="J11" s="805" t="s">
        <v>1651</v>
      </c>
      <c r="L11" s="885"/>
      <c r="M11" s="797" t="s">
        <v>1511</v>
      </c>
      <c r="N11" s="798">
        <v>21.5</v>
      </c>
      <c r="O11" s="798" t="s">
        <v>1704</v>
      </c>
      <c r="P11" s="798">
        <f t="shared" si="0"/>
        <v>9.7522475528662547</v>
      </c>
      <c r="Q11" s="798" t="s">
        <v>1704</v>
      </c>
      <c r="R11" s="798">
        <v>159.4</v>
      </c>
      <c r="S11" s="799">
        <f t="shared" si="1"/>
        <v>72.302709764040983</v>
      </c>
    </row>
    <row r="12" spans="1:19" ht="15" customHeight="1" thickBot="1" x14ac:dyDescent="0.3">
      <c r="A12" s="780" t="s">
        <v>2440</v>
      </c>
      <c r="B12" s="806"/>
      <c r="C12" s="781"/>
      <c r="E12" s="807">
        <f>E10*1000</f>
        <v>1.1025</v>
      </c>
      <c r="F12" s="801" t="s">
        <v>2441</v>
      </c>
      <c r="L12" s="885"/>
      <c r="M12" s="797" t="s">
        <v>2442</v>
      </c>
      <c r="N12" s="798">
        <v>4631.5</v>
      </c>
      <c r="O12" s="798" t="s">
        <v>2443</v>
      </c>
      <c r="P12" s="798">
        <f t="shared" si="0"/>
        <v>2100.8155600511654</v>
      </c>
      <c r="Q12" s="798" t="s">
        <v>2443</v>
      </c>
      <c r="R12" s="798">
        <v>210.2</v>
      </c>
      <c r="S12" s="799">
        <f t="shared" si="1"/>
        <v>95.345229563371475</v>
      </c>
    </row>
    <row r="13" spans="1:19" ht="25.15" customHeight="1" thickBot="1" x14ac:dyDescent="0.3">
      <c r="A13" s="787" t="s">
        <v>1722</v>
      </c>
      <c r="B13" s="808">
        <f>B71*BTUtoPJ</f>
        <v>1.3195690897600002E-7</v>
      </c>
      <c r="C13" s="786" t="s">
        <v>2444</v>
      </c>
      <c r="E13" s="809"/>
      <c r="I13" s="780" t="s">
        <v>2445</v>
      </c>
      <c r="J13" s="781"/>
      <c r="L13" s="885"/>
      <c r="M13" s="797" t="s">
        <v>1483</v>
      </c>
      <c r="N13" s="798">
        <v>117.1</v>
      </c>
      <c r="O13" s="798" t="s">
        <v>2446</v>
      </c>
      <c r="P13" s="798">
        <f t="shared" si="0"/>
        <v>53.115729694913412</v>
      </c>
      <c r="Q13" s="798" t="s">
        <v>2446</v>
      </c>
      <c r="R13" s="798">
        <v>117</v>
      </c>
      <c r="S13" s="799">
        <f t="shared" si="1"/>
        <v>53.070370403969847</v>
      </c>
    </row>
    <row r="14" spans="1:19" x14ac:dyDescent="0.25">
      <c r="A14" s="787" t="s">
        <v>1721</v>
      </c>
      <c r="B14" s="808">
        <f>B72*BTUtoPJ</f>
        <v>1.4632571664E-7</v>
      </c>
      <c r="C14" s="786" t="s">
        <v>2444</v>
      </c>
      <c r="E14" s="780" t="s">
        <v>2447</v>
      </c>
      <c r="F14" s="781"/>
      <c r="I14" s="787">
        <v>6</v>
      </c>
      <c r="J14" s="786" t="s">
        <v>2448</v>
      </c>
      <c r="L14" s="885"/>
      <c r="M14" s="797" t="s">
        <v>1722</v>
      </c>
      <c r="N14" s="798">
        <v>19.600000000000001</v>
      </c>
      <c r="O14" s="798" t="s">
        <v>1704</v>
      </c>
      <c r="P14" s="798">
        <f t="shared" si="0"/>
        <v>8.89042102493854</v>
      </c>
      <c r="Q14" s="798" t="s">
        <v>1704</v>
      </c>
      <c r="R14" s="798">
        <v>157.19999999999999</v>
      </c>
      <c r="S14" s="799">
        <v>71.3</v>
      </c>
    </row>
    <row r="15" spans="1:19" ht="26.85" customHeight="1" thickBot="1" x14ac:dyDescent="0.3">
      <c r="A15" s="787" t="s">
        <v>2178</v>
      </c>
      <c r="B15" s="808">
        <f>E15*37627/10^12</f>
        <v>1.4241819500000002E-7</v>
      </c>
      <c r="C15" s="786" t="s">
        <v>2444</v>
      </c>
      <c r="E15" s="810">
        <v>3.7850000000000001</v>
      </c>
      <c r="F15" s="801" t="s">
        <v>2449</v>
      </c>
      <c r="I15" s="787">
        <v>9</v>
      </c>
      <c r="J15" s="786" t="s">
        <v>2450</v>
      </c>
      <c r="L15" s="885"/>
      <c r="M15" s="797" t="s">
        <v>2451</v>
      </c>
      <c r="N15" s="798">
        <v>26</v>
      </c>
      <c r="O15" s="798" t="s">
        <v>1704</v>
      </c>
      <c r="P15" s="798">
        <f t="shared" si="0"/>
        <v>11.793415645326633</v>
      </c>
      <c r="Q15" s="798" t="s">
        <v>1704</v>
      </c>
      <c r="R15" s="798">
        <v>173.7</v>
      </c>
      <c r="S15" s="799">
        <f>(R15/2.20462)</f>
        <v>78.789088368970624</v>
      </c>
    </row>
    <row r="16" spans="1:19" ht="15" customHeight="1" thickBot="1" x14ac:dyDescent="0.3">
      <c r="A16" s="787" t="s">
        <v>2452</v>
      </c>
      <c r="B16" s="808">
        <f>B74*BTUtoPJ</f>
        <v>8.8901128672000005E-8</v>
      </c>
      <c r="C16" s="786" t="s">
        <v>2444</v>
      </c>
      <c r="I16" s="787">
        <v>8</v>
      </c>
      <c r="J16" s="786" t="s">
        <v>2453</v>
      </c>
      <c r="L16" s="885"/>
      <c r="M16" s="935" t="s">
        <v>2454</v>
      </c>
      <c r="N16" s="933"/>
      <c r="O16" s="933"/>
      <c r="P16" s="933"/>
      <c r="Q16" s="933"/>
      <c r="R16" s="933"/>
      <c r="S16" s="934"/>
    </row>
    <row r="17" spans="1:19" x14ac:dyDescent="0.25">
      <c r="A17" s="787" t="s">
        <v>2455</v>
      </c>
      <c r="B17" s="808">
        <f>EthanolPJperGal*(100/105)+GasolinePJperGal*(5/105)</f>
        <v>9.0951403924571426E-8</v>
      </c>
      <c r="C17" s="786" t="s">
        <v>2444</v>
      </c>
      <c r="E17" s="780" t="s">
        <v>2456</v>
      </c>
      <c r="F17" s="806"/>
      <c r="G17" s="781"/>
      <c r="I17" s="787">
        <v>7</v>
      </c>
      <c r="J17" s="786" t="s">
        <v>2457</v>
      </c>
      <c r="L17" s="885"/>
      <c r="M17" s="797" t="s">
        <v>2178</v>
      </c>
      <c r="N17" s="798">
        <v>21.1</v>
      </c>
      <c r="O17" s="798" t="s">
        <v>1704</v>
      </c>
      <c r="P17" s="798">
        <f>N17/2.20462</f>
        <v>9.5708103890919993</v>
      </c>
      <c r="Q17" s="798" t="s">
        <v>1704</v>
      </c>
      <c r="R17" s="798">
        <v>156.30000000000001</v>
      </c>
      <c r="S17" s="799">
        <f>(R17/2.20462)</f>
        <v>70.896571744790492</v>
      </c>
    </row>
    <row r="18" spans="1:19" x14ac:dyDescent="0.25">
      <c r="A18" s="787" t="s">
        <v>2458</v>
      </c>
      <c r="B18" s="808">
        <f>DenatEthPJperGal*0.85+GasolinePJperGal*0.15</f>
        <v>9.7102229682285703E-8</v>
      </c>
      <c r="C18" s="786" t="s">
        <v>2444</v>
      </c>
      <c r="E18" s="811" t="s">
        <v>2459</v>
      </c>
      <c r="F18" s="812"/>
      <c r="G18" s="813"/>
      <c r="I18" s="787">
        <v>9</v>
      </c>
      <c r="J18" s="786" t="s">
        <v>2460</v>
      </c>
      <c r="L18" s="885"/>
      <c r="M18" s="797" t="s">
        <v>2461</v>
      </c>
      <c r="N18" s="798">
        <v>18.399999999999999</v>
      </c>
      <c r="O18" s="798" t="s">
        <v>1704</v>
      </c>
      <c r="P18" s="798">
        <f>N18/2.20462</f>
        <v>8.3461095336157705</v>
      </c>
      <c r="Q18" s="798" t="s">
        <v>1704</v>
      </c>
      <c r="R18" s="798">
        <v>152.6</v>
      </c>
      <c r="S18" s="799">
        <v>69.2</v>
      </c>
    </row>
    <row r="19" spans="1:19" x14ac:dyDescent="0.25">
      <c r="A19" s="787"/>
      <c r="B19" s="808"/>
      <c r="C19" s="786"/>
      <c r="E19" s="787" t="s">
        <v>2462</v>
      </c>
      <c r="F19" s="812"/>
      <c r="G19" s="813"/>
      <c r="I19" s="787">
        <v>8</v>
      </c>
      <c r="J19" s="786" t="s">
        <v>2463</v>
      </c>
      <c r="L19" s="885"/>
      <c r="M19" s="935" t="s">
        <v>2464</v>
      </c>
      <c r="N19" s="933"/>
      <c r="O19" s="933"/>
      <c r="P19" s="933"/>
      <c r="Q19" s="933"/>
      <c r="R19" s="933"/>
      <c r="S19" s="934"/>
    </row>
    <row r="20" spans="1:19" ht="24.6" customHeight="1" x14ac:dyDescent="0.25">
      <c r="A20" s="787" t="s">
        <v>2465</v>
      </c>
      <c r="B20" s="808">
        <f>B73*BTUtoPJ</f>
        <v>1.3559579712E-7</v>
      </c>
      <c r="C20" s="786" t="s">
        <v>2444</v>
      </c>
      <c r="E20" s="814" t="s">
        <v>2466</v>
      </c>
      <c r="F20" s="812"/>
      <c r="G20" s="813"/>
      <c r="I20" s="787">
        <v>1</v>
      </c>
      <c r="J20" s="786" t="s">
        <v>2467</v>
      </c>
      <c r="L20" s="885"/>
      <c r="M20" s="797" t="s">
        <v>2468</v>
      </c>
      <c r="N20" s="798">
        <v>120.7</v>
      </c>
      <c r="O20" s="798" t="s">
        <v>2446</v>
      </c>
      <c r="P20" s="798">
        <f>N20/2.20462</f>
        <v>54.748664168881717</v>
      </c>
      <c r="Q20" s="798" t="s">
        <v>2446</v>
      </c>
      <c r="R20" s="798">
        <v>120.6</v>
      </c>
      <c r="S20" s="799">
        <f>(R20/2.20462)</f>
        <v>54.703304877938152</v>
      </c>
    </row>
    <row r="21" spans="1:19" x14ac:dyDescent="0.25">
      <c r="A21" s="787" t="s">
        <v>2469</v>
      </c>
      <c r="B21" s="808">
        <f>B84*BTUtoPJ</f>
        <v>1.34265371504E-7</v>
      </c>
      <c r="C21" s="786" t="s">
        <v>2444</v>
      </c>
      <c r="E21" s="787" t="s">
        <v>2470</v>
      </c>
      <c r="G21" s="786"/>
      <c r="I21" s="787">
        <v>5</v>
      </c>
      <c r="J21" s="786" t="s">
        <v>2471</v>
      </c>
      <c r="L21" s="885"/>
      <c r="M21" s="797" t="s">
        <v>2472</v>
      </c>
      <c r="N21" s="798">
        <v>32.4</v>
      </c>
      <c r="O21" s="798" t="s">
        <v>1704</v>
      </c>
      <c r="P21" s="798">
        <f>N21/2.20462</f>
        <v>14.696410265714727</v>
      </c>
      <c r="Q21" s="798" t="s">
        <v>1704</v>
      </c>
      <c r="R21" s="798">
        <v>225.1</v>
      </c>
      <c r="S21" s="799">
        <f>(R21/2.20462)</f>
        <v>102.10376391396251</v>
      </c>
    </row>
    <row r="22" spans="1:19" ht="20.85" customHeight="1" x14ac:dyDescent="0.25">
      <c r="A22" s="787" t="s">
        <v>2473</v>
      </c>
      <c r="B22" s="808">
        <f>B85*BTUtoPJ</f>
        <v>1.3639341945600001E-7</v>
      </c>
      <c r="C22" s="786" t="s">
        <v>2444</v>
      </c>
      <c r="E22" s="815" t="s">
        <v>1931</v>
      </c>
      <c r="F22" s="816" t="s">
        <v>2474</v>
      </c>
      <c r="G22" s="817" t="s">
        <v>2475</v>
      </c>
      <c r="I22" s="787">
        <v>5</v>
      </c>
      <c r="J22" s="786" t="s">
        <v>2476</v>
      </c>
      <c r="L22" s="885"/>
      <c r="M22" s="797" t="s">
        <v>2477</v>
      </c>
      <c r="N22" s="798">
        <f>R22*5.796/42</f>
        <v>22.093800000000002</v>
      </c>
      <c r="O22" s="798" t="s">
        <v>1704</v>
      </c>
      <c r="P22" s="798">
        <f>N22/2.20462</f>
        <v>10.021591022489138</v>
      </c>
      <c r="Q22" s="798" t="s">
        <v>1704</v>
      </c>
      <c r="R22" s="798">
        <v>160.1</v>
      </c>
      <c r="S22" s="799">
        <f>(R22/2.20462)</f>
        <v>72.620224800645914</v>
      </c>
    </row>
    <row r="23" spans="1:19" x14ac:dyDescent="0.25">
      <c r="A23" s="787"/>
      <c r="C23" s="786"/>
      <c r="E23" s="787">
        <v>1980</v>
      </c>
      <c r="F23" s="818">
        <v>48.27946</v>
      </c>
      <c r="G23" s="819">
        <f t="shared" ref="G23:G65" si="2">$F$48/F23</f>
        <v>2.0712742023212356</v>
      </c>
      <c r="I23" s="787">
        <v>5</v>
      </c>
      <c r="J23" s="786" t="s">
        <v>2478</v>
      </c>
      <c r="L23" s="885"/>
      <c r="M23" s="935" t="s">
        <v>2479</v>
      </c>
      <c r="N23" s="933"/>
      <c r="O23" s="933"/>
      <c r="P23" s="933"/>
      <c r="Q23" s="933"/>
      <c r="R23" s="933"/>
      <c r="S23" s="934"/>
    </row>
    <row r="24" spans="1:19" ht="24.6" customHeight="1" x14ac:dyDescent="0.25">
      <c r="A24" s="787" t="s">
        <v>2480</v>
      </c>
      <c r="B24" s="808">
        <f>B94*BTUtoPJ</f>
        <v>1.5794188320000001E-7</v>
      </c>
      <c r="C24" s="786" t="s">
        <v>2444</v>
      </c>
      <c r="E24" s="787">
        <v>1981</v>
      </c>
      <c r="F24" s="818">
        <v>52.847140000000003</v>
      </c>
      <c r="G24" s="819">
        <f t="shared" si="2"/>
        <v>1.8922499874165375</v>
      </c>
      <c r="I24" s="787">
        <v>9</v>
      </c>
      <c r="J24" s="786" t="s">
        <v>2481</v>
      </c>
      <c r="L24" s="885"/>
      <c r="M24" s="797" t="s">
        <v>2482</v>
      </c>
      <c r="N24" s="798">
        <f>R24*6.636/42</f>
        <v>26.3386</v>
      </c>
      <c r="O24" s="798" t="s">
        <v>1704</v>
      </c>
      <c r="P24" s="798">
        <f>N24/2.20462</f>
        <v>11.94700220446154</v>
      </c>
      <c r="Q24" s="798" t="s">
        <v>1704</v>
      </c>
      <c r="R24" s="798">
        <v>166.7</v>
      </c>
      <c r="S24" s="799">
        <f>(R24/2.20462)</f>
        <v>75.613938002921145</v>
      </c>
    </row>
    <row r="25" spans="1:19" x14ac:dyDescent="0.25">
      <c r="A25" s="787"/>
      <c r="B25" s="808"/>
      <c r="C25" s="786"/>
      <c r="D25" s="820"/>
      <c r="E25" s="787">
        <v>1982</v>
      </c>
      <c r="F25" s="818">
        <v>56.11103</v>
      </c>
      <c r="G25" s="819">
        <f t="shared" si="2"/>
        <v>1.7821807940435241</v>
      </c>
      <c r="I25" s="787">
        <v>8</v>
      </c>
      <c r="J25" s="786" t="s">
        <v>2483</v>
      </c>
      <c r="L25" s="885"/>
      <c r="M25" s="797" t="s">
        <v>2484</v>
      </c>
      <c r="N25" s="798">
        <f>R25*6.065/42</f>
        <v>23.624619047619049</v>
      </c>
      <c r="O25" s="798" t="s">
        <v>1704</v>
      </c>
      <c r="P25" s="798">
        <f>N25/2.20462</f>
        <v>10.715959688118158</v>
      </c>
      <c r="Q25" s="798" t="s">
        <v>1704</v>
      </c>
      <c r="R25" s="798">
        <v>163.6</v>
      </c>
      <c r="S25" s="799">
        <f>(R25/2.20462)</f>
        <v>74.207799983670654</v>
      </c>
    </row>
    <row r="26" spans="1:19" ht="24.6" customHeight="1" x14ac:dyDescent="0.25">
      <c r="A26" s="787" t="s">
        <v>2485</v>
      </c>
      <c r="B26" s="808">
        <f>B89*BTUtoPJ</f>
        <v>9.8120208000000005E-10</v>
      </c>
      <c r="C26" s="786" t="s">
        <v>2486</v>
      </c>
      <c r="E26" s="787">
        <v>1983</v>
      </c>
      <c r="F26" s="818">
        <v>58.295859999999998</v>
      </c>
      <c r="G26" s="819">
        <f t="shared" si="2"/>
        <v>1.7153876793309166</v>
      </c>
      <c r="I26" s="787">
        <v>3</v>
      </c>
      <c r="J26" s="786" t="s">
        <v>2487</v>
      </c>
      <c r="L26" s="885"/>
      <c r="M26" s="797" t="s">
        <v>2488</v>
      </c>
      <c r="N26" s="798">
        <f>R26*6.636/42</f>
        <v>24.742799999999999</v>
      </c>
      <c r="O26" s="798" t="s">
        <v>1704</v>
      </c>
      <c r="P26" s="798">
        <f>N26/2.20462</f>
        <v>11.223158639584147</v>
      </c>
      <c r="Q26" s="798" t="s">
        <v>1704</v>
      </c>
      <c r="R26" s="798">
        <v>156.6</v>
      </c>
      <c r="S26" s="799">
        <f>(R26/2.20462)</f>
        <v>71.032649617621175</v>
      </c>
    </row>
    <row r="27" spans="1:19" ht="24.6" customHeight="1" x14ac:dyDescent="0.25">
      <c r="A27" s="787" t="s">
        <v>2489</v>
      </c>
      <c r="B27" s="808">
        <f>B90*BTUtoPJ</f>
        <v>1.0835425120000001E-9</v>
      </c>
      <c r="C27" s="786" t="s">
        <v>2486</v>
      </c>
      <c r="E27" s="787">
        <v>1984</v>
      </c>
      <c r="F27" s="818">
        <v>60.405569999999997</v>
      </c>
      <c r="G27" s="819">
        <f t="shared" si="2"/>
        <v>1.6554764734444192</v>
      </c>
      <c r="I27" s="787">
        <v>3</v>
      </c>
      <c r="J27" s="786" t="s">
        <v>2490</v>
      </c>
      <c r="L27" s="885"/>
      <c r="M27" s="797" t="s">
        <v>2491</v>
      </c>
      <c r="N27" s="798">
        <f>R27*5.248/42</f>
        <v>20.054857142857145</v>
      </c>
      <c r="O27" s="798" t="s">
        <v>1704</v>
      </c>
      <c r="P27" s="798">
        <f>N27/2.20462</f>
        <v>9.0967409997446946</v>
      </c>
      <c r="Q27" s="798" t="s">
        <v>1704</v>
      </c>
      <c r="R27" s="798">
        <v>160.5</v>
      </c>
      <c r="S27" s="799">
        <f>(R27/2.20462)</f>
        <v>72.801661964420177</v>
      </c>
    </row>
    <row r="28" spans="1:19" x14ac:dyDescent="0.25">
      <c r="A28" s="787" t="s">
        <v>2492</v>
      </c>
      <c r="B28" s="808">
        <f>LPGPJperGal*7.482</f>
        <v>7.2158404915872005E-7</v>
      </c>
      <c r="C28" s="786" t="s">
        <v>2486</v>
      </c>
      <c r="D28" s="808"/>
      <c r="E28" s="787">
        <v>1985</v>
      </c>
      <c r="F28" s="818">
        <v>62.318170000000002</v>
      </c>
      <c r="G28" s="819">
        <f t="shared" si="2"/>
        <v>1.6046684297693594</v>
      </c>
      <c r="I28" s="787">
        <v>4</v>
      </c>
      <c r="J28" s="786" t="s">
        <v>2493</v>
      </c>
      <c r="L28" s="885"/>
      <c r="M28" s="797" t="s">
        <v>2494</v>
      </c>
      <c r="N28" s="798">
        <f>R28*5.537/42</f>
        <v>21.106516666666668</v>
      </c>
      <c r="O28" s="798" t="s">
        <v>1704</v>
      </c>
      <c r="P28" s="798">
        <f>N28/2.20462</f>
        <v>9.5737663028851543</v>
      </c>
      <c r="Q28" s="798" t="s">
        <v>1704</v>
      </c>
      <c r="R28" s="798">
        <v>160.1</v>
      </c>
      <c r="S28" s="799">
        <f>(R28/2.20462)</f>
        <v>72.620224800645914</v>
      </c>
    </row>
    <row r="29" spans="1:19" x14ac:dyDescent="0.25">
      <c r="A29" s="787" t="s">
        <v>2492</v>
      </c>
      <c r="B29" s="808">
        <f>B77*BTUtoPJ</f>
        <v>9.644266896000001E-8</v>
      </c>
      <c r="C29" s="786" t="s">
        <v>2444</v>
      </c>
      <c r="E29" s="787">
        <v>1986</v>
      </c>
      <c r="F29" s="818">
        <v>63.575969999999998</v>
      </c>
      <c r="G29" s="819">
        <f t="shared" si="2"/>
        <v>1.5729213411922776</v>
      </c>
      <c r="I29" s="787">
        <v>4</v>
      </c>
      <c r="J29" s="786" t="s">
        <v>2495</v>
      </c>
      <c r="L29" s="885"/>
      <c r="M29" s="936" t="s">
        <v>2496</v>
      </c>
      <c r="N29" s="937"/>
      <c r="O29" s="937"/>
      <c r="P29" s="937"/>
      <c r="Q29" s="937"/>
      <c r="R29" s="937"/>
      <c r="S29" s="938"/>
    </row>
    <row r="30" spans="1:19" ht="15" customHeight="1" thickBot="1" x14ac:dyDescent="0.3">
      <c r="A30" s="821" t="s">
        <v>1710</v>
      </c>
      <c r="B30" s="822">
        <f>2.632*1.055*10^-9</f>
        <v>2.7767600000000002E-9</v>
      </c>
      <c r="C30" s="801" t="s">
        <v>2497</v>
      </c>
      <c r="E30" s="787">
        <v>1987</v>
      </c>
      <c r="F30" s="818">
        <v>65.146460000000005</v>
      </c>
      <c r="G30" s="819">
        <f t="shared" si="2"/>
        <v>1.5350028228701911</v>
      </c>
      <c r="I30" s="787">
        <v>6</v>
      </c>
      <c r="J30" s="786" t="s">
        <v>2498</v>
      </c>
      <c r="L30" s="885"/>
      <c r="M30" s="797" t="s">
        <v>2499</v>
      </c>
      <c r="N30" s="798">
        <v>5685</v>
      </c>
      <c r="O30" s="798" t="s">
        <v>2443</v>
      </c>
      <c r="P30" s="798">
        <f>N30/2.20462</f>
        <v>2578.675690141612</v>
      </c>
      <c r="Q30" s="798" t="s">
        <v>2443</v>
      </c>
      <c r="R30" s="798">
        <v>228.6</v>
      </c>
      <c r="S30" s="799">
        <v>103.7</v>
      </c>
    </row>
    <row r="31" spans="1:19" ht="15" customHeight="1" thickBot="1" x14ac:dyDescent="0.3">
      <c r="B31" s="808"/>
      <c r="E31" s="787">
        <v>1988</v>
      </c>
      <c r="F31" s="818">
        <v>67.443169999999995</v>
      </c>
      <c r="G31" s="819">
        <f t="shared" si="2"/>
        <v>1.4827298301666427</v>
      </c>
      <c r="I31" s="787">
        <v>7</v>
      </c>
      <c r="J31" s="786" t="s">
        <v>2500</v>
      </c>
      <c r="L31" s="885"/>
      <c r="M31" s="797" t="s">
        <v>2501</v>
      </c>
      <c r="N31" s="798">
        <v>4931.3</v>
      </c>
      <c r="O31" s="798" t="s">
        <v>2443</v>
      </c>
      <c r="P31" s="798">
        <f>N31/2.20462</f>
        <v>2236.8027142999704</v>
      </c>
      <c r="Q31" s="798" t="s">
        <v>2443</v>
      </c>
      <c r="R31" s="798">
        <v>205.7</v>
      </c>
      <c r="S31" s="799">
        <v>93.3</v>
      </c>
    </row>
    <row r="32" spans="1:19" x14ac:dyDescent="0.25">
      <c r="A32" s="780" t="s">
        <v>2502</v>
      </c>
      <c r="B32" s="806"/>
      <c r="C32" s="781"/>
      <c r="E32" s="787">
        <v>1989</v>
      </c>
      <c r="F32" s="818">
        <v>70.092119999999994</v>
      </c>
      <c r="G32" s="819">
        <f t="shared" si="2"/>
        <v>1.4266938993998186</v>
      </c>
      <c r="I32" s="787">
        <v>1</v>
      </c>
      <c r="J32" s="786" t="s">
        <v>2503</v>
      </c>
      <c r="L32" s="885"/>
      <c r="M32" s="797" t="s">
        <v>2504</v>
      </c>
      <c r="N32" s="798">
        <v>3715.9</v>
      </c>
      <c r="O32" s="798" t="s">
        <v>2443</v>
      </c>
      <c r="P32" s="798">
        <f>N32/2.20462</f>
        <v>1685.5058921718937</v>
      </c>
      <c r="Q32" s="798" t="s">
        <v>2443</v>
      </c>
      <c r="R32" s="798">
        <v>214.3</v>
      </c>
      <c r="S32" s="799">
        <v>97.2</v>
      </c>
    </row>
    <row r="33" spans="1:19" x14ac:dyDescent="0.25">
      <c r="A33" s="823" t="s">
        <v>2505</v>
      </c>
      <c r="B33" s="824"/>
      <c r="C33" s="786"/>
      <c r="E33" s="787">
        <v>1990</v>
      </c>
      <c r="F33" s="818">
        <v>72.721450000000004</v>
      </c>
      <c r="G33" s="819">
        <f t="shared" si="2"/>
        <v>1.375110094751961</v>
      </c>
      <c r="I33" s="787">
        <v>5</v>
      </c>
      <c r="J33" s="786" t="s">
        <v>2506</v>
      </c>
      <c r="L33" s="885"/>
      <c r="M33" s="797" t="s">
        <v>2507</v>
      </c>
      <c r="N33" s="798">
        <v>2791.6</v>
      </c>
      <c r="O33" s="798" t="s">
        <v>2443</v>
      </c>
      <c r="P33" s="798">
        <f>N33/2.20462</f>
        <v>1266.2499659805319</v>
      </c>
      <c r="Q33" s="798" t="s">
        <v>2443</v>
      </c>
      <c r="R33" s="798">
        <v>215.4</v>
      </c>
      <c r="S33" s="799">
        <f>(R33/2.20462)</f>
        <v>97.703912692436802</v>
      </c>
    </row>
    <row r="34" spans="1:19" x14ac:dyDescent="0.25">
      <c r="A34" s="825" t="s">
        <v>2508</v>
      </c>
      <c r="B34" s="775">
        <v>10</v>
      </c>
      <c r="C34" s="786" t="s">
        <v>2509</v>
      </c>
      <c r="E34" s="787">
        <v>1991</v>
      </c>
      <c r="F34" s="818">
        <v>75.17604</v>
      </c>
      <c r="G34" s="819">
        <f t="shared" si="2"/>
        <v>1.3302110619287741</v>
      </c>
      <c r="I34" s="787">
        <v>1</v>
      </c>
      <c r="J34" s="786" t="s">
        <v>2510</v>
      </c>
      <c r="L34" s="885"/>
      <c r="M34" s="826" t="s">
        <v>2511</v>
      </c>
      <c r="N34" s="827">
        <f>R34*24.8</f>
        <v>6239.68</v>
      </c>
      <c r="O34" s="827" t="s">
        <v>2443</v>
      </c>
      <c r="P34" s="827">
        <f>N34/2.20462</f>
        <v>2830.2746051473728</v>
      </c>
      <c r="Q34" s="827" t="s">
        <v>2443</v>
      </c>
      <c r="R34" s="827">
        <v>251.6</v>
      </c>
      <c r="S34" s="828">
        <f>(R34/2.20462)</f>
        <v>114.12397601400696</v>
      </c>
    </row>
    <row r="35" spans="1:19" x14ac:dyDescent="0.25">
      <c r="A35" s="825" t="s">
        <v>2512</v>
      </c>
      <c r="B35" s="775">
        <v>17</v>
      </c>
      <c r="C35" s="786" t="s">
        <v>2509</v>
      </c>
      <c r="E35" s="787">
        <v>1992</v>
      </c>
      <c r="F35" s="818">
        <v>76.887230000000002</v>
      </c>
      <c r="G35" s="819">
        <f t="shared" si="2"/>
        <v>1.300606095446539</v>
      </c>
      <c r="I35" s="787">
        <v>3</v>
      </c>
      <c r="J35" s="786" t="s">
        <v>2513</v>
      </c>
      <c r="L35" s="885"/>
      <c r="M35" s="829" t="s">
        <v>2514</v>
      </c>
      <c r="N35" s="827"/>
      <c r="O35" s="827"/>
      <c r="P35" s="827"/>
      <c r="Q35" s="827"/>
      <c r="R35" s="827"/>
      <c r="S35" s="828"/>
    </row>
    <row r="36" spans="1:19" ht="36.6" customHeight="1" x14ac:dyDescent="0.25">
      <c r="A36" s="825" t="s">
        <v>2515</v>
      </c>
      <c r="B36" s="775">
        <f>(B34+B35)/2</f>
        <v>13.5</v>
      </c>
      <c r="C36" s="786" t="s">
        <v>2509</v>
      </c>
      <c r="E36" s="787">
        <v>1993</v>
      </c>
      <c r="F36" s="818">
        <v>78.711240000000004</v>
      </c>
      <c r="G36" s="819">
        <f t="shared" si="2"/>
        <v>1.2704665813929497</v>
      </c>
      <c r="I36" s="787">
        <v>4</v>
      </c>
      <c r="J36" s="786" t="s">
        <v>2516</v>
      </c>
      <c r="L36" s="885"/>
      <c r="M36" s="826" t="s">
        <v>2517</v>
      </c>
      <c r="N36" s="830" t="s">
        <v>2518</v>
      </c>
      <c r="O36" s="830"/>
      <c r="P36" s="830" t="s">
        <v>2518</v>
      </c>
      <c r="Q36" s="827"/>
      <c r="R36" s="827">
        <v>16.989999999999998</v>
      </c>
      <c r="S36" s="828">
        <f>(R36/2.20462)</f>
        <v>7.7065435313115183</v>
      </c>
    </row>
    <row r="37" spans="1:19" ht="24.6" customHeight="1" x14ac:dyDescent="0.25">
      <c r="A37" s="823" t="s">
        <v>2519</v>
      </c>
      <c r="C37" s="786"/>
      <c r="E37" s="787">
        <v>1994</v>
      </c>
      <c r="F37" s="818">
        <v>80.391170000000002</v>
      </c>
      <c r="G37" s="819">
        <f t="shared" si="2"/>
        <v>1.2439177088727531</v>
      </c>
      <c r="I37" s="787">
        <v>6</v>
      </c>
      <c r="J37" s="786" t="s">
        <v>2520</v>
      </c>
      <c r="L37" s="885"/>
      <c r="M37" s="826" t="s">
        <v>2521</v>
      </c>
      <c r="N37" s="827">
        <v>5771</v>
      </c>
      <c r="O37" s="827" t="s">
        <v>2443</v>
      </c>
      <c r="P37" s="827">
        <f>N37/2.20462</f>
        <v>2617.6846803530771</v>
      </c>
      <c r="Q37" s="827" t="s">
        <v>2443</v>
      </c>
      <c r="R37" s="827">
        <v>91.9</v>
      </c>
      <c r="S37" s="828">
        <f>(R37/2.20462)</f>
        <v>41.685188377135297</v>
      </c>
    </row>
    <row r="38" spans="1:19" x14ac:dyDescent="0.25">
      <c r="A38" s="825" t="s">
        <v>2522</v>
      </c>
      <c r="B38" s="775">
        <v>18</v>
      </c>
      <c r="C38" s="786" t="s">
        <v>2509</v>
      </c>
      <c r="E38" s="787">
        <v>1995</v>
      </c>
      <c r="F38" s="818">
        <v>82.079059999999998</v>
      </c>
      <c r="G38" s="819">
        <f t="shared" si="2"/>
        <v>1.2183375394406319</v>
      </c>
      <c r="I38" s="787">
        <v>4</v>
      </c>
      <c r="J38" s="786" t="s">
        <v>2523</v>
      </c>
      <c r="L38" s="885"/>
      <c r="M38" s="826" t="s">
        <v>2524</v>
      </c>
      <c r="N38" s="827">
        <v>6160</v>
      </c>
      <c r="O38" s="827" t="s">
        <v>2443</v>
      </c>
      <c r="P38" s="827">
        <f>N38/2.20462</f>
        <v>2794.1323221235407</v>
      </c>
      <c r="Q38" s="827" t="s">
        <v>2443</v>
      </c>
      <c r="R38" s="827">
        <v>189.54</v>
      </c>
      <c r="S38" s="828">
        <f>(R38/2.20462)</f>
        <v>85.974000054431158</v>
      </c>
    </row>
    <row r="39" spans="1:19" ht="15" customHeight="1" thickBot="1" x14ac:dyDescent="0.3">
      <c r="A39" s="825" t="s">
        <v>2525</v>
      </c>
      <c r="B39" s="775">
        <v>22</v>
      </c>
      <c r="C39" s="786" t="s">
        <v>2509</v>
      </c>
      <c r="E39" s="787">
        <v>1996</v>
      </c>
      <c r="F39" s="818">
        <v>83.579650000000001</v>
      </c>
      <c r="G39" s="819">
        <f t="shared" si="2"/>
        <v>1.1964634932067795</v>
      </c>
      <c r="I39" s="787">
        <v>8</v>
      </c>
      <c r="J39" s="786" t="s">
        <v>2526</v>
      </c>
      <c r="L39" s="885"/>
      <c r="M39" s="831" t="s">
        <v>2527</v>
      </c>
      <c r="N39" s="832">
        <f>R39*4.4</f>
        <v>924.00000000000011</v>
      </c>
      <c r="O39" s="782" t="s">
        <v>2528</v>
      </c>
      <c r="P39" s="827">
        <f>N39/2.20462</f>
        <v>419.11984831853118</v>
      </c>
      <c r="Q39" s="782" t="s">
        <v>2528</v>
      </c>
      <c r="R39" s="833">
        <v>210</v>
      </c>
      <c r="S39" s="828">
        <f>(R39/2.20462)</f>
        <v>95.254510981484344</v>
      </c>
    </row>
    <row r="40" spans="1:19" x14ac:dyDescent="0.25">
      <c r="A40" s="825" t="s">
        <v>2529</v>
      </c>
      <c r="B40" s="775">
        <v>20</v>
      </c>
      <c r="C40" s="786" t="s">
        <v>2509</v>
      </c>
      <c r="E40" s="787">
        <v>1997</v>
      </c>
      <c r="F40" s="818">
        <v>85.022000000000006</v>
      </c>
      <c r="G40" s="819">
        <f t="shared" si="2"/>
        <v>1.1761661687563219</v>
      </c>
      <c r="I40" s="787">
        <v>4</v>
      </c>
      <c r="J40" s="786" t="s">
        <v>2530</v>
      </c>
      <c r="L40" s="885"/>
      <c r="M40" s="922" t="s">
        <v>2531</v>
      </c>
      <c r="N40" s="923"/>
      <c r="O40" s="923"/>
      <c r="P40" s="923"/>
      <c r="Q40" s="923"/>
      <c r="R40" s="923"/>
      <c r="S40" s="924"/>
    </row>
    <row r="41" spans="1:19" x14ac:dyDescent="0.25">
      <c r="A41" s="825" t="s">
        <v>2532</v>
      </c>
      <c r="B41" s="775">
        <v>15</v>
      </c>
      <c r="C41" s="786" t="s">
        <v>2509</v>
      </c>
      <c r="E41" s="787">
        <v>1998</v>
      </c>
      <c r="F41" s="818">
        <v>85.976920000000007</v>
      </c>
      <c r="G41" s="819">
        <f t="shared" si="2"/>
        <v>1.1631028420185323</v>
      </c>
      <c r="I41" s="787">
        <v>8</v>
      </c>
      <c r="J41" s="786" t="s">
        <v>2533</v>
      </c>
      <c r="L41" s="885"/>
      <c r="M41" s="925" t="s">
        <v>2534</v>
      </c>
      <c r="N41" s="926"/>
      <c r="O41" s="926"/>
      <c r="P41" s="926"/>
      <c r="Q41" s="926"/>
      <c r="R41" s="926"/>
      <c r="S41" s="927"/>
    </row>
    <row r="42" spans="1:19" ht="15" customHeight="1" thickBot="1" x14ac:dyDescent="0.3">
      <c r="A42" s="834" t="s">
        <v>2535</v>
      </c>
      <c r="C42" s="786"/>
      <c r="E42" s="787">
        <v>1999</v>
      </c>
      <c r="F42" s="818">
        <v>87.192409999999995</v>
      </c>
      <c r="G42" s="819">
        <f t="shared" si="2"/>
        <v>1.1468888175014316</v>
      </c>
      <c r="I42" s="787">
        <v>1</v>
      </c>
      <c r="J42" s="786" t="s">
        <v>2536</v>
      </c>
      <c r="L42" s="885"/>
      <c r="M42" s="928" t="s">
        <v>2537</v>
      </c>
      <c r="N42" s="929"/>
      <c r="O42" s="929"/>
      <c r="P42" s="929"/>
      <c r="Q42" s="929"/>
      <c r="R42" s="929"/>
      <c r="S42" s="930"/>
    </row>
    <row r="43" spans="1:19" x14ac:dyDescent="0.25">
      <c r="A43" s="814" t="s">
        <v>2538</v>
      </c>
      <c r="C43" s="786"/>
      <c r="E43" s="787">
        <v>2000</v>
      </c>
      <c r="F43" s="818">
        <v>89.168469999999999</v>
      </c>
      <c r="G43" s="819">
        <f t="shared" si="2"/>
        <v>1.1214726461046152</v>
      </c>
      <c r="I43" s="787">
        <v>2</v>
      </c>
      <c r="J43" s="786" t="s">
        <v>2539</v>
      </c>
      <c r="L43" s="885"/>
      <c r="M43" s="885"/>
      <c r="N43" s="885"/>
      <c r="O43" s="885"/>
      <c r="P43" s="885"/>
      <c r="Q43" s="885"/>
      <c r="R43" s="885"/>
      <c r="S43" s="885"/>
    </row>
    <row r="44" spans="1:19" x14ac:dyDescent="0.25">
      <c r="A44" s="787"/>
      <c r="C44" s="786"/>
      <c r="D44" s="835"/>
      <c r="E44" s="787">
        <v>2001</v>
      </c>
      <c r="F44" s="818">
        <v>91.181309999999996</v>
      </c>
      <c r="G44" s="819">
        <f t="shared" si="2"/>
        <v>1.0967159826942605</v>
      </c>
      <c r="I44" s="787">
        <v>8</v>
      </c>
      <c r="J44" s="786" t="s">
        <v>2540</v>
      </c>
      <c r="L44" s="885"/>
      <c r="M44" s="885"/>
      <c r="N44" s="885"/>
      <c r="O44" s="885"/>
      <c r="P44" s="885"/>
      <c r="Q44" s="885"/>
      <c r="R44" s="885"/>
      <c r="S44" s="885"/>
    </row>
    <row r="45" spans="1:19" x14ac:dyDescent="0.25">
      <c r="A45" s="836" t="s">
        <v>2541</v>
      </c>
      <c r="B45" s="837"/>
      <c r="C45" s="786"/>
      <c r="D45" s="835"/>
      <c r="E45" s="787">
        <v>2002</v>
      </c>
      <c r="F45" s="818">
        <v>92.596680000000006</v>
      </c>
      <c r="G45" s="819">
        <f t="shared" si="2"/>
        <v>1.0799523265844952</v>
      </c>
      <c r="I45" s="787">
        <v>2</v>
      </c>
      <c r="J45" s="786" t="s">
        <v>2542</v>
      </c>
      <c r="L45" s="885"/>
      <c r="M45" s="885"/>
      <c r="N45" s="885"/>
      <c r="O45" s="885"/>
      <c r="P45" s="885"/>
      <c r="Q45" s="885"/>
      <c r="R45" s="885"/>
      <c r="S45" s="885"/>
    </row>
    <row r="46" spans="1:19" x14ac:dyDescent="0.25">
      <c r="A46" s="825" t="s">
        <v>2543</v>
      </c>
      <c r="B46" s="837">
        <v>15500000</v>
      </c>
      <c r="C46" s="786" t="s">
        <v>2544</v>
      </c>
      <c r="D46" s="835"/>
      <c r="E46" s="787">
        <v>2003</v>
      </c>
      <c r="F46" s="818">
        <v>94.418850000000006</v>
      </c>
      <c r="G46" s="819">
        <f t="shared" si="2"/>
        <v>1.0591105483703731</v>
      </c>
      <c r="I46" s="787">
        <v>5</v>
      </c>
      <c r="J46" s="786" t="s">
        <v>2545</v>
      </c>
      <c r="L46" s="885"/>
      <c r="M46" s="885"/>
      <c r="N46" s="885"/>
      <c r="O46" s="885"/>
      <c r="P46" s="885"/>
      <c r="Q46" s="885"/>
      <c r="R46" s="885"/>
      <c r="S46" s="885"/>
    </row>
    <row r="47" spans="1:19" x14ac:dyDescent="0.25">
      <c r="A47" s="825" t="s">
        <v>2546</v>
      </c>
      <c r="B47" s="837">
        <v>12400000</v>
      </c>
      <c r="C47" s="786" t="s">
        <v>2544</v>
      </c>
      <c r="D47" s="835"/>
      <c r="E47" s="787">
        <v>2004</v>
      </c>
      <c r="F47" s="818">
        <v>96.957430000000002</v>
      </c>
      <c r="G47" s="819">
        <f t="shared" si="2"/>
        <v>1.0313804728528799</v>
      </c>
      <c r="I47" s="787">
        <v>4</v>
      </c>
      <c r="J47" s="786" t="s">
        <v>2547</v>
      </c>
      <c r="L47" s="885"/>
      <c r="M47" s="885"/>
      <c r="N47" s="885"/>
      <c r="O47" s="885"/>
      <c r="P47" s="885"/>
      <c r="Q47" s="885"/>
      <c r="R47" s="885"/>
      <c r="S47" s="885"/>
    </row>
    <row r="48" spans="1:19" x14ac:dyDescent="0.25">
      <c r="A48" s="825" t="s">
        <v>2543</v>
      </c>
      <c r="B48" s="838">
        <f>B46*BTUtoPJ*10^6</f>
        <v>16.353368</v>
      </c>
      <c r="C48" s="786" t="s">
        <v>2548</v>
      </c>
      <c r="D48" s="835"/>
      <c r="E48" s="787">
        <v>2005</v>
      </c>
      <c r="F48" s="818">
        <v>100</v>
      </c>
      <c r="G48" s="819">
        <f t="shared" si="2"/>
        <v>1</v>
      </c>
      <c r="I48" s="787">
        <v>3</v>
      </c>
      <c r="J48" s="786" t="s">
        <v>2549</v>
      </c>
      <c r="L48" s="885"/>
      <c r="M48" s="885"/>
      <c r="N48" s="885"/>
      <c r="O48" s="885"/>
      <c r="P48" s="885"/>
      <c r="Q48" s="885"/>
      <c r="R48" s="885"/>
      <c r="S48" s="885"/>
    </row>
    <row r="49" spans="1:10" x14ac:dyDescent="0.25">
      <c r="A49" s="825" t="s">
        <v>2546</v>
      </c>
      <c r="B49" s="839">
        <f>B47*BTUtoPJ*10^6</f>
        <v>13.082694400000001</v>
      </c>
      <c r="C49" s="786" t="s">
        <v>2548</v>
      </c>
      <c r="E49" s="787">
        <v>2006</v>
      </c>
      <c r="F49" s="818">
        <v>103.08732000000001</v>
      </c>
      <c r="G49" s="819">
        <f t="shared" si="2"/>
        <v>0.97005140884446306</v>
      </c>
      <c r="I49" s="787">
        <v>7</v>
      </c>
      <c r="J49" s="786" t="s">
        <v>2550</v>
      </c>
    </row>
    <row r="50" spans="1:10" x14ac:dyDescent="0.25">
      <c r="A50" s="823" t="s">
        <v>2551</v>
      </c>
      <c r="B50" s="840"/>
      <c r="C50" s="786"/>
      <c r="E50" s="787">
        <v>2007</v>
      </c>
      <c r="F50" s="818">
        <v>105.87882</v>
      </c>
      <c r="G50" s="819">
        <f t="shared" si="2"/>
        <v>0.94447595845892496</v>
      </c>
      <c r="I50" s="787">
        <v>9</v>
      </c>
      <c r="J50" s="786" t="s">
        <v>2552</v>
      </c>
    </row>
    <row r="51" spans="1:10" x14ac:dyDescent="0.25">
      <c r="A51" s="825" t="s">
        <v>2553</v>
      </c>
      <c r="B51" s="837">
        <v>16400000</v>
      </c>
      <c r="C51" s="786" t="s">
        <v>2544</v>
      </c>
      <c r="E51" s="787">
        <v>2008</v>
      </c>
      <c r="F51" s="818">
        <v>107.92753</v>
      </c>
      <c r="G51" s="819">
        <f t="shared" si="2"/>
        <v>0.92654765656176874</v>
      </c>
      <c r="I51" s="787">
        <v>2</v>
      </c>
      <c r="J51" s="786" t="s">
        <v>2554</v>
      </c>
    </row>
    <row r="52" spans="1:10" x14ac:dyDescent="0.25">
      <c r="A52" s="825" t="s">
        <v>2555</v>
      </c>
      <c r="B52" s="837">
        <v>13600000</v>
      </c>
      <c r="C52" s="786" t="s">
        <v>2544</v>
      </c>
      <c r="E52" s="787">
        <v>2009</v>
      </c>
      <c r="F52" s="818">
        <v>108.58846</v>
      </c>
      <c r="G52" s="819">
        <f t="shared" si="2"/>
        <v>0.92090817016835858</v>
      </c>
      <c r="I52" s="787">
        <v>1</v>
      </c>
      <c r="J52" s="786" t="s">
        <v>2556</v>
      </c>
    </row>
    <row r="53" spans="1:10" x14ac:dyDescent="0.25">
      <c r="A53" s="825" t="s">
        <v>2553</v>
      </c>
      <c r="B53" s="838">
        <f>B51*BTUtoPJ*10^6</f>
        <v>17.302918400000003</v>
      </c>
      <c r="C53" s="786" t="s">
        <v>2548</v>
      </c>
      <c r="E53" s="787">
        <v>2010</v>
      </c>
      <c r="F53" s="818">
        <v>109.90451</v>
      </c>
      <c r="G53" s="819">
        <f t="shared" si="2"/>
        <v>0.90988076831423936</v>
      </c>
      <c r="I53" s="787">
        <v>5</v>
      </c>
      <c r="J53" s="786" t="s">
        <v>2557</v>
      </c>
    </row>
    <row r="54" spans="1:10" x14ac:dyDescent="0.25">
      <c r="A54" s="825" t="s">
        <v>2555</v>
      </c>
      <c r="B54" s="838">
        <f>B52*BTUtoPJ*10^6</f>
        <v>14.3487616</v>
      </c>
      <c r="C54" s="786" t="s">
        <v>2548</v>
      </c>
      <c r="E54" s="787">
        <v>2011</v>
      </c>
      <c r="F54" s="818">
        <v>112.17271</v>
      </c>
      <c r="G54" s="819">
        <f t="shared" si="2"/>
        <v>0.89148242919333953</v>
      </c>
      <c r="I54" s="787">
        <v>4</v>
      </c>
      <c r="J54" s="786" t="s">
        <v>2558</v>
      </c>
    </row>
    <row r="55" spans="1:10" x14ac:dyDescent="0.25">
      <c r="A55" s="823" t="s">
        <v>2559</v>
      </c>
      <c r="B55" s="840"/>
      <c r="C55" s="786"/>
      <c r="E55" s="787">
        <v>2012</v>
      </c>
      <c r="F55" s="818">
        <v>114.26373</v>
      </c>
      <c r="G55" s="819">
        <f t="shared" si="2"/>
        <v>0.87516834957164447</v>
      </c>
      <c r="I55" s="787">
        <v>6</v>
      </c>
      <c r="J55" s="786" t="s">
        <v>2560</v>
      </c>
    </row>
    <row r="56" spans="1:10" x14ac:dyDescent="0.25">
      <c r="A56" s="825" t="s">
        <v>2553</v>
      </c>
      <c r="B56" s="837">
        <v>392000</v>
      </c>
      <c r="C56" s="786" t="s">
        <v>2544</v>
      </c>
      <c r="E56" s="787">
        <v>2013</v>
      </c>
      <c r="F56" s="818">
        <v>116.20576</v>
      </c>
      <c r="G56" s="819">
        <f t="shared" si="2"/>
        <v>0.8605425410926274</v>
      </c>
      <c r="I56" s="787">
        <v>7</v>
      </c>
      <c r="J56" s="786" t="s">
        <v>2561</v>
      </c>
    </row>
    <row r="57" spans="1:10" x14ac:dyDescent="0.25">
      <c r="A57" s="825" t="s">
        <v>2555</v>
      </c>
      <c r="B57" s="837">
        <v>314000</v>
      </c>
      <c r="C57" s="786" t="s">
        <v>2544</v>
      </c>
      <c r="E57" s="787">
        <v>2014</v>
      </c>
      <c r="F57" s="818">
        <v>118.22811</v>
      </c>
      <c r="G57" s="819">
        <f t="shared" si="2"/>
        <v>0.84582253746592073</v>
      </c>
      <c r="I57" s="787">
        <v>8</v>
      </c>
      <c r="J57" s="786" t="s">
        <v>2562</v>
      </c>
    </row>
    <row r="58" spans="1:10" x14ac:dyDescent="0.25">
      <c r="A58" s="825" t="s">
        <v>2553</v>
      </c>
      <c r="B58" s="838">
        <f>B56*BTUtoPJ*10^6</f>
        <v>0.41358195200000003</v>
      </c>
      <c r="C58" s="786" t="s">
        <v>2548</v>
      </c>
      <c r="E58" s="787">
        <v>2015</v>
      </c>
      <c r="F58" s="818">
        <v>119.32926</v>
      </c>
      <c r="G58" s="819">
        <f t="shared" si="2"/>
        <v>0.83801743176820165</v>
      </c>
      <c r="I58" s="787">
        <v>1</v>
      </c>
      <c r="J58" s="786" t="s">
        <v>2563</v>
      </c>
    </row>
    <row r="59" spans="1:10" x14ac:dyDescent="0.25">
      <c r="A59" s="825" t="s">
        <v>2555</v>
      </c>
      <c r="B59" s="838">
        <f>B57*BTUtoPJ*10^6</f>
        <v>0.33128758400000002</v>
      </c>
      <c r="C59" s="786" t="s">
        <v>2548</v>
      </c>
      <c r="E59" s="787">
        <v>2016</v>
      </c>
      <c r="F59" s="818">
        <v>120.46137</v>
      </c>
      <c r="G59" s="819">
        <f t="shared" si="2"/>
        <v>0.83014164623895614</v>
      </c>
      <c r="I59" s="787">
        <v>5</v>
      </c>
      <c r="J59" s="786" t="s">
        <v>2564</v>
      </c>
    </row>
    <row r="60" spans="1:10" x14ac:dyDescent="0.25">
      <c r="A60" s="834" t="s">
        <v>2565</v>
      </c>
      <c r="B60" s="840"/>
      <c r="C60" s="786"/>
      <c r="E60" s="787">
        <v>2017</v>
      </c>
      <c r="F60" s="818">
        <v>122.61615</v>
      </c>
      <c r="G60" s="819">
        <f t="shared" si="2"/>
        <v>0.81555325297687131</v>
      </c>
      <c r="I60" s="787">
        <v>9</v>
      </c>
      <c r="J60" s="786" t="s">
        <v>2566</v>
      </c>
    </row>
    <row r="61" spans="1:10" x14ac:dyDescent="0.25">
      <c r="A61" s="814"/>
      <c r="B61" s="840"/>
      <c r="C61" s="786"/>
      <c r="E61" s="787">
        <v>2018</v>
      </c>
      <c r="F61" s="818">
        <v>125.42757</v>
      </c>
      <c r="G61" s="819">
        <f t="shared" si="2"/>
        <v>0.79727288027664089</v>
      </c>
      <c r="I61" s="787">
        <v>5</v>
      </c>
      <c r="J61" s="786" t="s">
        <v>2567</v>
      </c>
    </row>
    <row r="62" spans="1:10" x14ac:dyDescent="0.25">
      <c r="A62" s="823" t="s">
        <v>2568</v>
      </c>
      <c r="B62" s="775">
        <v>3.13795</v>
      </c>
      <c r="C62" s="786" t="s">
        <v>2569</v>
      </c>
      <c r="E62" s="787">
        <v>2019</v>
      </c>
      <c r="F62" s="818">
        <v>127.53176999999999</v>
      </c>
      <c r="G62" s="819">
        <f t="shared" si="2"/>
        <v>0.78411834164930039</v>
      </c>
      <c r="I62" s="787">
        <v>3</v>
      </c>
      <c r="J62" s="786" t="s">
        <v>2570</v>
      </c>
    </row>
    <row r="63" spans="1:10" ht="15" customHeight="1" thickBot="1" x14ac:dyDescent="0.3">
      <c r="A63" s="823" t="s">
        <v>2571</v>
      </c>
      <c r="B63" s="840">
        <v>39.44</v>
      </c>
      <c r="C63" s="786" t="s">
        <v>2569</v>
      </c>
      <c r="E63" s="787">
        <v>2020</v>
      </c>
      <c r="F63" s="818">
        <v>129.20219</v>
      </c>
      <c r="G63" s="819">
        <f t="shared" si="2"/>
        <v>0.77398068871742809</v>
      </c>
      <c r="I63" s="821">
        <v>8</v>
      </c>
      <c r="J63" s="801" t="s">
        <v>2572</v>
      </c>
    </row>
    <row r="64" spans="1:10" x14ac:dyDescent="0.25">
      <c r="A64" s="814"/>
      <c r="B64" s="838">
        <f>B63*KgPerTon*10^6/10^9</f>
        <v>35.773242630385489</v>
      </c>
      <c r="C64" s="786" t="s">
        <v>2548</v>
      </c>
      <c r="E64" s="787">
        <v>2021</v>
      </c>
      <c r="F64" s="818">
        <v>135.11166</v>
      </c>
      <c r="G64" s="819">
        <f t="shared" si="2"/>
        <v>0.74012857217504391</v>
      </c>
    </row>
    <row r="65" spans="1:7" ht="15" customHeight="1" thickBot="1" x14ac:dyDescent="0.3">
      <c r="A65" s="825" t="s">
        <v>2573</v>
      </c>
      <c r="B65" s="841">
        <v>0.184</v>
      </c>
      <c r="C65" s="786" t="s">
        <v>2574</v>
      </c>
      <c r="E65" s="821">
        <v>2022</v>
      </c>
      <c r="F65" s="842">
        <v>144.65168</v>
      </c>
      <c r="G65" s="843">
        <f t="shared" si="2"/>
        <v>0.69131585613108681</v>
      </c>
    </row>
    <row r="66" spans="1:7" ht="15" customHeight="1" thickBot="1" x14ac:dyDescent="0.3">
      <c r="A66" s="844" t="s">
        <v>2575</v>
      </c>
      <c r="B66" s="845"/>
      <c r="C66" s="801"/>
    </row>
    <row r="68" spans="1:7" ht="15" customHeight="1" thickBot="1" x14ac:dyDescent="0.3">
      <c r="B68" s="840"/>
    </row>
    <row r="69" spans="1:7" x14ac:dyDescent="0.25">
      <c r="A69" s="780" t="s">
        <v>2576</v>
      </c>
      <c r="B69" s="806"/>
      <c r="C69" s="781"/>
    </row>
    <row r="70" spans="1:7" x14ac:dyDescent="0.25">
      <c r="A70" s="787"/>
      <c r="B70" s="775" t="s">
        <v>2577</v>
      </c>
      <c r="C70" s="786"/>
    </row>
    <row r="71" spans="1:7" x14ac:dyDescent="0.25">
      <c r="A71" s="787" t="s">
        <v>1722</v>
      </c>
      <c r="B71" s="846">
        <v>125071</v>
      </c>
      <c r="C71" s="786" t="s">
        <v>2578</v>
      </c>
    </row>
    <row r="72" spans="1:7" x14ac:dyDescent="0.25">
      <c r="A72" s="787" t="s">
        <v>2579</v>
      </c>
      <c r="B72" s="846">
        <v>138690</v>
      </c>
      <c r="C72" s="786" t="s">
        <v>2578</v>
      </c>
    </row>
    <row r="73" spans="1:7" x14ac:dyDescent="0.25">
      <c r="A73" s="787" t="s">
        <v>2465</v>
      </c>
      <c r="B73" s="846">
        <v>128520</v>
      </c>
      <c r="C73" s="786" t="s">
        <v>2578</v>
      </c>
    </row>
    <row r="74" spans="1:7" x14ac:dyDescent="0.25">
      <c r="A74" s="787" t="s">
        <v>2452</v>
      </c>
      <c r="B74" s="846">
        <v>84262</v>
      </c>
      <c r="C74" s="786" t="s">
        <v>2578</v>
      </c>
      <c r="F74" s="808"/>
    </row>
    <row r="75" spans="1:7" x14ac:dyDescent="0.25">
      <c r="A75" s="814" t="s">
        <v>2580</v>
      </c>
      <c r="C75" s="786"/>
      <c r="F75" s="808"/>
    </row>
    <row r="76" spans="1:7" x14ac:dyDescent="0.25">
      <c r="A76" s="787"/>
      <c r="B76" s="846"/>
      <c r="C76" s="786"/>
      <c r="F76" s="808"/>
    </row>
    <row r="77" spans="1:7" x14ac:dyDescent="0.25">
      <c r="A77" s="787" t="s">
        <v>2179</v>
      </c>
      <c r="B77" s="846">
        <v>91410</v>
      </c>
      <c r="C77" s="786" t="s">
        <v>2578</v>
      </c>
      <c r="F77" s="808"/>
    </row>
    <row r="78" spans="1:7" x14ac:dyDescent="0.25">
      <c r="A78" s="814" t="s">
        <v>2581</v>
      </c>
      <c r="B78" s="846"/>
      <c r="C78" s="786"/>
      <c r="F78" s="808"/>
    </row>
    <row r="79" spans="1:7" ht="15" customHeight="1" thickBot="1" x14ac:dyDescent="0.3">
      <c r="A79" s="847"/>
      <c r="B79" s="845"/>
      <c r="C79" s="801"/>
      <c r="F79" s="808"/>
    </row>
    <row r="80" spans="1:7" ht="15" customHeight="1" thickBot="1" x14ac:dyDescent="0.3">
      <c r="A80" s="848"/>
      <c r="F80" s="808"/>
    </row>
    <row r="81" spans="1:6" x14ac:dyDescent="0.25">
      <c r="A81" s="780" t="s">
        <v>2582</v>
      </c>
      <c r="B81" s="806"/>
      <c r="C81" s="781"/>
      <c r="F81" s="808"/>
    </row>
    <row r="82" spans="1:6" x14ac:dyDescent="0.25">
      <c r="A82" s="787" t="s">
        <v>2579</v>
      </c>
      <c r="B82" s="846">
        <v>129500</v>
      </c>
      <c r="C82" s="786" t="s">
        <v>2578</v>
      </c>
      <c r="F82" s="808"/>
    </row>
    <row r="83" spans="1:6" x14ac:dyDescent="0.25">
      <c r="A83" s="787" t="s">
        <v>2583</v>
      </c>
      <c r="B83" s="846">
        <v>118296</v>
      </c>
      <c r="C83" s="786" t="s">
        <v>2578</v>
      </c>
    </row>
    <row r="84" spans="1:6" x14ac:dyDescent="0.25">
      <c r="A84" s="787" t="s">
        <v>2584</v>
      </c>
      <c r="B84" s="846">
        <v>127259</v>
      </c>
      <c r="C84" s="786" t="s">
        <v>2578</v>
      </c>
    </row>
    <row r="85" spans="1:6" x14ac:dyDescent="0.25">
      <c r="A85" s="787" t="s">
        <v>2585</v>
      </c>
      <c r="B85" s="846">
        <v>129276</v>
      </c>
      <c r="C85" s="786" t="s">
        <v>2578</v>
      </c>
    </row>
    <row r="86" spans="1:6" ht="15" customHeight="1" thickBot="1" x14ac:dyDescent="0.3">
      <c r="A86" s="847" t="s">
        <v>2586</v>
      </c>
      <c r="B86" s="845"/>
      <c r="C86" s="801"/>
      <c r="F86" s="808"/>
    </row>
    <row r="87" spans="1:6" ht="15" customHeight="1" thickBot="1" x14ac:dyDescent="0.3">
      <c r="F87" s="808"/>
    </row>
    <row r="88" spans="1:6" x14ac:dyDescent="0.25">
      <c r="A88" s="780" t="s">
        <v>2587</v>
      </c>
      <c r="B88" s="849"/>
      <c r="C88" s="850"/>
      <c r="F88" s="808"/>
    </row>
    <row r="89" spans="1:6" x14ac:dyDescent="0.25">
      <c r="A89" s="787" t="s">
        <v>2485</v>
      </c>
      <c r="B89" s="775">
        <v>930</v>
      </c>
      <c r="C89" s="786" t="s">
        <v>2588</v>
      </c>
      <c r="F89" s="808"/>
    </row>
    <row r="90" spans="1:6" x14ac:dyDescent="0.25">
      <c r="A90" s="787" t="s">
        <v>2489</v>
      </c>
      <c r="B90" s="775">
        <v>1027</v>
      </c>
      <c r="C90" s="786" t="s">
        <v>2588</v>
      </c>
    </row>
    <row r="91" spans="1:6" ht="15" customHeight="1" thickBot="1" x14ac:dyDescent="0.3">
      <c r="A91" s="847" t="s">
        <v>2535</v>
      </c>
      <c r="B91" s="845"/>
      <c r="C91" s="801"/>
    </row>
    <row r="92" spans="1:6" ht="15" customHeight="1" thickBot="1" x14ac:dyDescent="0.3"/>
    <row r="93" spans="1:6" x14ac:dyDescent="0.25">
      <c r="A93" s="780" t="s">
        <v>2589</v>
      </c>
      <c r="B93" s="849"/>
      <c r="C93" s="850"/>
    </row>
    <row r="94" spans="1:6" x14ac:dyDescent="0.25">
      <c r="A94" s="787" t="s">
        <v>2590</v>
      </c>
      <c r="B94" s="846">
        <v>149700</v>
      </c>
      <c r="C94" s="786" t="s">
        <v>2578</v>
      </c>
    </row>
    <row r="95" spans="1:6" x14ac:dyDescent="0.25">
      <c r="A95" s="787" t="s">
        <v>2591</v>
      </c>
      <c r="B95" s="846">
        <v>138400</v>
      </c>
      <c r="C95" s="786" t="s">
        <v>2578</v>
      </c>
    </row>
    <row r="96" spans="1:6" x14ac:dyDescent="0.25">
      <c r="A96" s="851" t="s">
        <v>2592</v>
      </c>
      <c r="C96" s="786"/>
    </row>
    <row r="97" spans="1:3" x14ac:dyDescent="0.25">
      <c r="A97" s="787"/>
      <c r="C97" s="786"/>
    </row>
    <row r="98" spans="1:3" x14ac:dyDescent="0.25">
      <c r="A98" s="787" t="s">
        <v>2593</v>
      </c>
      <c r="B98" s="775">
        <v>8887</v>
      </c>
      <c r="C98" s="786" t="s">
        <v>2594</v>
      </c>
    </row>
    <row r="99" spans="1:3" ht="15" customHeight="1" thickBot="1" x14ac:dyDescent="0.3">
      <c r="A99" s="821" t="s">
        <v>2595</v>
      </c>
      <c r="B99" s="845">
        <v>10180</v>
      </c>
      <c r="C99" s="801" t="s">
        <v>2594</v>
      </c>
    </row>
  </sheetData>
  <mergeCells count="9">
    <mergeCell ref="M40:S40"/>
    <mergeCell ref="M41:S41"/>
    <mergeCell ref="M42:S42"/>
    <mergeCell ref="M3:S3"/>
    <mergeCell ref="M6:S6"/>
    <mergeCell ref="M16:S16"/>
    <mergeCell ref="M19:S19"/>
    <mergeCell ref="M23:S23"/>
    <mergeCell ref="M29:S29"/>
  </mergeCells>
  <hyperlinks>
    <hyperlink ref="M2" r:id="rId1" xr:uid="{80DA0E3D-9946-4701-8154-AD3E80DE0D89}"/>
    <hyperlink ref="A42" r:id="rId2" xr:uid="{1F82DF3B-85C8-4824-B856-9E95DB4E3EAB}"/>
    <hyperlink ref="A60" r:id="rId3" xr:uid="{62F73533-0B26-462C-937A-D6C7D227F976}"/>
    <hyperlink ref="A75" r:id="rId4" display="www.eere.energy.gov/afdc/progs/fuel_compare.php" xr:uid="{CC2CB08E-F0E6-4040-BF79-3E63A022BBCA}"/>
    <hyperlink ref="A78" r:id="rId5" display="http://www.eere.energy.gov/afdc/fuels/properties_notes.html" xr:uid="{70BC44C9-95E2-40EB-A335-DDEC6DC55085}"/>
    <hyperlink ref="A86" r:id="rId6" xr:uid="{FF1EBEE3-718E-4EA6-92C7-1E700FC9CC55}"/>
    <hyperlink ref="A91" r:id="rId7" xr:uid="{F3D021E5-17D4-4EF2-83A2-098857E00B03}"/>
    <hyperlink ref="A96" r:id="rId8" display="http://bioenergy.ornl.gov/papers/misc/energy_conv.html" xr:uid="{5FD5494A-0695-4A7C-994F-A92CD94CFC5E}"/>
  </hyperlinks>
  <pageMargins left="0.7" right="0.7" top="0.75" bottom="0.75" header="0.3" footer="0.3"/>
  <pageSetup orientation="portrait"/>
  <legacyDrawing r:id="rId9"/>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9"/>
  </sheetPr>
  <dimension ref="A2:N65"/>
  <sheetViews>
    <sheetView tabSelected="1" workbookViewId="0">
      <selection activeCell="G23" sqref="G23"/>
    </sheetView>
  </sheetViews>
  <sheetFormatPr defaultColWidth="9.140625" defaultRowHeight="12.75" x14ac:dyDescent="0.2"/>
  <cols>
    <col min="1" max="1" width="4.7109375" style="15" customWidth="1"/>
    <col min="2" max="2" width="27.5703125" style="15" customWidth="1"/>
    <col min="3" max="3" width="24" style="15" bestFit="1" customWidth="1"/>
    <col min="4" max="6" width="9.140625" style="15"/>
    <col min="7" max="7" width="20.28515625" style="15" bestFit="1" customWidth="1"/>
    <col min="8" max="16384" width="9.140625" style="15"/>
  </cols>
  <sheetData>
    <row r="2" spans="1:14" x14ac:dyDescent="0.2">
      <c r="A2" s="16"/>
      <c r="B2" s="633" t="s">
        <v>2596</v>
      </c>
      <c r="C2" s="634"/>
      <c r="D2" s="16"/>
      <c r="E2" s="16"/>
      <c r="F2" s="16"/>
      <c r="G2" s="16"/>
      <c r="H2" s="16"/>
      <c r="I2" s="16"/>
      <c r="J2" s="16"/>
      <c r="K2" s="16"/>
      <c r="L2" s="16"/>
      <c r="M2" s="16"/>
      <c r="N2" s="16"/>
    </row>
    <row r="3" spans="1:14" x14ac:dyDescent="0.2">
      <c r="A3" s="16"/>
      <c r="B3" s="306" t="s">
        <v>2597</v>
      </c>
      <c r="C3" s="699">
        <v>24</v>
      </c>
      <c r="D3" s="16"/>
      <c r="E3" s="16"/>
      <c r="F3" s="16"/>
      <c r="G3" s="16"/>
      <c r="H3" s="16"/>
      <c r="I3" s="16"/>
      <c r="J3" s="16"/>
      <c r="K3" s="16"/>
      <c r="L3" s="16"/>
      <c r="M3" s="16"/>
      <c r="N3" s="16"/>
    </row>
    <row r="4" spans="1:14" x14ac:dyDescent="0.2">
      <c r="A4" s="16"/>
      <c r="B4" s="306" t="s">
        <v>2598</v>
      </c>
      <c r="C4" s="699">
        <v>365</v>
      </c>
      <c r="D4" s="16"/>
      <c r="E4" s="16"/>
      <c r="F4" s="16"/>
      <c r="G4" s="16"/>
      <c r="H4" s="16"/>
      <c r="I4" s="16"/>
      <c r="J4" s="16"/>
      <c r="K4" s="16"/>
      <c r="L4" s="16"/>
      <c r="M4" s="16"/>
      <c r="N4" s="16"/>
    </row>
    <row r="5" spans="1:14" x14ac:dyDescent="0.2">
      <c r="A5" s="16"/>
      <c r="B5" s="306" t="s">
        <v>2599</v>
      </c>
      <c r="C5" s="699">
        <v>1055.056</v>
      </c>
      <c r="D5" s="16"/>
      <c r="E5" s="16"/>
      <c r="F5" s="16"/>
      <c r="G5" s="16"/>
      <c r="H5" s="16"/>
      <c r="I5" s="16"/>
      <c r="J5" s="16"/>
      <c r="K5" s="16"/>
      <c r="L5" s="16"/>
      <c r="M5" s="16"/>
      <c r="N5" s="16"/>
    </row>
    <row r="6" spans="1:14" x14ac:dyDescent="0.2">
      <c r="A6" s="16"/>
      <c r="B6" s="306" t="s">
        <v>2600</v>
      </c>
      <c r="C6" s="699">
        <v>3.4119999999999999</v>
      </c>
      <c r="D6" s="16"/>
      <c r="E6" s="16"/>
      <c r="F6" s="16"/>
      <c r="G6" s="16"/>
      <c r="H6" s="16"/>
      <c r="I6" s="16"/>
      <c r="J6" s="16"/>
      <c r="K6" s="16"/>
      <c r="L6" s="16"/>
      <c r="M6" s="16"/>
      <c r="N6" s="16"/>
    </row>
    <row r="7" spans="1:14" x14ac:dyDescent="0.2">
      <c r="A7" s="16"/>
      <c r="B7" s="306" t="s">
        <v>2601</v>
      </c>
      <c r="C7" s="764">
        <f>1000000000000000</f>
        <v>1000000000000000</v>
      </c>
      <c r="D7" s="16"/>
      <c r="E7" s="16"/>
      <c r="F7" s="16"/>
      <c r="G7" s="16"/>
      <c r="H7" s="16"/>
      <c r="I7" s="16"/>
      <c r="J7" s="16"/>
      <c r="K7" s="16"/>
      <c r="L7" s="16"/>
      <c r="M7" s="16"/>
      <c r="N7" s="16"/>
    </row>
    <row r="8" spans="1:14" x14ac:dyDescent="0.2">
      <c r="A8" s="16"/>
      <c r="B8" s="306" t="s">
        <v>2602</v>
      </c>
      <c r="C8" s="764">
        <f>1000000</f>
        <v>1000000</v>
      </c>
      <c r="D8" s="16"/>
      <c r="E8" s="16"/>
      <c r="F8" s="16"/>
      <c r="G8" s="16"/>
      <c r="H8" s="16"/>
      <c r="I8" s="16"/>
      <c r="J8" s="16"/>
      <c r="K8" s="16"/>
      <c r="L8" s="16"/>
      <c r="M8" s="16"/>
      <c r="N8" s="16"/>
    </row>
    <row r="9" spans="1:14" x14ac:dyDescent="0.2">
      <c r="A9" s="16"/>
      <c r="B9" s="306" t="s">
        <v>2603</v>
      </c>
      <c r="C9" s="764">
        <f>1000000000000</f>
        <v>1000000000000</v>
      </c>
      <c r="D9" s="16"/>
      <c r="E9" s="16"/>
      <c r="F9" s="16"/>
      <c r="G9" s="16"/>
      <c r="H9" s="16"/>
      <c r="I9" s="16"/>
      <c r="J9" s="16"/>
      <c r="K9" s="16"/>
      <c r="L9" s="16"/>
      <c r="M9" s="16"/>
      <c r="N9" s="16"/>
    </row>
    <row r="10" spans="1:14" x14ac:dyDescent="0.2">
      <c r="A10" s="16"/>
      <c r="B10" s="306" t="s">
        <v>2604</v>
      </c>
      <c r="C10" s="764">
        <f>1000000000</f>
        <v>1000000000</v>
      </c>
      <c r="D10" s="16"/>
      <c r="E10" s="16"/>
      <c r="F10" s="16"/>
      <c r="G10" s="16"/>
      <c r="H10" s="16"/>
      <c r="I10" s="16"/>
      <c r="J10" s="16"/>
      <c r="K10" s="16"/>
      <c r="L10" s="16"/>
      <c r="M10" s="16"/>
      <c r="N10" s="16"/>
    </row>
    <row r="11" spans="1:14" x14ac:dyDescent="0.2">
      <c r="A11" s="16"/>
      <c r="B11" s="306" t="s">
        <v>2605</v>
      </c>
      <c r="C11" s="764">
        <v>2.7780000000000001E-7</v>
      </c>
      <c r="D11" s="16"/>
      <c r="E11" s="16"/>
      <c r="F11" s="16"/>
      <c r="G11" s="16"/>
      <c r="H11" s="16"/>
      <c r="I11" s="16"/>
      <c r="J11" s="16"/>
      <c r="K11" s="16"/>
      <c r="L11" s="16"/>
      <c r="M11" s="16"/>
      <c r="N11" s="16"/>
    </row>
    <row r="12" spans="1:14" ht="11.25" customHeight="1" x14ac:dyDescent="0.2">
      <c r="A12" s="16"/>
      <c r="B12" s="306" t="s">
        <v>2606</v>
      </c>
      <c r="C12" s="764">
        <v>1000000</v>
      </c>
      <c r="D12" s="16"/>
      <c r="E12" s="16"/>
      <c r="F12" s="16"/>
      <c r="G12" s="16"/>
      <c r="H12" s="16"/>
      <c r="I12" s="16"/>
      <c r="J12" s="16"/>
      <c r="K12" s="16"/>
      <c r="L12" s="16"/>
      <c r="M12" s="16"/>
      <c r="N12" s="16"/>
    </row>
    <row r="13" spans="1:14" x14ac:dyDescent="0.2">
      <c r="A13" s="16"/>
      <c r="B13" s="306" t="s">
        <v>2607</v>
      </c>
      <c r="C13" s="764">
        <v>1000000</v>
      </c>
      <c r="D13" s="16"/>
      <c r="E13" s="16"/>
      <c r="F13" s="16"/>
      <c r="G13" s="16"/>
      <c r="H13" s="16"/>
      <c r="I13" s="16"/>
      <c r="J13" s="16"/>
      <c r="K13" s="16"/>
      <c r="L13" s="16"/>
      <c r="M13" s="16"/>
      <c r="N13" s="16"/>
    </row>
    <row r="14" spans="1:14" ht="15" x14ac:dyDescent="0.25">
      <c r="A14" s="16"/>
      <c r="B14" s="306" t="s">
        <v>2608</v>
      </c>
      <c r="C14" s="764">
        <f>1.05505585262*10^-6</f>
        <v>1.05505585262E-6</v>
      </c>
      <c r="D14" s="30"/>
      <c r="E14" s="123"/>
      <c r="F14" s="30"/>
      <c r="G14" s="123"/>
      <c r="H14" s="30"/>
      <c r="I14" s="123"/>
      <c r="J14" s="30"/>
      <c r="K14" s="123"/>
      <c r="L14" s="30"/>
      <c r="M14" s="123"/>
      <c r="N14" s="30"/>
    </row>
    <row r="15" spans="1:14" x14ac:dyDescent="0.2">
      <c r="A15" s="16"/>
      <c r="B15" s="306" t="s">
        <v>2609</v>
      </c>
      <c r="C15" s="699">
        <v>1.054</v>
      </c>
      <c r="D15" s="16"/>
      <c r="E15" s="16"/>
      <c r="F15" s="16"/>
      <c r="G15" s="16"/>
      <c r="H15" s="16"/>
      <c r="I15" s="16"/>
      <c r="J15" s="16"/>
      <c r="K15" s="16"/>
      <c r="L15" s="16"/>
      <c r="M15" s="16"/>
      <c r="N15" s="16"/>
    </row>
    <row r="16" spans="1:14" x14ac:dyDescent="0.2">
      <c r="A16" s="16"/>
      <c r="B16" s="306" t="s">
        <v>2610</v>
      </c>
      <c r="C16" s="699">
        <v>2</v>
      </c>
      <c r="D16" s="16" t="s">
        <v>2611</v>
      </c>
      <c r="E16" s="16"/>
      <c r="F16" s="16"/>
      <c r="G16" s="16"/>
      <c r="H16" s="16"/>
      <c r="I16" s="16"/>
      <c r="J16" s="16"/>
      <c r="K16" s="16"/>
      <c r="L16" s="16"/>
      <c r="M16" s="16"/>
      <c r="N16" s="16"/>
    </row>
    <row r="17" spans="2:7" s="16" customFormat="1" x14ac:dyDescent="0.2">
      <c r="B17" s="306" t="s">
        <v>2612</v>
      </c>
      <c r="C17" s="699">
        <v>1055.056</v>
      </c>
    </row>
    <row r="18" spans="2:7" x14ac:dyDescent="0.2">
      <c r="B18" s="294" t="s">
        <v>2613</v>
      </c>
      <c r="C18" s="699">
        <v>9.9999999999999995E-7</v>
      </c>
    </row>
    <row r="19" spans="2:7" x14ac:dyDescent="0.2">
      <c r="B19" s="306" t="s">
        <v>2614</v>
      </c>
      <c r="C19" s="764">
        <f>10^(15)/1055</f>
        <v>947867298578.1991</v>
      </c>
      <c r="D19" s="25"/>
    </row>
    <row r="20" spans="2:7" x14ac:dyDescent="0.2">
      <c r="B20" s="306" t="s">
        <v>2615</v>
      </c>
      <c r="C20" s="764">
        <f>139/36.72</f>
        <v>3.7854030501089326</v>
      </c>
      <c r="D20" s="25"/>
    </row>
    <row r="21" spans="2:7" x14ac:dyDescent="0.2">
      <c r="B21" s="306" t="s">
        <v>2616</v>
      </c>
      <c r="C21" s="764">
        <f>3.412/947.817</f>
        <v>3.5998510260946996E-3</v>
      </c>
      <c r="D21" s="25"/>
    </row>
    <row r="22" spans="2:7" x14ac:dyDescent="0.2">
      <c r="B22" s="306" t="s">
        <v>2617</v>
      </c>
      <c r="C22" s="764">
        <f>1.026/947.817</f>
        <v>1.0824874421961202E-3</v>
      </c>
      <c r="D22" s="25"/>
      <c r="G22" s="545"/>
    </row>
    <row r="23" spans="2:7" x14ac:dyDescent="0.2">
      <c r="B23" s="306" t="s">
        <v>2618</v>
      </c>
      <c r="C23" s="764">
        <v>3.8463121045518286E-2</v>
      </c>
      <c r="D23" s="25"/>
    </row>
    <row r="24" spans="2:7" x14ac:dyDescent="0.2">
      <c r="B24" s="306" t="s">
        <v>2619</v>
      </c>
      <c r="C24" s="764">
        <v>4.0692454345089828E-2</v>
      </c>
      <c r="D24" s="25"/>
    </row>
    <row r="25" spans="2:7" x14ac:dyDescent="0.2">
      <c r="B25" s="306" t="s">
        <v>2620</v>
      </c>
      <c r="C25" s="764">
        <v>4.1807648522868862E-2</v>
      </c>
      <c r="D25" s="25"/>
    </row>
    <row r="26" spans="2:7" x14ac:dyDescent="0.2">
      <c r="B26" s="294" t="s">
        <v>2621</v>
      </c>
      <c r="C26" s="764">
        <f>2.632/947.817</f>
        <v>2.7769073565888777E-3</v>
      </c>
      <c r="D26" s="25"/>
    </row>
    <row r="27" spans="2:7" x14ac:dyDescent="0.2">
      <c r="B27" s="630" t="s">
        <v>2622</v>
      </c>
      <c r="C27" s="699">
        <v>1055.056</v>
      </c>
      <c r="D27" s="305"/>
    </row>
    <row r="28" spans="2:7" x14ac:dyDescent="0.2">
      <c r="B28" s="630" t="s">
        <v>2623</v>
      </c>
      <c r="C28" s="764">
        <f>2.632*1.055*10^-9</f>
        <v>2.7767600000000002E-9</v>
      </c>
      <c r="D28" s="25"/>
    </row>
    <row r="29" spans="2:7" ht="15" x14ac:dyDescent="0.25">
      <c r="B29" s="631"/>
      <c r="C29" s="632"/>
      <c r="D29" s="25"/>
    </row>
    <row r="30" spans="2:7" x14ac:dyDescent="0.2">
      <c r="B30" s="38" t="s">
        <v>2624</v>
      </c>
      <c r="C30" s="37"/>
      <c r="D30" s="37"/>
    </row>
    <row r="31" spans="2:7" x14ac:dyDescent="0.2">
      <c r="B31" s="37" t="s">
        <v>2625</v>
      </c>
      <c r="C31" s="37"/>
      <c r="D31" s="37"/>
    </row>
    <row r="32" spans="2:7" x14ac:dyDescent="0.2">
      <c r="B32" s="37" t="s">
        <v>2626</v>
      </c>
      <c r="C32" s="37"/>
      <c r="D32" s="37"/>
    </row>
    <row r="33" spans="2:4" x14ac:dyDescent="0.2">
      <c r="B33" s="39" t="s">
        <v>2627</v>
      </c>
      <c r="C33" s="37"/>
      <c r="D33" s="37"/>
    </row>
    <row r="34" spans="2:4" x14ac:dyDescent="0.2">
      <c r="B34" s="14" t="s">
        <v>2628</v>
      </c>
      <c r="C34" s="37"/>
      <c r="D34" s="37"/>
    </row>
    <row r="35" spans="2:4" x14ac:dyDescent="0.2">
      <c r="B35" s="635" t="s">
        <v>1931</v>
      </c>
      <c r="C35" s="635" t="s">
        <v>2474</v>
      </c>
      <c r="D35" s="635" t="s">
        <v>2629</v>
      </c>
    </row>
    <row r="36" spans="2:4" x14ac:dyDescent="0.2">
      <c r="B36" s="636">
        <v>1983</v>
      </c>
      <c r="C36" s="636">
        <v>53.622999999999998</v>
      </c>
      <c r="D36" s="637">
        <f>$C$58/C36</f>
        <v>1.7155138653189863</v>
      </c>
    </row>
    <row r="37" spans="2:4" x14ac:dyDescent="0.2">
      <c r="B37" s="636">
        <v>1984</v>
      </c>
      <c r="C37" s="636">
        <v>55.524999999999999</v>
      </c>
      <c r="D37" s="637">
        <f t="shared" ref="D37:D65" si="0">$C$58/C37</f>
        <v>1.6567492120666367</v>
      </c>
    </row>
    <row r="38" spans="2:4" x14ac:dyDescent="0.2">
      <c r="B38" s="636">
        <v>1985</v>
      </c>
      <c r="C38" s="636">
        <v>57.302</v>
      </c>
      <c r="D38" s="637">
        <f t="shared" si="0"/>
        <v>1.6053715402603748</v>
      </c>
    </row>
    <row r="39" spans="2:4" x14ac:dyDescent="0.2">
      <c r="B39" s="636">
        <v>1986</v>
      </c>
      <c r="C39" s="636">
        <v>58.457999999999998</v>
      </c>
      <c r="D39" s="637">
        <f t="shared" si="0"/>
        <v>1.5736255089123816</v>
      </c>
    </row>
    <row r="40" spans="2:4" x14ac:dyDescent="0.2">
      <c r="B40" s="636">
        <v>1987</v>
      </c>
      <c r="C40" s="636">
        <v>59.948999999999998</v>
      </c>
      <c r="D40" s="637">
        <f t="shared" si="0"/>
        <v>1.5344876478339922</v>
      </c>
    </row>
    <row r="41" spans="2:4" x14ac:dyDescent="0.2">
      <c r="B41" s="636">
        <v>1988</v>
      </c>
      <c r="C41" s="636">
        <v>62.048000000000002</v>
      </c>
      <c r="D41" s="637">
        <f t="shared" si="0"/>
        <v>1.4825780041258381</v>
      </c>
    </row>
    <row r="42" spans="2:4" x14ac:dyDescent="0.2">
      <c r="B42" s="636">
        <v>1989</v>
      </c>
      <c r="C42" s="636">
        <v>64.459999999999994</v>
      </c>
      <c r="D42" s="637">
        <f t="shared" si="0"/>
        <v>1.4271020788085635</v>
      </c>
    </row>
    <row r="43" spans="2:4" x14ac:dyDescent="0.2">
      <c r="B43" s="636">
        <v>1990</v>
      </c>
      <c r="C43" s="636">
        <v>66.844999999999999</v>
      </c>
      <c r="D43" s="637">
        <f t="shared" si="0"/>
        <v>1.3761837085795496</v>
      </c>
    </row>
    <row r="44" spans="2:4" x14ac:dyDescent="0.2">
      <c r="B44" s="636">
        <v>1991</v>
      </c>
      <c r="C44" s="636">
        <v>69.069000000000003</v>
      </c>
      <c r="D44" s="637">
        <f t="shared" si="0"/>
        <v>1.3318710275232013</v>
      </c>
    </row>
    <row r="45" spans="2:4" x14ac:dyDescent="0.2">
      <c r="B45" s="636">
        <v>1992</v>
      </c>
      <c r="C45" s="636">
        <v>70.644000000000005</v>
      </c>
      <c r="D45" s="637">
        <f t="shared" si="0"/>
        <v>1.3021771134137363</v>
      </c>
    </row>
    <row r="46" spans="2:4" x14ac:dyDescent="0.2">
      <c r="B46" s="636">
        <v>1993</v>
      </c>
      <c r="C46" s="636">
        <v>72.325000000000003</v>
      </c>
      <c r="D46" s="637">
        <f t="shared" si="0"/>
        <v>1.2719115105426892</v>
      </c>
    </row>
    <row r="47" spans="2:4" x14ac:dyDescent="0.2">
      <c r="B47" s="636">
        <v>1994</v>
      </c>
      <c r="C47" s="636">
        <v>73.864999999999995</v>
      </c>
      <c r="D47" s="637">
        <f t="shared" si="0"/>
        <v>1.2453936235023355</v>
      </c>
    </row>
    <row r="48" spans="2:4" x14ac:dyDescent="0.2">
      <c r="B48" s="636">
        <v>1995</v>
      </c>
      <c r="C48" s="636">
        <v>75.406000000000006</v>
      </c>
      <c r="D48" s="637">
        <f t="shared" si="0"/>
        <v>1.2199427101291673</v>
      </c>
    </row>
    <row r="49" spans="2:4" x14ac:dyDescent="0.2">
      <c r="B49" s="636">
        <v>1996</v>
      </c>
      <c r="C49" s="636">
        <v>76.783000000000001</v>
      </c>
      <c r="D49" s="637">
        <f t="shared" si="0"/>
        <v>1.1980646757745854</v>
      </c>
    </row>
    <row r="50" spans="2:4" x14ac:dyDescent="0.2">
      <c r="B50" s="636">
        <v>1997</v>
      </c>
      <c r="C50" s="636">
        <v>78.096000000000004</v>
      </c>
      <c r="D50" s="637">
        <f t="shared" si="0"/>
        <v>1.1779220446629788</v>
      </c>
    </row>
    <row r="51" spans="2:4" x14ac:dyDescent="0.2">
      <c r="B51" s="636">
        <v>1998</v>
      </c>
      <c r="C51" s="636">
        <v>78.944000000000003</v>
      </c>
      <c r="D51" s="637">
        <f t="shared" si="0"/>
        <v>1.1652690514795299</v>
      </c>
    </row>
    <row r="52" spans="2:4" x14ac:dyDescent="0.2">
      <c r="B52" s="636">
        <v>1999</v>
      </c>
      <c r="C52" s="636">
        <v>80.070999999999998</v>
      </c>
      <c r="D52" s="637">
        <f t="shared" si="0"/>
        <v>1.148867879756716</v>
      </c>
    </row>
    <row r="53" spans="2:4" x14ac:dyDescent="0.2">
      <c r="B53" s="636">
        <v>2000</v>
      </c>
      <c r="C53" s="636">
        <v>81.891000000000005</v>
      </c>
      <c r="D53" s="637">
        <f t="shared" si="0"/>
        <v>1.123334676582286</v>
      </c>
    </row>
    <row r="54" spans="2:4" x14ac:dyDescent="0.2">
      <c r="B54" s="636">
        <v>2001</v>
      </c>
      <c r="C54" s="636">
        <v>83.766000000000005</v>
      </c>
      <c r="D54" s="637">
        <f t="shared" si="0"/>
        <v>1.0981901964997731</v>
      </c>
    </row>
    <row r="55" spans="2:4" x14ac:dyDescent="0.2">
      <c r="B55" s="636">
        <v>2002</v>
      </c>
      <c r="C55" s="636">
        <v>85.054000000000002</v>
      </c>
      <c r="D55" s="637">
        <f t="shared" si="0"/>
        <v>1.0815599501493169</v>
      </c>
    </row>
    <row r="56" spans="2:4" x14ac:dyDescent="0.2">
      <c r="B56" s="636">
        <v>2003</v>
      </c>
      <c r="C56" s="636">
        <v>86.754000000000005</v>
      </c>
      <c r="D56" s="637">
        <f t="shared" si="0"/>
        <v>1.0603660926297347</v>
      </c>
    </row>
    <row r="57" spans="2:4" x14ac:dyDescent="0.2">
      <c r="B57" s="636">
        <v>2004</v>
      </c>
      <c r="C57" s="636">
        <v>89.132000000000005</v>
      </c>
      <c r="D57" s="637">
        <f t="shared" si="0"/>
        <v>1.0320760220796121</v>
      </c>
    </row>
    <row r="58" spans="2:4" x14ac:dyDescent="0.2">
      <c r="B58" s="636">
        <v>2005</v>
      </c>
      <c r="C58" s="636">
        <v>91.991</v>
      </c>
      <c r="D58" s="637">
        <f t="shared" si="0"/>
        <v>1</v>
      </c>
    </row>
    <row r="59" spans="2:4" x14ac:dyDescent="0.2">
      <c r="B59" s="636">
        <v>2006</v>
      </c>
      <c r="C59" s="636">
        <v>94.817999999999998</v>
      </c>
      <c r="D59" s="637">
        <f t="shared" si="0"/>
        <v>0.97018498597312752</v>
      </c>
    </row>
    <row r="60" spans="2:4" x14ac:dyDescent="0.2">
      <c r="B60" s="636">
        <v>2007</v>
      </c>
      <c r="C60" s="636">
        <v>97.334999999999994</v>
      </c>
      <c r="D60" s="637">
        <f t="shared" si="0"/>
        <v>0.94509683053372384</v>
      </c>
    </row>
    <row r="61" spans="2:4" x14ac:dyDescent="0.2">
      <c r="B61" s="636">
        <v>2008</v>
      </c>
      <c r="C61" s="636">
        <v>99.236000000000004</v>
      </c>
      <c r="D61" s="637">
        <f t="shared" si="0"/>
        <v>0.92699222056511743</v>
      </c>
    </row>
    <row r="62" spans="2:4" x14ac:dyDescent="0.2">
      <c r="B62" s="636">
        <v>2009</v>
      </c>
      <c r="C62" s="636">
        <v>100</v>
      </c>
      <c r="D62" s="637">
        <f t="shared" si="0"/>
        <v>0.91991000000000001</v>
      </c>
    </row>
    <row r="63" spans="2:4" x14ac:dyDescent="0.2">
      <c r="B63" s="636">
        <v>2010</v>
      </c>
      <c r="C63" s="636">
        <v>101.211</v>
      </c>
      <c r="D63" s="637">
        <f t="shared" si="0"/>
        <v>0.90890318246040447</v>
      </c>
    </row>
    <row r="64" spans="2:4" x14ac:dyDescent="0.2">
      <c r="B64" s="636">
        <v>2011</v>
      </c>
      <c r="C64" s="636">
        <v>103.199</v>
      </c>
      <c r="D64" s="637">
        <f t="shared" si="0"/>
        <v>0.89139429645636103</v>
      </c>
    </row>
    <row r="65" spans="2:4" x14ac:dyDescent="0.2">
      <c r="B65" s="636">
        <v>2012</v>
      </c>
      <c r="C65" s="636">
        <v>105.002</v>
      </c>
      <c r="D65" s="637">
        <f t="shared" si="0"/>
        <v>0.87608807451286641</v>
      </c>
    </row>
  </sheetData>
  <phoneticPr fontId="17" type="noConversion"/>
  <hyperlinks>
    <hyperlink ref="B33" r:id="rId1" xr:uid="{00000000-0004-0000-2F00-000000000000}"/>
  </hyperlinks>
  <pageMargins left="0.75" right="0.75" top="1" bottom="1" header="0.5" footer="0.5"/>
  <pageSetup orientation="portrait" r:id="rId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2025-03-25T17:13:44+00:00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Props1.xml><?xml version="1.0" encoding="utf-8"?>
<ds:datastoreItem xmlns:ds="http://schemas.openxmlformats.org/officeDocument/2006/customXml" ds:itemID="{2862B188-C8DB-4F97-BDEF-8121AB8959C9}">
  <ds:schemaRefs>
    <ds:schemaRef ds:uri="Microsoft.SharePoint.Taxonomy.ContentTypeSync"/>
  </ds:schemaRefs>
</ds:datastoreItem>
</file>

<file path=customXml/itemProps2.xml><?xml version="1.0" encoding="utf-8"?>
<ds:datastoreItem xmlns:ds="http://schemas.openxmlformats.org/officeDocument/2006/customXml" ds:itemID="{E61C5FD7-312C-45F4-95F9-21B1CABBD1D0}">
  <ds:schemaRefs>
    <ds:schemaRef ds:uri="http://schemas.microsoft.com/sharepoint/v3/contenttype/forms"/>
  </ds:schemaRefs>
</ds:datastoreItem>
</file>

<file path=customXml/itemProps3.xml><?xml version="1.0" encoding="utf-8"?>
<ds:datastoreItem xmlns:ds="http://schemas.openxmlformats.org/officeDocument/2006/customXml" ds:itemID="{E124B144-13F0-4CED-A566-85485D1CAC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76C5B1A-A870-4159-9D10-A6EDEF972CE0}">
  <ds:schemaRefs>
    <ds:schemaRef ds:uri="http://schemas.microsoft.com/office/2006/metadata/properties"/>
    <ds:schemaRef ds:uri="http://schemas.microsoft.com/office/infopath/2007/PartnerControls"/>
    <ds:schemaRef ds:uri="3a45b8d2-5363-42cf-81ee-b666af54687e"/>
    <ds:schemaRef ds:uri="4ffa91fb-a0ff-4ac5-b2db-65c790d184a4"/>
    <ds:schemaRef ds:uri="http://schemas.microsoft.com/sharepoint/v3/fields"/>
    <ds:schemaRef ds:uri="http://schemas.microsoft.com/sharepoint/v3"/>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33</vt:i4>
      </vt:variant>
    </vt:vector>
  </HeadingPairs>
  <TitlesOfParts>
    <vt:vector size="55" baseType="lpstr">
      <vt:lpstr>Commodities</vt:lpstr>
      <vt:lpstr>Technologies</vt:lpstr>
      <vt:lpstr>CommData_DMD</vt:lpstr>
      <vt:lpstr>TechData_DMD</vt:lpstr>
      <vt:lpstr>TechData_SolarPV</vt:lpstr>
      <vt:lpstr>TechData_SESC</vt:lpstr>
      <vt:lpstr>TechData-Emis</vt:lpstr>
      <vt:lpstr>TechData_CHP</vt:lpstr>
      <vt:lpstr>TechData_ZZ</vt:lpstr>
      <vt:lpstr>DmdCalc</vt:lpstr>
      <vt:lpstr>Fuel Share</vt:lpstr>
      <vt:lpstr>Resid</vt:lpstr>
      <vt:lpstr>GHG_INV</vt:lpstr>
      <vt:lpstr>Original</vt:lpstr>
      <vt:lpstr>Pop</vt:lpstr>
      <vt:lpstr>BldgArea</vt:lpstr>
      <vt:lpstr>RECS</vt:lpstr>
      <vt:lpstr>Lighting</vt:lpstr>
      <vt:lpstr>Rooftop Calc</vt:lpstr>
      <vt:lpstr>EmisRes</vt:lpstr>
      <vt:lpstr>conversion factors</vt:lpstr>
      <vt:lpstr>Conv Factors</vt:lpstr>
      <vt:lpstr>btu_per_mmbtu</vt:lpstr>
      <vt:lpstr>btu_per_watthr</vt:lpstr>
      <vt:lpstr>BTUtoPJ</vt:lpstr>
      <vt:lpstr>cfm_hrs_per_trillion_cfm_hrs</vt:lpstr>
      <vt:lpstr>Days_per_year</vt:lpstr>
      <vt:lpstr>DenatEthPJperGal</vt:lpstr>
      <vt:lpstr>dollar____per__m</vt:lpstr>
      <vt:lpstr>EthanolPJperGal</vt:lpstr>
      <vt:lpstr>FO2_l_to_gj</vt:lpstr>
      <vt:lpstr>FO4_l_to_gj</vt:lpstr>
      <vt:lpstr>FO6_l_to_gj</vt:lpstr>
      <vt:lpstr>gal_to_liter</vt:lpstr>
      <vt:lpstr>GasolinePJperGal</vt:lpstr>
      <vt:lpstr>GJ_to_PJ</vt:lpstr>
      <vt:lpstr>Hours_per_day</vt:lpstr>
      <vt:lpstr>j_per_btu</vt:lpstr>
      <vt:lpstr>j_per_pj</vt:lpstr>
      <vt:lpstr>KgPerTon</vt:lpstr>
      <vt:lpstr>kgs_to_gj</vt:lpstr>
      <vt:lpstr>kgs_to_pj</vt:lpstr>
      <vt:lpstr>kwh_to_gj</vt:lpstr>
      <vt:lpstr>kwhr_per_j</vt:lpstr>
      <vt:lpstr>LbsPerKg</vt:lpstr>
      <vt:lpstr>LbsPerTon</vt:lpstr>
      <vt:lpstr>Lighting_average_operating_hours_per_day</vt:lpstr>
      <vt:lpstr>LPGPJperGal</vt:lpstr>
      <vt:lpstr>MMBtu_to_PJ</vt:lpstr>
      <vt:lpstr>PJ_per_quad</vt:lpstr>
      <vt:lpstr>PJ_to_BTU</vt:lpstr>
      <vt:lpstr>quad_to_PJ</vt:lpstr>
      <vt:lpstr>scf_to_gj</vt:lpstr>
      <vt:lpstr>tBTU_to_PJ</vt:lpstr>
      <vt:lpstr>units_per_m_units</vt:lpstr>
    </vt:vector>
  </TitlesOfParts>
  <Manager/>
  <Company>Noble-Soft Systems Pty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Ken Noble</dc:creator>
  <cp:keywords/>
  <dc:description/>
  <cp:lastModifiedBy>Carroll, Zane</cp:lastModifiedBy>
  <cp:revision/>
  <dcterms:created xsi:type="dcterms:W3CDTF">2005-05-01T12:39:10Z</dcterms:created>
  <dcterms:modified xsi:type="dcterms:W3CDTF">2025-05-27T20:11:01Z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629081368446350</vt:r8>
  </property>
  <property fmtid="{D5CDD505-2E9C-101B-9397-08002B2CF9AE}" pid="3" name="ContentTypeId">
    <vt:lpwstr>0x010100D961017AFA5F1746B691F13D8A7002D3</vt:lpwstr>
  </property>
  <property fmtid="{D5CDD505-2E9C-101B-9397-08002B2CF9AE}" pid="4" name="MediaServiceImageTags">
    <vt:lpwstr/>
  </property>
  <property fmtid="{D5CDD505-2E9C-101B-9397-08002B2CF9AE}" pid="5" name="MSIP_Label_df57cbc1-fa76-4f4e-a9ae-7ff80d234248_Enabled">
    <vt:lpwstr>true</vt:lpwstr>
  </property>
  <property fmtid="{D5CDD505-2E9C-101B-9397-08002B2CF9AE}" pid="6" name="MSIP_Label_df57cbc1-fa76-4f4e-a9ae-7ff80d234248_SetDate">
    <vt:lpwstr>2024-10-15T14:06:00Z</vt:lpwstr>
  </property>
  <property fmtid="{D5CDD505-2E9C-101B-9397-08002B2CF9AE}" pid="7" name="MSIP_Label_df57cbc1-fa76-4f4e-a9ae-7ff80d234248_Method">
    <vt:lpwstr>Standard</vt:lpwstr>
  </property>
  <property fmtid="{D5CDD505-2E9C-101B-9397-08002B2CF9AE}" pid="8" name="MSIP_Label_df57cbc1-fa76-4f4e-a9ae-7ff80d234248_Name">
    <vt:lpwstr>Sensitive-All</vt:lpwstr>
  </property>
  <property fmtid="{D5CDD505-2E9C-101B-9397-08002B2CF9AE}" pid="9" name="MSIP_Label_df57cbc1-fa76-4f4e-a9ae-7ff80d234248_SiteId">
    <vt:lpwstr>69fa79ee-e93a-4ddf-b8d1-fbf15f49f820</vt:lpwstr>
  </property>
  <property fmtid="{D5CDD505-2E9C-101B-9397-08002B2CF9AE}" pid="10" name="MSIP_Label_df57cbc1-fa76-4f4e-a9ae-7ff80d234248_ActionId">
    <vt:lpwstr>6645107b-f242-466e-9133-821d5b98da8c</vt:lpwstr>
  </property>
  <property fmtid="{D5CDD505-2E9C-101B-9397-08002B2CF9AE}" pid="11" name="MSIP_Label_df57cbc1-fa76-4f4e-a9ae-7ff80d234248_ContentBits">
    <vt:lpwstr>0</vt:lpwstr>
  </property>
  <property fmtid="{D5CDD505-2E9C-101B-9397-08002B2CF9AE}" pid="12" name="TaxKeyword">
    <vt:lpwstr/>
  </property>
  <property fmtid="{D5CDD505-2E9C-101B-9397-08002B2CF9AE}" pid="13" name="Document_x0020_Type">
    <vt:lpwstr/>
  </property>
  <property fmtid="{D5CDD505-2E9C-101B-9397-08002B2CF9AE}" pid="14" name="EPA_x0020_Subject">
    <vt:lpwstr/>
  </property>
  <property fmtid="{D5CDD505-2E9C-101B-9397-08002B2CF9AE}" pid="15" name="e3f09c3df709400db2417a7161762d62">
    <vt:lpwstr/>
  </property>
  <property fmtid="{D5CDD505-2E9C-101B-9397-08002B2CF9AE}" pid="16" name="EPA Subject">
    <vt:lpwstr/>
  </property>
  <property fmtid="{D5CDD505-2E9C-101B-9397-08002B2CF9AE}" pid="17" name="Document Type">
    <vt:lpwstr/>
  </property>
</Properties>
</file>