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fc\AC\Temp\"/>
    </mc:Choice>
  </mc:AlternateContent>
  <xr:revisionPtr revIDLastSave="0" documentId="8_{B767C600-47D6-456F-8C31-230B183317C1}" xr6:coauthVersionLast="45" xr6:coauthVersionMax="45" xr10:uidLastSave="{00000000-0000-0000-0000-000000000000}"/>
  <bookViews>
    <workbookView xWindow="240" yWindow="465" windowWidth="25335" windowHeight="15345" firstSheet="1" activeTab="1" xr2:uid="{00000000-000D-0000-FFFF-FFFF00000000}"/>
  </bookViews>
  <sheets>
    <sheet name="Sheet1" sheetId="11" state="hidden" r:id="rId1"/>
    <sheet name="Due Diligence model " sheetId="1" r:id="rId2"/>
    <sheet name="Rating System " sheetId="9" r:id="rId3"/>
    <sheet name="Reasoning chosen formulas" sheetId="10" r:id="rId4"/>
    <sheet name="Formulas financial indicators " sheetId="2" r:id="rId5"/>
    <sheet name="Madara Cosmetics " sheetId="4" r:id="rId6"/>
    <sheet name="Brand Architekts Group" sheetId="6" state="hidden" r:id="rId7"/>
    <sheet name="Beiersdorf AG" sheetId="8" state="hidden" r:id="rId8"/>
    <sheet name="MAV beauty brands " sheetId="5" state="hidden" r:id="rId9"/>
    <sheet name="BWX limited " sheetId="7" state="hidden" r:id="rId10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" i="9" l="1"/>
  <c r="J12" i="9"/>
  <c r="H12" i="9"/>
  <c r="F12" i="9"/>
  <c r="D12" i="9"/>
  <c r="D31" i="8" l="1"/>
  <c r="C31" i="8"/>
  <c r="B31" i="8"/>
  <c r="U22" i="1" l="1"/>
  <c r="U37" i="1"/>
  <c r="U19" i="1"/>
  <c r="U23" i="1"/>
  <c r="U24" i="1"/>
  <c r="U28" i="1"/>
  <c r="U29" i="1"/>
  <c r="U30" i="1"/>
  <c r="U33" i="1"/>
  <c r="U34" i="1"/>
  <c r="U38" i="1"/>
  <c r="U39" i="1"/>
  <c r="U42" i="1"/>
  <c r="U18" i="1"/>
  <c r="Q30" i="1"/>
  <c r="Q19" i="1"/>
  <c r="Q22" i="1"/>
  <c r="Q24" i="1"/>
  <c r="Q28" i="1"/>
  <c r="Q29" i="1"/>
  <c r="Q33" i="1"/>
  <c r="Q34" i="1"/>
  <c r="Q37" i="1"/>
  <c r="Q38" i="1"/>
  <c r="Q39" i="1"/>
  <c r="Q42" i="1"/>
  <c r="Q18" i="1"/>
  <c r="M19" i="1"/>
  <c r="M22" i="1"/>
  <c r="M23" i="1"/>
  <c r="M28" i="1"/>
  <c r="M29" i="1"/>
  <c r="M30" i="1"/>
  <c r="M33" i="1"/>
  <c r="M34" i="1"/>
  <c r="M37" i="1"/>
  <c r="M38" i="1"/>
  <c r="M39" i="1"/>
  <c r="M42" i="1"/>
  <c r="M18" i="1"/>
  <c r="I18" i="1"/>
  <c r="I22" i="1"/>
  <c r="I23" i="1"/>
  <c r="I24" i="1"/>
  <c r="I28" i="1"/>
  <c r="I29" i="1"/>
  <c r="I30" i="1"/>
  <c r="I33" i="1"/>
  <c r="I34" i="1"/>
  <c r="I37" i="1"/>
  <c r="I38" i="1"/>
  <c r="I39" i="1"/>
  <c r="I42" i="1"/>
  <c r="I19" i="1"/>
  <c r="E39" i="1"/>
  <c r="B30" i="1" l="1" a="1"/>
  <c r="B30" i="1" s="1"/>
  <c r="E30" i="1" s="1"/>
  <c r="B28" i="1" a="1"/>
  <c r="B28" i="1" l="1"/>
  <c r="E28" i="1" s="1"/>
  <c r="E29" i="1"/>
  <c r="N38" i="4"/>
  <c r="J38" i="4"/>
  <c r="I38" i="4"/>
  <c r="H38" i="4"/>
  <c r="J42" i="4"/>
  <c r="I42" i="4"/>
  <c r="H42" i="4"/>
  <c r="J39" i="4"/>
  <c r="I39" i="4"/>
  <c r="H39" i="4"/>
  <c r="C36" i="8" l="1"/>
  <c r="D36" i="8"/>
  <c r="B36" i="8"/>
  <c r="U28" i="5" l="1"/>
  <c r="U25" i="5"/>
  <c r="P28" i="5"/>
  <c r="P25" i="5"/>
  <c r="K25" i="5"/>
  <c r="U21" i="5" l="1"/>
  <c r="U20" i="5"/>
  <c r="U17" i="5"/>
  <c r="U16" i="5"/>
  <c r="U15" i="5"/>
  <c r="U14" i="5"/>
  <c r="P24" i="5" l="1"/>
  <c r="P21" i="5"/>
  <c r="P20" i="5"/>
  <c r="P16" i="5"/>
  <c r="P17" i="5"/>
  <c r="P15" i="5" l="1"/>
  <c r="N17" i="5" l="1"/>
  <c r="N16" i="5"/>
  <c r="N15" i="5"/>
  <c r="O38" i="4" l="1"/>
  <c r="M38" i="4"/>
  <c r="H82" i="6" l="1"/>
  <c r="J82" i="6"/>
  <c r="I82" i="6"/>
  <c r="B42" i="1" l="1" a="1"/>
  <c r="B42" i="1" s="1"/>
  <c r="E42" i="1" s="1"/>
  <c r="B37" i="1" a="1"/>
  <c r="B33" i="1" a="1"/>
  <c r="B22" i="1" a="1"/>
  <c r="B19" i="1" a="1"/>
  <c r="B19" i="1" s="1"/>
  <c r="E19" i="1" s="1"/>
  <c r="D18" i="1"/>
  <c r="C18" i="1"/>
  <c r="B18" i="1"/>
  <c r="E18" i="1" s="1"/>
  <c r="D46" i="8"/>
  <c r="C46" i="8"/>
  <c r="B46" i="8"/>
  <c r="B27" i="8"/>
  <c r="D21" i="8"/>
  <c r="C21" i="8"/>
  <c r="B21" i="8"/>
  <c r="B20" i="8"/>
  <c r="C19" i="8"/>
  <c r="C33" i="8" s="1"/>
  <c r="D18" i="8"/>
  <c r="C18" i="8"/>
  <c r="B18" i="8"/>
  <c r="C17" i="8"/>
  <c r="B17" i="8"/>
  <c r="B19" i="8" s="1"/>
  <c r="D16" i="8"/>
  <c r="C16" i="8"/>
  <c r="C47" i="8" s="1"/>
  <c r="B16" i="8"/>
  <c r="B47" i="8" s="1"/>
  <c r="H15" i="8"/>
  <c r="C37" i="8" s="1"/>
  <c r="B12" i="8"/>
  <c r="B50" i="8" s="1"/>
  <c r="D11" i="8"/>
  <c r="C11" i="8"/>
  <c r="B11" i="8"/>
  <c r="I10" i="8"/>
  <c r="D9" i="8"/>
  <c r="D27" i="8" s="1"/>
  <c r="C9" i="8"/>
  <c r="C27" i="8" s="1"/>
  <c r="B9" i="8"/>
  <c r="B28" i="8" s="1"/>
  <c r="I3" i="8"/>
  <c r="H3" i="8"/>
  <c r="H10" i="8" s="1"/>
  <c r="G3" i="8"/>
  <c r="G10" i="8" s="1"/>
  <c r="B22" i="1" l="1"/>
  <c r="E22" i="1" s="1"/>
  <c r="E24" i="1"/>
  <c r="B33" i="1"/>
  <c r="E33" i="1" s="1"/>
  <c r="E34" i="1"/>
  <c r="B37" i="1"/>
  <c r="E37" i="1" s="1"/>
  <c r="E38" i="1"/>
  <c r="B38" i="8"/>
  <c r="G15" i="8"/>
  <c r="B37" i="8" s="1"/>
  <c r="B33" i="8"/>
  <c r="B22" i="8"/>
  <c r="B24" i="8" s="1"/>
  <c r="C28" i="8"/>
  <c r="C38" i="8"/>
  <c r="D47" i="8"/>
  <c r="C12" i="8"/>
  <c r="C50" i="8" s="1"/>
  <c r="D28" i="8"/>
  <c r="D12" i="8"/>
  <c r="D50" i="8" s="1"/>
  <c r="D17" i="8"/>
  <c r="D19" i="8" s="1"/>
  <c r="C22" i="8"/>
  <c r="C24" i="8" s="1"/>
  <c r="C39" i="8" l="1"/>
  <c r="C42" i="8"/>
  <c r="C43" i="8"/>
  <c r="B39" i="8"/>
  <c r="B42" i="8"/>
  <c r="B43" i="8"/>
  <c r="D38" i="8"/>
  <c r="I15" i="8"/>
  <c r="D37" i="8" s="1"/>
  <c r="D33" i="8"/>
  <c r="D22" i="8"/>
  <c r="D24" i="8" s="1"/>
  <c r="D42" i="8" l="1"/>
  <c r="D43" i="8"/>
  <c r="D39" i="8"/>
  <c r="N14" i="5" l="1"/>
  <c r="M14" i="5"/>
  <c r="P14" i="5" s="1"/>
  <c r="U9" i="5"/>
  <c r="P9" i="5"/>
  <c r="U8" i="5"/>
  <c r="P8" i="5"/>
  <c r="U5" i="5"/>
  <c r="R4" i="5"/>
  <c r="N5" i="5"/>
  <c r="P5" i="5" s="1"/>
  <c r="U4" i="5"/>
  <c r="M4" i="5"/>
  <c r="P4" i="5" s="1"/>
  <c r="H18" i="4" l="1"/>
  <c r="J31" i="4"/>
  <c r="I31" i="4"/>
  <c r="H31" i="4"/>
  <c r="J30" i="4"/>
  <c r="I30" i="4"/>
  <c r="H30" i="4"/>
  <c r="J29" i="4"/>
  <c r="I29" i="4"/>
  <c r="H29" i="4"/>
  <c r="J28" i="4"/>
  <c r="I28" i="4"/>
  <c r="H28" i="4"/>
  <c r="J24" i="4"/>
  <c r="I24" i="4"/>
  <c r="H24" i="4"/>
  <c r="J23" i="4" l="1"/>
  <c r="J22" i="4"/>
  <c r="I23" i="4"/>
  <c r="I22" i="4"/>
  <c r="H23" i="4"/>
  <c r="H22" i="4"/>
  <c r="J19" i="4"/>
  <c r="I19" i="4"/>
  <c r="H19" i="4"/>
  <c r="J18" i="4"/>
  <c r="I18" i="4"/>
  <c r="F81" i="7" l="1"/>
  <c r="G81" i="7"/>
  <c r="E81" i="7"/>
  <c r="F78" i="7"/>
  <c r="G78" i="7"/>
  <c r="E78" i="7"/>
  <c r="G77" i="7"/>
  <c r="F74" i="7"/>
  <c r="G74" i="7"/>
  <c r="E74" i="7"/>
  <c r="F73" i="7"/>
  <c r="G73" i="7"/>
  <c r="E73" i="7"/>
  <c r="F70" i="7"/>
  <c r="G70" i="7"/>
  <c r="E70" i="7"/>
  <c r="G72" i="6" l="1"/>
  <c r="F72" i="6"/>
  <c r="E72" i="6"/>
  <c r="E62" i="6" l="1"/>
  <c r="E63" i="6"/>
  <c r="E66" i="6"/>
  <c r="E67" i="6"/>
  <c r="E68" i="6"/>
  <c r="E73" i="6"/>
  <c r="E74" i="6"/>
  <c r="E75" i="6"/>
  <c r="E78" i="6"/>
  <c r="E79" i="6"/>
  <c r="E82" i="6"/>
  <c r="E83" i="6"/>
  <c r="E86" i="6"/>
  <c r="G62" i="7" l="1"/>
  <c r="F62" i="7"/>
  <c r="E62" i="7"/>
  <c r="G40" i="7" l="1"/>
  <c r="F40" i="7"/>
  <c r="E40" i="7"/>
  <c r="G32" i="7"/>
  <c r="F32" i="7"/>
  <c r="E32" i="7"/>
  <c r="G27" i="7"/>
  <c r="F27" i="7"/>
  <c r="E27" i="7"/>
  <c r="G86" i="6" l="1"/>
  <c r="F86" i="6"/>
  <c r="G83" i="6"/>
  <c r="F83" i="6"/>
  <c r="G82" i="6"/>
  <c r="F82" i="6"/>
  <c r="G78" i="6"/>
  <c r="F78" i="6"/>
  <c r="G59" i="6"/>
  <c r="F59" i="6"/>
  <c r="E59" i="6"/>
  <c r="G58" i="6"/>
  <c r="F58" i="6"/>
  <c r="E58" i="6"/>
  <c r="G57" i="6"/>
  <c r="F57" i="6"/>
  <c r="E57" i="6"/>
  <c r="G79" i="6"/>
  <c r="F79" i="6"/>
  <c r="G75" i="6"/>
  <c r="F75" i="6"/>
  <c r="G74" i="6"/>
  <c r="F74" i="6"/>
  <c r="F73" i="6"/>
  <c r="G73" i="6"/>
  <c r="G68" i="6"/>
  <c r="F68" i="6"/>
  <c r="G67" i="6"/>
  <c r="F67" i="6"/>
  <c r="G66" i="6"/>
  <c r="F66" i="6"/>
  <c r="G63" i="6"/>
  <c r="G62" i="6"/>
  <c r="F63" i="6"/>
  <c r="F62" i="6"/>
  <c r="P23" i="1" l="1"/>
  <c r="O23" i="1"/>
  <c r="N23" i="1"/>
  <c r="Q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<sst xmlns="http://schemas.openxmlformats.org/spreadsheetml/2006/main" count="640" uniqueCount="332">
  <si>
    <t>DUE DILIGENCE MODEL DBE M4 TEAM MESA</t>
  </si>
  <si>
    <t xml:space="preserve">1 multi-national company &amp; 4 small / medium sized company's </t>
  </si>
  <si>
    <t>Company's</t>
  </si>
  <si>
    <t xml:space="preserve">Country of origin </t>
  </si>
  <si>
    <t xml:space="preserve">Business Size </t>
  </si>
  <si>
    <t xml:space="preserve">1. Beiersdorf </t>
  </si>
  <si>
    <t xml:space="preserve">Germany </t>
  </si>
  <si>
    <t xml:space="preserve">Large &amp; Benchmark </t>
  </si>
  <si>
    <t xml:space="preserve">2. Madara Cosmetics </t>
  </si>
  <si>
    <t xml:space="preserve">Latvia </t>
  </si>
  <si>
    <t xml:space="preserve">Small </t>
  </si>
  <si>
    <t xml:space="preserve">3. MAV Beauty Brands </t>
  </si>
  <si>
    <t xml:space="preserve">Canada </t>
  </si>
  <si>
    <t xml:space="preserve">Medium </t>
  </si>
  <si>
    <t xml:space="preserve">4. BWX Limited </t>
  </si>
  <si>
    <t xml:space="preserve">Australia </t>
  </si>
  <si>
    <t>5. Brand Architekts Group</t>
  </si>
  <si>
    <t xml:space="preserve">United Kingdom </t>
  </si>
  <si>
    <t xml:space="preserve">FINANCIAL PERFORMANCE INDICATORS </t>
  </si>
  <si>
    <t>Company</t>
  </si>
  <si>
    <t xml:space="preserve">Beiersdorf </t>
  </si>
  <si>
    <t xml:space="preserve">Madara Cosmetics </t>
  </si>
  <si>
    <t>MAV Beauty Brands</t>
  </si>
  <si>
    <t xml:space="preserve">BWX Limited </t>
  </si>
  <si>
    <t xml:space="preserve">Brand Architekts Group </t>
  </si>
  <si>
    <t xml:space="preserve">Average </t>
  </si>
  <si>
    <t xml:space="preserve">Liquidity ratios </t>
  </si>
  <si>
    <t xml:space="preserve">quick ratio </t>
  </si>
  <si>
    <t xml:space="preserve">current ratio </t>
  </si>
  <si>
    <t xml:space="preserve">Solvency ratios </t>
  </si>
  <si>
    <t xml:space="preserve">debt to equity ratio </t>
  </si>
  <si>
    <t xml:space="preserve">debt to asset ratio </t>
  </si>
  <si>
    <t xml:space="preserve">interest coverage ratio </t>
  </si>
  <si>
    <t>N/A</t>
  </si>
  <si>
    <t xml:space="preserve">Profitability ratios </t>
  </si>
  <si>
    <t xml:space="preserve">margin ratios </t>
  </si>
  <si>
    <t>gross profit margin (%)</t>
  </si>
  <si>
    <t>EBITDA margin (%)</t>
  </si>
  <si>
    <t xml:space="preserve">net (profit) margin (%) </t>
  </si>
  <si>
    <t xml:space="preserve">return ratios </t>
  </si>
  <si>
    <t>return on assets (%)</t>
  </si>
  <si>
    <t>return on equity (%)</t>
  </si>
  <si>
    <t xml:space="preserve">Operating ratios </t>
  </si>
  <si>
    <t>sales revenue per employee (USD)</t>
  </si>
  <si>
    <t xml:space="preserve"> $1.074.218</t>
  </si>
  <si>
    <t>-</t>
  </si>
  <si>
    <t xml:space="preserve">inventory turn-over </t>
  </si>
  <si>
    <t>operating (profit) margin (%)</t>
  </si>
  <si>
    <t xml:space="preserve">Activity ratios </t>
  </si>
  <si>
    <t xml:space="preserve">total assets turn-over </t>
  </si>
  <si>
    <t>NON-FINANCIAL INDICATORS  - 2018</t>
  </si>
  <si>
    <t xml:space="preserve">Company </t>
  </si>
  <si>
    <t>Madara Cosmetics</t>
  </si>
  <si>
    <t xml:space="preserve">MAV Beauty Brands </t>
  </si>
  <si>
    <t>BWX Limited</t>
  </si>
  <si>
    <t>Brand Architekts Group</t>
  </si>
  <si>
    <t xml:space="preserve">Gender diversity </t>
  </si>
  <si>
    <t>54% F / 46% M</t>
  </si>
  <si>
    <t>70% F / 30% M</t>
  </si>
  <si>
    <t>65% F / 35% M</t>
  </si>
  <si>
    <t>74% F / 26% M</t>
  </si>
  <si>
    <t>47% F / 53% M</t>
  </si>
  <si>
    <t>Sustainability*</t>
  </si>
  <si>
    <t>Sustainable strategy? yes/no</t>
  </si>
  <si>
    <t>yes</t>
  </si>
  <si>
    <t xml:space="preserve">yes </t>
  </si>
  <si>
    <t>Sustainability report? yes/no</t>
  </si>
  <si>
    <t>no</t>
  </si>
  <si>
    <t>Environmental certificate? yes/no</t>
  </si>
  <si>
    <t xml:space="preserve">Yes - LEED certified </t>
  </si>
  <si>
    <t>yes - ECOCERT/COSMOS and ISO 22716:2007</t>
  </si>
  <si>
    <t>yes -  ISO14001:2015</t>
  </si>
  <si>
    <t>Customer satisfaction**</t>
  </si>
  <si>
    <t>Amazon (Nivea Crème) - 1500 Rating (4.5 Stars)</t>
  </si>
  <si>
    <t>Amazon (Madara Cosmetics herbal deodorant) - 19 ratings (4.2 Stars)</t>
  </si>
  <si>
    <t>Amazon (Renpure Coconut Whipped Cream Conditioner) - 2614 ratings (4.5 stars)</t>
  </si>
  <si>
    <t>Amazon (Sukin Facial Moisturiser Pump) - 270 ratings (4.5 stars)</t>
  </si>
  <si>
    <t>Amazon (Super Facialist cleansing oil) - 237 ratings (4.7 stars)</t>
  </si>
  <si>
    <t xml:space="preserve">**Meausring customer satisfaction: </t>
  </si>
  <si>
    <t xml:space="preserve">Use the biggest brand of the group / company in case of multiple brands. Choose one produdct (best seller product or random) and look for their ratings on Amazon.  </t>
  </si>
  <si>
    <t xml:space="preserve">* Measuring sustainability strategy / vision: </t>
  </si>
  <si>
    <t xml:space="preserve">Look for the company's sustainability vision or strategy </t>
  </si>
  <si>
    <t>Financial KPI's</t>
  </si>
  <si>
    <t>Beiersdorf</t>
  </si>
  <si>
    <t xml:space="preserve">rating in points* </t>
  </si>
  <si>
    <t xml:space="preserve">Ratios </t>
  </si>
  <si>
    <t xml:space="preserve">Current ratio </t>
  </si>
  <si>
    <t>debt to equity ratio</t>
  </si>
  <si>
    <t>EBITDA margin (%)**</t>
  </si>
  <si>
    <t>Return on equity **</t>
  </si>
  <si>
    <t>Operating (profit) margin (%)</t>
  </si>
  <si>
    <t>Total assets turn-over</t>
  </si>
  <si>
    <t>Total points financial KPI's</t>
  </si>
  <si>
    <t>Non-Financial KPI's</t>
  </si>
  <si>
    <t>Gender Diversity ***</t>
  </si>
  <si>
    <t>Sustainable vision / strategy</t>
  </si>
  <si>
    <t>Publications of strategy / vision</t>
  </si>
  <si>
    <t>Environmental certificate****</t>
  </si>
  <si>
    <t>Sustainability</t>
  </si>
  <si>
    <t>Customer satisfaction</t>
  </si>
  <si>
    <t>Total points non-financial KPI's</t>
  </si>
  <si>
    <t>Total points</t>
  </si>
  <si>
    <t xml:space="preserve">Notes </t>
  </si>
  <si>
    <t>* The company that scores the best get 5 points and the company that scores the worst get 1 point (4,3 and 2 points will be given inbetween).</t>
  </si>
  <si>
    <t xml:space="preserve">** EBITDA margin and return on equity weight double (x2) the amount of points. </t>
  </si>
  <si>
    <t>*** We would like to see a gender diversity of 70%F and 30%M, so the company that suits this the best get 5 points, followed by the other company's.</t>
  </si>
  <si>
    <t xml:space="preserve">**** Environmental certifcate weights double </t>
  </si>
  <si>
    <t xml:space="preserve">Current ratio: healthiest between 1.2 and 2. &lt;1 company does not have enough liquidity to cover its short term liabilities. </t>
  </si>
  <si>
    <t xml:space="preserve"> if the current asset is too high the company may not be using its current assets or its short-term financing facilities efficiently.</t>
  </si>
  <si>
    <t xml:space="preserve">Debt to equity : healthiest 1 to 1.5. Too low can be dangerous. A high ratio is considered with a high risk. </t>
  </si>
  <si>
    <t xml:space="preserve">EBITDA margin: highest is the best. Relatively high ratio means that business earnings a stable.  Low ebitda ratio has profitability problems and issues with cash flows. </t>
  </si>
  <si>
    <t xml:space="preserve">Return on equity: between 15 and 20% is considered as good. The higher the ROI the better. </t>
  </si>
  <si>
    <t xml:space="preserve">Operating profit margin: The higher the better. </t>
  </si>
  <si>
    <t xml:space="preserve">Total assets turn-over: the higher the better. </t>
  </si>
  <si>
    <t xml:space="preserve">FORMULAS FINANCIAL INDICATORS </t>
  </si>
  <si>
    <t xml:space="preserve">Liquidity ratios - short term </t>
  </si>
  <si>
    <t xml:space="preserve">Quick ratio </t>
  </si>
  <si>
    <t>:</t>
  </si>
  <si>
    <t xml:space="preserve">(current assets - inventories) / current liabilities </t>
  </si>
  <si>
    <t xml:space="preserve">current assets / current liabilities </t>
  </si>
  <si>
    <t xml:space="preserve">Solvency ratios - long term </t>
  </si>
  <si>
    <t xml:space="preserve">Debt to equity </t>
  </si>
  <si>
    <t xml:space="preserve">total debt / total equity </t>
  </si>
  <si>
    <t xml:space="preserve">Debt to asset </t>
  </si>
  <si>
    <t xml:space="preserve">total debt / total assets </t>
  </si>
  <si>
    <t xml:space="preserve">Interest coverage ratio </t>
  </si>
  <si>
    <t xml:space="preserve">operating income (EBIT) / interest expense </t>
  </si>
  <si>
    <t xml:space="preserve">*operating income = operating profit </t>
  </si>
  <si>
    <t xml:space="preserve">Margin ratios: </t>
  </si>
  <si>
    <t>gross (profit) margin (%)</t>
  </si>
  <si>
    <t>(net sales - cost of goods sold) / net sales x 100</t>
  </si>
  <si>
    <t xml:space="preserve">*net sales = revenue </t>
  </si>
  <si>
    <t xml:space="preserve">: </t>
  </si>
  <si>
    <t>EBITDA / sales (revenue) x 100</t>
  </si>
  <si>
    <t xml:space="preserve">operating profit / net sales x 100 </t>
  </si>
  <si>
    <t>net (profit) margin (%)</t>
  </si>
  <si>
    <t>net income / sales x 100</t>
  </si>
  <si>
    <t xml:space="preserve">*net income and sales are not the same </t>
  </si>
  <si>
    <t>return ratios:</t>
  </si>
  <si>
    <t xml:space="preserve">net income / average total assets x 100 </t>
  </si>
  <si>
    <t>net income / shareholders equity x 100</t>
  </si>
  <si>
    <t xml:space="preserve">Sales revenue per employee </t>
  </si>
  <si>
    <t xml:space="preserve">net sales / average number of employees </t>
  </si>
  <si>
    <t>average number of employees = (beginning + ending employees) / 2</t>
  </si>
  <si>
    <t xml:space="preserve">* don't forget to make a total of revenue, so if annual report says 74,7 revenue and all the amounts are x1000, then 74,7x1000 </t>
  </si>
  <si>
    <t xml:space="preserve">Inventory turn-over </t>
  </si>
  <si>
    <t xml:space="preserve">cost of good solds / average inventory </t>
  </si>
  <si>
    <t xml:space="preserve">average inventory = (beginning + ending inventory) / 2 </t>
  </si>
  <si>
    <t>total assets turn-over ratio</t>
  </si>
  <si>
    <t xml:space="preserve">sales / average total assets </t>
  </si>
  <si>
    <t xml:space="preserve">average total assets = (total assets start year + total assets end year) / 2 </t>
  </si>
  <si>
    <t xml:space="preserve">Sources: </t>
  </si>
  <si>
    <t xml:space="preserve">Liquidity / sovency </t>
  </si>
  <si>
    <t>https://www.investopedia.com/articles/investing/100313/financial-analysis-solvency-vs-liquidity-ratios.asp</t>
  </si>
  <si>
    <t xml:space="preserve">Profitability </t>
  </si>
  <si>
    <t>https://corporatefinanceinstitute.com/resources/knowledge/finance/profitability-ratios/</t>
  </si>
  <si>
    <t xml:space="preserve">Operating </t>
  </si>
  <si>
    <t>https://accountingplay.com/operating-performance-ratios/</t>
  </si>
  <si>
    <t xml:space="preserve">Activity </t>
  </si>
  <si>
    <t>https://www.wallstreetmojo.com/activity-ratios/</t>
  </si>
  <si>
    <t>*</t>
  </si>
  <si>
    <t xml:space="preserve"> €'000</t>
  </si>
  <si>
    <t>Current assets</t>
  </si>
  <si>
    <t>Consolidated, unaudited</t>
  </si>
  <si>
    <t>Inventories</t>
  </si>
  <si>
    <t xml:space="preserve">Current liabilities </t>
  </si>
  <si>
    <t>Total debt</t>
  </si>
  <si>
    <t xml:space="preserve">Total equity </t>
  </si>
  <si>
    <t xml:space="preserve">Total assets </t>
  </si>
  <si>
    <t>Net sales = Revenue</t>
  </si>
  <si>
    <t>Cost of goods sold</t>
  </si>
  <si>
    <t>EBITDA</t>
  </si>
  <si>
    <t xml:space="preserve">Operating profit </t>
  </si>
  <si>
    <t>Interest expense</t>
  </si>
  <si>
    <t>Net income</t>
  </si>
  <si>
    <t>Employees</t>
  </si>
  <si>
    <t>not '000</t>
  </si>
  <si>
    <t>operating income (EBIT) / interest expense</t>
  </si>
  <si>
    <t>Margin ratios</t>
  </si>
  <si>
    <t>Gross (profit) margin (%)</t>
  </si>
  <si>
    <t>Net (profit) margin (%)</t>
  </si>
  <si>
    <t>Return ratios</t>
  </si>
  <si>
    <t>Return on assets (ROA) (%)</t>
  </si>
  <si>
    <t>Return on equity (ROE) (%)</t>
  </si>
  <si>
    <t>Exchange rate</t>
  </si>
  <si>
    <t xml:space="preserve"> €</t>
  </si>
  <si>
    <t xml:space="preserve">  € &gt; $</t>
  </si>
  <si>
    <t>Total assets turn-over ratio</t>
  </si>
  <si>
    <t xml:space="preserve">Statement of financial position </t>
  </si>
  <si>
    <t>￡000</t>
  </si>
  <si>
    <t xml:space="preserve"> ￡000</t>
  </si>
  <si>
    <t>US $</t>
  </si>
  <si>
    <t xml:space="preserve">ASSETS </t>
  </si>
  <si>
    <t xml:space="preserve">Non-current assets </t>
  </si>
  <si>
    <t>Property, plant and equipment</t>
  </si>
  <si>
    <t>Intangible assets</t>
  </si>
  <si>
    <t>Deferred tax assets</t>
  </si>
  <si>
    <t>Investments</t>
  </si>
  <si>
    <t xml:space="preserve">- </t>
  </si>
  <si>
    <t>Total non-current assets</t>
  </si>
  <si>
    <t xml:space="preserve">Current assets </t>
  </si>
  <si>
    <t>Trade and other receivables</t>
  </si>
  <si>
    <t>Assets held for resale</t>
  </si>
  <si>
    <t>Cash and cash equivalents</t>
  </si>
  <si>
    <t>Current tax receivable</t>
  </si>
  <si>
    <t>Total current assets</t>
  </si>
  <si>
    <t>Total assets</t>
  </si>
  <si>
    <t>LIABILITIES</t>
  </si>
  <si>
    <t>Current liabilities</t>
  </si>
  <si>
    <t>Trade and other payables</t>
  </si>
  <si>
    <t>Interest-bearing loans and borrowings</t>
  </si>
  <si>
    <t>Current tax payable</t>
  </si>
  <si>
    <t>Total current liabilities</t>
  </si>
  <si>
    <t>Non-current liabilities</t>
  </si>
  <si>
    <t>Post-retirement benefit obligations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</si>
  <si>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</si>
  <si>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</si>
  <si>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</si>
  <si>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</si>
  <si>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</si>
  <si>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</si>
  <si>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Share premium</t>
  </si>
  <si>
    <t>Revaluation of investment reserve</t>
  </si>
  <si>
    <t>Exchange reserve</t>
  </si>
  <si>
    <t>Pension re-measurement reserve</t>
  </si>
  <si>
    <t>Retained earnings</t>
  </si>
  <si>
    <t>Equity attributable to holders of the parent</t>
  </si>
  <si>
    <t>Non-controlling interest</t>
  </si>
  <si>
    <t>Total equity</t>
  </si>
  <si>
    <t xml:space="preserve">Net sales </t>
  </si>
  <si>
    <t xml:space="preserve">Cost of goods sold </t>
  </si>
  <si>
    <t xml:space="preserve">EBITDA </t>
  </si>
  <si>
    <t xml:space="preserve">Net interest expense </t>
  </si>
  <si>
    <t>Operating profit</t>
  </si>
  <si>
    <t xml:space="preserve">Shareholders equity </t>
  </si>
  <si>
    <t>Net income (profit for the year)</t>
  </si>
  <si>
    <t>Operating income (EBIT) = operating profit</t>
  </si>
  <si>
    <t xml:space="preserve">Employees </t>
  </si>
  <si>
    <t xml:space="preserve">Average employees </t>
  </si>
  <si>
    <t xml:space="preserve">Average total assets </t>
  </si>
  <si>
    <t xml:space="preserve">Average inventories </t>
  </si>
  <si>
    <t>operating profit margin (%)</t>
  </si>
  <si>
    <t>net profit margin (%)</t>
  </si>
  <si>
    <t>net sales / average number of employees x1000</t>
  </si>
  <si>
    <t>Currency rate GDP USD</t>
  </si>
  <si>
    <t>ACTIVA</t>
  </si>
  <si>
    <t>PASSIVA</t>
  </si>
  <si>
    <t>ASSETS</t>
  </si>
  <si>
    <t>A. Equity</t>
  </si>
  <si>
    <t>A. Non current assets</t>
  </si>
  <si>
    <t>I. Fixed equity</t>
  </si>
  <si>
    <t>I. Intangible assets</t>
  </si>
  <si>
    <t>II. Capital reserve</t>
  </si>
  <si>
    <t>II. Tangible assets</t>
  </si>
  <si>
    <t>III. Reatined earnings</t>
  </si>
  <si>
    <t>III. Financial assets</t>
  </si>
  <si>
    <t>B. Accruals</t>
  </si>
  <si>
    <t>B. Current assets</t>
  </si>
  <si>
    <t>C. Liabilities</t>
  </si>
  <si>
    <t>I. Inventories</t>
  </si>
  <si>
    <t>I. Non- current payables</t>
  </si>
  <si>
    <t>II. Payables</t>
  </si>
  <si>
    <t>II. Current payables</t>
  </si>
  <si>
    <t>III. Cash</t>
  </si>
  <si>
    <t>TOTAL</t>
  </si>
  <si>
    <t xml:space="preserve">C. Other </t>
  </si>
  <si>
    <t>INCOME STATEMENT</t>
  </si>
  <si>
    <t>Sales revenue</t>
  </si>
  <si>
    <t>Cost of sales</t>
  </si>
  <si>
    <t>Total assets 2016</t>
  </si>
  <si>
    <t>Gross profit</t>
  </si>
  <si>
    <t>Inventory 2016</t>
  </si>
  <si>
    <t>Other expenses</t>
  </si>
  <si>
    <t>Employees (avg)</t>
  </si>
  <si>
    <t>Interest received</t>
  </si>
  <si>
    <t>Interest paid</t>
  </si>
  <si>
    <t>Profit before taxes</t>
  </si>
  <si>
    <t>Taxes</t>
  </si>
  <si>
    <t>Annual net profit</t>
  </si>
  <si>
    <t>Liquidity ratios</t>
  </si>
  <si>
    <t>Current ratio</t>
  </si>
  <si>
    <t>Quick ratio</t>
  </si>
  <si>
    <t>Solvency ratios</t>
  </si>
  <si>
    <t>Debt to equity</t>
  </si>
  <si>
    <t>Debt to asset</t>
  </si>
  <si>
    <t>Interest coverage ratio</t>
  </si>
  <si>
    <t>Profitability ratios</t>
  </si>
  <si>
    <t>Gross profit margin</t>
  </si>
  <si>
    <t>EBITDA margin</t>
  </si>
  <si>
    <t>Operating profit margin</t>
  </si>
  <si>
    <t>Net profit margin</t>
  </si>
  <si>
    <t>Return on assets</t>
  </si>
  <si>
    <t>Return on equity</t>
  </si>
  <si>
    <t>Operating ratios</t>
  </si>
  <si>
    <t>Sales revenue per employee</t>
  </si>
  <si>
    <t>Inventory turnover</t>
  </si>
  <si>
    <t>Activity ratios</t>
  </si>
  <si>
    <t>total asset turnover ratio</t>
  </si>
  <si>
    <t xml:space="preserve"> $65.070.000 </t>
  </si>
  <si>
    <t xml:space="preserve"> $25.817.000 </t>
  </si>
  <si>
    <t xml:space="preserve"> $25.817.001</t>
  </si>
  <si>
    <t>1,58</t>
  </si>
  <si>
    <t>2,61</t>
  </si>
  <si>
    <t xml:space="preserve"> $136.898.000 </t>
  </si>
  <si>
    <t xml:space="preserve"> $228.564.000 </t>
  </si>
  <si>
    <t>0,60</t>
  </si>
  <si>
    <t xml:space="preserve"> $414.816.000 </t>
  </si>
  <si>
    <t>0,33</t>
  </si>
  <si>
    <t xml:space="preserve"> $16.043.000 </t>
  </si>
  <si>
    <t xml:space="preserve">gross profit margin </t>
  </si>
  <si>
    <t xml:space="preserve"> $51.814.000 </t>
  </si>
  <si>
    <t xml:space="preserve"> $108.496.000 </t>
  </si>
  <si>
    <t>47,76</t>
  </si>
  <si>
    <t xml:space="preserve">EBITDA margin </t>
  </si>
  <si>
    <t xml:space="preserve"> $19.688.000 </t>
  </si>
  <si>
    <t>18,15</t>
  </si>
  <si>
    <t>operating profit margin</t>
  </si>
  <si>
    <t>18,16</t>
  </si>
  <si>
    <t>net profit margin</t>
  </si>
  <si>
    <t xml:space="preserve"> $4.072.000 </t>
  </si>
  <si>
    <t>3,75</t>
  </si>
  <si>
    <t xml:space="preserve">return on assets </t>
  </si>
  <si>
    <t>1,26</t>
  </si>
  <si>
    <t xml:space="preserve">return on equity </t>
  </si>
  <si>
    <t>1,78</t>
  </si>
  <si>
    <t xml:space="preserve"> $108.496.000</t>
  </si>
  <si>
    <t>$ '000</t>
  </si>
  <si>
    <t>Prepayments</t>
  </si>
  <si>
    <t>Financial liabilities</t>
  </si>
  <si>
    <t>Employee benefits</t>
  </si>
  <si>
    <t>Contributed equity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</si>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</sst>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#,##0.000"/>
    <numFmt numFmtId="166" formatCode="0.000"/>
    <numFmt numFmtId="167" formatCode="#,##0.0"/>
    <numFmt numFmtId="168" formatCode="_([$$-409]* #,##0.00_);_([$$-409]* \(#,##0.00\);_([$$-409]* &quot;-&quot;??_);_(@_)"/>
    <numFmt numFmtId="169" formatCode="0.0000"/>
    <numFmt numFmtId="170" formatCode="_([$$-409]* #,##0_);_([$$-409]* \(#,##0\);_([$$-409]* &quot;-&quot;??_);_(@_)"/>
    <numFmt numFmtId="171" formatCode="&quot;$&quot;#,##0"/>
    <numFmt numFmtId="172" formatCode="&quot;$&quot;#,##0.00"/>
    <numFmt numFmtId="173" formatCode="0.0"/>
  </numFmts>
  <fonts count="3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u/>
      <sz val="11"/>
      <color rgb="FFED7D31"/>
      <name val="Calibri"/>
      <family val="2"/>
      <scheme val="minor"/>
    </font>
    <font>
      <sz val="11"/>
      <color rgb="FFED7D31"/>
      <name val="Calibri"/>
      <family val="2"/>
      <scheme val="minor"/>
    </font>
    <font>
      <b/>
      <sz val="11"/>
      <color rgb="FFED7D31"/>
      <name val="Calibri"/>
      <family val="2"/>
      <scheme val="minor"/>
    </font>
    <font>
      <u/>
      <sz val="11"/>
      <color rgb="FFED7D3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u/>
      <sz val="11"/>
      <color rgb="FF00000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CTIVA"/>
    </font>
    <font>
      <b/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174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3" fontId="2" fillId="0" borderId="0" xfId="0" applyNumberFormat="1" applyFont="1"/>
    <xf numFmtId="0" fontId="0" fillId="0" borderId="0" xfId="0" applyAlignment="1">
      <alignment horizontal="right"/>
    </xf>
    <xf numFmtId="0" fontId="11" fillId="0" borderId="0" xfId="0" applyFont="1"/>
    <xf numFmtId="0" fontId="0" fillId="2" borderId="0" xfId="0" applyFill="1"/>
    <xf numFmtId="165" fontId="0" fillId="0" borderId="0" xfId="0" applyNumberFormat="1"/>
    <xf numFmtId="3" fontId="0" fillId="0" borderId="0" xfId="0" applyNumberForma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0" fillId="0" borderId="0" xfId="0" applyFont="1"/>
    <xf numFmtId="0" fontId="13" fillId="0" borderId="0" xfId="0" applyFont="1"/>
    <xf numFmtId="3" fontId="0" fillId="0" borderId="0" xfId="0" applyNumberFormat="1" applyFont="1"/>
    <xf numFmtId="167" fontId="0" fillId="0" borderId="0" xfId="0" applyNumberFormat="1"/>
    <xf numFmtId="0" fontId="15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17" fillId="0" borderId="0" xfId="0" applyFont="1"/>
    <xf numFmtId="0" fontId="19" fillId="0" borderId="0" xfId="0" applyFont="1"/>
    <xf numFmtId="2" fontId="19" fillId="0" borderId="0" xfId="0" applyNumberFormat="1" applyFont="1"/>
    <xf numFmtId="4" fontId="19" fillId="0" borderId="0" xfId="0" applyNumberFormat="1" applyFont="1"/>
    <xf numFmtId="168" fontId="0" fillId="0" borderId="0" xfId="0" applyNumberFormat="1" applyAlignment="1">
      <alignment horizontal="center"/>
    </xf>
    <xf numFmtId="0" fontId="22" fillId="0" borderId="0" xfId="0" applyFont="1"/>
    <xf numFmtId="2" fontId="22" fillId="0" borderId="0" xfId="0" applyNumberFormat="1" applyFont="1"/>
    <xf numFmtId="4" fontId="22" fillId="0" borderId="0" xfId="0" applyNumberFormat="1" applyFont="1"/>
    <xf numFmtId="166" fontId="22" fillId="0" borderId="0" xfId="0" applyNumberFormat="1" applyFont="1" applyAlignment="1">
      <alignment horizontal="right"/>
    </xf>
    <xf numFmtId="166" fontId="22" fillId="0" borderId="0" xfId="0" applyNumberFormat="1" applyFont="1"/>
    <xf numFmtId="166" fontId="19" fillId="0" borderId="0" xfId="0" applyNumberFormat="1" applyFont="1" applyAlignment="1">
      <alignment horizontal="right"/>
    </xf>
    <xf numFmtId="166" fontId="19" fillId="0" borderId="0" xfId="0" applyNumberFormat="1" applyFont="1"/>
    <xf numFmtId="2" fontId="11" fillId="0" borderId="0" xfId="0" applyNumberFormat="1" applyFont="1"/>
    <xf numFmtId="2" fontId="21" fillId="0" borderId="0" xfId="0" applyNumberFormat="1" applyFont="1"/>
    <xf numFmtId="169" fontId="22" fillId="0" borderId="0" xfId="0" applyNumberFormat="1" applyFont="1"/>
    <xf numFmtId="0" fontId="22" fillId="0" borderId="0" xfId="0" applyFont="1" applyAlignment="1">
      <alignment horizontal="right"/>
    </xf>
    <xf numFmtId="169" fontId="19" fillId="0" borderId="0" xfId="0" applyNumberFormat="1" applyFont="1"/>
    <xf numFmtId="0" fontId="15" fillId="0" borderId="0" xfId="0" applyFont="1" applyFill="1"/>
    <xf numFmtId="0" fontId="0" fillId="0" borderId="0" xfId="0" applyFont="1" applyAlignment="1"/>
    <xf numFmtId="2" fontId="0" fillId="0" borderId="0" xfId="0" applyNumberFormat="1"/>
    <xf numFmtId="0" fontId="23" fillId="0" borderId="0" xfId="2" applyFont="1"/>
    <xf numFmtId="0" fontId="24" fillId="0" borderId="0" xfId="0" applyFont="1"/>
    <xf numFmtId="0" fontId="24" fillId="0" borderId="0" xfId="0" applyFont="1" applyAlignment="1"/>
    <xf numFmtId="2" fontId="0" fillId="0" borderId="0" xfId="0" applyNumberFormat="1" applyFont="1" applyAlignment="1"/>
    <xf numFmtId="0" fontId="25" fillId="0" borderId="0" xfId="0" applyFont="1"/>
    <xf numFmtId="0" fontId="25" fillId="0" borderId="0" xfId="0" applyFont="1" applyAlignment="1">
      <alignment horizontal="right"/>
    </xf>
    <xf numFmtId="2" fontId="0" fillId="0" borderId="0" xfId="0" applyNumberFormat="1" applyFont="1"/>
    <xf numFmtId="2" fontId="0" fillId="0" borderId="0" xfId="0" applyNumberFormat="1" applyAlignment="1"/>
    <xf numFmtId="0" fontId="0" fillId="0" borderId="0" xfId="0" applyFill="1"/>
    <xf numFmtId="2" fontId="0" fillId="0" borderId="0" xfId="0" applyNumberFormat="1" applyFill="1" applyAlignment="1"/>
    <xf numFmtId="0" fontId="0" fillId="0" borderId="0" xfId="0"/>
    <xf numFmtId="0" fontId="2" fillId="0" borderId="0" xfId="0" applyFont="1"/>
    <xf numFmtId="2" fontId="17" fillId="0" borderId="0" xfId="0" applyNumberFormat="1" applyFont="1"/>
    <xf numFmtId="170" fontId="0" fillId="0" borderId="0" xfId="0" applyNumberFormat="1"/>
    <xf numFmtId="0" fontId="21" fillId="0" borderId="0" xfId="0" applyFont="1"/>
    <xf numFmtId="0" fontId="21" fillId="0" borderId="0" xfId="0" applyFont="1" applyAlignment="1">
      <alignment horizontal="left" vertical="top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6" fillId="0" borderId="0" xfId="0" applyFont="1"/>
    <xf numFmtId="3" fontId="26" fillId="0" borderId="0" xfId="0" applyNumberFormat="1" applyFont="1"/>
    <xf numFmtId="4" fontId="0" fillId="0" borderId="0" xfId="0" applyNumberFormat="1"/>
    <xf numFmtId="3" fontId="27" fillId="0" borderId="0" xfId="0" applyNumberFormat="1" applyFont="1"/>
    <xf numFmtId="164" fontId="11" fillId="0" borderId="0" xfId="1" applyFont="1" applyFill="1"/>
    <xf numFmtId="0" fontId="11" fillId="0" borderId="0" xfId="0" applyFont="1" applyFill="1"/>
    <xf numFmtId="164" fontId="11" fillId="0" borderId="0" xfId="0" applyNumberFormat="1" applyFont="1" applyFill="1"/>
    <xf numFmtId="4" fontId="9" fillId="0" borderId="0" xfId="0" applyNumberFormat="1" applyFont="1"/>
    <xf numFmtId="2" fontId="21" fillId="0" borderId="0" xfId="0" applyNumberFormat="1" applyFont="1" applyFill="1"/>
    <xf numFmtId="0" fontId="15" fillId="0" borderId="0" xfId="0" applyFont="1" applyAlignment="1">
      <alignment vertical="top"/>
    </xf>
    <xf numFmtId="171" fontId="0" fillId="0" borderId="0" xfId="0" applyNumberFormat="1"/>
    <xf numFmtId="0" fontId="17" fillId="0" borderId="0" xfId="0" applyFont="1" applyAlignment="1">
      <alignment horizontal="right"/>
    </xf>
    <xf numFmtId="172" fontId="17" fillId="0" borderId="0" xfId="0" applyNumberFormat="1" applyFont="1"/>
    <xf numFmtId="172" fontId="17" fillId="0" borderId="0" xfId="0" applyNumberFormat="1" applyFont="1" applyAlignment="1">
      <alignment horizontal="right"/>
    </xf>
    <xf numFmtId="171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171" fontId="0" fillId="0" borderId="0" xfId="0" applyNumberFormat="1" applyFill="1" applyAlignment="1">
      <alignment horizontal="left"/>
    </xf>
    <xf numFmtId="170" fontId="0" fillId="0" borderId="0" xfId="0" applyNumberFormat="1" applyFill="1"/>
    <xf numFmtId="2" fontId="0" fillId="0" borderId="0" xfId="0" applyNumberFormat="1" applyFill="1"/>
    <xf numFmtId="0" fontId="17" fillId="0" borderId="0" xfId="0" applyFont="1" applyFill="1"/>
    <xf numFmtId="4" fontId="17" fillId="0" borderId="0" xfId="0" applyNumberFormat="1" applyFont="1" applyFill="1" applyAlignment="1">
      <alignment horizontal="right"/>
    </xf>
    <xf numFmtId="0" fontId="15" fillId="0" borderId="0" xfId="0" applyFont="1" applyFill="1" applyAlignment="1">
      <alignment vertical="top"/>
    </xf>
    <xf numFmtId="0" fontId="4" fillId="0" borderId="0" xfId="0" applyFont="1" applyAlignment="1">
      <alignment horizontal="left"/>
    </xf>
    <xf numFmtId="171" fontId="0" fillId="0" borderId="0" xfId="0" applyNumberFormat="1" applyFill="1" applyAlignment="1">
      <alignment horizontal="right" vertical="top"/>
    </xf>
    <xf numFmtId="172" fontId="0" fillId="0" borderId="0" xfId="0" applyNumberFormat="1"/>
    <xf numFmtId="171" fontId="17" fillId="0" borderId="0" xfId="0" applyNumberFormat="1" applyFont="1"/>
    <xf numFmtId="173" fontId="0" fillId="0" borderId="0" xfId="0" applyNumberFormat="1" applyFill="1"/>
    <xf numFmtId="0" fontId="0" fillId="0" borderId="0" xfId="0" applyNumberFormat="1" applyFill="1"/>
    <xf numFmtId="0" fontId="2" fillId="2" borderId="0" xfId="0" applyFont="1" applyFill="1"/>
    <xf numFmtId="0" fontId="15" fillId="0" borderId="0" xfId="0" applyFont="1" applyFill="1" applyAlignment="1">
      <alignment horizontal="right"/>
    </xf>
    <xf numFmtId="166" fontId="19" fillId="0" borderId="0" xfId="0" applyNumberFormat="1" applyFont="1" applyFill="1"/>
    <xf numFmtId="0" fontId="19" fillId="0" borderId="0" xfId="0" applyFont="1" applyFill="1"/>
    <xf numFmtId="0" fontId="21" fillId="0" borderId="0" xfId="0" applyFont="1" applyFill="1"/>
    <xf numFmtId="164" fontId="11" fillId="0" borderId="0" xfId="0" applyNumberFormat="1" applyFont="1"/>
    <xf numFmtId="0" fontId="28" fillId="2" borderId="0" xfId="0" applyFont="1" applyFill="1"/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/>
    </xf>
    <xf numFmtId="4" fontId="11" fillId="0" borderId="0" xfId="0" applyNumberFormat="1" applyFont="1" applyFill="1" applyProtection="1">
      <protection locked="0"/>
    </xf>
    <xf numFmtId="2" fontId="11" fillId="0" borderId="0" xfId="0" applyNumberFormat="1" applyFont="1" applyFill="1"/>
    <xf numFmtId="164" fontId="22" fillId="0" borderId="0" xfId="1" applyFont="1" applyFill="1"/>
    <xf numFmtId="2" fontId="29" fillId="0" borderId="0" xfId="0" applyNumberFormat="1" applyFont="1"/>
    <xf numFmtId="164" fontId="22" fillId="2" borderId="0" xfId="1" applyFont="1" applyFill="1"/>
    <xf numFmtId="0" fontId="22" fillId="2" borderId="0" xfId="0" applyFont="1" applyFill="1"/>
    <xf numFmtId="2" fontId="22" fillId="2" borderId="0" xfId="0" applyNumberFormat="1" applyFont="1" applyFill="1"/>
    <xf numFmtId="2" fontId="29" fillId="2" borderId="0" xfId="0" applyNumberFormat="1" applyFont="1" applyFill="1"/>
    <xf numFmtId="0" fontId="2" fillId="0" borderId="0" xfId="0" applyFont="1" applyFill="1" applyAlignment="1">
      <alignment horizontal="left"/>
    </xf>
    <xf numFmtId="0" fontId="11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 applyAlignment="1"/>
    <xf numFmtId="0" fontId="1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1" fillId="0" borderId="0" xfId="2" applyAlignment="1"/>
    <xf numFmtId="0" fontId="5" fillId="0" borderId="0" xfId="0" applyFont="1" applyAlignment="1"/>
    <xf numFmtId="0" fontId="2" fillId="0" borderId="0" xfId="0" applyFont="1" applyAlignment="1"/>
    <xf numFmtId="0" fontId="10" fillId="0" borderId="0" xfId="0" applyFont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ingplay.com/operating-performance-ratios/" TargetMode="External"/><Relationship Id="rId2" Type="http://schemas.openxmlformats.org/officeDocument/2006/relationships/hyperlink" Target="https://corporatefinanceinstitute.com/resources/knowledge/finance/profitability-ratios/" TargetMode="External"/><Relationship Id="rId1" Type="http://schemas.openxmlformats.org/officeDocument/2006/relationships/hyperlink" Target="https://www.investopedia.com/articles/investing/100313/financial-analysis-solvency-vs-liquidity-ratios.asp" TargetMode="External"/><Relationship Id="rId4" Type="http://schemas.openxmlformats.org/officeDocument/2006/relationships/hyperlink" Target="https://www.wallstreetmojo.com/activity-rat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8A65-4A0E-2C4C-8A21-69D8492690A4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6"/>
  <sheetViews>
    <sheetView tabSelected="1" topLeftCell="B35" workbookViewId="0">
      <selection activeCell="A49" sqref="A49"/>
    </sheetView>
  </sheetViews>
  <sheetFormatPr defaultColWidth="8.85546875" defaultRowHeight="15"/>
  <cols>
    <col min="1" max="1" width="33.7109375" customWidth="1"/>
    <col min="2" max="2" width="43.28515625" bestFit="1" customWidth="1"/>
    <col min="3" max="3" width="16.42578125" customWidth="1"/>
    <col min="4" max="4" width="14" customWidth="1"/>
    <col min="5" max="5" width="14" style="52" customWidth="1"/>
    <col min="6" max="6" width="14.7109375" customWidth="1"/>
    <col min="7" max="7" width="14.28515625" customWidth="1"/>
    <col min="8" max="8" width="11.42578125" customWidth="1"/>
    <col min="9" max="9" width="11.42578125" style="52" customWidth="1"/>
    <col min="10" max="10" width="11.42578125" customWidth="1"/>
    <col min="11" max="11" width="11.28515625" customWidth="1"/>
    <col min="12" max="12" width="13" customWidth="1"/>
    <col min="13" max="13" width="13" style="52" customWidth="1"/>
    <col min="14" max="14" width="10.28515625" customWidth="1"/>
    <col min="15" max="15" width="10.42578125" customWidth="1"/>
    <col min="16" max="16" width="11.42578125" customWidth="1"/>
    <col min="17" max="17" width="11.42578125" style="52" customWidth="1"/>
    <col min="18" max="18" width="11.140625" customWidth="1"/>
    <col min="19" max="19" width="11" customWidth="1"/>
    <col min="20" max="20" width="10.140625" customWidth="1"/>
    <col min="21" max="21" width="10.7109375" customWidth="1"/>
  </cols>
  <sheetData>
    <row r="1" spans="1:36" ht="26.25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</row>
    <row r="2" spans="1:36">
      <c r="A2" s="146" t="s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</row>
    <row r="5" spans="1:36">
      <c r="A5" s="53" t="s">
        <v>2</v>
      </c>
      <c r="B5" s="53" t="s">
        <v>3</v>
      </c>
      <c r="C5" s="53" t="s">
        <v>4</v>
      </c>
      <c r="D5" s="52"/>
      <c r="F5" s="52"/>
      <c r="G5" s="52"/>
      <c r="H5" s="52"/>
      <c r="J5" s="52"/>
      <c r="K5" s="52"/>
      <c r="L5" s="52"/>
      <c r="N5" s="52"/>
      <c r="O5" s="52"/>
      <c r="P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</row>
    <row r="6" spans="1:36">
      <c r="A6" s="52" t="s">
        <v>5</v>
      </c>
      <c r="B6" s="52" t="s">
        <v>6</v>
      </c>
      <c r="C6" s="52" t="s">
        <v>7</v>
      </c>
      <c r="D6" s="52"/>
      <c r="F6" s="52"/>
      <c r="G6" s="52"/>
      <c r="H6" s="52"/>
      <c r="J6" s="52"/>
      <c r="K6" s="52"/>
      <c r="L6" s="52"/>
      <c r="N6" s="52"/>
      <c r="O6" s="52"/>
      <c r="P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1:36">
      <c r="A7" s="52" t="s">
        <v>8</v>
      </c>
      <c r="B7" s="52" t="s">
        <v>9</v>
      </c>
      <c r="C7" s="52" t="s">
        <v>10</v>
      </c>
      <c r="D7" s="52"/>
      <c r="F7" s="52"/>
      <c r="G7" s="52"/>
      <c r="H7" s="52"/>
      <c r="J7" s="52"/>
      <c r="K7" s="52"/>
      <c r="L7" s="52"/>
      <c r="N7" s="52"/>
      <c r="O7" s="52"/>
      <c r="P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</row>
    <row r="8" spans="1:36">
      <c r="A8" s="52" t="s">
        <v>11</v>
      </c>
      <c r="B8" s="52" t="s">
        <v>12</v>
      </c>
      <c r="C8" s="52" t="s">
        <v>13</v>
      </c>
      <c r="D8" s="52"/>
      <c r="F8" s="52"/>
      <c r="G8" s="52"/>
      <c r="H8" s="52"/>
      <c r="J8" s="52"/>
      <c r="K8" s="52"/>
      <c r="L8" s="52"/>
      <c r="N8" s="52"/>
      <c r="O8" s="52"/>
      <c r="P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</row>
    <row r="9" spans="1:36">
      <c r="A9" s="52" t="s">
        <v>14</v>
      </c>
      <c r="B9" s="52" t="s">
        <v>15</v>
      </c>
      <c r="C9" s="52" t="s">
        <v>13</v>
      </c>
      <c r="D9" s="52"/>
      <c r="F9" s="52"/>
      <c r="G9" s="52"/>
      <c r="H9" s="52"/>
      <c r="J9" s="52"/>
      <c r="K9" s="52"/>
      <c r="L9" s="52"/>
      <c r="N9" s="52"/>
      <c r="O9" s="52"/>
      <c r="P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</row>
    <row r="10" spans="1:36">
      <c r="A10" s="52" t="s">
        <v>16</v>
      </c>
      <c r="B10" s="52" t="s">
        <v>17</v>
      </c>
      <c r="C10" s="52" t="s">
        <v>13</v>
      </c>
      <c r="D10" s="52"/>
      <c r="F10" s="52"/>
      <c r="G10" s="52"/>
      <c r="H10" s="52"/>
      <c r="J10" s="52"/>
      <c r="K10" s="52"/>
      <c r="L10" s="52"/>
      <c r="N10" s="52"/>
      <c r="O10" s="52"/>
      <c r="P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</row>
    <row r="13" spans="1:36" ht="18.75">
      <c r="A13" s="147" t="s">
        <v>18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</row>
    <row r="15" spans="1:36">
      <c r="A15" s="53" t="s">
        <v>19</v>
      </c>
      <c r="B15" s="148" t="s">
        <v>20</v>
      </c>
      <c r="C15" s="148"/>
      <c r="D15" s="148"/>
      <c r="E15" s="117"/>
      <c r="F15" s="141" t="s">
        <v>21</v>
      </c>
      <c r="G15" s="141"/>
      <c r="H15" s="141"/>
      <c r="I15" s="118"/>
      <c r="J15" s="137" t="s">
        <v>22</v>
      </c>
      <c r="K15" s="137"/>
      <c r="L15" s="137"/>
      <c r="M15" s="119"/>
      <c r="N15" s="139" t="s">
        <v>23</v>
      </c>
      <c r="O15" s="139"/>
      <c r="P15" s="139"/>
      <c r="Q15" s="120"/>
      <c r="R15" s="149" t="s">
        <v>24</v>
      </c>
      <c r="S15" s="149"/>
      <c r="T15" s="149"/>
      <c r="U15" s="121"/>
      <c r="V15" s="121"/>
      <c r="W15" s="121"/>
      <c r="X15" s="121"/>
      <c r="Y15" s="121"/>
      <c r="Z15" s="121"/>
      <c r="AA15" s="121"/>
      <c r="AB15" s="121"/>
      <c r="AC15" s="144"/>
      <c r="AD15" s="144"/>
      <c r="AE15" s="144"/>
      <c r="AF15" s="144"/>
      <c r="AG15" s="144"/>
      <c r="AH15" s="144"/>
      <c r="AI15" s="144"/>
      <c r="AJ15" s="144"/>
    </row>
    <row r="16" spans="1:36">
      <c r="A16" s="52"/>
      <c r="B16" s="12">
        <v>2017</v>
      </c>
      <c r="C16" s="12">
        <v>2018</v>
      </c>
      <c r="D16" s="12">
        <v>2019</v>
      </c>
      <c r="E16" s="12" t="s">
        <v>25</v>
      </c>
      <c r="F16" s="19">
        <v>2017</v>
      </c>
      <c r="G16" s="19">
        <v>2018</v>
      </c>
      <c r="H16" s="19">
        <v>2019</v>
      </c>
      <c r="I16" s="19" t="s">
        <v>25</v>
      </c>
      <c r="J16" s="20">
        <v>2017</v>
      </c>
      <c r="K16" s="21">
        <v>2018</v>
      </c>
      <c r="L16" s="21">
        <v>2019</v>
      </c>
      <c r="M16" s="21" t="s">
        <v>25</v>
      </c>
      <c r="N16" s="63">
        <v>2017</v>
      </c>
      <c r="O16" s="63">
        <v>2018</v>
      </c>
      <c r="P16" s="63">
        <v>2019</v>
      </c>
      <c r="Q16" s="63" t="s">
        <v>25</v>
      </c>
      <c r="R16" s="60">
        <v>2017</v>
      </c>
      <c r="S16" s="60">
        <v>2018</v>
      </c>
      <c r="T16" s="60">
        <v>2019</v>
      </c>
      <c r="U16" s="113" t="s">
        <v>25</v>
      </c>
      <c r="V16" s="121"/>
      <c r="W16" s="121"/>
      <c r="X16" s="121"/>
      <c r="Y16" s="144"/>
      <c r="Z16" s="144"/>
      <c r="AA16" s="144"/>
      <c r="AB16" s="144"/>
      <c r="AC16" s="134"/>
      <c r="AD16" s="134"/>
      <c r="AE16" s="134"/>
      <c r="AF16" s="134"/>
      <c r="AG16" s="134"/>
      <c r="AH16" s="134"/>
      <c r="AI16" s="134"/>
      <c r="AJ16" s="134"/>
    </row>
    <row r="17" spans="1:36">
      <c r="A17" s="2" t="s">
        <v>26</v>
      </c>
      <c r="B17" s="8"/>
      <c r="C17" s="8"/>
      <c r="D17" s="8"/>
      <c r="E17" s="8"/>
      <c r="F17" s="61"/>
      <c r="G17" s="61"/>
      <c r="H17" s="61"/>
      <c r="I17" s="61"/>
      <c r="J17" s="22"/>
      <c r="K17" s="22"/>
      <c r="L17" s="22"/>
      <c r="M17" s="22"/>
      <c r="N17" s="23"/>
      <c r="O17" s="136"/>
      <c r="P17" s="136"/>
      <c r="Q17" s="115"/>
      <c r="R17" s="102"/>
      <c r="S17" s="102"/>
      <c r="T17" s="102"/>
      <c r="U17" s="114"/>
      <c r="V17" s="114"/>
      <c r="W17" s="134"/>
      <c r="X17" s="134"/>
      <c r="Y17" s="134"/>
      <c r="Z17" s="134"/>
      <c r="AA17" s="134"/>
      <c r="AB17" s="134"/>
      <c r="AC17" s="52"/>
      <c r="AD17" s="52"/>
      <c r="AE17" s="52"/>
      <c r="AF17" s="52"/>
      <c r="AG17" s="52"/>
      <c r="AH17" s="52"/>
      <c r="AI17" s="52"/>
      <c r="AJ17" s="52"/>
    </row>
    <row r="18" spans="1:36">
      <c r="A18" s="53" t="s">
        <v>27</v>
      </c>
      <c r="B18" s="72">
        <f>'Beiersdorf AG'!B27</f>
        <v>0.96329879101899829</v>
      </c>
      <c r="C18" s="69">
        <f>'Beiersdorf AG'!C27</f>
        <v>0.73300970873786409</v>
      </c>
      <c r="D18" s="69">
        <f>'Beiersdorf AG'!D27</f>
        <v>0.51255783212161266</v>
      </c>
      <c r="E18" s="105">
        <f>AVERAGE(B18:C18:D18)</f>
        <v>0.73628877729282494</v>
      </c>
      <c r="F18" s="62">
        <v>4.3600000000000003</v>
      </c>
      <c r="G18" s="61">
        <v>4.8499999999999996</v>
      </c>
      <c r="H18" s="61">
        <v>3.96</v>
      </c>
      <c r="I18" s="27">
        <f>AVERAGE(F18:H18)</f>
        <v>4.3900000000000006</v>
      </c>
      <c r="J18" s="22">
        <v>0.76</v>
      </c>
      <c r="K18" s="22">
        <v>1.42</v>
      </c>
      <c r="L18" s="22">
        <v>1.58</v>
      </c>
      <c r="M18" s="28">
        <f>AVERAGE(J18:L18)</f>
        <v>1.2533333333333332</v>
      </c>
      <c r="N18" s="23">
        <v>0.84</v>
      </c>
      <c r="O18" s="23">
        <v>1.43</v>
      </c>
      <c r="P18" s="23">
        <v>1.2</v>
      </c>
      <c r="Q18" s="28">
        <f>AVERAGE(N18:P18)</f>
        <v>1.1566666666666665</v>
      </c>
      <c r="R18" s="35">
        <v>0.84</v>
      </c>
      <c r="S18" s="35">
        <v>0.8</v>
      </c>
      <c r="T18" s="35">
        <v>3.24</v>
      </c>
      <c r="U18" s="106">
        <f>AVERAGE(R18:T18)</f>
        <v>1.6266666666666669</v>
      </c>
      <c r="V18" s="56"/>
      <c r="W18" s="56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</row>
    <row r="19" spans="1:36">
      <c r="A19" s="100" t="s">
        <v>28</v>
      </c>
      <c r="B19" s="69" cm="1">
        <f t="array" ref="B19:D19">'Beiersdorf AG'!B28:D28</f>
        <v>0.96200345423143352</v>
      </c>
      <c r="C19" s="69">
        <v>0.73226288274831963</v>
      </c>
      <c r="D19" s="69">
        <v>0.51156642432253796</v>
      </c>
      <c r="E19" s="107">
        <f>AVERAGE(_xlfn.ANCHORARRAY(B19))</f>
        <v>0.73527758710076385</v>
      </c>
      <c r="F19" s="62">
        <v>5.62</v>
      </c>
      <c r="G19" s="61">
        <v>6.76</v>
      </c>
      <c r="H19" s="61">
        <v>6.19</v>
      </c>
      <c r="I19" s="108">
        <f>AVERAGE(F19:H19)</f>
        <v>6.19</v>
      </c>
      <c r="J19" s="22">
        <v>1.1499999999999999</v>
      </c>
      <c r="K19" s="22">
        <v>2.4900000000000002</v>
      </c>
      <c r="L19" s="22">
        <v>2.61</v>
      </c>
      <c r="M19" s="109">
        <f t="shared" ref="M19:M42" si="0">AVERAGE(J19:L19)</f>
        <v>2.0833333333333335</v>
      </c>
      <c r="N19" s="23">
        <v>1.29</v>
      </c>
      <c r="O19" s="23">
        <v>1.72</v>
      </c>
      <c r="P19" s="23">
        <v>1.29</v>
      </c>
      <c r="Q19" s="109">
        <f t="shared" ref="Q19:Q42" si="1">AVERAGE(N19:P19)</f>
        <v>1.4333333333333333</v>
      </c>
      <c r="R19" s="35">
        <v>1.31</v>
      </c>
      <c r="S19" s="35">
        <v>1.35</v>
      </c>
      <c r="T19" s="35">
        <v>3.86</v>
      </c>
      <c r="U19" s="110">
        <f t="shared" ref="U19:U42" si="2">AVERAGE(R19:T19)</f>
        <v>2.1733333333333333</v>
      </c>
      <c r="V19" s="56"/>
      <c r="W19" s="56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</row>
    <row r="20" spans="1:36">
      <c r="A20" s="52"/>
      <c r="B20" s="70"/>
      <c r="C20" s="70"/>
      <c r="D20" s="70"/>
      <c r="E20" s="105"/>
      <c r="F20" s="61"/>
      <c r="G20" s="61"/>
      <c r="H20" s="61"/>
      <c r="I20" s="27"/>
      <c r="J20" s="22"/>
      <c r="K20" s="22"/>
      <c r="L20" s="22"/>
      <c r="M20" s="28"/>
      <c r="N20" s="23"/>
      <c r="O20" s="23"/>
      <c r="P20" s="23"/>
      <c r="Q20" s="28"/>
      <c r="R20" s="35"/>
      <c r="S20" s="35"/>
      <c r="T20" s="35"/>
      <c r="U20" s="106"/>
      <c r="V20" s="56"/>
      <c r="W20" s="56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</row>
    <row r="21" spans="1:36">
      <c r="A21" s="52" t="s">
        <v>29</v>
      </c>
      <c r="B21" s="70"/>
      <c r="C21" s="70"/>
      <c r="D21" s="70"/>
      <c r="E21" s="105"/>
      <c r="F21" s="61"/>
      <c r="G21" s="61"/>
      <c r="H21" s="61"/>
      <c r="I21" s="27"/>
      <c r="J21" s="22"/>
      <c r="K21" s="22"/>
      <c r="L21" s="22"/>
      <c r="M21" s="28"/>
      <c r="N21" s="23"/>
      <c r="O21" s="23"/>
      <c r="P21" s="23"/>
      <c r="Q21" s="28"/>
      <c r="R21" s="35"/>
      <c r="S21" s="35"/>
      <c r="T21" s="35"/>
      <c r="U21" s="106"/>
      <c r="V21" s="56"/>
      <c r="W21" s="56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</row>
    <row r="22" spans="1:36">
      <c r="A22" s="100" t="s">
        <v>30</v>
      </c>
      <c r="B22" s="71" cm="1">
        <f t="array" ref="B22:D24">'Beiersdorf AG'!B31:D33</f>
        <v>0.88094332445796886</v>
      </c>
      <c r="C22" s="71">
        <v>0.97915904936014631</v>
      </c>
      <c r="D22" s="71">
        <v>1.0943942133815552</v>
      </c>
      <c r="E22" s="107">
        <f>AVERAGE(B22:D22)</f>
        <v>0.98483219573322334</v>
      </c>
      <c r="F22" s="61">
        <v>0.26</v>
      </c>
      <c r="G22" s="61">
        <v>0.17</v>
      </c>
      <c r="H22" s="61">
        <v>0.14000000000000001</v>
      </c>
      <c r="I22" s="108">
        <f t="shared" ref="I22:I42" si="3">AVERAGE(F22:H22)</f>
        <v>0.19000000000000003</v>
      </c>
      <c r="J22" s="22">
        <v>2.48</v>
      </c>
      <c r="K22" s="22">
        <v>0.49</v>
      </c>
      <c r="L22" s="54">
        <v>0.6</v>
      </c>
      <c r="M22" s="109">
        <f t="shared" si="0"/>
        <v>1.19</v>
      </c>
      <c r="N22" s="23">
        <v>0.61</v>
      </c>
      <c r="O22" s="23">
        <v>0.23</v>
      </c>
      <c r="P22" s="23">
        <v>0.19</v>
      </c>
      <c r="Q22" s="109">
        <f t="shared" si="1"/>
        <v>0.34333333333333332</v>
      </c>
      <c r="R22" s="35">
        <v>1.45</v>
      </c>
      <c r="S22" s="35">
        <v>1.28</v>
      </c>
      <c r="T22" s="35">
        <v>0.81</v>
      </c>
      <c r="U22" s="110">
        <f>AVERAGE(R22:T22)</f>
        <v>1.18</v>
      </c>
      <c r="V22" s="56"/>
      <c r="W22" s="56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</row>
    <row r="23" spans="1:36">
      <c r="A23" s="53" t="s">
        <v>31</v>
      </c>
      <c r="B23" s="71" t="str">
        <v>N/A</v>
      </c>
      <c r="C23" s="71" t="str">
        <v>N/A</v>
      </c>
      <c r="D23" s="71" t="str">
        <v>N/A</v>
      </c>
      <c r="E23" s="105"/>
      <c r="F23" s="61">
        <v>0.2</v>
      </c>
      <c r="G23" s="61">
        <v>0.14000000000000001</v>
      </c>
      <c r="H23" s="61">
        <v>0.13</v>
      </c>
      <c r="I23" s="28">
        <f t="shared" si="3"/>
        <v>0.15666666666666668</v>
      </c>
      <c r="J23" s="22">
        <v>0.43</v>
      </c>
      <c r="K23" s="22">
        <v>0.31</v>
      </c>
      <c r="L23" s="22">
        <v>0.33</v>
      </c>
      <c r="M23" s="28">
        <f t="shared" si="0"/>
        <v>0.35666666666666669</v>
      </c>
      <c r="N23" s="24">
        <f xml:space="preserve"> 49225/196252</f>
        <v>0.25082546929458044</v>
      </c>
      <c r="O23" s="24">
        <f xml:space="preserve"> 54745/381713</f>
        <v>0.14341927049903985</v>
      </c>
      <c r="P23" s="24">
        <f xml:space="preserve"> 44981/382491</f>
        <v>0.11760015268333111</v>
      </c>
      <c r="Q23" s="28">
        <f t="shared" si="1"/>
        <v>0.17061496415898381</v>
      </c>
      <c r="R23" s="35">
        <v>0.59</v>
      </c>
      <c r="S23" s="35">
        <v>0.56000000000000005</v>
      </c>
      <c r="T23" s="35">
        <v>0.45</v>
      </c>
      <c r="U23" s="106">
        <f t="shared" si="2"/>
        <v>0.53333333333333333</v>
      </c>
      <c r="V23" s="56"/>
      <c r="W23" s="56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</row>
    <row r="24" spans="1:36">
      <c r="A24" s="53" t="s">
        <v>32</v>
      </c>
      <c r="B24" s="71">
        <v>2.3666666666666667</v>
      </c>
      <c r="C24" s="71">
        <v>2.3492063492063493</v>
      </c>
      <c r="D24" s="71">
        <v>2.5151515151515151</v>
      </c>
      <c r="E24" s="105">
        <f>AVERAGE(B24:C24:D24)</f>
        <v>2.4103415103415102</v>
      </c>
      <c r="F24" s="61">
        <v>50.74</v>
      </c>
      <c r="G24" s="61">
        <v>66.95</v>
      </c>
      <c r="H24" s="61">
        <v>82.89</v>
      </c>
      <c r="I24" s="27">
        <f t="shared" si="3"/>
        <v>66.86</v>
      </c>
      <c r="J24" s="76" t="s">
        <v>33</v>
      </c>
      <c r="K24" s="76" t="s">
        <v>33</v>
      </c>
      <c r="L24" s="86" t="s">
        <v>33</v>
      </c>
      <c r="M24" s="28"/>
      <c r="N24" s="32">
        <v>23.83</v>
      </c>
      <c r="O24" s="33">
        <v>7.56</v>
      </c>
      <c r="P24" s="23">
        <v>3.952</v>
      </c>
      <c r="Q24" s="28">
        <f t="shared" si="1"/>
        <v>11.780666666666667</v>
      </c>
      <c r="R24" s="35">
        <v>20.83</v>
      </c>
      <c r="S24" s="35">
        <v>12.12</v>
      </c>
      <c r="T24" s="35">
        <v>7.43</v>
      </c>
      <c r="U24" s="106">
        <f t="shared" si="2"/>
        <v>13.459999999999999</v>
      </c>
      <c r="V24" s="56"/>
      <c r="W24" s="56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</row>
    <row r="25" spans="1:36">
      <c r="A25" s="52"/>
      <c r="B25" s="70"/>
      <c r="C25" s="70"/>
      <c r="D25" s="70"/>
      <c r="E25" s="105"/>
      <c r="F25" s="61"/>
      <c r="G25" s="61"/>
      <c r="H25" s="61"/>
      <c r="I25" s="27"/>
      <c r="J25" s="22"/>
      <c r="K25" s="22"/>
      <c r="L25" s="22"/>
      <c r="M25" s="28"/>
      <c r="N25" s="23"/>
      <c r="O25" s="23"/>
      <c r="P25" s="23"/>
      <c r="Q25" s="28"/>
      <c r="R25" s="56"/>
      <c r="S25" s="56"/>
      <c r="T25" s="56"/>
      <c r="U25" s="106"/>
      <c r="V25" s="56"/>
      <c r="W25" s="56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</row>
    <row r="26" spans="1:36">
      <c r="A26" s="52" t="s">
        <v>34</v>
      </c>
      <c r="B26" s="70"/>
      <c r="C26" s="70"/>
      <c r="D26" s="70"/>
      <c r="E26" s="105"/>
      <c r="F26" s="61"/>
      <c r="G26" s="61"/>
      <c r="H26" s="61"/>
      <c r="I26" s="27"/>
      <c r="J26" s="22"/>
      <c r="K26" s="22"/>
      <c r="L26" s="22"/>
      <c r="M26" s="28"/>
      <c r="N26" s="23"/>
      <c r="O26" s="23"/>
      <c r="P26" s="23"/>
      <c r="Q26" s="28"/>
      <c r="R26" s="56"/>
      <c r="S26" s="56"/>
      <c r="T26" s="56"/>
      <c r="U26" s="106"/>
      <c r="V26" s="56"/>
      <c r="W26" s="56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</row>
    <row r="27" spans="1:36">
      <c r="A27" s="4" t="s">
        <v>35</v>
      </c>
      <c r="B27" s="70"/>
      <c r="C27" s="70"/>
      <c r="D27" s="70"/>
      <c r="E27" s="105"/>
      <c r="F27" s="61"/>
      <c r="G27" s="61"/>
      <c r="H27" s="61"/>
      <c r="I27" s="27"/>
      <c r="J27" s="22"/>
      <c r="K27" s="22"/>
      <c r="L27" s="22"/>
      <c r="M27" s="28"/>
      <c r="N27" s="23"/>
      <c r="O27" s="23"/>
      <c r="P27" s="23"/>
      <c r="Q27" s="28"/>
      <c r="R27" s="56"/>
      <c r="S27" s="56"/>
      <c r="T27" s="56"/>
      <c r="U27" s="106"/>
      <c r="V27" s="56"/>
      <c r="W27" s="56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</row>
    <row r="28" spans="1:36">
      <c r="A28" s="53" t="s">
        <v>36</v>
      </c>
      <c r="B28" s="99" cm="1">
        <f t="array" ref="B28:D29">'Beiersdorf AG'!B36:D37</f>
        <v>56.875508543531325</v>
      </c>
      <c r="C28" s="99">
        <v>55.150554675118855</v>
      </c>
      <c r="D28" s="99">
        <v>54.865269461077851</v>
      </c>
      <c r="E28" s="105">
        <f>AVERAGE(B28:C28:D28)</f>
        <v>55.63044422657601</v>
      </c>
      <c r="F28" s="62">
        <v>62.86</v>
      </c>
      <c r="G28" s="61">
        <v>63.39</v>
      </c>
      <c r="H28" s="61">
        <v>61.29</v>
      </c>
      <c r="I28" s="28">
        <f t="shared" si="3"/>
        <v>62.513333333333328</v>
      </c>
      <c r="J28" s="22">
        <v>60.03</v>
      </c>
      <c r="K28" s="22">
        <v>45.53</v>
      </c>
      <c r="L28" s="22">
        <v>47.76</v>
      </c>
      <c r="M28" s="28">
        <f t="shared" si="0"/>
        <v>51.106666666666662</v>
      </c>
      <c r="N28" s="23">
        <v>65.430000000000007</v>
      </c>
      <c r="O28" s="23">
        <v>59.38</v>
      </c>
      <c r="P28" s="23">
        <v>52.17</v>
      </c>
      <c r="Q28" s="28">
        <f t="shared" si="1"/>
        <v>58.993333333333339</v>
      </c>
      <c r="R28" s="35">
        <v>18.72</v>
      </c>
      <c r="S28" s="35">
        <v>39.74</v>
      </c>
      <c r="T28" s="35">
        <v>35.56</v>
      </c>
      <c r="U28" s="106">
        <f t="shared" si="2"/>
        <v>31.340000000000003</v>
      </c>
      <c r="V28" s="56"/>
      <c r="W28" s="56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</row>
    <row r="29" spans="1:36">
      <c r="A29" s="94" t="s">
        <v>37</v>
      </c>
      <c r="B29" s="99">
        <v>12.449145646867372</v>
      </c>
      <c r="C29" s="99">
        <v>12.599049128367671</v>
      </c>
      <c r="D29" s="99">
        <v>7.7844311377245514</v>
      </c>
      <c r="E29" s="107">
        <f>AVERAGE(B29:D29)</f>
        <v>10.944208637653198</v>
      </c>
      <c r="F29" s="62">
        <v>23.92</v>
      </c>
      <c r="G29" s="61">
        <v>18.57</v>
      </c>
      <c r="H29" s="74">
        <v>19.059999999999999</v>
      </c>
      <c r="I29" s="109">
        <f t="shared" si="3"/>
        <v>20.516666666666666</v>
      </c>
      <c r="J29" s="22">
        <v>12.14</v>
      </c>
      <c r="K29" s="22">
        <v>16.18</v>
      </c>
      <c r="L29" s="22">
        <v>18.149999999999999</v>
      </c>
      <c r="M29" s="109">
        <f t="shared" si="0"/>
        <v>15.49</v>
      </c>
      <c r="N29" s="25">
        <v>26.43</v>
      </c>
      <c r="O29" s="25">
        <v>40.26</v>
      </c>
      <c r="P29" s="23">
        <v>21.27</v>
      </c>
      <c r="Q29" s="109">
        <f t="shared" si="1"/>
        <v>29.319999999999997</v>
      </c>
      <c r="R29" s="35">
        <v>6.95</v>
      </c>
      <c r="S29" s="35">
        <v>32.450000000000003</v>
      </c>
      <c r="T29" s="35">
        <v>31.9</v>
      </c>
      <c r="U29" s="110">
        <f t="shared" si="2"/>
        <v>23.766666666666669</v>
      </c>
      <c r="V29" s="56"/>
      <c r="W29" s="56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</row>
    <row r="30" spans="1:36">
      <c r="A30" s="53" t="s">
        <v>38</v>
      </c>
      <c r="B30" s="103" cm="1">
        <f t="array" ref="B30:D30">'Beiersdorf AG'!B39:D39</f>
        <v>19.772172497965826</v>
      </c>
      <c r="C30" s="70">
        <v>20.91917591125198</v>
      </c>
      <c r="D30" s="8">
        <v>14.146706586826346</v>
      </c>
      <c r="E30" s="105">
        <f>AVERAGE(B30:C30:D30)</f>
        <v>18.279351665348052</v>
      </c>
      <c r="F30" s="62">
        <v>16.71</v>
      </c>
      <c r="G30" s="61">
        <v>15.72</v>
      </c>
      <c r="H30" s="87">
        <v>13.68</v>
      </c>
      <c r="I30" s="27">
        <f t="shared" si="3"/>
        <v>15.37</v>
      </c>
      <c r="J30" s="22">
        <v>4.76</v>
      </c>
      <c r="K30" s="22">
        <v>11.06</v>
      </c>
      <c r="L30" s="22">
        <v>3.75</v>
      </c>
      <c r="M30" s="28">
        <f t="shared" si="0"/>
        <v>6.5233333333333334</v>
      </c>
      <c r="N30" s="38">
        <v>18.496600000000001</v>
      </c>
      <c r="O30" s="38">
        <v>12.9217</v>
      </c>
      <c r="P30" s="38">
        <v>6.3791000000000002</v>
      </c>
      <c r="Q30" s="28">
        <f>AVERAGE(N30:P30)</f>
        <v>12.599133333333334</v>
      </c>
      <c r="R30" s="35">
        <v>3.46</v>
      </c>
      <c r="S30" s="35">
        <v>17.23</v>
      </c>
      <c r="T30" s="35">
        <v>18.5</v>
      </c>
      <c r="U30" s="106">
        <f t="shared" si="2"/>
        <v>13.063333333333333</v>
      </c>
      <c r="V30" s="56"/>
      <c r="W30" s="56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</row>
    <row r="31" spans="1:36">
      <c r="A31" s="52"/>
      <c r="B31" s="70"/>
      <c r="C31" s="70"/>
      <c r="D31" s="52"/>
      <c r="E31" s="105"/>
      <c r="F31" s="61"/>
      <c r="G31" s="61"/>
      <c r="H31" s="74"/>
      <c r="I31" s="27"/>
      <c r="J31" s="22"/>
      <c r="K31" s="22"/>
      <c r="L31" s="22"/>
      <c r="M31" s="28"/>
      <c r="N31" s="23"/>
      <c r="O31" s="23"/>
      <c r="P31" s="23"/>
      <c r="Q31" s="28"/>
      <c r="R31" s="35"/>
      <c r="S31" s="35"/>
      <c r="T31" s="35"/>
      <c r="U31" s="106"/>
      <c r="V31" s="56"/>
      <c r="W31" s="56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</row>
    <row r="32" spans="1:36">
      <c r="A32" s="4" t="s">
        <v>39</v>
      </c>
      <c r="B32" s="52"/>
      <c r="C32" s="52"/>
      <c r="D32" s="52"/>
      <c r="E32" s="105"/>
      <c r="F32" s="61"/>
      <c r="G32" s="61"/>
      <c r="H32" s="61"/>
      <c r="I32" s="27"/>
      <c r="J32" s="22"/>
      <c r="K32" s="22"/>
      <c r="L32" s="22"/>
      <c r="M32" s="28"/>
      <c r="N32" s="23"/>
      <c r="O32" s="23"/>
      <c r="P32" s="23"/>
      <c r="Q32" s="28"/>
      <c r="R32" s="35"/>
      <c r="S32" s="35"/>
      <c r="T32" s="35"/>
      <c r="U32" s="106"/>
      <c r="V32" s="56"/>
      <c r="W32" s="56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</row>
    <row r="33" spans="1:36">
      <c r="A33" s="53" t="s">
        <v>40</v>
      </c>
      <c r="B33" s="71" cm="1">
        <f t="array" ref="B33:D34">'Beiersdorf AG'!B42:D43</f>
        <v>4.3914339929520194</v>
      </c>
      <c r="C33" s="71">
        <v>8.4914763589578648</v>
      </c>
      <c r="D33" s="70">
        <v>5.7307459066100668</v>
      </c>
      <c r="E33" s="105">
        <f>AVERAGE(B33:D33)</f>
        <v>6.2045520861733179</v>
      </c>
      <c r="F33" s="39">
        <v>14</v>
      </c>
      <c r="G33" s="61">
        <v>14</v>
      </c>
      <c r="H33" s="61">
        <v>14</v>
      </c>
      <c r="I33" s="27">
        <f t="shared" si="3"/>
        <v>14</v>
      </c>
      <c r="J33" s="22">
        <v>0.63</v>
      </c>
      <c r="K33" s="22">
        <v>3.23</v>
      </c>
      <c r="L33" s="22">
        <v>1.26</v>
      </c>
      <c r="M33" s="28">
        <f t="shared" si="0"/>
        <v>1.7066666666666668</v>
      </c>
      <c r="N33" s="23">
        <v>9.2279999999999998</v>
      </c>
      <c r="O33" s="33">
        <v>7.0250000000000004</v>
      </c>
      <c r="P33" s="33">
        <v>2.605</v>
      </c>
      <c r="Q33" s="28">
        <f t="shared" si="1"/>
        <v>6.2860000000000005</v>
      </c>
      <c r="R33" s="35">
        <v>5.49</v>
      </c>
      <c r="S33" s="35">
        <v>6.24</v>
      </c>
      <c r="T33" s="35">
        <v>6.73</v>
      </c>
      <c r="U33" s="106">
        <f t="shared" si="2"/>
        <v>6.1533333333333333</v>
      </c>
      <c r="V33" s="56"/>
      <c r="W33" s="56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</row>
    <row r="34" spans="1:36">
      <c r="A34" s="94" t="s">
        <v>41</v>
      </c>
      <c r="B34" s="71">
        <v>9.2430581970330916</v>
      </c>
      <c r="C34" s="71">
        <v>9.6526508226691039</v>
      </c>
      <c r="D34" s="71">
        <v>6.8354430379746836</v>
      </c>
      <c r="E34" s="107">
        <f>AVERAGE(B34:C34:D34)</f>
        <v>8.5770506858922939</v>
      </c>
      <c r="F34" s="39">
        <v>17</v>
      </c>
      <c r="G34" s="61">
        <v>19</v>
      </c>
      <c r="H34" s="61">
        <v>18</v>
      </c>
      <c r="I34" s="108">
        <f t="shared" si="3"/>
        <v>18</v>
      </c>
      <c r="J34" s="22">
        <v>6.18</v>
      </c>
      <c r="K34" s="22">
        <v>4.82</v>
      </c>
      <c r="L34" s="22">
        <v>1.78</v>
      </c>
      <c r="M34" s="109">
        <f t="shared" si="0"/>
        <v>4.26</v>
      </c>
      <c r="N34" s="23">
        <v>13.542999999999999</v>
      </c>
      <c r="O34" s="33">
        <v>7.1159999999999997</v>
      </c>
      <c r="P34" s="33">
        <v>3.3370000000000002</v>
      </c>
      <c r="Q34" s="109">
        <f t="shared" si="1"/>
        <v>7.9986666666666659</v>
      </c>
      <c r="R34" s="35">
        <v>11.67</v>
      </c>
      <c r="S34" s="35">
        <v>13.48</v>
      </c>
      <c r="T34" s="35">
        <v>14.22</v>
      </c>
      <c r="U34" s="110">
        <f t="shared" si="2"/>
        <v>13.123333333333333</v>
      </c>
      <c r="V34" s="56"/>
      <c r="W34" s="56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</row>
    <row r="35" spans="1:36">
      <c r="A35" s="53"/>
      <c r="B35" s="52"/>
      <c r="C35" s="52"/>
      <c r="D35" s="52"/>
      <c r="E35" s="105"/>
      <c r="F35" s="52"/>
      <c r="G35" s="52"/>
      <c r="H35" s="52"/>
      <c r="I35" s="27"/>
      <c r="J35" s="22"/>
      <c r="K35" s="22"/>
      <c r="L35" s="22"/>
      <c r="M35" s="28"/>
      <c r="N35" s="23"/>
      <c r="O35" s="23"/>
      <c r="P35" s="23"/>
      <c r="Q35" s="28"/>
      <c r="R35" s="35"/>
      <c r="S35" s="35"/>
      <c r="T35" s="35"/>
      <c r="U35" s="106"/>
      <c r="V35" s="56"/>
      <c r="W35" s="56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</row>
    <row r="36" spans="1:36">
      <c r="A36" s="2" t="s">
        <v>42</v>
      </c>
      <c r="B36" s="52"/>
      <c r="C36" s="52"/>
      <c r="D36" s="52"/>
      <c r="E36" s="105"/>
      <c r="F36" s="52"/>
      <c r="G36" s="52"/>
      <c r="H36" s="52"/>
      <c r="I36" s="27"/>
      <c r="J36" s="22"/>
      <c r="K36" s="22"/>
      <c r="L36" s="22"/>
      <c r="M36" s="28"/>
      <c r="N36" s="23"/>
      <c r="O36" s="23"/>
      <c r="P36" s="23"/>
      <c r="Q36" s="28"/>
      <c r="R36" s="35"/>
      <c r="S36" s="35"/>
      <c r="T36" s="35"/>
      <c r="U36" s="106"/>
      <c r="V36" s="56"/>
      <c r="W36" s="56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</row>
    <row r="37" spans="1:36">
      <c r="A37" s="53" t="s">
        <v>43</v>
      </c>
      <c r="B37" s="71" cm="1">
        <f t="array" ref="B37:D38">'Beiersdorf AG'!B46:D47</f>
        <v>589731.28598848369</v>
      </c>
      <c r="C37" s="71">
        <v>573375.73830077238</v>
      </c>
      <c r="D37" s="104">
        <v>583916.08391608391</v>
      </c>
      <c r="E37" s="105">
        <f>AVERAGE(B37:D37)</f>
        <v>582341.03606844658</v>
      </c>
      <c r="F37" s="61">
        <v>91400.33</v>
      </c>
      <c r="G37" s="61">
        <v>101129.19</v>
      </c>
      <c r="H37" s="61">
        <v>96136.8</v>
      </c>
      <c r="I37" s="28">
        <f t="shared" si="3"/>
        <v>96222.106666666674</v>
      </c>
      <c r="J37" s="91">
        <v>419486</v>
      </c>
      <c r="K37" s="77">
        <v>931079</v>
      </c>
      <c r="L37" s="78" t="s">
        <v>44</v>
      </c>
      <c r="M37" s="28">
        <f t="shared" si="0"/>
        <v>675282.5</v>
      </c>
      <c r="N37" s="32" t="s">
        <v>45</v>
      </c>
      <c r="O37" s="59" t="s">
        <v>45</v>
      </c>
      <c r="P37" s="24">
        <v>629553.68420000002</v>
      </c>
      <c r="Q37" s="28">
        <f t="shared" si="1"/>
        <v>629553.68420000002</v>
      </c>
      <c r="R37" s="73">
        <v>164293.16</v>
      </c>
      <c r="S37" s="73">
        <v>47370.02</v>
      </c>
      <c r="T37" s="73">
        <v>42723.12</v>
      </c>
      <c r="U37" s="106">
        <f>AVERAGE(R37:T37)</f>
        <v>84795.433333333334</v>
      </c>
      <c r="V37" s="56"/>
      <c r="W37" s="56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</row>
    <row r="38" spans="1:36">
      <c r="A38" s="53" t="s">
        <v>46</v>
      </c>
      <c r="B38" s="71">
        <v>132.5</v>
      </c>
      <c r="C38" s="71">
        <v>566</v>
      </c>
      <c r="D38" s="71">
        <v>402</v>
      </c>
      <c r="E38" s="105">
        <f t="shared" ref="E38:E42" si="4">AVERAGE(B38:D38)</f>
        <v>366.83333333333331</v>
      </c>
      <c r="F38" s="61">
        <v>1.89</v>
      </c>
      <c r="G38" s="61">
        <v>1.88</v>
      </c>
      <c r="H38" s="61">
        <v>1.81</v>
      </c>
      <c r="I38" s="28">
        <f t="shared" si="3"/>
        <v>1.86</v>
      </c>
      <c r="J38" s="22">
        <v>0.97</v>
      </c>
      <c r="K38" s="22">
        <v>2.9</v>
      </c>
      <c r="L38" s="22">
        <v>3.3</v>
      </c>
      <c r="M38" s="28">
        <f t="shared" si="0"/>
        <v>2.39</v>
      </c>
      <c r="N38" s="33">
        <v>1.8180000000000001</v>
      </c>
      <c r="O38" s="33">
        <v>2.7280000000000002</v>
      </c>
      <c r="P38" s="33">
        <v>2.5219999999999998</v>
      </c>
      <c r="Q38" s="28">
        <f t="shared" si="1"/>
        <v>2.3559999999999999</v>
      </c>
      <c r="R38" s="35">
        <v>5.9</v>
      </c>
      <c r="S38" s="35">
        <v>1.01</v>
      </c>
      <c r="T38" s="35">
        <v>1.33</v>
      </c>
      <c r="U38" s="106">
        <f t="shared" si="2"/>
        <v>2.7466666666666666</v>
      </c>
      <c r="V38" s="56"/>
      <c r="W38" s="56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</row>
    <row r="39" spans="1:36">
      <c r="A39" s="94" t="s">
        <v>47</v>
      </c>
      <c r="B39" s="8">
        <v>11.55</v>
      </c>
      <c r="C39" s="8">
        <v>11.72</v>
      </c>
      <c r="D39" s="8">
        <v>6.21</v>
      </c>
      <c r="E39" s="107">
        <f t="shared" si="4"/>
        <v>9.826666666666668</v>
      </c>
      <c r="F39" s="62">
        <v>18.510000000000002</v>
      </c>
      <c r="G39" s="61">
        <v>15.48</v>
      </c>
      <c r="H39" s="74">
        <v>12.92</v>
      </c>
      <c r="I39" s="109">
        <f t="shared" si="3"/>
        <v>15.636666666666668</v>
      </c>
      <c r="J39" s="22">
        <v>6.86</v>
      </c>
      <c r="K39" s="22">
        <v>12.98</v>
      </c>
      <c r="L39" s="85">
        <v>18.16</v>
      </c>
      <c r="M39" s="109">
        <f t="shared" si="0"/>
        <v>12.666666666666666</v>
      </c>
      <c r="N39" s="33">
        <v>29.468</v>
      </c>
      <c r="O39" s="33">
        <v>22.472000000000001</v>
      </c>
      <c r="P39" s="23">
        <v>11.163</v>
      </c>
      <c r="Q39" s="109">
        <f t="shared" si="1"/>
        <v>21.034333333333333</v>
      </c>
      <c r="R39" s="35">
        <v>4.4800000000000004</v>
      </c>
      <c r="S39" s="35">
        <v>12.07</v>
      </c>
      <c r="T39" s="35">
        <v>9.82</v>
      </c>
      <c r="U39" s="110">
        <f t="shared" si="2"/>
        <v>8.7900000000000009</v>
      </c>
      <c r="V39" s="56"/>
      <c r="W39" s="56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</row>
    <row r="40" spans="1:36" s="50" customFormat="1">
      <c r="A40" s="80"/>
      <c r="C40" s="71"/>
      <c r="D40" s="52"/>
      <c r="E40" s="105"/>
      <c r="F40" s="95"/>
      <c r="G40" s="39"/>
      <c r="H40" s="87"/>
      <c r="I40" s="27"/>
      <c r="J40" s="85"/>
      <c r="K40" s="85"/>
      <c r="L40" s="85"/>
      <c r="M40" s="28"/>
      <c r="N40" s="96"/>
      <c r="O40" s="96"/>
      <c r="P40" s="97"/>
      <c r="Q40" s="28"/>
      <c r="R40" s="73"/>
      <c r="S40" s="73"/>
      <c r="T40" s="73"/>
      <c r="U40" s="106"/>
      <c r="V40" s="98"/>
      <c r="W40" s="98"/>
    </row>
    <row r="41" spans="1:36">
      <c r="A41" s="2" t="s">
        <v>48</v>
      </c>
      <c r="B41" s="70"/>
      <c r="C41" s="70"/>
      <c r="D41" s="71"/>
      <c r="E41" s="105"/>
      <c r="F41" s="61"/>
      <c r="G41" s="61"/>
      <c r="H41" s="61"/>
      <c r="I41" s="27"/>
      <c r="J41" s="22"/>
      <c r="K41" s="22"/>
      <c r="L41" s="22"/>
      <c r="M41" s="28"/>
      <c r="N41" s="8"/>
      <c r="O41" s="8"/>
      <c r="P41" s="52"/>
      <c r="Q41" s="28"/>
      <c r="R41" s="56"/>
      <c r="S41" s="56"/>
      <c r="T41" s="56"/>
      <c r="U41" s="106"/>
      <c r="V41" s="56"/>
      <c r="W41" s="56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</row>
    <row r="42" spans="1:36">
      <c r="A42" s="94" t="s">
        <v>49</v>
      </c>
      <c r="B42" s="34" cm="1">
        <f t="array" ref="B42:D42">'Beiersdorf AG'!B50:D50</f>
        <v>0.22210174392337581</v>
      </c>
      <c r="C42" s="34">
        <v>0.4059183017047282</v>
      </c>
      <c r="D42" s="34">
        <v>0.40509399636143117</v>
      </c>
      <c r="E42" s="107">
        <f t="shared" si="4"/>
        <v>0.34437134732984509</v>
      </c>
      <c r="F42" s="61">
        <v>1.0900000000000001</v>
      </c>
      <c r="G42" s="61">
        <v>1.01</v>
      </c>
      <c r="H42" s="61">
        <v>1.1100000000000001</v>
      </c>
      <c r="I42" s="108">
        <f t="shared" si="3"/>
        <v>1.07</v>
      </c>
      <c r="J42" s="22">
        <v>0.13</v>
      </c>
      <c r="K42" s="22">
        <v>0.28999999999999998</v>
      </c>
      <c r="L42" s="22">
        <v>0.34</v>
      </c>
      <c r="M42" s="109">
        <f t="shared" si="0"/>
        <v>0.25333333333333335</v>
      </c>
      <c r="N42" s="23">
        <v>0.499</v>
      </c>
      <c r="O42" s="23">
        <v>0.54400000000000004</v>
      </c>
      <c r="P42" s="23">
        <v>0.40799999999999997</v>
      </c>
      <c r="Q42" s="109">
        <f t="shared" si="1"/>
        <v>0.48366666666666669</v>
      </c>
      <c r="R42" s="35">
        <v>1.59</v>
      </c>
      <c r="S42" s="35">
        <v>0.36</v>
      </c>
      <c r="T42" s="35">
        <v>0.36</v>
      </c>
      <c r="U42" s="110">
        <f t="shared" si="2"/>
        <v>0.77</v>
      </c>
      <c r="V42" s="56"/>
      <c r="W42" s="56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</row>
    <row r="43" spans="1:36">
      <c r="A43" s="53"/>
      <c r="B43" s="52"/>
      <c r="C43" s="52"/>
      <c r="D43" s="52"/>
      <c r="F43" s="52"/>
      <c r="G43" s="52"/>
      <c r="H43" s="52"/>
      <c r="J43" s="52"/>
      <c r="K43" s="52"/>
      <c r="L43" s="52"/>
      <c r="N43" s="52"/>
      <c r="O43" s="52"/>
      <c r="P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</row>
    <row r="44" spans="1:36">
      <c r="A44" s="53"/>
      <c r="B44" s="52"/>
      <c r="C44" s="52"/>
      <c r="D44" s="52"/>
      <c r="F44" s="52"/>
      <c r="G44" s="52"/>
      <c r="H44" s="52"/>
      <c r="J44" s="52"/>
      <c r="K44" s="52"/>
      <c r="L44" s="52"/>
      <c r="N44" s="52"/>
      <c r="O44" s="52"/>
      <c r="P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</row>
    <row r="45" spans="1:36" ht="18.75">
      <c r="A45" s="88" t="s">
        <v>50</v>
      </c>
      <c r="B45" s="52"/>
      <c r="C45" s="52"/>
      <c r="D45" s="52"/>
      <c r="F45" s="52"/>
      <c r="G45" s="52"/>
      <c r="H45" s="52"/>
      <c r="J45" s="52"/>
      <c r="K45" s="52"/>
      <c r="L45" s="52"/>
      <c r="N45" s="52"/>
      <c r="O45" s="52"/>
      <c r="P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</row>
    <row r="46" spans="1:36">
      <c r="A46" s="52"/>
      <c r="B46" s="117"/>
      <c r="C46" s="118"/>
      <c r="D46" s="52"/>
      <c r="F46" s="52"/>
      <c r="G46" s="52"/>
      <c r="H46" s="52"/>
      <c r="J46" s="52"/>
      <c r="K46" s="52"/>
      <c r="L46" s="52"/>
      <c r="N46" s="52"/>
      <c r="O46" s="52"/>
      <c r="P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</row>
    <row r="47" spans="1:36" s="52" customFormat="1">
      <c r="A47" s="53" t="s">
        <v>51</v>
      </c>
      <c r="B47" s="14" t="s">
        <v>20</v>
      </c>
      <c r="C47" s="141" t="s">
        <v>52</v>
      </c>
      <c r="D47" s="141"/>
      <c r="E47" s="137" t="s">
        <v>53</v>
      </c>
      <c r="F47" s="137"/>
      <c r="G47" s="139" t="s">
        <v>54</v>
      </c>
      <c r="H47" s="139"/>
      <c r="I47" s="149" t="s">
        <v>55</v>
      </c>
      <c r="J47" s="149"/>
      <c r="K47" s="113"/>
      <c r="L47" s="113"/>
      <c r="M47" s="113"/>
    </row>
    <row r="48" spans="1:36">
      <c r="A48" s="52"/>
      <c r="B48" s="52"/>
      <c r="C48" s="52"/>
      <c r="D48" s="52"/>
      <c r="F48" s="52"/>
      <c r="G48" s="52"/>
      <c r="H48" s="52"/>
      <c r="J48" s="52"/>
      <c r="K48" s="52"/>
      <c r="L48" s="52"/>
      <c r="N48" s="52"/>
      <c r="O48" s="52"/>
      <c r="P48" s="52"/>
      <c r="R48" s="121"/>
      <c r="S48" s="121"/>
      <c r="T48" s="53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</row>
    <row r="49" spans="1:36">
      <c r="A49" s="111" t="s">
        <v>56</v>
      </c>
      <c r="B49" s="112" t="s">
        <v>57</v>
      </c>
      <c r="C49" s="142" t="s">
        <v>58</v>
      </c>
      <c r="D49" s="142"/>
      <c r="E49" s="138" t="s">
        <v>59</v>
      </c>
      <c r="F49" s="138"/>
      <c r="G49" s="150" t="s">
        <v>60</v>
      </c>
      <c r="H49" s="150"/>
      <c r="I49" s="158" t="s">
        <v>61</v>
      </c>
      <c r="J49" s="158"/>
      <c r="K49" s="52"/>
      <c r="L49" s="52"/>
      <c r="N49" s="52"/>
      <c r="O49" s="52"/>
      <c r="P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</row>
    <row r="50" spans="1:36">
      <c r="A50" s="52"/>
      <c r="B50" s="52"/>
      <c r="C50" s="134"/>
      <c r="D50" s="134"/>
      <c r="E50" s="134"/>
      <c r="F50" s="134"/>
      <c r="G50" s="134"/>
      <c r="H50" s="134"/>
      <c r="I50" s="134"/>
      <c r="J50" s="134"/>
      <c r="K50" s="52"/>
      <c r="L50" s="52"/>
      <c r="N50" s="52"/>
      <c r="O50" s="52"/>
      <c r="P50" s="52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52"/>
      <c r="AD50" s="52"/>
      <c r="AE50" s="52"/>
      <c r="AF50" s="52"/>
      <c r="AG50" s="52"/>
      <c r="AH50" s="52"/>
      <c r="AI50" s="52"/>
      <c r="AJ50" s="52"/>
    </row>
    <row r="51" spans="1:36">
      <c r="A51" s="53" t="s">
        <v>62</v>
      </c>
      <c r="B51" s="52"/>
      <c r="C51" s="134"/>
      <c r="D51" s="134"/>
      <c r="E51" s="134"/>
      <c r="F51" s="134"/>
      <c r="G51" s="134"/>
      <c r="H51" s="134"/>
      <c r="I51" s="134"/>
      <c r="J51" s="134"/>
      <c r="K51" s="52"/>
      <c r="L51" s="52"/>
      <c r="N51" s="52"/>
      <c r="O51" s="52"/>
      <c r="P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</row>
    <row r="52" spans="1:36">
      <c r="A52" s="52" t="s">
        <v>63</v>
      </c>
      <c r="B52" s="126" t="s">
        <v>64</v>
      </c>
      <c r="C52" s="143" t="s">
        <v>64</v>
      </c>
      <c r="D52" s="143"/>
      <c r="E52" s="153" t="s">
        <v>65</v>
      </c>
      <c r="F52" s="153"/>
      <c r="G52" s="136" t="s">
        <v>64</v>
      </c>
      <c r="H52" s="136"/>
      <c r="I52" s="158" t="s">
        <v>64</v>
      </c>
      <c r="J52" s="158"/>
      <c r="K52" s="52"/>
      <c r="L52" s="52"/>
      <c r="N52" s="52"/>
      <c r="O52" s="52"/>
      <c r="P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</row>
    <row r="53" spans="1:36" ht="16.5" customHeight="1">
      <c r="A53" s="131" t="s">
        <v>66</v>
      </c>
      <c r="B53" s="133" t="s">
        <v>64</v>
      </c>
      <c r="C53" s="132" t="s">
        <v>65</v>
      </c>
      <c r="D53" s="132"/>
      <c r="E53" s="154"/>
      <c r="F53" s="154"/>
      <c r="G53" s="152" t="s">
        <v>67</v>
      </c>
      <c r="H53" s="152"/>
      <c r="I53" s="157" t="s">
        <v>67</v>
      </c>
      <c r="J53" s="157"/>
      <c r="K53" s="116"/>
      <c r="L53" s="52"/>
      <c r="N53" s="52"/>
      <c r="O53" s="52"/>
      <c r="P53" s="52"/>
      <c r="R53" s="58"/>
      <c r="S53" s="58"/>
      <c r="T53" s="101"/>
      <c r="U53" s="101"/>
      <c r="V53" s="101"/>
      <c r="W53" s="123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</row>
    <row r="54" spans="1:36">
      <c r="A54" s="131"/>
      <c r="B54" s="133"/>
      <c r="C54" s="132"/>
      <c r="D54" s="132"/>
      <c r="E54" s="154"/>
      <c r="F54" s="154"/>
      <c r="G54" s="152"/>
      <c r="H54" s="152"/>
      <c r="I54" s="157"/>
      <c r="J54" s="157"/>
      <c r="K54" s="116"/>
      <c r="L54" s="52"/>
      <c r="N54" s="52"/>
      <c r="O54" s="52"/>
      <c r="P54" s="52"/>
      <c r="R54" s="52"/>
      <c r="S54" s="52"/>
      <c r="T54" s="101"/>
      <c r="U54" s="101"/>
      <c r="V54" s="101"/>
      <c r="W54" s="123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</row>
    <row r="55" spans="1:36" s="52" customFormat="1">
      <c r="A55" s="131"/>
      <c r="B55" s="133"/>
      <c r="C55" s="132"/>
      <c r="D55" s="132"/>
      <c r="E55" s="154"/>
      <c r="F55" s="154"/>
      <c r="G55" s="152"/>
      <c r="H55" s="152"/>
      <c r="I55" s="157"/>
      <c r="J55" s="157"/>
      <c r="K55" s="116"/>
      <c r="T55" s="101"/>
      <c r="U55" s="101"/>
      <c r="V55" s="101"/>
      <c r="W55" s="123"/>
    </row>
    <row r="56" spans="1:36" s="52" customFormat="1">
      <c r="A56" s="131"/>
      <c r="B56" s="133"/>
      <c r="C56" s="132"/>
      <c r="D56" s="132"/>
      <c r="E56" s="154"/>
      <c r="F56" s="154"/>
      <c r="G56" s="152"/>
      <c r="H56" s="152"/>
      <c r="I56" s="157"/>
      <c r="J56" s="157"/>
      <c r="K56" s="116"/>
      <c r="T56" s="101"/>
      <c r="U56" s="101"/>
      <c r="V56" s="101"/>
      <c r="W56" s="123"/>
    </row>
    <row r="57" spans="1:36" s="52" customFormat="1">
      <c r="A57" s="131"/>
      <c r="B57" s="133"/>
      <c r="C57" s="132"/>
      <c r="D57" s="132"/>
      <c r="E57" s="154"/>
      <c r="F57" s="154"/>
      <c r="G57" s="152"/>
      <c r="H57" s="152"/>
      <c r="I57" s="157"/>
      <c r="J57" s="157"/>
      <c r="K57" s="116"/>
      <c r="T57" s="101"/>
      <c r="U57" s="101"/>
      <c r="V57" s="101"/>
      <c r="W57" s="123"/>
    </row>
    <row r="58" spans="1:36">
      <c r="A58" s="135" t="s">
        <v>68</v>
      </c>
      <c r="B58" s="133" t="s">
        <v>69</v>
      </c>
      <c r="C58" s="132" t="s">
        <v>70</v>
      </c>
      <c r="D58" s="132"/>
      <c r="E58" s="154"/>
      <c r="F58" s="154"/>
      <c r="G58" s="151" t="s">
        <v>67</v>
      </c>
      <c r="H58" s="151"/>
      <c r="I58" s="156" t="s">
        <v>71</v>
      </c>
      <c r="J58" s="156"/>
      <c r="K58" s="52"/>
      <c r="L58" s="52"/>
      <c r="N58" s="52"/>
      <c r="O58" s="52"/>
      <c r="P58" s="52"/>
      <c r="R58" s="52"/>
      <c r="S58" s="52"/>
      <c r="T58" s="101"/>
      <c r="U58" s="101"/>
      <c r="V58" s="101"/>
      <c r="W58" s="123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</row>
    <row r="59" spans="1:36">
      <c r="A59" s="135"/>
      <c r="B59" s="133"/>
      <c r="C59" s="132"/>
      <c r="D59" s="132"/>
      <c r="E59" s="154"/>
      <c r="F59" s="154"/>
      <c r="G59" s="151"/>
      <c r="H59" s="151"/>
      <c r="I59" s="156"/>
      <c r="J59" s="156"/>
      <c r="K59" s="52"/>
      <c r="L59" s="52"/>
      <c r="N59" s="52"/>
      <c r="O59" s="52"/>
      <c r="P59" s="52"/>
      <c r="R59" s="52"/>
      <c r="S59" s="52"/>
      <c r="T59" s="101"/>
      <c r="U59" s="101"/>
      <c r="V59" s="101"/>
      <c r="W59" s="123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</row>
    <row r="60" spans="1:36">
      <c r="A60" s="64" t="s">
        <v>72</v>
      </c>
      <c r="B60" s="140" t="s">
        <v>73</v>
      </c>
      <c r="C60" s="132" t="s">
        <v>74</v>
      </c>
      <c r="D60" s="132"/>
      <c r="E60" s="155" t="s">
        <v>75</v>
      </c>
      <c r="F60" s="155"/>
      <c r="G60" s="152" t="s">
        <v>76</v>
      </c>
      <c r="H60" s="152"/>
      <c r="I60" s="157" t="s">
        <v>77</v>
      </c>
      <c r="J60" s="157"/>
      <c r="K60" s="52"/>
      <c r="L60" s="52"/>
      <c r="N60" s="52"/>
      <c r="O60" s="52"/>
      <c r="P60" s="52"/>
      <c r="R60" s="52"/>
      <c r="S60" s="52"/>
      <c r="T60" s="123"/>
      <c r="U60" s="123"/>
      <c r="V60" s="123"/>
      <c r="W60" s="123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</row>
    <row r="61" spans="1:36">
      <c r="A61" s="4"/>
      <c r="B61" s="140"/>
      <c r="C61" s="132"/>
      <c r="D61" s="132"/>
      <c r="E61" s="155"/>
      <c r="F61" s="155"/>
      <c r="G61" s="152"/>
      <c r="H61" s="152"/>
      <c r="I61" s="157"/>
      <c r="J61" s="157"/>
      <c r="K61" s="52"/>
      <c r="L61" s="52"/>
      <c r="N61" s="52"/>
      <c r="O61" s="52"/>
      <c r="P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</row>
    <row r="62" spans="1:36" s="52" customFormat="1">
      <c r="B62" s="140"/>
      <c r="C62" s="132"/>
      <c r="D62" s="132"/>
      <c r="E62" s="155"/>
      <c r="F62" s="155"/>
      <c r="G62" s="152"/>
      <c r="H62" s="152"/>
      <c r="I62" s="157"/>
      <c r="J62" s="157"/>
    </row>
    <row r="63" spans="1:36" s="52" customFormat="1">
      <c r="A63" s="4"/>
      <c r="C63" s="101"/>
      <c r="D63" s="101"/>
      <c r="E63" s="101"/>
      <c r="F63" s="101"/>
    </row>
    <row r="64" spans="1:36">
      <c r="A64" s="52"/>
      <c r="B64" s="127"/>
      <c r="C64" s="57"/>
      <c r="D64" s="101"/>
      <c r="E64" s="101"/>
      <c r="F64" s="101"/>
      <c r="G64" s="52"/>
      <c r="H64" s="52"/>
      <c r="J64" s="52"/>
      <c r="K64" s="52"/>
      <c r="L64" s="52"/>
      <c r="N64" s="52"/>
      <c r="O64" s="52"/>
      <c r="P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</row>
    <row r="65" spans="1:36">
      <c r="A65" s="127" t="s">
        <v>78</v>
      </c>
      <c r="B65" s="116"/>
      <c r="C65" s="116"/>
      <c r="D65" s="57"/>
      <c r="E65" s="57"/>
      <c r="F65" s="57"/>
      <c r="G65" s="52"/>
      <c r="H65" s="52"/>
      <c r="J65" s="52"/>
      <c r="K65" s="52"/>
      <c r="L65" s="52"/>
      <c r="N65" s="52"/>
      <c r="O65" s="52"/>
      <c r="P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</row>
    <row r="66" spans="1:36">
      <c r="A66" s="116" t="s">
        <v>79</v>
      </c>
      <c r="B66" s="52"/>
      <c r="C66" s="52"/>
      <c r="D66" s="116"/>
      <c r="E66" s="116"/>
      <c r="F66" s="116"/>
      <c r="G66" s="116"/>
      <c r="H66" s="116"/>
      <c r="I66" s="116"/>
      <c r="J66" s="116"/>
      <c r="K66" s="116"/>
      <c r="L66" s="52"/>
      <c r="N66" s="52"/>
      <c r="O66" s="52"/>
      <c r="P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</row>
    <row r="67" spans="1:36">
      <c r="A67" s="52"/>
      <c r="B67" s="127"/>
      <c r="C67" s="52"/>
      <c r="D67" s="52"/>
      <c r="F67" s="52"/>
      <c r="G67" s="52"/>
      <c r="H67" s="52"/>
      <c r="J67" s="52"/>
      <c r="K67" s="52"/>
      <c r="L67" s="52"/>
      <c r="N67" s="52"/>
      <c r="O67" s="52"/>
      <c r="P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</row>
    <row r="68" spans="1:36">
      <c r="A68" s="127" t="s">
        <v>80</v>
      </c>
      <c r="B68" s="116"/>
      <c r="C68" s="52"/>
      <c r="D68" s="52"/>
      <c r="F68" s="52"/>
      <c r="G68" s="52"/>
      <c r="H68" s="52"/>
      <c r="J68" s="52"/>
      <c r="K68" s="52"/>
      <c r="L68" s="52"/>
      <c r="N68" s="52"/>
      <c r="O68" s="52"/>
      <c r="P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</row>
    <row r="69" spans="1:36">
      <c r="A69" s="116" t="s">
        <v>81</v>
      </c>
      <c r="B69" s="52"/>
      <c r="C69" s="52"/>
      <c r="D69" s="52"/>
      <c r="F69" s="52"/>
      <c r="G69" s="52"/>
      <c r="H69" s="52"/>
      <c r="J69" s="52"/>
      <c r="K69" s="52"/>
      <c r="L69" s="52"/>
      <c r="N69" s="52"/>
      <c r="O69" s="52"/>
      <c r="P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</row>
    <row r="70" spans="1:36">
      <c r="A70" s="52"/>
      <c r="B70" s="52"/>
      <c r="C70" s="52"/>
      <c r="D70" s="52"/>
      <c r="F70" s="52"/>
      <c r="G70" s="52"/>
      <c r="H70" s="52"/>
      <c r="J70" s="52"/>
      <c r="K70" s="52"/>
      <c r="L70" s="52"/>
      <c r="N70" s="52"/>
      <c r="O70" s="52"/>
      <c r="P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</row>
    <row r="71" spans="1:36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52"/>
      <c r="L71" s="52"/>
      <c r="N71" s="52"/>
      <c r="O71" s="52"/>
      <c r="P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</row>
    <row r="72" spans="1:36">
      <c r="A72" s="52"/>
      <c r="B72" s="52"/>
      <c r="C72" s="52"/>
      <c r="D72" s="52"/>
      <c r="F72" s="52"/>
      <c r="G72" s="52"/>
      <c r="H72" s="52"/>
      <c r="J72" s="52"/>
      <c r="K72" s="52"/>
      <c r="L72" s="52"/>
      <c r="N72" s="52"/>
      <c r="O72" s="52"/>
      <c r="P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</row>
    <row r="73" spans="1:36">
      <c r="A73" s="52"/>
      <c r="B73" s="52"/>
      <c r="C73" s="52"/>
      <c r="D73" s="52"/>
      <c r="F73" s="52"/>
      <c r="G73" s="52"/>
      <c r="H73" s="52"/>
      <c r="J73" s="52"/>
      <c r="K73" s="52"/>
      <c r="L73" s="52"/>
      <c r="N73" s="52"/>
      <c r="O73" s="52"/>
      <c r="P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</row>
    <row r="74" spans="1:36">
      <c r="A74" s="52"/>
      <c r="B74" s="52"/>
      <c r="C74" s="52"/>
      <c r="D74" s="52"/>
      <c r="F74" s="52"/>
      <c r="G74" s="52"/>
      <c r="H74" s="52"/>
      <c r="J74" s="52"/>
      <c r="K74" s="52"/>
      <c r="L74" s="52"/>
      <c r="N74" s="52"/>
      <c r="O74" s="52"/>
      <c r="P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</row>
    <row r="75" spans="1:36">
      <c r="A75" s="52"/>
      <c r="B75" s="52"/>
      <c r="C75" s="52"/>
      <c r="D75" s="52"/>
      <c r="F75" s="52"/>
      <c r="G75" s="52"/>
      <c r="H75" s="52"/>
      <c r="J75" s="52"/>
      <c r="K75" s="52"/>
      <c r="L75" s="52"/>
      <c r="N75" s="52"/>
      <c r="O75" s="52"/>
      <c r="P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</row>
    <row r="76" spans="1:36">
      <c r="A76" s="52"/>
      <c r="B76" s="52"/>
      <c r="C76" s="52"/>
      <c r="D76" s="52"/>
      <c r="F76" s="52"/>
      <c r="G76" s="52"/>
      <c r="H76" s="52"/>
      <c r="J76" s="52"/>
      <c r="K76" s="52"/>
      <c r="L76" s="52"/>
      <c r="N76" s="52"/>
      <c r="O76" s="52"/>
      <c r="P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</row>
  </sheetData>
  <mergeCells count="56">
    <mergeCell ref="I58:J59"/>
    <mergeCell ref="I60:J62"/>
    <mergeCell ref="I47:J47"/>
    <mergeCell ref="I49:J49"/>
    <mergeCell ref="I50:J50"/>
    <mergeCell ref="I51:J51"/>
    <mergeCell ref="I52:J52"/>
    <mergeCell ref="I53:J57"/>
    <mergeCell ref="C60:D62"/>
    <mergeCell ref="G49:H49"/>
    <mergeCell ref="G52:H52"/>
    <mergeCell ref="G58:H59"/>
    <mergeCell ref="G50:H50"/>
    <mergeCell ref="G51:H51"/>
    <mergeCell ref="G53:H57"/>
    <mergeCell ref="E50:F50"/>
    <mergeCell ref="E51:F51"/>
    <mergeCell ref="C50:D50"/>
    <mergeCell ref="C51:D51"/>
    <mergeCell ref="G60:H62"/>
    <mergeCell ref="E52:F52"/>
    <mergeCell ref="E58:F59"/>
    <mergeCell ref="E60:F62"/>
    <mergeCell ref="E53:F57"/>
    <mergeCell ref="A1:X1"/>
    <mergeCell ref="A2:Y2"/>
    <mergeCell ref="A13:S13"/>
    <mergeCell ref="B15:D15"/>
    <mergeCell ref="F15:H15"/>
    <mergeCell ref="J15:L15"/>
    <mergeCell ref="N15:P15"/>
    <mergeCell ref="R15:T15"/>
    <mergeCell ref="AC15:AG15"/>
    <mergeCell ref="AH16:AJ16"/>
    <mergeCell ref="AH15:AJ15"/>
    <mergeCell ref="W17:X17"/>
    <mergeCell ref="Y17:Z17"/>
    <mergeCell ref="AA17:AB17"/>
    <mergeCell ref="Y16:AB16"/>
    <mergeCell ref="AC16:AE16"/>
    <mergeCell ref="A71:J71"/>
    <mergeCell ref="A53:A57"/>
    <mergeCell ref="C53:D57"/>
    <mergeCell ref="B53:B57"/>
    <mergeCell ref="AF16:AG16"/>
    <mergeCell ref="A58:A59"/>
    <mergeCell ref="O17:P17"/>
    <mergeCell ref="B58:B59"/>
    <mergeCell ref="E47:F47"/>
    <mergeCell ref="E49:F49"/>
    <mergeCell ref="G47:H47"/>
    <mergeCell ref="B60:B62"/>
    <mergeCell ref="C47:D47"/>
    <mergeCell ref="C49:D49"/>
    <mergeCell ref="C52:D52"/>
    <mergeCell ref="C58:D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2567-D89A-4553-844F-5FB3F9025B7E}">
  <dimension ref="A1:P43"/>
  <sheetViews>
    <sheetView workbookViewId="0">
      <selection activeCell="D10" sqref="D10:E10"/>
    </sheetView>
  </sheetViews>
  <sheetFormatPr defaultColWidth="8.85546875" defaultRowHeight="15"/>
  <cols>
    <col min="1" max="1" width="9.140625" style="52"/>
    <col min="3" max="3" width="12" customWidth="1"/>
  </cols>
  <sheetData>
    <row r="1" spans="1:15" s="52" customFormat="1">
      <c r="A1" s="163" t="s">
        <v>82</v>
      </c>
      <c r="B1" s="163"/>
      <c r="C1" s="163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5" s="52" customFormat="1">
      <c r="A2" s="164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15" s="52" customFormat="1">
      <c r="A3" s="165" t="s">
        <v>19</v>
      </c>
      <c r="B3" s="165"/>
      <c r="C3" s="165"/>
      <c r="D3" s="160" t="s">
        <v>83</v>
      </c>
      <c r="E3" s="160"/>
      <c r="F3" s="143" t="s">
        <v>52</v>
      </c>
      <c r="G3" s="143"/>
      <c r="H3" s="153" t="s">
        <v>22</v>
      </c>
      <c r="I3" s="153"/>
      <c r="J3" s="167" t="s">
        <v>23</v>
      </c>
      <c r="K3" s="167"/>
      <c r="L3" s="156" t="s">
        <v>24</v>
      </c>
      <c r="M3" s="156"/>
      <c r="N3" s="156"/>
    </row>
    <row r="4" spans="1:15">
      <c r="A4" s="166" t="s">
        <v>84</v>
      </c>
      <c r="B4" s="166"/>
      <c r="C4" s="166"/>
      <c r="D4" s="144"/>
      <c r="E4" s="144"/>
      <c r="F4" s="134"/>
      <c r="G4" s="134"/>
      <c r="H4" s="134"/>
      <c r="I4" s="134"/>
      <c r="J4" s="134"/>
      <c r="K4" s="134"/>
      <c r="L4" s="134"/>
      <c r="M4" s="134"/>
      <c r="N4" s="134"/>
      <c r="O4" s="52"/>
    </row>
    <row r="5" spans="1:15">
      <c r="A5" s="165" t="s">
        <v>85</v>
      </c>
      <c r="B5" s="165"/>
      <c r="C5" s="165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52"/>
    </row>
    <row r="6" spans="1:15">
      <c r="A6" s="130" t="s">
        <v>86</v>
      </c>
      <c r="B6" s="130"/>
      <c r="C6" s="130"/>
      <c r="D6" s="134">
        <v>2</v>
      </c>
      <c r="E6" s="134"/>
      <c r="F6" s="134">
        <v>1</v>
      </c>
      <c r="G6" s="134"/>
      <c r="H6" s="134">
        <v>4</v>
      </c>
      <c r="I6" s="134"/>
      <c r="J6" s="134">
        <v>5</v>
      </c>
      <c r="K6" s="134"/>
      <c r="L6" s="134">
        <v>3</v>
      </c>
      <c r="M6" s="134"/>
      <c r="N6" s="134"/>
      <c r="O6" s="52"/>
    </row>
    <row r="7" spans="1:15">
      <c r="A7" s="130" t="s">
        <v>87</v>
      </c>
      <c r="B7" s="130"/>
      <c r="C7" s="130"/>
      <c r="D7" s="134">
        <v>3</v>
      </c>
      <c r="E7" s="134"/>
      <c r="F7" s="134">
        <v>1</v>
      </c>
      <c r="G7" s="134"/>
      <c r="H7" s="134">
        <v>5</v>
      </c>
      <c r="I7" s="134"/>
      <c r="J7" s="134">
        <v>2</v>
      </c>
      <c r="K7" s="134"/>
      <c r="L7" s="134">
        <v>4</v>
      </c>
      <c r="M7" s="134"/>
      <c r="N7" s="134"/>
      <c r="O7" s="52"/>
    </row>
    <row r="8" spans="1:15">
      <c r="A8" s="162" t="s">
        <v>88</v>
      </c>
      <c r="B8" s="162"/>
      <c r="C8" s="162"/>
      <c r="D8" s="134">
        <v>2</v>
      </c>
      <c r="E8" s="134"/>
      <c r="F8" s="134">
        <v>6</v>
      </c>
      <c r="G8" s="134"/>
      <c r="H8" s="134">
        <v>4</v>
      </c>
      <c r="I8" s="134"/>
      <c r="J8" s="134">
        <v>10</v>
      </c>
      <c r="K8" s="134"/>
      <c r="L8" s="134">
        <v>8</v>
      </c>
      <c r="M8" s="134"/>
      <c r="N8" s="134"/>
      <c r="O8" s="52"/>
    </row>
    <row r="9" spans="1:15">
      <c r="A9" s="162" t="s">
        <v>89</v>
      </c>
      <c r="B9" s="162"/>
      <c r="C9" s="162"/>
      <c r="D9" s="134">
        <v>6</v>
      </c>
      <c r="E9" s="134"/>
      <c r="F9" s="134">
        <v>10</v>
      </c>
      <c r="G9" s="134"/>
      <c r="H9" s="134">
        <v>2</v>
      </c>
      <c r="I9" s="134"/>
      <c r="J9" s="134">
        <v>4</v>
      </c>
      <c r="K9" s="134"/>
      <c r="L9" s="134">
        <v>8</v>
      </c>
      <c r="M9" s="134"/>
      <c r="N9" s="134"/>
      <c r="O9" s="52"/>
    </row>
    <row r="10" spans="1:15">
      <c r="A10" s="122" t="s">
        <v>90</v>
      </c>
      <c r="B10" s="122"/>
      <c r="C10" s="122"/>
      <c r="D10" s="134">
        <v>2</v>
      </c>
      <c r="E10" s="134"/>
      <c r="F10" s="134">
        <v>4</v>
      </c>
      <c r="G10" s="134"/>
      <c r="H10" s="134">
        <v>3</v>
      </c>
      <c r="I10" s="134"/>
      <c r="J10" s="134">
        <v>5</v>
      </c>
      <c r="K10" s="134"/>
      <c r="L10" s="134">
        <v>1</v>
      </c>
      <c r="M10" s="134"/>
      <c r="N10" s="134"/>
      <c r="O10" s="52"/>
    </row>
    <row r="11" spans="1:15">
      <c r="A11" s="130" t="s">
        <v>91</v>
      </c>
      <c r="B11" s="130"/>
      <c r="C11" s="130"/>
      <c r="D11" s="134">
        <v>2</v>
      </c>
      <c r="E11" s="134"/>
      <c r="F11" s="134">
        <v>5</v>
      </c>
      <c r="G11" s="134"/>
      <c r="H11" s="134">
        <v>1</v>
      </c>
      <c r="I11" s="134"/>
      <c r="J11" s="134">
        <v>3</v>
      </c>
      <c r="K11" s="134"/>
      <c r="L11" s="134">
        <v>4</v>
      </c>
      <c r="M11" s="134"/>
      <c r="N11" s="134"/>
      <c r="O11" s="52"/>
    </row>
    <row r="12" spans="1:15" s="52" customFormat="1">
      <c r="A12" s="163" t="s">
        <v>92</v>
      </c>
      <c r="B12" s="163"/>
      <c r="C12" s="163"/>
      <c r="D12" s="164">
        <f>SUM(D6:E11)</f>
        <v>17</v>
      </c>
      <c r="E12" s="164"/>
      <c r="F12" s="164">
        <f>SUM(F6:G11)</f>
        <v>27</v>
      </c>
      <c r="G12" s="164"/>
      <c r="H12" s="164">
        <f>SUM(H6:I11)</f>
        <v>19</v>
      </c>
      <c r="I12" s="164"/>
      <c r="J12" s="164">
        <f>SUM(J6:K11)</f>
        <v>29</v>
      </c>
      <c r="K12" s="164"/>
      <c r="L12" s="164">
        <f>SUM(L6:N11)</f>
        <v>28</v>
      </c>
      <c r="M12" s="164"/>
      <c r="N12" s="164"/>
    </row>
    <row r="13" spans="1:1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52"/>
    </row>
    <row r="14" spans="1:15">
      <c r="A14" s="163" t="s">
        <v>93</v>
      </c>
      <c r="B14" s="163"/>
      <c r="C14" s="163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52"/>
    </row>
    <row r="15" spans="1:15">
      <c r="A15" s="159" t="s">
        <v>94</v>
      </c>
      <c r="B15" s="159"/>
      <c r="C15" s="159"/>
      <c r="D15" s="134">
        <v>2</v>
      </c>
      <c r="E15" s="134"/>
      <c r="F15" s="134">
        <v>5</v>
      </c>
      <c r="G15" s="134"/>
      <c r="H15" s="134">
        <v>3</v>
      </c>
      <c r="I15" s="134"/>
      <c r="J15" s="134">
        <v>4</v>
      </c>
      <c r="K15" s="134"/>
      <c r="L15" s="134">
        <v>1</v>
      </c>
      <c r="M15" s="134"/>
      <c r="N15" s="134"/>
      <c r="O15" s="114"/>
    </row>
    <row r="16" spans="1:15">
      <c r="A16" s="130" t="s">
        <v>95</v>
      </c>
      <c r="B16" s="130"/>
      <c r="C16" s="130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52"/>
    </row>
    <row r="17" spans="1:15">
      <c r="A17" s="130" t="s">
        <v>96</v>
      </c>
      <c r="B17" s="130"/>
      <c r="C17" s="130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52"/>
    </row>
    <row r="18" spans="1:15">
      <c r="A18" s="162" t="s">
        <v>97</v>
      </c>
      <c r="B18" s="162"/>
      <c r="C18" s="162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52"/>
    </row>
    <row r="19" spans="1:15">
      <c r="A19" s="163" t="s">
        <v>98</v>
      </c>
      <c r="B19" s="163"/>
      <c r="C19" s="163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52"/>
    </row>
    <row r="20" spans="1:15">
      <c r="A20" s="165" t="s">
        <v>99</v>
      </c>
      <c r="B20" s="165"/>
      <c r="C20" s="165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52"/>
    </row>
    <row r="21" spans="1:15">
      <c r="A21" s="163" t="s">
        <v>100</v>
      </c>
      <c r="B21" s="163"/>
      <c r="C21" s="163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52"/>
    </row>
    <row r="22" spans="1:1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52"/>
    </row>
    <row r="23" spans="1:15">
      <c r="A23" s="169" t="s">
        <v>101</v>
      </c>
      <c r="B23" s="169"/>
      <c r="C23" s="169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52"/>
    </row>
    <row r="24" spans="1:1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52"/>
    </row>
    <row r="25" spans="1:1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52"/>
    </row>
    <row r="26" spans="1:15">
      <c r="A26" s="165" t="s">
        <v>102</v>
      </c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52"/>
    </row>
    <row r="27" spans="1:15" s="52" customFormat="1">
      <c r="A27" s="168" t="s">
        <v>103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</row>
    <row r="28" spans="1:15">
      <c r="A28" s="130" t="s">
        <v>104</v>
      </c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52"/>
    </row>
    <row r="29" spans="1:15">
      <c r="A29" s="130" t="s">
        <v>105</v>
      </c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52"/>
    </row>
    <row r="30" spans="1:15">
      <c r="A30" s="130" t="s">
        <v>106</v>
      </c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52"/>
    </row>
    <row r="32" spans="1:15">
      <c r="A32" s="130" t="s">
        <v>107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16"/>
    </row>
    <row r="33" spans="1:16">
      <c r="A33" s="161" t="s">
        <v>108</v>
      </c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52"/>
      <c r="P33" s="52"/>
    </row>
    <row r="35" spans="1:16">
      <c r="A35" s="161" t="s">
        <v>109</v>
      </c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52"/>
      <c r="P35" s="52"/>
    </row>
    <row r="36" spans="1:16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</row>
    <row r="37" spans="1:16">
      <c r="A37" s="130" t="s">
        <v>110</v>
      </c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</row>
    <row r="39" spans="1:16">
      <c r="A39" s="130" t="s">
        <v>111</v>
      </c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52"/>
    </row>
    <row r="41" spans="1:16">
      <c r="A41" s="52" t="s">
        <v>112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</row>
    <row r="43" spans="1:16">
      <c r="A43" s="52" t="s">
        <v>113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</row>
  </sheetData>
  <mergeCells count="150">
    <mergeCell ref="J19:K19"/>
    <mergeCell ref="L19:N19"/>
    <mergeCell ref="D21:E21"/>
    <mergeCell ref="F21:G21"/>
    <mergeCell ref="H21:I21"/>
    <mergeCell ref="J21:K21"/>
    <mergeCell ref="L21:N21"/>
    <mergeCell ref="A27:N27"/>
    <mergeCell ref="A29:N29"/>
    <mergeCell ref="L24:N24"/>
    <mergeCell ref="D25:E25"/>
    <mergeCell ref="F25:G25"/>
    <mergeCell ref="H25:I25"/>
    <mergeCell ref="J25:K25"/>
    <mergeCell ref="L25:N25"/>
    <mergeCell ref="A26:N26"/>
    <mergeCell ref="A28:N28"/>
    <mergeCell ref="A24:C24"/>
    <mergeCell ref="A25:C25"/>
    <mergeCell ref="D24:E24"/>
    <mergeCell ref="F24:G24"/>
    <mergeCell ref="H24:I24"/>
    <mergeCell ref="J24:K24"/>
    <mergeCell ref="A21:C21"/>
    <mergeCell ref="A20:C20"/>
    <mergeCell ref="D20:E20"/>
    <mergeCell ref="F20:G20"/>
    <mergeCell ref="H20:I20"/>
    <mergeCell ref="J20:K20"/>
    <mergeCell ref="H22:I22"/>
    <mergeCell ref="D23:E23"/>
    <mergeCell ref="F23:G23"/>
    <mergeCell ref="H23:I23"/>
    <mergeCell ref="J23:K23"/>
    <mergeCell ref="J22:K22"/>
    <mergeCell ref="D22:E22"/>
    <mergeCell ref="F22:G22"/>
    <mergeCell ref="A23:C23"/>
    <mergeCell ref="A22:C22"/>
    <mergeCell ref="H16:I16"/>
    <mergeCell ref="J16:K16"/>
    <mergeCell ref="L16:N16"/>
    <mergeCell ref="D15:E15"/>
    <mergeCell ref="F15:G15"/>
    <mergeCell ref="H15:I15"/>
    <mergeCell ref="J15:K15"/>
    <mergeCell ref="L15:N15"/>
    <mergeCell ref="L23:N23"/>
    <mergeCell ref="L20:N20"/>
    <mergeCell ref="D17:E17"/>
    <mergeCell ref="F17:G17"/>
    <mergeCell ref="H17:I17"/>
    <mergeCell ref="J17:K17"/>
    <mergeCell ref="L17:N17"/>
    <mergeCell ref="D18:E18"/>
    <mergeCell ref="F18:G18"/>
    <mergeCell ref="H18:I18"/>
    <mergeCell ref="J18:K18"/>
    <mergeCell ref="L18:N18"/>
    <mergeCell ref="L22:N22"/>
    <mergeCell ref="D19:E19"/>
    <mergeCell ref="F19:G19"/>
    <mergeCell ref="H19:I19"/>
    <mergeCell ref="F8:G8"/>
    <mergeCell ref="F14:G14"/>
    <mergeCell ref="H14:I14"/>
    <mergeCell ref="J14:K14"/>
    <mergeCell ref="A13:C13"/>
    <mergeCell ref="L13:N13"/>
    <mergeCell ref="L14:N14"/>
    <mergeCell ref="D13:E13"/>
    <mergeCell ref="F13:G13"/>
    <mergeCell ref="H13:I13"/>
    <mergeCell ref="J13:K13"/>
    <mergeCell ref="A14:C14"/>
    <mergeCell ref="L8:N8"/>
    <mergeCell ref="L9:N9"/>
    <mergeCell ref="H9:I9"/>
    <mergeCell ref="H10:I10"/>
    <mergeCell ref="H11:I11"/>
    <mergeCell ref="J3:K3"/>
    <mergeCell ref="J4:K4"/>
    <mergeCell ref="J5:K5"/>
    <mergeCell ref="J6:K6"/>
    <mergeCell ref="J7:K7"/>
    <mergeCell ref="J8:K8"/>
    <mergeCell ref="J9:K9"/>
    <mergeCell ref="H7:I7"/>
    <mergeCell ref="F3:G3"/>
    <mergeCell ref="F4:G4"/>
    <mergeCell ref="F5:G5"/>
    <mergeCell ref="F6:G6"/>
    <mergeCell ref="F7:G7"/>
    <mergeCell ref="A1:C1"/>
    <mergeCell ref="D1:N1"/>
    <mergeCell ref="A2:N2"/>
    <mergeCell ref="L3:N3"/>
    <mergeCell ref="L4:N4"/>
    <mergeCell ref="L5:N5"/>
    <mergeCell ref="L6:N6"/>
    <mergeCell ref="L7:N7"/>
    <mergeCell ref="A3:C3"/>
    <mergeCell ref="A35:N35"/>
    <mergeCell ref="A37:P37"/>
    <mergeCell ref="A39:O39"/>
    <mergeCell ref="A30:N30"/>
    <mergeCell ref="D10:E10"/>
    <mergeCell ref="A11:C11"/>
    <mergeCell ref="D11:E11"/>
    <mergeCell ref="A17:C17"/>
    <mergeCell ref="A18:C18"/>
    <mergeCell ref="A19:C19"/>
    <mergeCell ref="L10:N10"/>
    <mergeCell ref="L11:N11"/>
    <mergeCell ref="L12:N12"/>
    <mergeCell ref="A12:C12"/>
    <mergeCell ref="D12:E12"/>
    <mergeCell ref="F12:G12"/>
    <mergeCell ref="H12:I12"/>
    <mergeCell ref="J12:K12"/>
    <mergeCell ref="F10:G10"/>
    <mergeCell ref="F11:G11"/>
    <mergeCell ref="J10:K10"/>
    <mergeCell ref="J11:K11"/>
    <mergeCell ref="D16:E16"/>
    <mergeCell ref="F16:G16"/>
    <mergeCell ref="A15:C15"/>
    <mergeCell ref="A16:C16"/>
    <mergeCell ref="D14:E14"/>
    <mergeCell ref="D3:E3"/>
    <mergeCell ref="D5:E5"/>
    <mergeCell ref="D6:E6"/>
    <mergeCell ref="D7:E7"/>
    <mergeCell ref="A32:N32"/>
    <mergeCell ref="A33:N33"/>
    <mergeCell ref="D8:E8"/>
    <mergeCell ref="D9:E9"/>
    <mergeCell ref="A9:C9"/>
    <mergeCell ref="A8:C8"/>
    <mergeCell ref="A7:C7"/>
    <mergeCell ref="D4:E4"/>
    <mergeCell ref="A6:C6"/>
    <mergeCell ref="A5:C5"/>
    <mergeCell ref="A4:C4"/>
    <mergeCell ref="F9:G9"/>
    <mergeCell ref="H3:I3"/>
    <mergeCell ref="H4:I4"/>
    <mergeCell ref="H5:I5"/>
    <mergeCell ref="H6:I6"/>
    <mergeCell ref="H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4829-B557-44FF-A413-C1D64A08D034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227-D985-490D-B21D-48B70195481F}">
  <dimension ref="A1:AC35"/>
  <sheetViews>
    <sheetView workbookViewId="0">
      <selection activeCell="P22" sqref="P22"/>
    </sheetView>
  </sheetViews>
  <sheetFormatPr defaultColWidth="8.85546875" defaultRowHeight="15"/>
  <cols>
    <col min="1" max="1" width="26.28515625" customWidth="1"/>
    <col min="2" max="2" width="5.28515625" customWidth="1"/>
  </cols>
  <sheetData>
    <row r="1" spans="1:12">
      <c r="A1" s="134" t="s">
        <v>114</v>
      </c>
      <c r="B1" s="134"/>
      <c r="C1" s="134"/>
      <c r="D1" s="134"/>
      <c r="E1" s="134"/>
      <c r="F1" s="134"/>
      <c r="G1" s="134"/>
      <c r="H1" s="134"/>
      <c r="I1" s="134"/>
      <c r="J1" s="52"/>
      <c r="K1" s="52"/>
      <c r="L1" s="52"/>
    </row>
    <row r="3" spans="1:12">
      <c r="A3" s="163" t="s">
        <v>115</v>
      </c>
      <c r="B3" s="163"/>
      <c r="C3" s="163"/>
      <c r="D3" s="163"/>
      <c r="E3" s="163"/>
      <c r="F3" s="52"/>
      <c r="G3" s="52"/>
      <c r="H3" s="52"/>
      <c r="I3" s="52"/>
      <c r="J3" s="52"/>
      <c r="K3" s="52"/>
      <c r="L3" s="52"/>
    </row>
    <row r="4" spans="1:12">
      <c r="A4" s="124" t="s">
        <v>116</v>
      </c>
      <c r="B4" s="125" t="s">
        <v>117</v>
      </c>
      <c r="C4" s="146" t="s">
        <v>118</v>
      </c>
      <c r="D4" s="146"/>
      <c r="E4" s="146"/>
      <c r="F4" s="146"/>
      <c r="G4" s="146"/>
      <c r="H4" s="52"/>
      <c r="I4" s="52"/>
      <c r="J4" s="52"/>
      <c r="K4" s="52"/>
      <c r="L4" s="52"/>
    </row>
    <row r="5" spans="1:12">
      <c r="A5" s="2" t="s">
        <v>86</v>
      </c>
      <c r="B5" s="52" t="s">
        <v>117</v>
      </c>
      <c r="C5" s="146" t="s">
        <v>119</v>
      </c>
      <c r="D5" s="146"/>
      <c r="E5" s="146"/>
      <c r="F5" s="146"/>
      <c r="G5" s="146"/>
      <c r="H5" s="52"/>
      <c r="I5" s="52"/>
      <c r="J5" s="52"/>
      <c r="K5" s="52"/>
      <c r="L5" s="52"/>
    </row>
    <row r="7" spans="1:12">
      <c r="A7" s="163" t="s">
        <v>120</v>
      </c>
      <c r="B7" s="163"/>
      <c r="C7" s="163"/>
      <c r="D7" s="52"/>
      <c r="E7" s="52"/>
      <c r="F7" s="52"/>
      <c r="G7" s="52"/>
      <c r="H7" s="52"/>
      <c r="I7" s="52"/>
      <c r="J7" s="52"/>
      <c r="K7" s="52"/>
      <c r="L7" s="52"/>
    </row>
    <row r="8" spans="1:12">
      <c r="A8" s="53" t="s">
        <v>121</v>
      </c>
      <c r="B8" s="52" t="s">
        <v>117</v>
      </c>
      <c r="C8" s="146" t="s">
        <v>122</v>
      </c>
      <c r="D8" s="146"/>
      <c r="E8" s="146"/>
      <c r="F8" s="52"/>
      <c r="G8" s="52"/>
      <c r="H8" s="52"/>
      <c r="I8" s="52"/>
      <c r="J8" s="52"/>
      <c r="K8" s="52"/>
      <c r="L8" s="52"/>
    </row>
    <row r="9" spans="1:12">
      <c r="A9" s="52" t="s">
        <v>123</v>
      </c>
      <c r="B9" s="52" t="s">
        <v>117</v>
      </c>
      <c r="C9" s="146" t="s">
        <v>124</v>
      </c>
      <c r="D9" s="146"/>
      <c r="E9" s="146"/>
      <c r="F9" s="52"/>
      <c r="G9" s="52"/>
      <c r="H9" s="52"/>
      <c r="I9" s="52"/>
      <c r="J9" s="52"/>
      <c r="K9" s="52"/>
      <c r="L9" s="52"/>
    </row>
    <row r="10" spans="1:12">
      <c r="A10" s="52" t="s">
        <v>125</v>
      </c>
      <c r="B10" s="52" t="s">
        <v>117</v>
      </c>
      <c r="C10" s="146" t="s">
        <v>126</v>
      </c>
      <c r="D10" s="146"/>
      <c r="E10" s="146"/>
      <c r="F10" s="146"/>
      <c r="G10" s="146"/>
      <c r="H10" s="171" t="s">
        <v>127</v>
      </c>
      <c r="I10" s="171"/>
      <c r="J10" s="171"/>
      <c r="K10" s="171"/>
      <c r="L10" s="171"/>
    </row>
    <row r="12" spans="1:12">
      <c r="A12" s="1" t="s">
        <v>34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</row>
    <row r="13" spans="1:12">
      <c r="A13" s="3" t="s">
        <v>128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</row>
    <row r="14" spans="1:12">
      <c r="A14" s="2" t="s">
        <v>129</v>
      </c>
      <c r="B14" s="52" t="s">
        <v>117</v>
      </c>
      <c r="C14" s="146" t="s">
        <v>130</v>
      </c>
      <c r="D14" s="146"/>
      <c r="E14" s="146"/>
      <c r="F14" s="146"/>
      <c r="G14" s="52"/>
      <c r="H14" s="171" t="s">
        <v>131</v>
      </c>
      <c r="I14" s="171"/>
      <c r="J14" s="171"/>
      <c r="K14" s="52"/>
      <c r="L14" s="52"/>
    </row>
    <row r="15" spans="1:12">
      <c r="A15" s="52" t="s">
        <v>37</v>
      </c>
      <c r="B15" s="52" t="s">
        <v>132</v>
      </c>
      <c r="C15" s="146" t="s">
        <v>133</v>
      </c>
      <c r="D15" s="146"/>
      <c r="E15" s="146"/>
      <c r="F15" s="146"/>
      <c r="G15" s="52"/>
      <c r="H15" s="52"/>
      <c r="I15" s="52"/>
      <c r="J15" s="52"/>
      <c r="K15" s="52"/>
      <c r="L15" s="52"/>
    </row>
    <row r="16" spans="1:12">
      <c r="A16" s="52" t="s">
        <v>47</v>
      </c>
      <c r="B16" s="52" t="s">
        <v>117</v>
      </c>
      <c r="C16" s="146" t="s">
        <v>134</v>
      </c>
      <c r="D16" s="146"/>
      <c r="E16" s="146"/>
      <c r="F16" s="146"/>
      <c r="G16" s="52"/>
      <c r="H16" s="52"/>
      <c r="I16" s="52"/>
      <c r="J16" s="52"/>
      <c r="K16" s="52"/>
      <c r="L16" s="52"/>
    </row>
    <row r="17" spans="1:29">
      <c r="A17" s="52" t="s">
        <v>135</v>
      </c>
      <c r="B17" s="52" t="s">
        <v>132</v>
      </c>
      <c r="C17" s="146" t="s">
        <v>136</v>
      </c>
      <c r="D17" s="146"/>
      <c r="E17" s="146"/>
      <c r="F17" s="52"/>
      <c r="G17" s="52"/>
      <c r="H17" s="171" t="s">
        <v>137</v>
      </c>
      <c r="I17" s="171"/>
      <c r="J17" s="171"/>
      <c r="K17" s="171"/>
      <c r="L17" s="171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9" spans="1:29">
      <c r="A19" s="3" t="s">
        <v>138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</row>
    <row r="20" spans="1:29">
      <c r="A20" s="52" t="s">
        <v>40</v>
      </c>
      <c r="B20" s="52" t="s">
        <v>117</v>
      </c>
      <c r="C20" s="146" t="s">
        <v>139</v>
      </c>
      <c r="D20" s="146"/>
      <c r="E20" s="146"/>
      <c r="F20" s="146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 spans="1:29">
      <c r="A21" s="52" t="s">
        <v>41</v>
      </c>
      <c r="B21" s="52" t="s">
        <v>117</v>
      </c>
      <c r="C21" s="146" t="s">
        <v>140</v>
      </c>
      <c r="D21" s="146"/>
      <c r="E21" s="146"/>
      <c r="F21" s="146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3" spans="1:29">
      <c r="A23" s="1" t="s">
        <v>42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</row>
    <row r="24" spans="1:29">
      <c r="A24" s="52" t="s">
        <v>141</v>
      </c>
      <c r="B24" s="52" t="s">
        <v>117</v>
      </c>
      <c r="C24" s="146" t="s">
        <v>142</v>
      </c>
      <c r="D24" s="146"/>
      <c r="E24" s="146"/>
      <c r="F24" s="146"/>
      <c r="G24" s="52"/>
      <c r="H24" s="146" t="s">
        <v>143</v>
      </c>
      <c r="I24" s="146"/>
      <c r="J24" s="146"/>
      <c r="K24" s="146"/>
      <c r="L24" s="146"/>
      <c r="M24" s="146"/>
      <c r="N24" s="146"/>
      <c r="O24" s="172" t="s">
        <v>144</v>
      </c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</row>
    <row r="25" spans="1:29">
      <c r="A25" s="52" t="s">
        <v>145</v>
      </c>
      <c r="B25" s="52" t="s">
        <v>132</v>
      </c>
      <c r="C25" s="146" t="s">
        <v>146</v>
      </c>
      <c r="D25" s="146"/>
      <c r="E25" s="146"/>
      <c r="F25" s="146"/>
      <c r="G25" s="52"/>
      <c r="H25" s="146" t="s">
        <v>147</v>
      </c>
      <c r="I25" s="146"/>
      <c r="J25" s="146"/>
      <c r="K25" s="146"/>
      <c r="L25" s="146"/>
      <c r="M25" s="146"/>
      <c r="N25" s="146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</row>
    <row r="27" spans="1:29">
      <c r="A27" s="1" t="s">
        <v>48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 spans="1:29">
      <c r="A28" s="52" t="s">
        <v>148</v>
      </c>
      <c r="B28" s="52" t="s">
        <v>117</v>
      </c>
      <c r="C28" s="146" t="s">
        <v>149</v>
      </c>
      <c r="D28" s="146"/>
      <c r="E28" s="146"/>
      <c r="F28" s="146"/>
      <c r="G28" s="52"/>
      <c r="H28" s="146" t="s">
        <v>150</v>
      </c>
      <c r="I28" s="146"/>
      <c r="J28" s="146"/>
      <c r="K28" s="146"/>
      <c r="L28" s="146"/>
      <c r="M28" s="146"/>
      <c r="N28" s="146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</row>
    <row r="31" spans="1:29">
      <c r="A31" s="52" t="s">
        <v>151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</row>
    <row r="32" spans="1:29">
      <c r="A32" s="52" t="s">
        <v>152</v>
      </c>
      <c r="B32" s="52" t="s">
        <v>117</v>
      </c>
      <c r="C32" s="170" t="s">
        <v>153</v>
      </c>
      <c r="D32" s="170"/>
      <c r="E32" s="170"/>
      <c r="F32" s="170"/>
      <c r="G32" s="170"/>
      <c r="H32" s="170"/>
      <c r="I32" s="170"/>
      <c r="J32" s="170"/>
      <c r="K32" s="170"/>
      <c r="L32" s="170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 spans="1:12">
      <c r="A33" s="52" t="s">
        <v>154</v>
      </c>
      <c r="B33" s="52" t="s">
        <v>132</v>
      </c>
      <c r="C33" s="170" t="s">
        <v>155</v>
      </c>
      <c r="D33" s="170"/>
      <c r="E33" s="170"/>
      <c r="F33" s="170"/>
      <c r="G33" s="170"/>
      <c r="H33" s="170"/>
      <c r="I33" s="170"/>
      <c r="J33" s="170"/>
      <c r="K33" s="170"/>
      <c r="L33" s="170"/>
    </row>
    <row r="34" spans="1:12">
      <c r="A34" s="52" t="s">
        <v>156</v>
      </c>
      <c r="B34" s="52" t="s">
        <v>132</v>
      </c>
      <c r="C34" s="170" t="s">
        <v>157</v>
      </c>
      <c r="D34" s="170"/>
      <c r="E34" s="170"/>
      <c r="F34" s="170"/>
      <c r="G34" s="170"/>
      <c r="H34" s="170"/>
      <c r="I34" s="170"/>
      <c r="J34" s="170"/>
      <c r="K34" s="170"/>
      <c r="L34" s="52"/>
    </row>
    <row r="35" spans="1:12">
      <c r="A35" s="52" t="s">
        <v>158</v>
      </c>
      <c r="B35" s="52" t="s">
        <v>132</v>
      </c>
      <c r="C35" s="170" t="s">
        <v>159</v>
      </c>
      <c r="D35" s="170"/>
      <c r="E35" s="170"/>
      <c r="F35" s="170"/>
      <c r="G35" s="170"/>
      <c r="H35" s="170"/>
      <c r="I35" s="52"/>
      <c r="J35" s="52"/>
      <c r="K35" s="52"/>
      <c r="L35" s="52"/>
    </row>
  </sheetData>
  <mergeCells count="28">
    <mergeCell ref="O24:AC24"/>
    <mergeCell ref="C16:F16"/>
    <mergeCell ref="C15:F15"/>
    <mergeCell ref="A1:I1"/>
    <mergeCell ref="A3:E3"/>
    <mergeCell ref="C4:G4"/>
    <mergeCell ref="C5:G5"/>
    <mergeCell ref="A7:C7"/>
    <mergeCell ref="C8:E8"/>
    <mergeCell ref="C9:E9"/>
    <mergeCell ref="C10:G10"/>
    <mergeCell ref="C14:F14"/>
    <mergeCell ref="H10:L10"/>
    <mergeCell ref="H14:J14"/>
    <mergeCell ref="C35:H35"/>
    <mergeCell ref="C17:E17"/>
    <mergeCell ref="C20:F20"/>
    <mergeCell ref="C21:F21"/>
    <mergeCell ref="C24:F24"/>
    <mergeCell ref="H24:N24"/>
    <mergeCell ref="C25:F25"/>
    <mergeCell ref="H25:N25"/>
    <mergeCell ref="C28:F28"/>
    <mergeCell ref="H28:N28"/>
    <mergeCell ref="C32:L32"/>
    <mergeCell ref="C33:L33"/>
    <mergeCell ref="C34:K34"/>
    <mergeCell ref="H17:L17"/>
  </mergeCells>
  <hyperlinks>
    <hyperlink ref="C32" r:id="rId1" xr:uid="{23CA9EBF-8AAF-4EAC-A5E7-BC8FB3C3A141}"/>
    <hyperlink ref="C33" r:id="rId2" xr:uid="{7F10D40C-136B-4021-B8BA-249F18D46F77}"/>
    <hyperlink ref="C34" r:id="rId3" xr:uid="{92DB3B04-9805-4EFE-BE38-0E98D6BB9EC2}"/>
    <hyperlink ref="C35" r:id="rId4" xr:uid="{E6A9C43F-11FF-4B6C-B2C2-11825EDE24DB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F0DD-116B-4912-BCD2-A09A14F8720F}">
  <dimension ref="A1:U46"/>
  <sheetViews>
    <sheetView workbookViewId="0">
      <selection activeCell="H18" sqref="H18"/>
    </sheetView>
  </sheetViews>
  <sheetFormatPr defaultColWidth="8.85546875" defaultRowHeight="15"/>
  <cols>
    <col min="1" max="1" width="27.42578125" bestFit="1" customWidth="1"/>
    <col min="2" max="2" width="2" customWidth="1"/>
    <col min="3" max="5" width="9.140625" customWidth="1"/>
    <col min="6" max="6" width="13.140625" customWidth="1"/>
    <col min="7" max="7" width="9.140625" customWidth="1"/>
    <col min="8" max="8" width="9.140625" bestFit="1" customWidth="1"/>
    <col min="9" max="10" width="9.140625" customWidth="1"/>
    <col min="11" max="11" width="2" customWidth="1"/>
    <col min="12" max="12" width="12.42578125" customWidth="1"/>
    <col min="13" max="13" width="9.7109375" customWidth="1"/>
    <col min="14" max="14" width="9.7109375" bestFit="1" customWidth="1"/>
    <col min="15" max="15" width="9.7109375" customWidth="1"/>
  </cols>
  <sheetData>
    <row r="1" spans="1:21">
      <c r="A1" s="52"/>
      <c r="B1" s="52"/>
      <c r="C1" s="52"/>
      <c r="D1" s="52"/>
      <c r="E1" s="52"/>
      <c r="F1" s="52"/>
      <c r="G1" s="4">
        <v>2016</v>
      </c>
      <c r="H1" s="42">
        <v>2017</v>
      </c>
      <c r="I1" s="42">
        <v>2018</v>
      </c>
      <c r="J1" s="42">
        <v>2019</v>
      </c>
      <c r="K1" s="47" t="s">
        <v>160</v>
      </c>
      <c r="L1" s="46" t="s">
        <v>161</v>
      </c>
      <c r="M1" s="52"/>
      <c r="N1" s="47"/>
      <c r="O1" s="46"/>
      <c r="P1" s="52"/>
      <c r="Q1" s="52"/>
      <c r="R1" s="52"/>
      <c r="S1" s="52"/>
      <c r="T1" s="52"/>
      <c r="U1" s="52"/>
    </row>
    <row r="2" spans="1:21">
      <c r="A2" s="52" t="s">
        <v>162</v>
      </c>
      <c r="B2" s="52"/>
      <c r="C2" s="52"/>
      <c r="D2" s="52"/>
      <c r="E2" s="52"/>
      <c r="F2" s="52"/>
      <c r="G2" s="52"/>
      <c r="H2" s="52">
        <v>7271</v>
      </c>
      <c r="I2" s="52">
        <v>7335</v>
      </c>
      <c r="J2" s="52">
        <v>7982</v>
      </c>
      <c r="K2" s="52"/>
      <c r="L2" s="46" t="s">
        <v>163</v>
      </c>
      <c r="M2" s="52"/>
      <c r="N2" s="52"/>
      <c r="O2" s="46"/>
      <c r="P2" s="52"/>
      <c r="Q2" s="52"/>
      <c r="R2" s="52"/>
      <c r="S2" s="52"/>
      <c r="T2" s="52"/>
      <c r="U2" s="52"/>
    </row>
    <row r="3" spans="1:21">
      <c r="A3" s="52" t="s">
        <v>164</v>
      </c>
      <c r="B3" s="52"/>
      <c r="C3" s="52"/>
      <c r="D3" s="52"/>
      <c r="E3" s="52"/>
      <c r="F3" s="52"/>
      <c r="G3" s="52">
        <v>1286</v>
      </c>
      <c r="H3" s="52">
        <v>1628</v>
      </c>
      <c r="I3" s="52">
        <v>2068</v>
      </c>
      <c r="J3" s="52">
        <v>2880</v>
      </c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1">
      <c r="A4" s="52" t="s">
        <v>165</v>
      </c>
      <c r="B4" s="52"/>
      <c r="C4" s="52"/>
      <c r="D4" s="52"/>
      <c r="E4" s="52"/>
      <c r="F4" s="52"/>
      <c r="G4" s="52"/>
      <c r="H4" s="52">
        <v>1293</v>
      </c>
      <c r="I4" s="52">
        <v>1085</v>
      </c>
      <c r="J4" s="52">
        <v>1290</v>
      </c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1:21">
      <c r="A5" s="52" t="s">
        <v>166</v>
      </c>
      <c r="B5" s="52"/>
      <c r="C5" s="43"/>
      <c r="D5" s="52"/>
      <c r="E5" s="52"/>
      <c r="F5" s="52"/>
      <c r="G5" s="52"/>
      <c r="H5" s="52">
        <v>1864</v>
      </c>
      <c r="I5" s="52">
        <v>1391</v>
      </c>
      <c r="J5" s="52">
        <v>1377</v>
      </c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1:21">
      <c r="A6" s="52" t="s">
        <v>167</v>
      </c>
      <c r="B6" s="52"/>
      <c r="C6" s="52"/>
      <c r="D6" s="52"/>
      <c r="E6" s="52"/>
      <c r="F6" s="52"/>
      <c r="G6" s="52"/>
      <c r="H6" s="52">
        <v>7244</v>
      </c>
      <c r="I6" s="52">
        <v>8411</v>
      </c>
      <c r="J6" s="52">
        <v>9562</v>
      </c>
      <c r="K6" s="52"/>
      <c r="L6" s="52"/>
      <c r="M6" s="128"/>
      <c r="N6" s="128"/>
      <c r="O6" s="128"/>
      <c r="P6" s="128"/>
      <c r="Q6" s="128"/>
      <c r="R6" s="128"/>
      <c r="S6" s="128"/>
      <c r="T6" s="128"/>
      <c r="U6" s="128"/>
    </row>
    <row r="7" spans="1:21">
      <c r="A7" s="52" t="s">
        <v>168</v>
      </c>
      <c r="B7" s="52"/>
      <c r="C7" s="52"/>
      <c r="D7" s="52"/>
      <c r="E7" s="52"/>
      <c r="F7" s="52"/>
      <c r="G7" s="52">
        <v>4494</v>
      </c>
      <c r="H7" s="52">
        <v>9108</v>
      </c>
      <c r="I7" s="52">
        <v>9802</v>
      </c>
      <c r="J7" s="52">
        <v>10940</v>
      </c>
      <c r="K7" s="52"/>
      <c r="L7" s="52"/>
      <c r="M7" s="128"/>
      <c r="N7" s="128"/>
      <c r="O7" s="128"/>
      <c r="P7" s="128"/>
      <c r="Q7" s="128"/>
      <c r="R7" s="128"/>
      <c r="S7" s="128"/>
      <c r="T7" s="128"/>
      <c r="U7" s="128"/>
    </row>
    <row r="8" spans="1:21">
      <c r="A8" s="127" t="s">
        <v>169</v>
      </c>
      <c r="B8" s="127"/>
      <c r="C8" s="44"/>
      <c r="D8" s="127"/>
      <c r="E8" s="127"/>
      <c r="F8" s="127"/>
      <c r="G8" s="127"/>
      <c r="H8" s="40">
        <v>7401</v>
      </c>
      <c r="I8" s="40">
        <v>9513</v>
      </c>
      <c r="J8" s="40">
        <v>11545</v>
      </c>
      <c r="K8" s="127"/>
      <c r="L8" s="52"/>
      <c r="M8" s="128"/>
      <c r="N8" s="128"/>
      <c r="O8" s="128"/>
      <c r="P8" s="128"/>
      <c r="Q8" s="128"/>
      <c r="R8" s="128"/>
      <c r="S8" s="128"/>
      <c r="T8" s="128"/>
      <c r="U8" s="128"/>
    </row>
    <row r="9" spans="1:21">
      <c r="A9" s="52" t="s">
        <v>170</v>
      </c>
      <c r="B9" s="52"/>
      <c r="C9" s="52"/>
      <c r="D9" s="52"/>
      <c r="E9" s="52"/>
      <c r="F9" s="52"/>
      <c r="G9" s="52"/>
      <c r="H9" s="52">
        <v>2749</v>
      </c>
      <c r="I9" s="52">
        <v>3483</v>
      </c>
      <c r="J9" s="52">
        <v>4469</v>
      </c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</row>
    <row r="10" spans="1:21">
      <c r="A10" s="116" t="s">
        <v>171</v>
      </c>
      <c r="B10" s="116"/>
      <c r="C10" s="116"/>
      <c r="D10" s="116"/>
      <c r="E10" s="116"/>
      <c r="F10" s="116"/>
      <c r="G10" s="116"/>
      <c r="H10" s="52">
        <v>1770</v>
      </c>
      <c r="I10" s="52">
        <v>1767</v>
      </c>
      <c r="J10" s="52">
        <v>2200</v>
      </c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>
      <c r="A11" s="116" t="s">
        <v>172</v>
      </c>
      <c r="B11" s="116"/>
      <c r="C11" s="116"/>
      <c r="D11" s="116"/>
      <c r="E11" s="116"/>
      <c r="F11" s="116"/>
      <c r="G11" s="116"/>
      <c r="H11" s="2">
        <v>1370</v>
      </c>
      <c r="I11" s="2">
        <v>1473</v>
      </c>
      <c r="J11" s="2">
        <v>1492</v>
      </c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</row>
    <row r="12" spans="1:21">
      <c r="A12" s="52" t="s">
        <v>173</v>
      </c>
      <c r="B12" s="52"/>
      <c r="C12" s="52"/>
      <c r="D12" s="52"/>
      <c r="E12" s="52"/>
      <c r="F12" s="52"/>
      <c r="G12" s="52"/>
      <c r="H12" s="52">
        <v>27</v>
      </c>
      <c r="I12" s="52">
        <v>22</v>
      </c>
      <c r="J12" s="52">
        <v>18</v>
      </c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  <row r="13" spans="1:21">
      <c r="A13" s="53" t="s">
        <v>174</v>
      </c>
      <c r="B13" s="52"/>
      <c r="C13" s="44"/>
      <c r="D13" s="52"/>
      <c r="E13" s="52"/>
      <c r="F13" s="52"/>
      <c r="G13" s="52"/>
      <c r="H13" s="52">
        <v>1237</v>
      </c>
      <c r="I13" s="52">
        <v>1495</v>
      </c>
      <c r="J13" s="52">
        <v>1579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</row>
    <row r="14" spans="1:21">
      <c r="A14" s="53"/>
      <c r="B14" s="52"/>
      <c r="C14" s="44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</row>
    <row r="15" spans="1:21">
      <c r="A15" s="2" t="s">
        <v>175</v>
      </c>
      <c r="B15" s="52"/>
      <c r="C15" s="44"/>
      <c r="D15" s="52"/>
      <c r="E15" s="52"/>
      <c r="F15" s="52"/>
      <c r="G15" s="52">
        <v>84</v>
      </c>
      <c r="H15" s="50">
        <v>99</v>
      </c>
      <c r="I15" s="50">
        <v>123</v>
      </c>
      <c r="J15" s="50">
        <v>146</v>
      </c>
      <c r="K15" s="52"/>
      <c r="L15" s="46" t="s">
        <v>176</v>
      </c>
      <c r="M15" s="128"/>
      <c r="N15" s="128"/>
      <c r="O15" s="128"/>
      <c r="P15" s="128"/>
      <c r="Q15" s="128"/>
      <c r="R15" s="128"/>
      <c r="S15" s="128"/>
      <c r="T15" s="128"/>
      <c r="U15" s="128"/>
    </row>
    <row r="16" spans="1:21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52"/>
      <c r="M16" s="52"/>
      <c r="N16" s="52"/>
      <c r="O16" s="52"/>
      <c r="P16" s="52"/>
      <c r="Q16" s="52"/>
      <c r="R16" s="52"/>
      <c r="S16" s="52"/>
      <c r="T16" s="52"/>
      <c r="U16" s="52"/>
    </row>
    <row r="17" spans="1:14">
      <c r="A17" s="40" t="s">
        <v>115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52"/>
      <c r="M17" s="52"/>
      <c r="N17" s="52"/>
    </row>
    <row r="18" spans="1:14">
      <c r="A18" s="125" t="s">
        <v>116</v>
      </c>
      <c r="B18" s="124" t="s">
        <v>117</v>
      </c>
      <c r="C18" s="116" t="s">
        <v>118</v>
      </c>
      <c r="D18" s="116"/>
      <c r="E18" s="116"/>
      <c r="F18" s="116"/>
      <c r="G18" s="116"/>
      <c r="H18" s="41">
        <f>(H2-H3)/H4</f>
        <v>4.3642691415313228</v>
      </c>
      <c r="I18" s="41">
        <f>(I2-I3)/I4</f>
        <v>4.854377880184332</v>
      </c>
      <c r="J18" s="41">
        <f>(J2-J3)/J4</f>
        <v>3.9550387596899226</v>
      </c>
      <c r="K18" s="52"/>
      <c r="L18" s="62"/>
      <c r="M18" s="61"/>
      <c r="N18" s="61"/>
    </row>
    <row r="19" spans="1:14">
      <c r="A19" s="53" t="s">
        <v>86</v>
      </c>
      <c r="B19" s="52" t="s">
        <v>117</v>
      </c>
      <c r="C19" s="116" t="s">
        <v>119</v>
      </c>
      <c r="D19" s="116"/>
      <c r="E19" s="116"/>
      <c r="F19" s="116"/>
      <c r="G19" s="116"/>
      <c r="H19" s="41">
        <f>H2/H4</f>
        <v>5.6233565351894814</v>
      </c>
      <c r="I19" s="41">
        <f>I2/I4</f>
        <v>6.7603686635944698</v>
      </c>
      <c r="J19" s="41">
        <f>J2/J4</f>
        <v>6.1875968992248058</v>
      </c>
      <c r="K19" s="52"/>
      <c r="L19" s="62"/>
      <c r="M19" s="61"/>
      <c r="N19" s="61"/>
    </row>
    <row r="20" spans="1:14">
      <c r="A20" s="116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61"/>
      <c r="M20" s="61"/>
      <c r="N20" s="61"/>
    </row>
    <row r="21" spans="1:14">
      <c r="A21" s="40" t="s">
        <v>120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61"/>
      <c r="M21" s="61"/>
      <c r="N21" s="61"/>
    </row>
    <row r="22" spans="1:14">
      <c r="A22" s="53" t="s">
        <v>121</v>
      </c>
      <c r="B22" s="52" t="s">
        <v>117</v>
      </c>
      <c r="C22" s="146" t="s">
        <v>122</v>
      </c>
      <c r="D22" s="146"/>
      <c r="E22" s="146"/>
      <c r="F22" s="52"/>
      <c r="G22" s="52"/>
      <c r="H22" s="41">
        <f>H5/H6</f>
        <v>0.25731639977912757</v>
      </c>
      <c r="I22" s="41">
        <f>I5/I6</f>
        <v>0.16537867078825347</v>
      </c>
      <c r="J22" s="41">
        <f>J5/J6</f>
        <v>0.14400752980548001</v>
      </c>
      <c r="K22" s="52"/>
      <c r="L22" s="61"/>
      <c r="M22" s="61"/>
      <c r="N22" s="61"/>
    </row>
    <row r="23" spans="1:14">
      <c r="A23" s="53" t="s">
        <v>123</v>
      </c>
      <c r="B23" s="52" t="s">
        <v>117</v>
      </c>
      <c r="C23" s="146" t="s">
        <v>124</v>
      </c>
      <c r="D23" s="146"/>
      <c r="E23" s="146"/>
      <c r="F23" s="52"/>
      <c r="G23" s="52"/>
      <c r="H23" s="41">
        <f>H5/H7</f>
        <v>0.20465524813350899</v>
      </c>
      <c r="I23" s="41">
        <f>I5/I7</f>
        <v>0.14190981432360741</v>
      </c>
      <c r="J23" s="41">
        <f>J5/J7</f>
        <v>0.12586837294332723</v>
      </c>
      <c r="K23" s="52"/>
      <c r="L23" s="61"/>
      <c r="M23" s="61"/>
      <c r="N23" s="61"/>
    </row>
    <row r="24" spans="1:14">
      <c r="A24" s="53" t="s">
        <v>125</v>
      </c>
      <c r="B24" s="52" t="s">
        <v>117</v>
      </c>
      <c r="C24" s="116" t="s">
        <v>177</v>
      </c>
      <c r="D24" s="116"/>
      <c r="E24" s="116"/>
      <c r="F24" s="116"/>
      <c r="G24" s="116"/>
      <c r="H24" s="45">
        <f>H11/H12</f>
        <v>50.74074074074074</v>
      </c>
      <c r="I24" s="45">
        <f>I11/I12</f>
        <v>66.954545454545453</v>
      </c>
      <c r="J24" s="45">
        <f>J11/J12</f>
        <v>82.888888888888886</v>
      </c>
      <c r="K24" s="128"/>
      <c r="L24" s="61"/>
      <c r="M24" s="61"/>
      <c r="N24" s="61"/>
    </row>
    <row r="25" spans="1:14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61"/>
      <c r="M25" s="61"/>
      <c r="N25" s="61"/>
    </row>
    <row r="26" spans="1:14">
      <c r="A26" s="2" t="s">
        <v>34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61"/>
      <c r="M26" s="61"/>
      <c r="N26" s="61"/>
    </row>
    <row r="27" spans="1:14">
      <c r="A27" s="2" t="s">
        <v>178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61"/>
      <c r="M27" s="61"/>
      <c r="N27" s="61"/>
    </row>
    <row r="28" spans="1:14">
      <c r="A28" s="53" t="s">
        <v>179</v>
      </c>
      <c r="B28" s="52" t="s">
        <v>117</v>
      </c>
      <c r="C28" s="146" t="s">
        <v>130</v>
      </c>
      <c r="D28" s="146"/>
      <c r="E28" s="146"/>
      <c r="F28" s="146"/>
      <c r="G28" s="52"/>
      <c r="H28" s="45">
        <f>(H8-H9)/H8*100</f>
        <v>62.85637076070801</v>
      </c>
      <c r="I28" s="45">
        <f>(I8-I9)/I8*100</f>
        <v>63.386944181646165</v>
      </c>
      <c r="J28" s="45">
        <f>(J8-J9)/J8*100</f>
        <v>61.290601992204415</v>
      </c>
      <c r="K28" s="128"/>
      <c r="L28" s="62"/>
      <c r="M28" s="61"/>
      <c r="N28" s="61"/>
    </row>
    <row r="29" spans="1:14">
      <c r="A29" s="53" t="s">
        <v>37</v>
      </c>
      <c r="B29" s="52" t="s">
        <v>132</v>
      </c>
      <c r="C29" s="146" t="s">
        <v>133</v>
      </c>
      <c r="D29" s="146"/>
      <c r="E29" s="146"/>
      <c r="F29" s="146"/>
      <c r="G29" s="52"/>
      <c r="H29" s="48">
        <f>H10/H8*100</f>
        <v>23.915687069314959</v>
      </c>
      <c r="I29" s="48">
        <f>I10/I8*100</f>
        <v>18.574582150741094</v>
      </c>
      <c r="J29" s="48">
        <f>J10/J8*100</f>
        <v>19.055868341273278</v>
      </c>
      <c r="K29" s="52"/>
      <c r="L29" s="62"/>
      <c r="M29" s="61"/>
      <c r="N29" s="61"/>
    </row>
    <row r="30" spans="1:14">
      <c r="A30" s="53" t="s">
        <v>90</v>
      </c>
      <c r="B30" s="52" t="s">
        <v>117</v>
      </c>
      <c r="C30" s="146" t="s">
        <v>134</v>
      </c>
      <c r="D30" s="146"/>
      <c r="E30" s="146"/>
      <c r="F30" s="146"/>
      <c r="G30" s="52"/>
      <c r="H30" s="48">
        <f>H11/H8*100</f>
        <v>18.511012025401975</v>
      </c>
      <c r="I30" s="48">
        <f>I11/I8*100</f>
        <v>15.484074424471775</v>
      </c>
      <c r="J30" s="48">
        <f>J11/J8*100</f>
        <v>12.92334343871806</v>
      </c>
      <c r="K30" s="52"/>
      <c r="L30" s="62"/>
      <c r="M30" s="61"/>
      <c r="N30" s="61"/>
    </row>
    <row r="31" spans="1:14">
      <c r="A31" s="53" t="s">
        <v>180</v>
      </c>
      <c r="B31" s="52" t="s">
        <v>132</v>
      </c>
      <c r="C31" s="146" t="s">
        <v>136</v>
      </c>
      <c r="D31" s="146"/>
      <c r="E31" s="146"/>
      <c r="F31" s="52"/>
      <c r="G31" s="52"/>
      <c r="H31" s="45">
        <f>H13/H8*100</f>
        <v>16.713957573300906</v>
      </c>
      <c r="I31" s="45">
        <f>I13/I8*100</f>
        <v>15.715336907389887</v>
      </c>
      <c r="J31" s="45">
        <f>J13/J8*100</f>
        <v>13.676916414032048</v>
      </c>
      <c r="K31" s="128"/>
      <c r="L31" s="62"/>
      <c r="M31" s="61"/>
      <c r="N31" s="61"/>
    </row>
    <row r="32" spans="1:14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61"/>
      <c r="M32" s="61"/>
      <c r="N32" s="61"/>
    </row>
    <row r="33" spans="1:15">
      <c r="A33" s="2" t="s">
        <v>181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61"/>
      <c r="M33" s="61"/>
      <c r="N33" s="61"/>
      <c r="O33" s="52"/>
    </row>
    <row r="34" spans="1:15">
      <c r="A34" s="53" t="s">
        <v>182</v>
      </c>
      <c r="B34" s="52" t="s">
        <v>117</v>
      </c>
      <c r="C34" s="146" t="s">
        <v>139</v>
      </c>
      <c r="D34" s="146"/>
      <c r="E34" s="146"/>
      <c r="F34" s="146"/>
      <c r="G34" s="52"/>
      <c r="H34" s="52">
        <v>14</v>
      </c>
      <c r="I34" s="52">
        <v>14</v>
      </c>
      <c r="J34" s="52">
        <v>14</v>
      </c>
      <c r="K34" s="52"/>
      <c r="L34" s="39"/>
      <c r="M34" s="61"/>
      <c r="N34" s="61"/>
      <c r="O34" s="52"/>
    </row>
    <row r="35" spans="1:15">
      <c r="A35" s="53" t="s">
        <v>183</v>
      </c>
      <c r="B35" s="52" t="s">
        <v>117</v>
      </c>
      <c r="C35" s="146" t="s">
        <v>140</v>
      </c>
      <c r="D35" s="146"/>
      <c r="E35" s="146"/>
      <c r="F35" s="146"/>
      <c r="G35" s="52"/>
      <c r="H35" s="52">
        <v>17</v>
      </c>
      <c r="I35" s="52">
        <v>19</v>
      </c>
      <c r="J35" s="52">
        <v>18</v>
      </c>
      <c r="K35" s="52"/>
      <c r="L35" s="39"/>
      <c r="M35" s="61"/>
      <c r="N35" s="61"/>
      <c r="O35" s="52"/>
    </row>
    <row r="36" spans="1:15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52"/>
      <c r="M36" s="52">
        <v>2017</v>
      </c>
      <c r="N36" s="52">
        <v>2018</v>
      </c>
      <c r="O36" s="52">
        <v>2019</v>
      </c>
    </row>
    <row r="37" spans="1:15">
      <c r="A37" s="2" t="s">
        <v>42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 t="s">
        <v>184</v>
      </c>
      <c r="M37" s="52">
        <v>1.1299999999999999</v>
      </c>
      <c r="N37" s="52">
        <v>1.18</v>
      </c>
      <c r="O37" s="52">
        <v>1.1200000000000001</v>
      </c>
    </row>
    <row r="38" spans="1:15">
      <c r="A38" s="53" t="s">
        <v>141</v>
      </c>
      <c r="B38" s="52" t="s">
        <v>117</v>
      </c>
      <c r="C38" s="146" t="s">
        <v>142</v>
      </c>
      <c r="D38" s="146"/>
      <c r="E38" s="146"/>
      <c r="F38" s="146"/>
      <c r="G38" s="7" t="s">
        <v>185</v>
      </c>
      <c r="H38" s="51">
        <f>H8*1000/((G15+H15)/2)</f>
        <v>80885.24590163934</v>
      </c>
      <c r="I38" s="51">
        <f>I8*1000/((H15+I15)/2)</f>
        <v>85702.702702702707</v>
      </c>
      <c r="J38" s="51">
        <f>J8*1000/((I15+J15)/2)</f>
        <v>85836.431226765795</v>
      </c>
      <c r="K38" s="116"/>
      <c r="L38" s="7" t="s">
        <v>186</v>
      </c>
      <c r="M38" s="49">
        <f>H38*M37</f>
        <v>91400.327868852444</v>
      </c>
      <c r="N38" s="49">
        <f>I38*N37</f>
        <v>101129.18918918919</v>
      </c>
      <c r="O38" s="41">
        <f>J38*O37</f>
        <v>96136.802973977698</v>
      </c>
    </row>
    <row r="39" spans="1:15">
      <c r="A39" s="53" t="s">
        <v>145</v>
      </c>
      <c r="B39" s="52" t="s">
        <v>132</v>
      </c>
      <c r="C39" s="146" t="s">
        <v>146</v>
      </c>
      <c r="D39" s="146"/>
      <c r="E39" s="146"/>
      <c r="F39" s="146"/>
      <c r="G39" s="52"/>
      <c r="H39" s="49">
        <f>H9/((G3+H3)/2)</f>
        <v>1.8867536032944405</v>
      </c>
      <c r="I39" s="49">
        <f>I9/((H3+I3)/2)</f>
        <v>1.8847402597402598</v>
      </c>
      <c r="J39" s="49">
        <f>J9/((I3+J3)/2)</f>
        <v>1.8063864187550525</v>
      </c>
      <c r="K39" s="116"/>
      <c r="L39" s="116"/>
      <c r="M39" s="116"/>
      <c r="N39" s="116"/>
      <c r="O39" s="52"/>
    </row>
    <row r="40" spans="1:15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52"/>
      <c r="M40" s="52"/>
      <c r="N40" s="52"/>
      <c r="O40" s="52"/>
    </row>
    <row r="41" spans="1:15">
      <c r="A41" s="2" t="s">
        <v>48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1:15">
      <c r="A42" s="53" t="s">
        <v>187</v>
      </c>
      <c r="B42" s="52" t="s">
        <v>117</v>
      </c>
      <c r="C42" s="146" t="s">
        <v>149</v>
      </c>
      <c r="D42" s="146"/>
      <c r="E42" s="146"/>
      <c r="F42" s="146"/>
      <c r="G42" s="52"/>
      <c r="H42" s="49">
        <f>H8/((G7+H7)/2)</f>
        <v>1.0882223202470225</v>
      </c>
      <c r="I42" s="49">
        <f>I8/((H7+I7)/2)</f>
        <v>1.0061343204653623</v>
      </c>
      <c r="J42" s="49">
        <f>J8/((I7+J7)/2)</f>
        <v>1.1132002699836081</v>
      </c>
      <c r="K42" s="116"/>
      <c r="L42" s="116"/>
      <c r="M42" s="116"/>
      <c r="N42" s="116"/>
      <c r="O42" s="52"/>
    </row>
    <row r="44" spans="1:15">
      <c r="A44" s="52"/>
      <c r="B44" s="52"/>
      <c r="C44" s="128"/>
      <c r="D44" s="128"/>
      <c r="E44" s="128"/>
      <c r="F44" s="128"/>
      <c r="G44" s="128"/>
      <c r="H44" s="128"/>
      <c r="I44" s="128"/>
      <c r="J44" s="128"/>
      <c r="K44" s="128"/>
      <c r="L44" s="52"/>
      <c r="M44" s="52"/>
      <c r="N44" s="52"/>
      <c r="O44" s="52"/>
    </row>
    <row r="45" spans="1:15">
      <c r="A45" s="52"/>
      <c r="B45" s="52"/>
      <c r="C45" s="128"/>
      <c r="D45" s="128"/>
      <c r="E45" s="128"/>
      <c r="F45" s="128"/>
      <c r="G45" s="128"/>
      <c r="H45" s="128"/>
      <c r="I45" s="128"/>
      <c r="J45" s="128"/>
      <c r="K45" s="128"/>
      <c r="L45" s="52"/>
      <c r="M45" s="52"/>
      <c r="N45" s="52"/>
      <c r="O45" s="52"/>
    </row>
    <row r="46" spans="1:15">
      <c r="A46" s="52"/>
      <c r="B46" s="52"/>
      <c r="C46" s="128"/>
      <c r="D46" s="128"/>
      <c r="E46" s="128"/>
      <c r="F46" s="128"/>
      <c r="G46" s="128"/>
      <c r="H46" s="128"/>
      <c r="I46" s="128"/>
      <c r="J46" s="128"/>
      <c r="K46" s="128"/>
      <c r="L46" s="52"/>
      <c r="M46" s="52"/>
      <c r="N46" s="52"/>
      <c r="O46" s="52"/>
    </row>
  </sheetData>
  <mergeCells count="11">
    <mergeCell ref="C22:E22"/>
    <mergeCell ref="C23:E23"/>
    <mergeCell ref="C28:F28"/>
    <mergeCell ref="C38:F38"/>
    <mergeCell ref="C39:F39"/>
    <mergeCell ref="C42:F42"/>
    <mergeCell ref="C29:F29"/>
    <mergeCell ref="C30:F30"/>
    <mergeCell ref="C31:E31"/>
    <mergeCell ref="C34:F34"/>
    <mergeCell ref="C35:F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347-C44B-48B3-A20B-CBEA814D1747}">
  <dimension ref="A1:J88"/>
  <sheetViews>
    <sheetView topLeftCell="A14" workbookViewId="0">
      <selection activeCell="E20" sqref="E20"/>
    </sheetView>
  </sheetViews>
  <sheetFormatPr defaultColWidth="8.85546875" defaultRowHeight="15"/>
  <cols>
    <col min="1" max="1" width="43.140625" customWidth="1"/>
    <col min="2" max="2" width="3.42578125" customWidth="1"/>
    <col min="3" max="3" width="44.28515625" customWidth="1"/>
    <col min="4" max="4" width="11" customWidth="1"/>
    <col min="5" max="5" width="11.7109375" bestFit="1" customWidth="1"/>
    <col min="6" max="7" width="10.7109375" bestFit="1" customWidth="1"/>
    <col min="8" max="8" width="9.7109375" bestFit="1" customWidth="1"/>
  </cols>
  <sheetData>
    <row r="1" spans="1:10">
      <c r="A1" s="121" t="s">
        <v>24</v>
      </c>
      <c r="B1" s="121"/>
      <c r="C1" s="121"/>
      <c r="D1" s="121"/>
      <c r="E1" s="121"/>
      <c r="F1" s="52"/>
      <c r="G1" s="52"/>
      <c r="H1" s="52"/>
      <c r="I1" s="52"/>
      <c r="J1" s="52"/>
    </row>
    <row r="3" spans="1:10">
      <c r="A3" s="127" t="s">
        <v>188</v>
      </c>
      <c r="B3" s="127"/>
      <c r="C3" s="127"/>
      <c r="D3" s="127"/>
      <c r="E3" s="52"/>
      <c r="F3" s="52"/>
      <c r="G3" s="2"/>
      <c r="H3" s="52"/>
      <c r="I3" s="52"/>
      <c r="J3" s="52"/>
    </row>
    <row r="4" spans="1:10">
      <c r="A4" s="52"/>
      <c r="B4" s="52"/>
      <c r="C4" s="52"/>
      <c r="D4" s="52"/>
      <c r="E4" s="52" t="s">
        <v>189</v>
      </c>
      <c r="F4" s="52" t="s">
        <v>190</v>
      </c>
      <c r="G4" s="2" t="s">
        <v>189</v>
      </c>
      <c r="H4" s="52" t="s">
        <v>191</v>
      </c>
      <c r="I4" s="52" t="s">
        <v>191</v>
      </c>
      <c r="J4" s="52" t="s">
        <v>191</v>
      </c>
    </row>
    <row r="6" spans="1:10">
      <c r="A6" s="52"/>
      <c r="B6" s="52"/>
      <c r="C6" s="52"/>
      <c r="D6" s="53">
        <v>2016</v>
      </c>
      <c r="E6" s="53">
        <v>2017</v>
      </c>
      <c r="F6" s="53">
        <v>2018</v>
      </c>
      <c r="G6" s="53">
        <v>2019</v>
      </c>
      <c r="H6" s="52">
        <v>2017</v>
      </c>
      <c r="I6" s="52">
        <v>2018</v>
      </c>
      <c r="J6" s="52">
        <v>2019</v>
      </c>
    </row>
    <row r="7" spans="1:10">
      <c r="A7" s="53" t="s">
        <v>192</v>
      </c>
      <c r="B7" s="53"/>
      <c r="C7" s="52"/>
      <c r="D7" s="52"/>
      <c r="E7" s="52"/>
      <c r="F7" s="52"/>
      <c r="G7" s="52"/>
      <c r="H7" s="52"/>
      <c r="I7" s="52"/>
      <c r="J7" s="52"/>
    </row>
    <row r="8" spans="1:10">
      <c r="A8" s="53" t="s">
        <v>193</v>
      </c>
      <c r="B8" s="53"/>
      <c r="C8" s="52"/>
      <c r="D8" s="52"/>
      <c r="E8" s="52"/>
      <c r="F8" s="52"/>
      <c r="G8" s="52"/>
      <c r="H8" s="52"/>
      <c r="I8" s="52"/>
      <c r="J8" s="52"/>
    </row>
    <row r="9" spans="1:10">
      <c r="A9" s="2" t="s">
        <v>194</v>
      </c>
      <c r="B9" s="2"/>
      <c r="C9" s="52"/>
      <c r="D9" s="52"/>
      <c r="E9" s="5">
        <v>11076</v>
      </c>
      <c r="F9" s="5">
        <v>11438</v>
      </c>
      <c r="G9" s="52">
        <v>21</v>
      </c>
      <c r="H9" s="52"/>
      <c r="I9" s="52"/>
      <c r="J9" s="52"/>
    </row>
    <row r="10" spans="1:10">
      <c r="A10" s="2" t="s">
        <v>195</v>
      </c>
      <c r="B10" s="2"/>
      <c r="C10" s="52"/>
      <c r="D10" s="52"/>
      <c r="E10" s="5">
        <v>9490</v>
      </c>
      <c r="F10" s="5">
        <v>13852</v>
      </c>
      <c r="G10" s="5">
        <v>12817</v>
      </c>
      <c r="H10" s="52"/>
      <c r="I10" s="52"/>
      <c r="J10" s="52"/>
    </row>
    <row r="11" spans="1:10">
      <c r="A11" s="2" t="s">
        <v>196</v>
      </c>
      <c r="B11" s="2"/>
      <c r="C11" s="52"/>
      <c r="D11" s="52"/>
      <c r="E11" s="5">
        <v>1088</v>
      </c>
      <c r="F11" s="52">
        <v>803</v>
      </c>
      <c r="G11" s="5">
        <v>1714</v>
      </c>
      <c r="H11" s="52"/>
      <c r="I11" s="52"/>
      <c r="J11" s="52"/>
    </row>
    <row r="12" spans="1:10">
      <c r="A12" s="2" t="s">
        <v>197</v>
      </c>
      <c r="B12" s="2"/>
      <c r="C12" s="52"/>
      <c r="D12" s="52"/>
      <c r="E12" s="5">
        <v>1235</v>
      </c>
      <c r="F12" s="5">
        <v>1391</v>
      </c>
      <c r="G12" s="52" t="s">
        <v>198</v>
      </c>
      <c r="H12" s="52"/>
      <c r="I12" s="52"/>
      <c r="J12" s="52"/>
    </row>
    <row r="13" spans="1:10">
      <c r="A13" s="53" t="s">
        <v>199</v>
      </c>
      <c r="B13" s="53"/>
      <c r="C13" s="52"/>
      <c r="D13" s="52"/>
      <c r="E13" s="6">
        <v>22889</v>
      </c>
      <c r="F13" s="6">
        <v>27484</v>
      </c>
      <c r="G13" s="6">
        <v>14552</v>
      </c>
      <c r="H13" s="52"/>
      <c r="I13" s="52"/>
      <c r="J13" s="52"/>
    </row>
    <row r="14" spans="1:10">
      <c r="A14" s="53" t="s">
        <v>200</v>
      </c>
      <c r="B14" s="53"/>
      <c r="C14" s="52"/>
      <c r="D14" s="52"/>
      <c r="E14" s="52"/>
      <c r="F14" s="52"/>
      <c r="G14" s="52"/>
      <c r="H14" s="52"/>
      <c r="I14" s="52"/>
      <c r="J14" s="52"/>
    </row>
    <row r="15" spans="1:10">
      <c r="A15" s="2" t="s">
        <v>164</v>
      </c>
      <c r="B15" s="2"/>
      <c r="C15" s="52"/>
      <c r="D15" s="5">
        <v>9043</v>
      </c>
      <c r="E15" s="5">
        <v>11430</v>
      </c>
      <c r="F15" s="5">
        <v>13825</v>
      </c>
      <c r="G15" s="5">
        <v>5211</v>
      </c>
      <c r="H15" s="52"/>
      <c r="I15" s="52"/>
      <c r="J15" s="52"/>
    </row>
    <row r="16" spans="1:10">
      <c r="A16" s="2" t="s">
        <v>201</v>
      </c>
      <c r="B16" s="2"/>
      <c r="C16" s="52"/>
      <c r="D16" s="52"/>
      <c r="E16" s="5">
        <v>16345</v>
      </c>
      <c r="F16" s="5">
        <v>19283</v>
      </c>
      <c r="G16" s="5">
        <v>3475</v>
      </c>
      <c r="H16" s="52"/>
      <c r="I16" s="52"/>
      <c r="J16" s="52"/>
    </row>
    <row r="17" spans="1:7">
      <c r="A17" s="2" t="s">
        <v>202</v>
      </c>
      <c r="B17" s="2"/>
      <c r="C17" s="52"/>
      <c r="D17" s="52"/>
      <c r="E17" s="5" t="s">
        <v>45</v>
      </c>
      <c r="F17" s="52" t="s">
        <v>45</v>
      </c>
      <c r="G17" s="5">
        <v>22700</v>
      </c>
    </row>
    <row r="18" spans="1:7">
      <c r="A18" s="2" t="s">
        <v>203</v>
      </c>
      <c r="B18" s="2"/>
      <c r="C18" s="52"/>
      <c r="D18" s="52"/>
      <c r="E18" s="5">
        <v>4057</v>
      </c>
      <c r="F18" s="52">
        <v>934</v>
      </c>
      <c r="G18" s="52">
        <v>381</v>
      </c>
    </row>
    <row r="19" spans="1:7">
      <c r="A19" s="2" t="s">
        <v>204</v>
      </c>
      <c r="B19" s="2"/>
      <c r="C19" s="52"/>
      <c r="D19" s="52"/>
      <c r="E19" s="52">
        <v>88</v>
      </c>
      <c r="F19" s="52">
        <v>109</v>
      </c>
      <c r="G19" s="52">
        <v>285</v>
      </c>
    </row>
    <row r="20" spans="1:7">
      <c r="A20" s="53" t="s">
        <v>205</v>
      </c>
      <c r="B20" s="53"/>
      <c r="C20" s="52"/>
      <c r="D20" s="52"/>
      <c r="E20" s="6">
        <v>31920</v>
      </c>
      <c r="F20" s="6">
        <v>34151</v>
      </c>
      <c r="G20" s="6">
        <v>32052</v>
      </c>
    </row>
    <row r="21" spans="1:7">
      <c r="A21" s="53" t="s">
        <v>206</v>
      </c>
      <c r="B21" s="53"/>
      <c r="C21" s="52"/>
      <c r="D21" s="5">
        <v>38946</v>
      </c>
      <c r="E21" s="6">
        <v>54809</v>
      </c>
      <c r="F21" s="6">
        <v>61635</v>
      </c>
      <c r="G21" s="6">
        <v>46604</v>
      </c>
    </row>
    <row r="22" spans="1:7">
      <c r="A22" s="53"/>
      <c r="B22" s="53"/>
      <c r="C22" s="52"/>
      <c r="D22" s="52"/>
      <c r="E22" s="52"/>
      <c r="F22" s="52"/>
      <c r="G22" s="52"/>
    </row>
    <row r="23" spans="1:7">
      <c r="A23" s="53" t="s">
        <v>207</v>
      </c>
      <c r="B23" s="53"/>
      <c r="C23" s="52"/>
      <c r="D23" s="52"/>
      <c r="E23" s="52"/>
      <c r="F23" s="52"/>
      <c r="G23" s="52"/>
    </row>
    <row r="24" spans="1:7">
      <c r="A24" s="53" t="s">
        <v>208</v>
      </c>
      <c r="B24" s="53"/>
      <c r="C24" s="52"/>
      <c r="D24" s="52"/>
      <c r="E24" s="52"/>
      <c r="F24" s="52"/>
      <c r="G24" s="52"/>
    </row>
    <row r="25" spans="1:7">
      <c r="A25" s="2" t="s">
        <v>209</v>
      </c>
      <c r="B25" s="2"/>
      <c r="C25" s="52"/>
      <c r="D25" s="52"/>
      <c r="E25" s="5">
        <v>23524</v>
      </c>
      <c r="F25" s="5">
        <v>23709</v>
      </c>
      <c r="G25" s="5">
        <v>6628</v>
      </c>
    </row>
    <row r="26" spans="1:7">
      <c r="A26" s="2" t="s">
        <v>210</v>
      </c>
      <c r="B26" s="2"/>
      <c r="C26" s="52"/>
      <c r="D26" s="52"/>
      <c r="E26" s="52">
        <v>534</v>
      </c>
      <c r="F26" s="5">
        <v>1127</v>
      </c>
      <c r="G26" s="5">
        <v>1139</v>
      </c>
    </row>
    <row r="27" spans="1:7">
      <c r="A27" s="2" t="s">
        <v>211</v>
      </c>
      <c r="B27" s="2"/>
      <c r="C27" s="52"/>
      <c r="D27" s="52"/>
      <c r="E27" s="52">
        <v>243</v>
      </c>
      <c r="F27" s="52">
        <v>503</v>
      </c>
      <c r="G27" s="52">
        <v>527</v>
      </c>
    </row>
    <row r="28" spans="1:7">
      <c r="A28" s="53" t="s">
        <v>212</v>
      </c>
      <c r="B28" s="53"/>
      <c r="C28" s="52"/>
      <c r="D28" s="52"/>
      <c r="E28" s="6">
        <v>24301</v>
      </c>
      <c r="F28" s="6">
        <v>25339</v>
      </c>
      <c r="G28" s="6">
        <v>8294</v>
      </c>
    </row>
    <row r="29" spans="1:7">
      <c r="A29" s="53" t="s">
        <v>213</v>
      </c>
      <c r="B29" s="53"/>
      <c r="C29" s="52"/>
      <c r="D29" s="52"/>
      <c r="E29" s="52"/>
      <c r="F29" s="52"/>
      <c r="G29" s="52"/>
    </row>
    <row r="30" spans="1:7">
      <c r="A30" s="2" t="s">
        <v>210</v>
      </c>
      <c r="B30" s="2"/>
      <c r="C30" s="52"/>
      <c r="D30" s="52"/>
      <c r="E30" s="5">
        <v>1559</v>
      </c>
      <c r="F30" s="5">
        <v>3230</v>
      </c>
      <c r="G30" s="5">
        <v>2091</v>
      </c>
    </row>
    <row r="31" spans="1:7">
      <c r="A31" s="2" t="s">
        <v>214</v>
      </c>
      <c r="B31" s="2"/>
      <c r="C31" s="52"/>
      <c r="D31" s="52"/>
      <c r="E31" s="5">
        <v>6132</v>
      </c>
      <c r="F31" s="5">
        <v>4489</v>
      </c>
      <c r="G31" s="5">
        <v>9417</v>
      </c>
    </row>
    <row r="32" spans="1:7">
      <c r="A32" s="2" t="s">
        <v>215</v>
      </c>
      <c r="B32" s="2"/>
      <c r="C32" s="52"/>
      <c r="D32" s="52"/>
      <c r="E32" s="52">
        <v>407</v>
      </c>
      <c r="F32" s="5">
        <v>1555</v>
      </c>
      <c r="G32" s="5">
        <v>1061</v>
      </c>
    </row>
    <row r="33" spans="1:7">
      <c r="A33" s="53" t="s">
        <v>216</v>
      </c>
      <c r="B33" s="53"/>
      <c r="C33" s="52"/>
      <c r="D33" s="52"/>
      <c r="E33" s="6">
        <v>8098</v>
      </c>
      <c r="F33" s="6">
        <v>9274</v>
      </c>
      <c r="G33" s="6">
        <v>12569</v>
      </c>
    </row>
    <row r="34" spans="1:7">
      <c r="A34" s="53" t="s">
        <v>217</v>
      </c>
      <c r="B34" s="53"/>
      <c r="C34" s="52"/>
      <c r="D34" s="52"/>
      <c r="E34" s="6">
        <v>32399</v>
      </c>
      <c r="F34" s="6">
        <v>34613</v>
      </c>
      <c r="G34" s="6">
        <v>20863</v>
      </c>
    </row>
    <row r="35" spans="1:7">
      <c r="A35" s="53" t="s">
        <v>218</v>
      </c>
      <c r="B35" s="53"/>
      <c r="C35" s="52"/>
      <c r="D35" s="52"/>
      <c r="E35" s="6">
        <v>22410</v>
      </c>
      <c r="F35" s="6">
        <v>27022</v>
      </c>
      <c r="G35" s="6">
        <v>25741</v>
      </c>
    </row>
    <row r="36" spans="1:7">
      <c r="A36" s="53"/>
      <c r="B36" s="53"/>
      <c r="C36" s="52"/>
      <c r="D36" s="52"/>
      <c r="E36" s="52"/>
      <c r="F36" s="52"/>
      <c r="G36" s="52"/>
    </row>
    <row r="37" spans="1:7">
      <c r="A37" s="53" t="s">
        <v>219</v>
      </c>
      <c r="B37" s="53"/>
      <c r="C37" s="52"/>
      <c r="D37" s="52"/>
      <c r="E37" s="52"/>
      <c r="F37" s="52"/>
      <c r="G37" s="52"/>
    </row>
    <row r="38" spans="1:7">
      <c r="A38" s="2" t="s">
        <v>220</v>
      </c>
      <c r="B38" s="2"/>
      <c r="C38" s="52"/>
      <c r="D38" s="52"/>
      <c r="E38" s="52">
        <v>844</v>
      </c>
      <c r="F38" s="52">
        <v>857</v>
      </c>
      <c r="G38" s="52">
        <v>857</v>
      </c>
    </row>
    <row r="39" spans="1:7">
      <c r="A39" s="2" t="s">
        <v>221</v>
      </c>
      <c r="B39" s="2"/>
      <c r="C39" s="52"/>
      <c r="D39" s="52"/>
      <c r="E39" s="5">
        <v>11744</v>
      </c>
      <c r="F39" s="5">
        <v>11987</v>
      </c>
      <c r="G39" s="5">
        <v>11987</v>
      </c>
    </row>
    <row r="40" spans="1:7">
      <c r="A40" s="2" t="s">
        <v>222</v>
      </c>
      <c r="B40" s="2"/>
      <c r="C40" s="52"/>
      <c r="D40" s="52"/>
      <c r="E40" s="5">
        <v>1091</v>
      </c>
      <c r="F40" s="5">
        <v>1247</v>
      </c>
      <c r="G40" s="5">
        <v>1241</v>
      </c>
    </row>
    <row r="41" spans="1:7">
      <c r="A41" s="2" t="s">
        <v>223</v>
      </c>
      <c r="B41" s="2"/>
      <c r="C41" s="52"/>
      <c r="D41" s="52"/>
      <c r="E41" s="52">
        <v>-142</v>
      </c>
      <c r="F41" s="5">
        <v>-112</v>
      </c>
      <c r="G41" s="52">
        <v>-147</v>
      </c>
    </row>
    <row r="42" spans="1:7">
      <c r="A42" s="2" t="s">
        <v>224</v>
      </c>
      <c r="B42" s="2"/>
      <c r="C42" s="52"/>
      <c r="D42" s="52"/>
      <c r="E42" s="5">
        <v>-3894</v>
      </c>
      <c r="F42" s="5">
        <v>-2491</v>
      </c>
      <c r="G42" s="5">
        <v>-6502</v>
      </c>
    </row>
    <row r="43" spans="1:7">
      <c r="A43" s="2" t="s">
        <v>225</v>
      </c>
      <c r="B43" s="2"/>
      <c r="C43" s="52"/>
      <c r="D43" s="52"/>
      <c r="E43" s="5">
        <v>12749</v>
      </c>
      <c r="F43" s="5">
        <v>15455</v>
      </c>
      <c r="G43" s="5">
        <v>18160</v>
      </c>
    </row>
    <row r="44" spans="1:7">
      <c r="A44" s="53" t="s">
        <v>226</v>
      </c>
      <c r="B44" s="53"/>
      <c r="C44" s="52"/>
      <c r="D44" s="52"/>
      <c r="E44" s="6">
        <v>22392</v>
      </c>
      <c r="F44" s="6">
        <v>26943</v>
      </c>
      <c r="G44" s="6">
        <v>25596</v>
      </c>
    </row>
    <row r="45" spans="1:7">
      <c r="A45" s="2" t="s">
        <v>227</v>
      </c>
      <c r="B45" s="2"/>
      <c r="C45" s="52"/>
      <c r="D45" s="52"/>
      <c r="E45" s="52">
        <v>18</v>
      </c>
      <c r="F45" s="52">
        <v>79</v>
      </c>
      <c r="G45" s="52">
        <v>145</v>
      </c>
    </row>
    <row r="46" spans="1:7">
      <c r="A46" s="53" t="s">
        <v>228</v>
      </c>
      <c r="B46" s="53"/>
      <c r="C46" s="52"/>
      <c r="D46" s="52"/>
      <c r="E46" s="6">
        <v>22410</v>
      </c>
      <c r="F46" s="6">
        <v>27022</v>
      </c>
      <c r="G46" s="6">
        <v>25741</v>
      </c>
    </row>
    <row r="47" spans="1:7">
      <c r="A47" s="53"/>
      <c r="B47" s="53"/>
      <c r="C47" s="52"/>
      <c r="D47" s="52"/>
      <c r="E47" s="6"/>
      <c r="F47" s="6"/>
      <c r="G47" s="6"/>
    </row>
    <row r="48" spans="1:7">
      <c r="A48" s="53" t="s">
        <v>229</v>
      </c>
      <c r="B48" s="53"/>
      <c r="C48" s="52"/>
      <c r="D48" s="52"/>
      <c r="E48" s="17">
        <v>74314</v>
      </c>
      <c r="F48" s="17">
        <v>21085</v>
      </c>
      <c r="G48" s="17">
        <v>19676</v>
      </c>
    </row>
    <row r="49" spans="1:9">
      <c r="A49" s="53" t="s">
        <v>230</v>
      </c>
      <c r="B49" s="53"/>
      <c r="C49" s="52"/>
      <c r="D49" s="52"/>
      <c r="E49" s="17">
        <v>60404</v>
      </c>
      <c r="F49" s="17">
        <v>12705</v>
      </c>
      <c r="G49" s="17">
        <v>12680</v>
      </c>
      <c r="H49" s="52"/>
      <c r="I49" s="52"/>
    </row>
    <row r="50" spans="1:9">
      <c r="A50" s="53" t="s">
        <v>231</v>
      </c>
      <c r="B50" s="53"/>
      <c r="C50" s="52"/>
      <c r="D50" s="52"/>
      <c r="E50" s="17">
        <v>5163</v>
      </c>
      <c r="F50" s="17">
        <v>6842</v>
      </c>
      <c r="G50" s="17">
        <v>6276</v>
      </c>
      <c r="H50" s="52"/>
      <c r="I50" s="52"/>
    </row>
    <row r="51" spans="1:9">
      <c r="A51" s="53" t="s">
        <v>232</v>
      </c>
      <c r="B51" s="53"/>
      <c r="C51" s="52"/>
      <c r="D51" s="52"/>
      <c r="E51" s="17">
        <v>160</v>
      </c>
      <c r="F51" s="17">
        <v>210</v>
      </c>
      <c r="G51" s="17">
        <v>260</v>
      </c>
      <c r="H51" s="52"/>
      <c r="I51" s="52"/>
    </row>
    <row r="52" spans="1:9">
      <c r="A52" s="53" t="s">
        <v>233</v>
      </c>
      <c r="B52" s="53"/>
      <c r="C52" s="52"/>
      <c r="D52" s="52"/>
      <c r="E52" s="17">
        <v>3332</v>
      </c>
      <c r="F52" s="17">
        <v>2545</v>
      </c>
      <c r="G52" s="17">
        <v>1932</v>
      </c>
      <c r="H52" s="52"/>
      <c r="I52" s="52"/>
    </row>
    <row r="53" spans="1:9">
      <c r="A53" s="53" t="s">
        <v>234</v>
      </c>
      <c r="B53" s="53"/>
      <c r="C53" s="52"/>
      <c r="D53" s="52"/>
      <c r="E53" s="17">
        <v>22047</v>
      </c>
      <c r="F53" s="17">
        <v>26943</v>
      </c>
      <c r="G53" s="17">
        <v>25596</v>
      </c>
      <c r="H53" s="52"/>
      <c r="I53" s="52"/>
    </row>
    <row r="54" spans="1:9">
      <c r="A54" s="53" t="s">
        <v>235</v>
      </c>
      <c r="B54" s="52"/>
      <c r="C54" s="52"/>
      <c r="D54" s="52"/>
      <c r="E54" s="5">
        <v>2572</v>
      </c>
      <c r="F54" s="5">
        <v>3633</v>
      </c>
      <c r="G54" s="5">
        <v>3640</v>
      </c>
      <c r="H54" s="52"/>
      <c r="I54" s="52"/>
    </row>
    <row r="55" spans="1:9" ht="15.75" customHeight="1">
      <c r="A55" s="53" t="s">
        <v>236</v>
      </c>
      <c r="B55" s="52"/>
      <c r="C55" s="52"/>
      <c r="D55" s="52"/>
      <c r="E55" s="5">
        <v>3332</v>
      </c>
      <c r="F55" s="5">
        <v>2545</v>
      </c>
      <c r="G55" s="5">
        <v>1932</v>
      </c>
      <c r="H55" s="52"/>
      <c r="I55" s="52"/>
    </row>
    <row r="56" spans="1:9" ht="15.75" customHeight="1">
      <c r="A56" s="53" t="s">
        <v>237</v>
      </c>
      <c r="B56" s="52"/>
      <c r="C56" s="52"/>
      <c r="D56" s="52">
        <v>576</v>
      </c>
      <c r="E56" s="5">
        <v>591</v>
      </c>
      <c r="F56" s="5">
        <v>593</v>
      </c>
      <c r="G56" s="5">
        <v>586</v>
      </c>
      <c r="H56" s="52"/>
      <c r="I56" s="52"/>
    </row>
    <row r="57" spans="1:9" ht="15.75" customHeight="1">
      <c r="A57" s="53" t="s">
        <v>238</v>
      </c>
      <c r="B57" s="52"/>
      <c r="C57" s="52"/>
      <c r="D57" s="52"/>
      <c r="E57" s="18">
        <f>(D56+E56)/2</f>
        <v>583.5</v>
      </c>
      <c r="F57" s="18">
        <f>(E56+F56)/2</f>
        <v>592</v>
      </c>
      <c r="G57" s="18">
        <f>(F56+G56)/2</f>
        <v>589.5</v>
      </c>
      <c r="H57" s="52"/>
      <c r="I57" s="52"/>
    </row>
    <row r="58" spans="1:9" ht="15.75" customHeight="1">
      <c r="A58" s="53" t="s">
        <v>239</v>
      </c>
      <c r="B58" s="52"/>
      <c r="C58" s="52"/>
      <c r="D58" s="52"/>
      <c r="E58" s="10">
        <f>(D21+E21)/2</f>
        <v>46877.5</v>
      </c>
      <c r="F58" s="10">
        <f>(E21+F21)/2</f>
        <v>58222</v>
      </c>
      <c r="G58" s="10">
        <f>(F21+G21)/2</f>
        <v>54119.5</v>
      </c>
      <c r="H58" s="52"/>
      <c r="I58" s="52"/>
    </row>
    <row r="59" spans="1:9" ht="15.75" customHeight="1">
      <c r="A59" s="53" t="s">
        <v>240</v>
      </c>
      <c r="B59" s="52"/>
      <c r="C59" s="52"/>
      <c r="D59" s="52"/>
      <c r="E59" s="18">
        <f>(D15+E15)/2</f>
        <v>10236.5</v>
      </c>
      <c r="F59" s="18">
        <f>(E15+F15)/2</f>
        <v>12627.5</v>
      </c>
      <c r="G59" s="18">
        <f>(F15+G15)/2</f>
        <v>9518</v>
      </c>
      <c r="H59" s="52"/>
      <c r="I59" s="52"/>
    </row>
    <row r="60" spans="1:9" ht="15.75" customHeight="1">
      <c r="A60" s="53"/>
      <c r="B60" s="52"/>
      <c r="C60" s="52"/>
      <c r="D60" s="52"/>
      <c r="E60" s="18"/>
      <c r="F60" s="18"/>
      <c r="G60" s="18"/>
      <c r="H60" s="52"/>
      <c r="I60" s="52"/>
    </row>
    <row r="61" spans="1:9">
      <c r="A61" s="173" t="s">
        <v>115</v>
      </c>
      <c r="B61" s="173"/>
      <c r="C61" s="173"/>
      <c r="D61" s="173"/>
      <c r="E61" s="173"/>
      <c r="F61" s="173"/>
      <c r="G61" s="8"/>
      <c r="H61" s="8"/>
      <c r="I61" s="8"/>
    </row>
    <row r="62" spans="1:9">
      <c r="A62" s="12" t="s">
        <v>116</v>
      </c>
      <c r="B62" s="13" t="s">
        <v>117</v>
      </c>
      <c r="C62" s="8" t="s">
        <v>118</v>
      </c>
      <c r="D62" s="8"/>
      <c r="E62" s="34">
        <f xml:space="preserve"> (E20-E15)/E28</f>
        <v>0.843175177976215</v>
      </c>
      <c r="F62" s="34">
        <f xml:space="preserve"> (F20-F15) / F28</f>
        <v>0.80216267413867948</v>
      </c>
      <c r="G62" s="34">
        <f xml:space="preserve"> (G20-G15)/G28</f>
        <v>3.2361948396431157</v>
      </c>
      <c r="H62" s="8"/>
      <c r="I62" s="8"/>
    </row>
    <row r="63" spans="1:9">
      <c r="A63" s="8" t="s">
        <v>86</v>
      </c>
      <c r="B63" s="8" t="s">
        <v>117</v>
      </c>
      <c r="C63" s="8" t="s">
        <v>119</v>
      </c>
      <c r="D63" s="8"/>
      <c r="E63" s="34">
        <f>E20/E28</f>
        <v>1.3135261923377639</v>
      </c>
      <c r="F63" s="34">
        <f>F20/F28</f>
        <v>1.3477643158767119</v>
      </c>
      <c r="G63" s="34">
        <f>G20/G28</f>
        <v>3.8644803472389677</v>
      </c>
      <c r="H63" s="8"/>
      <c r="I63" s="8"/>
    </row>
    <row r="64" spans="1:9">
      <c r="A64" s="8"/>
      <c r="B64" s="8"/>
      <c r="C64" s="8"/>
      <c r="D64" s="8"/>
      <c r="E64" s="34"/>
      <c r="F64" s="34"/>
      <c r="G64" s="34"/>
      <c r="H64" s="8"/>
      <c r="I64" s="52"/>
    </row>
    <row r="65" spans="1:8">
      <c r="A65" s="173" t="s">
        <v>120</v>
      </c>
      <c r="B65" s="173"/>
      <c r="C65" s="173"/>
      <c r="D65" s="129"/>
      <c r="E65" s="34"/>
      <c r="F65" s="34"/>
      <c r="G65" s="34"/>
      <c r="H65" s="8"/>
    </row>
    <row r="66" spans="1:8">
      <c r="A66" s="14" t="s">
        <v>121</v>
      </c>
      <c r="B66" s="8" t="s">
        <v>117</v>
      </c>
      <c r="C66" s="8" t="s">
        <v>122</v>
      </c>
      <c r="D66" s="8"/>
      <c r="E66" s="34">
        <f>E34/E46</f>
        <v>1.4457385095939312</v>
      </c>
      <c r="F66" s="34">
        <f>F34/F46</f>
        <v>1.2809192509806824</v>
      </c>
      <c r="G66" s="34">
        <f>G34/G46</f>
        <v>0.81049687269336856</v>
      </c>
      <c r="H66" s="8"/>
    </row>
    <row r="67" spans="1:8">
      <c r="A67" s="8" t="s">
        <v>123</v>
      </c>
      <c r="B67" s="8" t="s">
        <v>117</v>
      </c>
      <c r="C67" s="8" t="s">
        <v>124</v>
      </c>
      <c r="D67" s="8"/>
      <c r="E67" s="34">
        <f>E34/E21</f>
        <v>0.59112554507471404</v>
      </c>
      <c r="F67" s="34">
        <f>F34/F21</f>
        <v>0.56158027094994722</v>
      </c>
      <c r="G67" s="34">
        <f xml:space="preserve"> G34/G21</f>
        <v>0.44766543644322376</v>
      </c>
      <c r="H67" s="8"/>
    </row>
    <row r="68" spans="1:8">
      <c r="A68" s="8" t="s">
        <v>125</v>
      </c>
      <c r="B68" s="8" t="s">
        <v>117</v>
      </c>
      <c r="C68" s="8" t="s">
        <v>126</v>
      </c>
      <c r="D68" s="8"/>
      <c r="E68" s="34">
        <f>E55/E51</f>
        <v>20.824999999999999</v>
      </c>
      <c r="F68" s="34">
        <f>F55/F51</f>
        <v>12.119047619047619</v>
      </c>
      <c r="G68" s="34">
        <f>G55/G51</f>
        <v>7.430769230769231</v>
      </c>
      <c r="H68" s="8"/>
    </row>
    <row r="69" spans="1:8">
      <c r="A69" s="8"/>
      <c r="B69" s="8"/>
      <c r="C69" s="8"/>
      <c r="D69" s="8"/>
      <c r="E69" s="34"/>
      <c r="F69" s="34"/>
      <c r="G69" s="34"/>
      <c r="H69" s="8"/>
    </row>
    <row r="70" spans="1:8">
      <c r="A70" s="15" t="s">
        <v>34</v>
      </c>
      <c r="B70" s="8"/>
      <c r="C70" s="8"/>
      <c r="D70" s="8"/>
      <c r="E70" s="34"/>
      <c r="F70" s="34"/>
      <c r="G70" s="34"/>
      <c r="H70" s="8"/>
    </row>
    <row r="71" spans="1:8">
      <c r="A71" s="16" t="s">
        <v>128</v>
      </c>
      <c r="B71" s="8"/>
      <c r="C71" s="8"/>
      <c r="D71" s="8"/>
      <c r="E71" s="34"/>
      <c r="F71" s="34"/>
      <c r="G71" s="34"/>
      <c r="H71" s="8"/>
    </row>
    <row r="72" spans="1:8">
      <c r="A72" s="8" t="s">
        <v>36</v>
      </c>
      <c r="B72" s="8" t="s">
        <v>117</v>
      </c>
      <c r="C72" s="8" t="s">
        <v>130</v>
      </c>
      <c r="D72" s="8"/>
      <c r="E72" s="34">
        <f>(E48-E49)/E48*100</f>
        <v>18.717872809968512</v>
      </c>
      <c r="F72" s="34">
        <f>(F48-F49)/F48*100</f>
        <v>39.743893763338868</v>
      </c>
      <c r="G72" s="34">
        <f>(G48-G49)/G48*100</f>
        <v>35.556007318560681</v>
      </c>
      <c r="H72" s="8"/>
    </row>
    <row r="73" spans="1:8">
      <c r="A73" s="8" t="s">
        <v>37</v>
      </c>
      <c r="B73" s="8" t="s">
        <v>132</v>
      </c>
      <c r="C73" s="8" t="s">
        <v>133</v>
      </c>
      <c r="D73" s="8"/>
      <c r="E73" s="34">
        <f>(E50/E48)*100</f>
        <v>6.9475468956051349</v>
      </c>
      <c r="F73" s="34">
        <f>(F50/F48)*100</f>
        <v>32.449608726582881</v>
      </c>
      <c r="G73" s="34">
        <f>(G50/G48)*100</f>
        <v>31.89672697702785</v>
      </c>
      <c r="H73" s="8"/>
    </row>
    <row r="74" spans="1:8">
      <c r="A74" s="8" t="s">
        <v>241</v>
      </c>
      <c r="B74" s="8" t="s">
        <v>117</v>
      </c>
      <c r="C74" s="8" t="s">
        <v>134</v>
      </c>
      <c r="D74" s="8"/>
      <c r="E74" s="34">
        <f>(E55/E48)*100</f>
        <v>4.4836773690018035</v>
      </c>
      <c r="F74" s="34">
        <f>(F55/F48)*100</f>
        <v>12.070192079677495</v>
      </c>
      <c r="G74" s="34">
        <f>(G55/G48)*100</f>
        <v>9.8190689164464331</v>
      </c>
      <c r="H74" s="8"/>
    </row>
    <row r="75" spans="1:8">
      <c r="A75" s="8" t="s">
        <v>242</v>
      </c>
      <c r="B75" s="8" t="s">
        <v>132</v>
      </c>
      <c r="C75" s="8" t="s">
        <v>136</v>
      </c>
      <c r="D75" s="8"/>
      <c r="E75" s="34">
        <f>(E54/E48)*100</f>
        <v>3.4609898538633366</v>
      </c>
      <c r="F75" s="34">
        <f>(F54/F48)*100</f>
        <v>17.230258477590706</v>
      </c>
      <c r="G75" s="34">
        <f>(G54/G48)*100</f>
        <v>18.49969505997154</v>
      </c>
      <c r="H75" s="8"/>
    </row>
    <row r="76" spans="1:8">
      <c r="A76" s="8"/>
      <c r="B76" s="8"/>
      <c r="C76" s="8"/>
      <c r="D76" s="8"/>
      <c r="E76" s="34"/>
      <c r="F76" s="34"/>
      <c r="G76" s="34"/>
      <c r="H76" s="8"/>
    </row>
    <row r="77" spans="1:8">
      <c r="A77" s="16" t="s">
        <v>138</v>
      </c>
      <c r="B77" s="8"/>
      <c r="C77" s="8"/>
      <c r="D77" s="8"/>
      <c r="E77" s="34"/>
      <c r="F77" s="34"/>
      <c r="G77" s="34"/>
      <c r="H77" s="8"/>
    </row>
    <row r="78" spans="1:8">
      <c r="A78" s="8" t="s">
        <v>40</v>
      </c>
      <c r="B78" s="8" t="s">
        <v>117</v>
      </c>
      <c r="C78" s="8" t="s">
        <v>139</v>
      </c>
      <c r="D78" s="8"/>
      <c r="E78" s="34">
        <f>(E54/E58)*100</f>
        <v>5.4866407124953342</v>
      </c>
      <c r="F78" s="34">
        <f>(F54/F58)*100</f>
        <v>6.2399093126309637</v>
      </c>
      <c r="G78" s="34">
        <f>(G54/G58)*100</f>
        <v>6.7258566690379622</v>
      </c>
      <c r="H78" s="8"/>
    </row>
    <row r="79" spans="1:8">
      <c r="A79" s="8" t="s">
        <v>41</v>
      </c>
      <c r="B79" s="8" t="s">
        <v>117</v>
      </c>
      <c r="C79" s="8" t="s">
        <v>140</v>
      </c>
      <c r="D79" s="8"/>
      <c r="E79" s="34">
        <f>(E54/E53)*100</f>
        <v>11.6659863019912</v>
      </c>
      <c r="F79" s="34">
        <f>(F54/F53)*100</f>
        <v>13.48402182385035</v>
      </c>
      <c r="G79" s="34">
        <f>(G54/G53)*100</f>
        <v>14.220972026879201</v>
      </c>
      <c r="H79" s="8"/>
    </row>
    <row r="80" spans="1:8">
      <c r="A80" s="8"/>
      <c r="B80" s="8"/>
      <c r="C80" s="8"/>
      <c r="D80" s="8"/>
      <c r="E80" s="34"/>
      <c r="F80" s="34"/>
      <c r="G80" s="34"/>
      <c r="H80" s="8"/>
    </row>
    <row r="81" spans="1:10">
      <c r="A81" s="15" t="s">
        <v>42</v>
      </c>
      <c r="B81" s="8"/>
      <c r="C81" s="8"/>
      <c r="D81" s="8"/>
      <c r="E81" s="34"/>
      <c r="F81" s="34"/>
      <c r="G81" s="34"/>
      <c r="H81" s="8"/>
      <c r="I81" s="52"/>
      <c r="J81" s="52"/>
    </row>
    <row r="82" spans="1:10">
      <c r="A82" s="8" t="s">
        <v>141</v>
      </c>
      <c r="B82" s="8" t="s">
        <v>117</v>
      </c>
      <c r="C82" s="8" t="s">
        <v>243</v>
      </c>
      <c r="D82" s="8"/>
      <c r="E82" s="34">
        <f>(E48/E57)*1000</f>
        <v>127359.04027420738</v>
      </c>
      <c r="F82" s="34">
        <f>(F48/F57)*1000</f>
        <v>35616.554054054053</v>
      </c>
      <c r="G82" s="34">
        <f>(G48/G57)*1000</f>
        <v>33377.438507209496</v>
      </c>
      <c r="H82" s="34">
        <f>E82*E88</f>
        <v>164293.16195372751</v>
      </c>
      <c r="I82" s="52">
        <f>F82*F88</f>
        <v>47370.016891891893</v>
      </c>
      <c r="J82" s="52">
        <f>G82*G88</f>
        <v>42723.121289228155</v>
      </c>
    </row>
    <row r="83" spans="1:10">
      <c r="A83" s="8" t="s">
        <v>145</v>
      </c>
      <c r="B83" s="8" t="s">
        <v>132</v>
      </c>
      <c r="C83" s="8" t="s">
        <v>146</v>
      </c>
      <c r="D83" s="8"/>
      <c r="E83" s="34">
        <f>E49/E59</f>
        <v>5.9008450153861185</v>
      </c>
      <c r="F83" s="34">
        <f>F49/F59</f>
        <v>1.0061373985349436</v>
      </c>
      <c r="G83" s="34">
        <f>G49/G59</f>
        <v>1.3322126497163269</v>
      </c>
      <c r="H83" s="8"/>
      <c r="I83" s="52"/>
      <c r="J83" s="52"/>
    </row>
    <row r="84" spans="1:10">
      <c r="A84" s="8"/>
      <c r="B84" s="8"/>
      <c r="C84" s="8"/>
      <c r="D84" s="8"/>
      <c r="E84" s="34"/>
      <c r="F84" s="34"/>
      <c r="G84" s="34"/>
      <c r="H84" s="8"/>
      <c r="I84" s="52"/>
      <c r="J84" s="52"/>
    </row>
    <row r="85" spans="1:10">
      <c r="A85" s="15" t="s">
        <v>48</v>
      </c>
      <c r="B85" s="8"/>
      <c r="C85" s="8"/>
      <c r="D85" s="8"/>
      <c r="E85" s="34"/>
      <c r="F85" s="34"/>
      <c r="G85" s="34"/>
      <c r="H85" s="8"/>
      <c r="I85" s="52"/>
      <c r="J85" s="52"/>
    </row>
    <row r="86" spans="1:10">
      <c r="A86" s="8" t="s">
        <v>148</v>
      </c>
      <c r="B86" s="8" t="s">
        <v>117</v>
      </c>
      <c r="C86" s="8" t="s">
        <v>149</v>
      </c>
      <c r="D86" s="8"/>
      <c r="E86" s="34">
        <f>E48/E58</f>
        <v>1.5852807850247987</v>
      </c>
      <c r="F86" s="34">
        <f>F48/F58</f>
        <v>0.36214832881041531</v>
      </c>
      <c r="G86" s="34">
        <f>G48/G58</f>
        <v>0.36356581269228283</v>
      </c>
      <c r="H86" s="8"/>
      <c r="I86" s="52"/>
      <c r="J86" s="52"/>
    </row>
    <row r="88" spans="1:10">
      <c r="A88" s="52" t="s">
        <v>244</v>
      </c>
      <c r="B88" s="52"/>
      <c r="C88" s="52"/>
      <c r="D88" s="52"/>
      <c r="E88" s="52">
        <v>1.29</v>
      </c>
      <c r="F88" s="52">
        <v>1.33</v>
      </c>
      <c r="G88" s="52">
        <v>1.28</v>
      </c>
      <c r="H88" s="52"/>
      <c r="I88" s="52"/>
      <c r="J88" s="52"/>
    </row>
  </sheetData>
  <mergeCells count="2">
    <mergeCell ref="A65:C65"/>
    <mergeCell ref="A61:F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00AD-281C-7D45-A0DC-B5D9A16954AB}">
  <dimension ref="A1:J51"/>
  <sheetViews>
    <sheetView zoomScale="75" zoomScaleNormal="75" workbookViewId="0">
      <selection activeCell="D31" sqref="D31"/>
    </sheetView>
  </sheetViews>
  <sheetFormatPr defaultColWidth="11.42578125" defaultRowHeight="15"/>
  <cols>
    <col min="1" max="1" width="22" bestFit="1" customWidth="1"/>
    <col min="2" max="2" width="14.42578125" customWidth="1"/>
    <col min="3" max="4" width="12.7109375" bestFit="1" customWidth="1"/>
    <col min="6" max="6" width="19.140625" bestFit="1" customWidth="1"/>
    <col min="7" max="8" width="12.7109375" bestFit="1" customWidth="1"/>
    <col min="9" max="9" width="18" customWidth="1"/>
  </cols>
  <sheetData>
    <row r="1" spans="1:10" ht="15.75">
      <c r="A1" s="68" t="s">
        <v>245</v>
      </c>
      <c r="B1" s="5">
        <v>2017</v>
      </c>
      <c r="C1" s="5">
        <v>2018</v>
      </c>
      <c r="D1" s="5">
        <v>2019</v>
      </c>
      <c r="E1" s="5"/>
      <c r="F1" s="66" t="s">
        <v>246</v>
      </c>
      <c r="G1" s="5">
        <v>2017</v>
      </c>
      <c r="H1" s="5">
        <v>2018</v>
      </c>
      <c r="I1" s="5">
        <v>2019</v>
      </c>
      <c r="J1" s="5"/>
    </row>
    <row r="2" spans="1:10" ht="15.75">
      <c r="A2" s="5" t="s">
        <v>247</v>
      </c>
      <c r="B2" s="5"/>
      <c r="C2" s="5"/>
      <c r="D2" s="5"/>
      <c r="E2" s="5"/>
      <c r="F2" s="66" t="s">
        <v>248</v>
      </c>
      <c r="G2" s="5"/>
      <c r="H2" s="5"/>
      <c r="I2" s="5"/>
      <c r="J2" s="5"/>
    </row>
    <row r="3" spans="1:10" ht="15.75">
      <c r="A3" s="66" t="s">
        <v>249</v>
      </c>
      <c r="B3" s="5"/>
      <c r="C3" s="5"/>
      <c r="D3" s="5"/>
      <c r="E3" s="5"/>
      <c r="F3" s="5" t="s">
        <v>250</v>
      </c>
      <c r="G3" s="5">
        <f>2629000000-G4-G5</f>
        <v>403000000</v>
      </c>
      <c r="H3" s="5">
        <f>2735000000-H4-H5</f>
        <v>403000000</v>
      </c>
      <c r="I3" s="5">
        <f>2765000000-I4-I5</f>
        <v>403000000</v>
      </c>
      <c r="J3" s="5"/>
    </row>
    <row r="4" spans="1:10">
      <c r="A4" s="5" t="s">
        <v>251</v>
      </c>
      <c r="B4" s="5">
        <v>1000000</v>
      </c>
      <c r="C4" s="5">
        <v>1000000</v>
      </c>
      <c r="D4" s="5">
        <v>200000000</v>
      </c>
      <c r="E4" s="5"/>
      <c r="F4" s="5" t="s">
        <v>252</v>
      </c>
      <c r="G4" s="5">
        <v>47000000</v>
      </c>
      <c r="H4" s="5">
        <v>47000000</v>
      </c>
      <c r="I4" s="5">
        <v>47000000</v>
      </c>
      <c r="J4" s="5"/>
    </row>
    <row r="5" spans="1:10">
      <c r="A5" s="5" t="s">
        <v>253</v>
      </c>
      <c r="B5" s="5">
        <v>99000000</v>
      </c>
      <c r="C5" s="5">
        <v>138000000</v>
      </c>
      <c r="D5" s="5">
        <v>139000000</v>
      </c>
      <c r="E5" s="5"/>
      <c r="F5" s="5" t="s">
        <v>254</v>
      </c>
      <c r="G5" s="5">
        <v>2179000000</v>
      </c>
      <c r="H5" s="5">
        <v>2285000000</v>
      </c>
      <c r="I5" s="5">
        <v>2315000000</v>
      </c>
      <c r="J5" s="5"/>
    </row>
    <row r="6" spans="1:10" ht="15.75">
      <c r="A6" s="5" t="s">
        <v>255</v>
      </c>
      <c r="B6" s="5">
        <v>3362000000</v>
      </c>
      <c r="C6" s="5">
        <v>4069000000</v>
      </c>
      <c r="D6" s="5">
        <v>4638000000</v>
      </c>
      <c r="E6" s="5"/>
      <c r="F6" s="66" t="s">
        <v>256</v>
      </c>
      <c r="G6" s="66">
        <v>780000000</v>
      </c>
      <c r="H6" s="66">
        <v>805000000</v>
      </c>
      <c r="I6" s="66">
        <v>805000000</v>
      </c>
      <c r="J6" s="5"/>
    </row>
    <row r="7" spans="1:10" ht="15.75">
      <c r="A7" s="66" t="s">
        <v>257</v>
      </c>
      <c r="B7" s="5"/>
      <c r="C7" s="5"/>
      <c r="D7" s="5"/>
      <c r="E7" s="5"/>
      <c r="F7" s="66" t="s">
        <v>258</v>
      </c>
      <c r="G7" s="5"/>
      <c r="H7" s="5"/>
      <c r="I7" s="5"/>
      <c r="J7" s="5"/>
    </row>
    <row r="8" spans="1:10">
      <c r="A8" s="5" t="s">
        <v>259</v>
      </c>
      <c r="B8" s="5">
        <v>3000000</v>
      </c>
      <c r="C8" s="5">
        <v>2000000</v>
      </c>
      <c r="D8" s="5">
        <v>3000000</v>
      </c>
      <c r="E8" s="5"/>
      <c r="F8" s="5" t="s">
        <v>260</v>
      </c>
      <c r="G8" s="5">
        <v>0</v>
      </c>
      <c r="H8" s="5">
        <v>0</v>
      </c>
      <c r="I8" s="5">
        <v>0</v>
      </c>
      <c r="J8" s="5"/>
    </row>
    <row r="9" spans="1:10">
      <c r="A9" s="5" t="s">
        <v>261</v>
      </c>
      <c r="B9" s="5">
        <f>612000000+1517000000</f>
        <v>2129000000</v>
      </c>
      <c r="C9" s="5">
        <f>772000000+1116000000</f>
        <v>1888000000</v>
      </c>
      <c r="D9" s="5">
        <f>783000000+650000000</f>
        <v>1433000000</v>
      </c>
      <c r="E9" s="5"/>
      <c r="F9" s="5" t="s">
        <v>262</v>
      </c>
      <c r="G9" s="5">
        <v>2316000000</v>
      </c>
      <c r="H9" s="5">
        <v>2678000000</v>
      </c>
      <c r="I9" s="5">
        <v>3026000000</v>
      </c>
      <c r="J9" s="5"/>
    </row>
    <row r="10" spans="1:10" ht="15.75">
      <c r="A10" s="5" t="s">
        <v>263</v>
      </c>
      <c r="B10" s="5">
        <v>99000000</v>
      </c>
      <c r="C10" s="5">
        <v>73000000</v>
      </c>
      <c r="D10" s="5">
        <v>115000000</v>
      </c>
      <c r="E10" s="5"/>
      <c r="F10" s="66" t="s">
        <v>264</v>
      </c>
      <c r="G10" s="66">
        <f>SUM(G3:G9)</f>
        <v>5725000000</v>
      </c>
      <c r="H10" s="66">
        <f>SUM(H3:H9)</f>
        <v>6218000000</v>
      </c>
      <c r="I10" s="66">
        <f>SUM(I3:I9)</f>
        <v>6596000000</v>
      </c>
      <c r="J10" s="5"/>
    </row>
    <row r="11" spans="1:10" ht="15.75">
      <c r="A11" s="66" t="s">
        <v>265</v>
      </c>
      <c r="B11" s="66">
        <f>6000000+26000000</f>
        <v>32000000</v>
      </c>
      <c r="C11" s="66">
        <f>4000000+43000000</f>
        <v>47000000</v>
      </c>
      <c r="D11" s="66">
        <f>4000000+64000000</f>
        <v>68000000</v>
      </c>
      <c r="E11" s="5"/>
      <c r="F11" s="5"/>
      <c r="G11" s="5"/>
      <c r="H11" s="5"/>
      <c r="I11" s="5"/>
      <c r="J11" s="5"/>
    </row>
    <row r="12" spans="1:10" ht="15.75">
      <c r="A12" s="66" t="s">
        <v>264</v>
      </c>
      <c r="B12" s="66">
        <f>SUM(B4:B11)</f>
        <v>5725000000</v>
      </c>
      <c r="C12" s="66">
        <f>SUM(C4:C11)</f>
        <v>6218000000</v>
      </c>
      <c r="D12" s="66">
        <f>SUM(D4:D11)</f>
        <v>6596000000</v>
      </c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15.75">
      <c r="A14" s="66" t="s">
        <v>266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ht="15.75">
      <c r="A15" s="5" t="s">
        <v>267</v>
      </c>
      <c r="B15" s="5">
        <v>1229000000</v>
      </c>
      <c r="C15" s="5">
        <v>1262000000</v>
      </c>
      <c r="D15" s="5">
        <v>1336000000</v>
      </c>
      <c r="E15" s="5"/>
      <c r="F15" s="66" t="s">
        <v>171</v>
      </c>
      <c r="G15" s="5">
        <f>B19+11000000</f>
        <v>153000000</v>
      </c>
      <c r="H15" s="5">
        <f>C19+11000000</f>
        <v>159000000</v>
      </c>
      <c r="I15" s="5">
        <f>D19+21000000</f>
        <v>104000000</v>
      </c>
      <c r="J15" s="5"/>
    </row>
    <row r="16" spans="1:10" ht="15.75">
      <c r="A16" s="5" t="s">
        <v>268</v>
      </c>
      <c r="B16" s="5">
        <f>-278000000-252000000</f>
        <v>-530000000</v>
      </c>
      <c r="C16" s="5">
        <f>-290000000-276000000</f>
        <v>-566000000</v>
      </c>
      <c r="D16" s="5">
        <f>-307000000-296000000</f>
        <v>-603000000</v>
      </c>
      <c r="E16" s="5"/>
      <c r="F16" s="66" t="s">
        <v>269</v>
      </c>
      <c r="G16" s="5">
        <v>5342000000</v>
      </c>
      <c r="H16" s="5"/>
      <c r="I16" s="5"/>
      <c r="J16" s="5"/>
    </row>
    <row r="17" spans="1:10" ht="15.75">
      <c r="A17" s="66" t="s">
        <v>270</v>
      </c>
      <c r="B17" s="66">
        <f>SUM(B15:B16)</f>
        <v>699000000</v>
      </c>
      <c r="C17" s="66">
        <f>SUM(C15:C16)</f>
        <v>696000000</v>
      </c>
      <c r="D17" s="66">
        <f>SUM(D15:D16)</f>
        <v>733000000</v>
      </c>
      <c r="E17" s="5"/>
      <c r="F17" s="66" t="s">
        <v>271</v>
      </c>
      <c r="G17" s="5">
        <v>5000000</v>
      </c>
      <c r="H17" s="5"/>
      <c r="I17" s="5"/>
      <c r="J17" s="5"/>
    </row>
    <row r="18" spans="1:10" ht="15.75">
      <c r="A18" s="5" t="s">
        <v>272</v>
      </c>
      <c r="B18" s="5">
        <f>-11000000-573000000+27000000</f>
        <v>-557000000</v>
      </c>
      <c r="C18" s="5">
        <f>-11000000-575000000+38000000</f>
        <v>-548000000</v>
      </c>
      <c r="D18" s="5">
        <f>-21000000-669000000+40000000</f>
        <v>-650000000</v>
      </c>
      <c r="E18" s="5"/>
      <c r="F18" s="66" t="s">
        <v>273</v>
      </c>
      <c r="G18" s="5">
        <v>2084</v>
      </c>
      <c r="H18" s="5">
        <v>2201</v>
      </c>
      <c r="I18" s="5">
        <v>2288</v>
      </c>
      <c r="J18" s="5"/>
    </row>
    <row r="19" spans="1:10" ht="15.75">
      <c r="A19" s="66" t="s">
        <v>233</v>
      </c>
      <c r="B19" s="66">
        <f>SUM(B17:B18)</f>
        <v>142000000</v>
      </c>
      <c r="C19" s="66">
        <f>SUM(C17:C18)</f>
        <v>148000000</v>
      </c>
      <c r="D19" s="66">
        <f>SUM(D17:D18)</f>
        <v>83000000</v>
      </c>
      <c r="E19" s="5"/>
      <c r="F19" s="5"/>
      <c r="G19" s="5"/>
      <c r="H19" s="5"/>
      <c r="I19" s="5"/>
      <c r="J19" s="5"/>
    </row>
    <row r="20" spans="1:10">
      <c r="A20" s="5" t="s">
        <v>274</v>
      </c>
      <c r="B20" s="5">
        <f>226000000</f>
        <v>226000000</v>
      </c>
      <c r="C20" s="5">
        <v>230000000</v>
      </c>
      <c r="D20" s="5">
        <v>180000000</v>
      </c>
      <c r="E20" s="5"/>
      <c r="F20" s="5"/>
      <c r="G20" s="5"/>
      <c r="H20" s="5"/>
      <c r="I20" s="5"/>
      <c r="J20" s="5"/>
    </row>
    <row r="21" spans="1:10">
      <c r="A21" s="5" t="s">
        <v>275</v>
      </c>
      <c r="B21" s="5">
        <f>-45000000-15000000</f>
        <v>-60000000</v>
      </c>
      <c r="C21" s="5">
        <f>-41000000-22000000</f>
        <v>-63000000</v>
      </c>
      <c r="D21" s="5">
        <f>-31000000-2000000</f>
        <v>-33000000</v>
      </c>
      <c r="E21" s="5"/>
      <c r="F21" s="5"/>
      <c r="G21" s="5"/>
      <c r="H21" s="5"/>
      <c r="I21" s="5"/>
      <c r="J21" s="5"/>
    </row>
    <row r="22" spans="1:10" ht="15.75">
      <c r="A22" s="66" t="s">
        <v>276</v>
      </c>
      <c r="B22" s="66">
        <f>SUM(B19:B21)</f>
        <v>308000000</v>
      </c>
      <c r="C22" s="66">
        <f>SUM(C19:C21)</f>
        <v>315000000</v>
      </c>
      <c r="D22" s="66">
        <f>SUM(D19:D21)</f>
        <v>230000000</v>
      </c>
      <c r="E22" s="5"/>
      <c r="F22" s="5"/>
      <c r="G22" s="5"/>
      <c r="H22" s="5"/>
      <c r="I22" s="5"/>
      <c r="J22" s="5"/>
    </row>
    <row r="23" spans="1:10">
      <c r="A23" s="5" t="s">
        <v>277</v>
      </c>
      <c r="B23" s="5">
        <v>-65000000</v>
      </c>
      <c r="C23" s="5">
        <v>-51000000</v>
      </c>
      <c r="D23" s="5">
        <v>-41000000</v>
      </c>
      <c r="E23" s="5"/>
      <c r="F23" s="5"/>
      <c r="G23" s="5"/>
      <c r="H23" s="5"/>
      <c r="I23" s="5"/>
      <c r="J23" s="5"/>
    </row>
    <row r="24" spans="1:10" ht="15.75">
      <c r="A24" s="66" t="s">
        <v>278</v>
      </c>
      <c r="B24" s="66">
        <f>SUM(B22:B23)</f>
        <v>243000000</v>
      </c>
      <c r="C24" s="66">
        <f>SUM(C22:C23)</f>
        <v>264000000</v>
      </c>
      <c r="D24" s="66">
        <f>SUM(D22:D23)</f>
        <v>189000000</v>
      </c>
      <c r="E24" s="5"/>
      <c r="F24" s="5"/>
      <c r="G24" s="5"/>
      <c r="H24" s="5"/>
      <c r="I24" s="5"/>
      <c r="J24" s="5"/>
    </row>
    <row r="25" spans="1:10">
      <c r="A25" s="52"/>
      <c r="B25" s="5"/>
      <c r="C25" s="5"/>
      <c r="D25" s="5"/>
      <c r="E25" s="5"/>
      <c r="F25" s="5"/>
      <c r="G25" s="5"/>
      <c r="H25" s="5"/>
      <c r="I25" s="5"/>
      <c r="J25" s="5"/>
    </row>
    <row r="26" spans="1:10" ht="15.75">
      <c r="A26" s="65" t="s">
        <v>279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2" t="s">
        <v>280</v>
      </c>
      <c r="B27" s="67">
        <f>(B8+B9+B10)/G9</f>
        <v>0.96329879101899829</v>
      </c>
      <c r="C27" s="67">
        <f>(C8+C9+C10)/H9</f>
        <v>0.73300970873786409</v>
      </c>
      <c r="D27" s="67">
        <f>(D8+D9+D10)/I9</f>
        <v>0.51255783212161266</v>
      </c>
      <c r="E27" s="5"/>
      <c r="F27" s="5"/>
      <c r="G27" s="5"/>
      <c r="H27" s="5"/>
      <c r="I27" s="5"/>
      <c r="J27" s="5"/>
    </row>
    <row r="28" spans="1:10">
      <c r="A28" s="52" t="s">
        <v>281</v>
      </c>
      <c r="B28" s="67">
        <f>(B9+B10)/G9</f>
        <v>0.96200345423143352</v>
      </c>
      <c r="C28" s="67">
        <f>((C8+C9+C10)-C8)/H9</f>
        <v>0.73226288274831963</v>
      </c>
      <c r="D28" s="67">
        <f>(D9+D10)/I9</f>
        <v>0.51156642432253796</v>
      </c>
      <c r="E28" s="5"/>
      <c r="F28" s="5"/>
      <c r="G28" s="5"/>
      <c r="H28" s="5"/>
      <c r="I28" s="5"/>
      <c r="J28" s="5"/>
    </row>
    <row r="29" spans="1:10">
      <c r="A29" s="52"/>
      <c r="B29" s="67"/>
      <c r="C29" s="67"/>
      <c r="D29" s="67"/>
      <c r="E29" s="5"/>
      <c r="F29" s="5"/>
      <c r="G29" s="5"/>
      <c r="H29" s="5"/>
      <c r="I29" s="5"/>
      <c r="J29" s="5"/>
    </row>
    <row r="30" spans="1:10" ht="15.75">
      <c r="A30" s="65" t="s">
        <v>282</v>
      </c>
      <c r="B30" s="67"/>
      <c r="C30" s="67"/>
      <c r="D30" s="67"/>
      <c r="E30" s="5"/>
      <c r="F30" s="5"/>
      <c r="G30" s="5"/>
      <c r="H30" s="5"/>
      <c r="I30" s="5"/>
      <c r="J30" s="5"/>
    </row>
    <row r="31" spans="1:10">
      <c r="A31" s="52" t="s">
        <v>283</v>
      </c>
      <c r="B31" s="67">
        <f>(G8+G9)/(G3+G4+G5)</f>
        <v>0.88094332445796886</v>
      </c>
      <c r="C31" s="67">
        <f>(H8+H9)/(H3+H4+H5)</f>
        <v>0.97915904936014631</v>
      </c>
      <c r="D31" s="67">
        <f>(I8+I9)/(I3+I4+I5)</f>
        <v>1.0943942133815552</v>
      </c>
      <c r="E31" s="5"/>
      <c r="F31" s="5"/>
      <c r="G31" s="5"/>
      <c r="H31" s="5"/>
      <c r="I31" s="5"/>
      <c r="J31" s="5"/>
    </row>
    <row r="32" spans="1:10">
      <c r="A32" s="52" t="s">
        <v>284</v>
      </c>
      <c r="B32" s="67" t="s">
        <v>33</v>
      </c>
      <c r="C32" s="67" t="s">
        <v>33</v>
      </c>
      <c r="D32" s="67" t="s">
        <v>33</v>
      </c>
      <c r="E32" s="5"/>
      <c r="F32" s="5"/>
      <c r="G32" s="5"/>
      <c r="H32" s="5"/>
      <c r="I32" s="5"/>
      <c r="J32" s="5"/>
    </row>
    <row r="33" spans="1:10">
      <c r="A33" s="52" t="s">
        <v>285</v>
      </c>
      <c r="B33" s="67">
        <f>B19/(-B21)</f>
        <v>2.3666666666666667</v>
      </c>
      <c r="C33" s="67">
        <f>C19/(-C21)</f>
        <v>2.3492063492063493</v>
      </c>
      <c r="D33" s="67">
        <f>D19/(-D21)</f>
        <v>2.5151515151515151</v>
      </c>
      <c r="E33" s="5"/>
      <c r="F33" s="5"/>
      <c r="G33" s="5"/>
      <c r="H33" s="5"/>
      <c r="I33" s="5"/>
      <c r="J33" s="5"/>
    </row>
    <row r="34" spans="1:10">
      <c r="A34" s="52"/>
      <c r="B34" s="67"/>
      <c r="C34" s="67"/>
      <c r="D34" s="67"/>
      <c r="E34" s="5"/>
      <c r="F34" s="5"/>
      <c r="G34" s="5"/>
      <c r="H34" s="5"/>
      <c r="I34" s="5"/>
      <c r="J34" s="5"/>
    </row>
    <row r="35" spans="1:10" ht="15.75">
      <c r="A35" s="65" t="s">
        <v>286</v>
      </c>
      <c r="B35" s="67"/>
      <c r="C35" s="67"/>
      <c r="D35" s="67"/>
      <c r="E35" s="52"/>
      <c r="F35" s="52"/>
      <c r="G35" s="52"/>
      <c r="H35" s="52"/>
      <c r="I35" s="52"/>
      <c r="J35" s="52"/>
    </row>
    <row r="36" spans="1:10">
      <c r="A36" s="52" t="s">
        <v>287</v>
      </c>
      <c r="B36" s="67">
        <f>(B17/B15)*100</f>
        <v>56.875508543531325</v>
      </c>
      <c r="C36" s="67">
        <f>(C17/C15)*100</f>
        <v>55.150554675118855</v>
      </c>
      <c r="D36" s="67">
        <f>(D17/D15)*100</f>
        <v>54.865269461077851</v>
      </c>
      <c r="E36" s="52"/>
      <c r="F36" s="52"/>
      <c r="G36" s="52"/>
      <c r="H36" s="52"/>
      <c r="I36" s="52"/>
      <c r="J36" s="52"/>
    </row>
    <row r="37" spans="1:10">
      <c r="A37" s="52" t="s">
        <v>288</v>
      </c>
      <c r="B37" s="67">
        <f>(G15/B15)*100</f>
        <v>12.449145646867372</v>
      </c>
      <c r="C37" s="67">
        <f>(H15/C15)*100</f>
        <v>12.599049128367671</v>
      </c>
      <c r="D37" s="67">
        <f>(I15/D15)*100</f>
        <v>7.7844311377245514</v>
      </c>
      <c r="E37" s="52"/>
      <c r="F37" s="52"/>
      <c r="G37" s="52"/>
      <c r="H37" s="52"/>
      <c r="I37" s="52"/>
      <c r="J37" s="52"/>
    </row>
    <row r="38" spans="1:10">
      <c r="A38" s="52" t="s">
        <v>289</v>
      </c>
      <c r="B38" s="67">
        <f>(B19/B15)*100</f>
        <v>11.554109031733116</v>
      </c>
      <c r="C38" s="67">
        <f>(C19/C15)*100</f>
        <v>11.727416798732172</v>
      </c>
      <c r="D38" s="67">
        <f>(D19/D15)*100</f>
        <v>6.2125748502994007</v>
      </c>
      <c r="E38" s="52"/>
      <c r="F38" s="52"/>
      <c r="G38" s="52"/>
      <c r="H38" s="52"/>
      <c r="I38" s="52"/>
      <c r="J38" s="52"/>
    </row>
    <row r="39" spans="1:10">
      <c r="A39" s="52" t="s">
        <v>290</v>
      </c>
      <c r="B39" s="67">
        <f>(B24/B15)*100</f>
        <v>19.772172497965826</v>
      </c>
      <c r="C39" s="67">
        <f>(C24/C15)*100</f>
        <v>20.91917591125198</v>
      </c>
      <c r="D39" s="67">
        <f>(D24/D15)*100</f>
        <v>14.146706586826346</v>
      </c>
      <c r="E39" s="52"/>
      <c r="F39" s="52"/>
      <c r="G39" s="52"/>
      <c r="H39" s="52"/>
      <c r="I39" s="52"/>
      <c r="J39" s="52"/>
    </row>
    <row r="40" spans="1:10">
      <c r="A40" s="52"/>
      <c r="B40" s="67"/>
      <c r="C40" s="67"/>
      <c r="D40" s="67"/>
      <c r="E40" s="52"/>
      <c r="F40" s="52"/>
      <c r="G40" s="52"/>
      <c r="H40" s="52"/>
      <c r="I40" s="52"/>
      <c r="J40" s="52"/>
    </row>
    <row r="41" spans="1:10" ht="15.75">
      <c r="A41" s="65" t="s">
        <v>181</v>
      </c>
      <c r="B41" s="67"/>
      <c r="C41" s="67"/>
      <c r="D41" s="67"/>
      <c r="E41" s="52"/>
      <c r="F41" s="52"/>
      <c r="G41" s="52"/>
      <c r="H41" s="52"/>
      <c r="I41" s="52"/>
      <c r="J41" s="52"/>
    </row>
    <row r="42" spans="1:10">
      <c r="A42" s="52" t="s">
        <v>291</v>
      </c>
      <c r="B42" s="67">
        <f>B24/((G16+B12)/2)*100</f>
        <v>4.3914339929520194</v>
      </c>
      <c r="C42" s="67">
        <f>C24/((H16+C12)/2)*100</f>
        <v>8.4914763589578648</v>
      </c>
      <c r="D42" s="67">
        <f>D24/((I16+D12)/2)*100</f>
        <v>5.7307459066100668</v>
      </c>
      <c r="E42" s="52"/>
      <c r="F42" s="52"/>
      <c r="G42" s="52"/>
      <c r="H42" s="52"/>
      <c r="I42" s="52"/>
      <c r="J42" s="52"/>
    </row>
    <row r="43" spans="1:10">
      <c r="A43" s="52" t="s">
        <v>292</v>
      </c>
      <c r="B43" s="67">
        <f>B24/(G3+G4+G5)*100</f>
        <v>9.2430581970330916</v>
      </c>
      <c r="C43" s="67">
        <f>C24/(H3+H4+H5)*100</f>
        <v>9.6526508226691039</v>
      </c>
      <c r="D43" s="67">
        <f>D24/(I3+I4+I5)*100</f>
        <v>6.8354430379746836</v>
      </c>
      <c r="E43" s="52"/>
      <c r="F43" s="52"/>
      <c r="G43" s="52"/>
      <c r="H43" s="52"/>
      <c r="I43" s="52"/>
      <c r="J43" s="52"/>
    </row>
    <row r="44" spans="1:10">
      <c r="A44" s="52"/>
      <c r="B44" s="67"/>
      <c r="C44" s="67"/>
      <c r="D44" s="67"/>
      <c r="E44" s="52"/>
      <c r="F44" s="52"/>
      <c r="G44" s="52"/>
      <c r="H44" s="52"/>
      <c r="I44" s="52"/>
      <c r="J44" s="52"/>
    </row>
    <row r="45" spans="1:10" ht="15.75">
      <c r="A45" s="65" t="s">
        <v>293</v>
      </c>
      <c r="B45" s="67"/>
      <c r="C45" s="67"/>
      <c r="D45" s="67"/>
      <c r="E45" s="52"/>
      <c r="F45" s="52"/>
      <c r="G45" s="52"/>
      <c r="H45" s="52"/>
      <c r="I45" s="52"/>
      <c r="J45" s="52"/>
    </row>
    <row r="46" spans="1:10">
      <c r="A46" s="52" t="s">
        <v>294</v>
      </c>
      <c r="B46" s="67">
        <f>B15/G18</f>
        <v>589731.28598848369</v>
      </c>
      <c r="C46" s="67">
        <f>C15/H18</f>
        <v>573375.73830077238</v>
      </c>
      <c r="D46" s="67">
        <f>D15/I18</f>
        <v>583916.08391608391</v>
      </c>
      <c r="E46" s="52"/>
      <c r="F46" s="52"/>
      <c r="G46" s="52"/>
      <c r="H46" s="52"/>
      <c r="I46" s="52"/>
      <c r="J46" s="52"/>
    </row>
    <row r="47" spans="1:10">
      <c r="A47" s="52" t="s">
        <v>295</v>
      </c>
      <c r="B47" s="67">
        <f>(-B16)/((G17+B8)/2)</f>
        <v>132.5</v>
      </c>
      <c r="C47" s="67">
        <f>(-C16)/((H17+C8)/2)</f>
        <v>566</v>
      </c>
      <c r="D47" s="67">
        <f>(-D16)/((I17+D8)/2)</f>
        <v>402</v>
      </c>
      <c r="E47" s="52"/>
      <c r="F47" s="52"/>
      <c r="G47" s="52"/>
      <c r="H47" s="52"/>
      <c r="I47" s="52"/>
      <c r="J47" s="52"/>
    </row>
    <row r="48" spans="1:10">
      <c r="A48" s="52"/>
      <c r="B48" s="67"/>
      <c r="C48" s="67"/>
      <c r="D48" s="67"/>
      <c r="E48" s="52"/>
      <c r="F48" s="52"/>
      <c r="G48" s="52"/>
      <c r="H48" s="52"/>
      <c r="I48" s="52"/>
      <c r="J48" s="52"/>
    </row>
    <row r="49" spans="1:10" ht="15.75">
      <c r="A49" s="65" t="s">
        <v>296</v>
      </c>
      <c r="B49" s="67"/>
      <c r="C49" s="67"/>
      <c r="D49" s="67"/>
      <c r="E49" s="52"/>
      <c r="F49" s="52"/>
      <c r="G49" s="52"/>
      <c r="H49" s="52"/>
      <c r="I49" s="52"/>
      <c r="J49" s="52"/>
    </row>
    <row r="50" spans="1:10">
      <c r="A50" s="52" t="s">
        <v>297</v>
      </c>
      <c r="B50" s="67">
        <f>B15/((G16+B12)/2)</f>
        <v>0.22210174392337581</v>
      </c>
      <c r="C50" s="67">
        <f>C15/((H16+C12)/2)</f>
        <v>0.4059183017047282</v>
      </c>
      <c r="D50" s="67">
        <f>D15/((I16+D12)/2)</f>
        <v>0.40509399636143117</v>
      </c>
      <c r="E50" s="52"/>
      <c r="F50" s="52"/>
      <c r="G50" s="52"/>
      <c r="H50" s="52"/>
      <c r="I50" s="52"/>
      <c r="J50" s="52"/>
    </row>
    <row r="51" spans="1:10">
      <c r="A51" s="52"/>
      <c r="B51" s="52"/>
      <c r="C51" s="52"/>
      <c r="D51" s="52"/>
      <c r="E51" s="52"/>
      <c r="F51" s="52"/>
      <c r="G51" s="52"/>
      <c r="H51" s="52"/>
      <c r="I51" s="52"/>
      <c r="J51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1E87-6291-4738-8192-670E5E4237E6}">
  <dimension ref="A1:U35"/>
  <sheetViews>
    <sheetView workbookViewId="0">
      <selection activeCell="I14" sqref="I14"/>
    </sheetView>
  </sheetViews>
  <sheetFormatPr defaultColWidth="8.85546875" defaultRowHeight="15"/>
  <cols>
    <col min="1" max="1" width="33.140625" bestFit="1" customWidth="1"/>
    <col min="2" max="2" width="2" bestFit="1" customWidth="1"/>
    <col min="8" max="8" width="20.7109375" customWidth="1"/>
    <col min="9" max="9" width="15" bestFit="1" customWidth="1"/>
    <col min="13" max="13" width="13.85546875" customWidth="1"/>
    <col min="14" max="14" width="16.28515625" bestFit="1" customWidth="1"/>
    <col min="15" max="15" width="3.7109375" customWidth="1"/>
    <col min="16" max="16" width="9.7109375" bestFit="1" customWidth="1"/>
    <col min="18" max="18" width="15.28515625" bestFit="1" customWidth="1"/>
    <col min="19" max="19" width="16.28515625" bestFit="1" customWidth="1"/>
    <col min="20" max="20" width="3.42578125" customWidth="1"/>
    <col min="21" max="21" width="11.28515625" bestFit="1" customWidth="1"/>
  </cols>
  <sheetData>
    <row r="1" spans="1:21">
      <c r="A1" s="2" t="s">
        <v>114</v>
      </c>
      <c r="B1" s="53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>
      <c r="A2" s="52"/>
      <c r="B2" s="52"/>
      <c r="C2" s="52"/>
      <c r="D2" s="52"/>
      <c r="E2" s="52"/>
      <c r="F2" s="52"/>
      <c r="G2" s="52"/>
      <c r="H2" s="52"/>
      <c r="I2" s="52"/>
      <c r="J2" s="52"/>
      <c r="K2" s="53">
        <v>2019</v>
      </c>
      <c r="L2" s="52"/>
      <c r="M2" s="52"/>
      <c r="N2" s="52"/>
      <c r="O2" s="52"/>
      <c r="P2" s="53">
        <v>2018</v>
      </c>
      <c r="Q2" s="52"/>
      <c r="R2" s="52"/>
      <c r="S2" s="52"/>
      <c r="T2" s="52"/>
      <c r="U2" s="53">
        <v>2017</v>
      </c>
    </row>
    <row r="3" spans="1:21">
      <c r="A3" s="52" t="s">
        <v>115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1">
      <c r="A4" s="52" t="s">
        <v>116</v>
      </c>
      <c r="B4" s="52" t="s">
        <v>117</v>
      </c>
      <c r="C4" s="52" t="s">
        <v>118</v>
      </c>
      <c r="D4" s="52"/>
      <c r="E4" s="52"/>
      <c r="F4" s="52"/>
      <c r="G4" s="52"/>
      <c r="H4" s="52" t="s">
        <v>298</v>
      </c>
      <c r="I4" s="52" t="s">
        <v>299</v>
      </c>
      <c r="J4" s="52" t="s">
        <v>300</v>
      </c>
      <c r="K4" s="52" t="s">
        <v>301</v>
      </c>
      <c r="L4" s="52"/>
      <c r="M4" s="55">
        <f>49542000-21214000</f>
        <v>28328000</v>
      </c>
      <c r="N4" s="55">
        <v>19903000</v>
      </c>
      <c r="O4" s="55"/>
      <c r="P4" s="41">
        <f>M4/N4</f>
        <v>1.4233030196452796</v>
      </c>
      <c r="Q4" s="55"/>
      <c r="R4" s="55">
        <f>15422000-5265000</f>
        <v>10157000</v>
      </c>
      <c r="S4" s="55">
        <v>13361000</v>
      </c>
      <c r="T4" s="52"/>
      <c r="U4" s="41">
        <f>R4/S4</f>
        <v>0.76019759000074849</v>
      </c>
    </row>
    <row r="5" spans="1:21">
      <c r="A5" s="52" t="s">
        <v>86</v>
      </c>
      <c r="B5" s="52" t="s">
        <v>117</v>
      </c>
      <c r="C5" s="52" t="s">
        <v>119</v>
      </c>
      <c r="D5" s="52"/>
      <c r="E5" s="52"/>
      <c r="F5" s="52"/>
      <c r="G5" s="52"/>
      <c r="H5" s="52"/>
      <c r="I5" s="52"/>
      <c r="J5" s="52"/>
      <c r="K5" s="52" t="s">
        <v>302</v>
      </c>
      <c r="L5" s="52"/>
      <c r="M5" s="55">
        <v>49542000</v>
      </c>
      <c r="N5" s="55">
        <f>N4</f>
        <v>19903000</v>
      </c>
      <c r="O5" s="52"/>
      <c r="P5" s="41">
        <f>M5/N5</f>
        <v>2.489172486559815</v>
      </c>
      <c r="Q5" s="52"/>
      <c r="R5" s="55">
        <v>15422000</v>
      </c>
      <c r="S5" s="55">
        <v>13361000</v>
      </c>
      <c r="T5" s="52"/>
      <c r="U5" s="41">
        <f>R5/S5</f>
        <v>1.1542549210388444</v>
      </c>
    </row>
    <row r="6" spans="1:21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41"/>
      <c r="Q6" s="52"/>
      <c r="R6" s="52"/>
      <c r="S6" s="52"/>
      <c r="T6" s="52"/>
      <c r="U6" s="41"/>
    </row>
    <row r="7" spans="1:21">
      <c r="A7" s="52" t="s">
        <v>120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41"/>
      <c r="Q7" s="52"/>
      <c r="R7" s="52"/>
      <c r="S7" s="52"/>
      <c r="T7" s="52"/>
      <c r="U7" s="41"/>
    </row>
    <row r="8" spans="1:21">
      <c r="A8" s="52" t="s">
        <v>121</v>
      </c>
      <c r="B8" s="52" t="s">
        <v>117</v>
      </c>
      <c r="C8" s="52" t="s">
        <v>122</v>
      </c>
      <c r="D8" s="52"/>
      <c r="E8" s="52"/>
      <c r="F8" s="52"/>
      <c r="G8" s="52"/>
      <c r="H8" s="52" t="s">
        <v>303</v>
      </c>
      <c r="I8" s="52" t="s">
        <v>304</v>
      </c>
      <c r="J8" s="52"/>
      <c r="K8" s="52" t="s">
        <v>305</v>
      </c>
      <c r="L8" s="52"/>
      <c r="M8" s="55">
        <v>111206000</v>
      </c>
      <c r="N8" s="55">
        <v>224961000</v>
      </c>
      <c r="O8" s="52"/>
      <c r="P8" s="41">
        <f>M8/N8</f>
        <v>0.4943345735483039</v>
      </c>
      <c r="Q8" s="52"/>
      <c r="R8" s="55">
        <v>83185000</v>
      </c>
      <c r="S8" s="55">
        <v>33604000</v>
      </c>
      <c r="T8" s="52"/>
      <c r="U8" s="41">
        <f>R8/S8</f>
        <v>2.4754493512677063</v>
      </c>
    </row>
    <row r="9" spans="1:21">
      <c r="A9" s="52" t="s">
        <v>123</v>
      </c>
      <c r="B9" s="52" t="s">
        <v>117</v>
      </c>
      <c r="C9" s="52" t="s">
        <v>124</v>
      </c>
      <c r="D9" s="52"/>
      <c r="E9" s="52"/>
      <c r="F9" s="52"/>
      <c r="G9" s="52"/>
      <c r="H9" s="52" t="s">
        <v>303</v>
      </c>
      <c r="I9" s="52" t="s">
        <v>306</v>
      </c>
      <c r="J9" s="52"/>
      <c r="K9" s="52" t="s">
        <v>307</v>
      </c>
      <c r="L9" s="52"/>
      <c r="M9" s="55">
        <v>111206000</v>
      </c>
      <c r="N9" s="55">
        <v>358065000</v>
      </c>
      <c r="O9" s="52"/>
      <c r="P9" s="41">
        <f>M9/N9</f>
        <v>0.3105748956195104</v>
      </c>
      <c r="Q9" s="52"/>
      <c r="R9" s="55">
        <v>83185000</v>
      </c>
      <c r="S9" s="55">
        <v>194205000</v>
      </c>
      <c r="T9" s="52"/>
      <c r="U9" s="41">
        <f>R9/S9</f>
        <v>0.42833603666228987</v>
      </c>
    </row>
    <row r="10" spans="1:21">
      <c r="A10" s="52" t="s">
        <v>125</v>
      </c>
      <c r="B10" s="52" t="s">
        <v>117</v>
      </c>
      <c r="C10" s="52" t="s">
        <v>126</v>
      </c>
      <c r="D10" s="52"/>
      <c r="E10" s="52"/>
      <c r="F10" s="52"/>
      <c r="G10" s="52"/>
      <c r="H10" s="52" t="s">
        <v>308</v>
      </c>
      <c r="I10" s="9" t="s">
        <v>45</v>
      </c>
      <c r="J10" s="52"/>
      <c r="K10" s="9" t="s">
        <v>45</v>
      </c>
      <c r="L10" s="52"/>
      <c r="M10" s="89">
        <v>12210000</v>
      </c>
      <c r="N10" s="9" t="s">
        <v>45</v>
      </c>
      <c r="O10" s="52"/>
      <c r="P10" s="9" t="s">
        <v>45</v>
      </c>
      <c r="Q10" s="52"/>
      <c r="R10" s="79">
        <v>2905000</v>
      </c>
      <c r="S10" s="9" t="s">
        <v>45</v>
      </c>
      <c r="T10" s="52"/>
      <c r="U10" s="9" t="s">
        <v>45</v>
      </c>
    </row>
    <row r="12" spans="1:21">
      <c r="A12" s="52" t="s">
        <v>34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  <row r="13" spans="1:21">
      <c r="A13" s="52" t="s">
        <v>128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</row>
    <row r="14" spans="1:21">
      <c r="A14" s="52" t="s">
        <v>309</v>
      </c>
      <c r="B14" s="52" t="s">
        <v>117</v>
      </c>
      <c r="C14" s="52" t="s">
        <v>130</v>
      </c>
      <c r="D14" s="52"/>
      <c r="E14" s="52"/>
      <c r="F14" s="52"/>
      <c r="G14" s="52"/>
      <c r="H14" s="52" t="s">
        <v>310</v>
      </c>
      <c r="I14" s="52" t="s">
        <v>311</v>
      </c>
      <c r="J14" s="52"/>
      <c r="K14" s="52" t="s">
        <v>312</v>
      </c>
      <c r="L14" s="52"/>
      <c r="M14" s="55">
        <f>94039000-51222000</f>
        <v>42817000</v>
      </c>
      <c r="N14" s="55">
        <f>94039000</f>
        <v>94039000</v>
      </c>
      <c r="O14" s="52"/>
      <c r="P14" s="41">
        <f>M14/N14*100</f>
        <v>45.531109433320218</v>
      </c>
      <c r="Q14" s="52"/>
      <c r="R14" s="75">
        <v>25435000</v>
      </c>
      <c r="S14" s="75">
        <v>42368000</v>
      </c>
      <c r="T14" s="52"/>
      <c r="U14" s="41">
        <f>(R14/S14)*100</f>
        <v>60.033515861027183</v>
      </c>
    </row>
    <row r="15" spans="1:21">
      <c r="A15" s="52" t="s">
        <v>313</v>
      </c>
      <c r="B15" s="52" t="s">
        <v>132</v>
      </c>
      <c r="C15" s="52" t="s">
        <v>133</v>
      </c>
      <c r="D15" s="52"/>
      <c r="E15" s="52"/>
      <c r="F15" s="52"/>
      <c r="G15" s="52"/>
      <c r="H15" s="52" t="s">
        <v>314</v>
      </c>
      <c r="I15" s="52" t="s">
        <v>311</v>
      </c>
      <c r="J15" s="52"/>
      <c r="K15" s="52" t="s">
        <v>315</v>
      </c>
      <c r="L15" s="52"/>
      <c r="M15" s="75">
        <v>15217000</v>
      </c>
      <c r="N15" s="55">
        <f>94039000</f>
        <v>94039000</v>
      </c>
      <c r="O15" s="52"/>
      <c r="P15" s="41">
        <f>M15/N15*100</f>
        <v>16.181584236327481</v>
      </c>
      <c r="Q15" s="52"/>
      <c r="R15" s="75">
        <v>5143000</v>
      </c>
      <c r="S15" s="75">
        <v>42368000</v>
      </c>
      <c r="T15" s="52"/>
      <c r="U15" s="41">
        <f>(R15/S15)*100</f>
        <v>12.13887839879154</v>
      </c>
    </row>
    <row r="16" spans="1:21">
      <c r="A16" s="52" t="s">
        <v>316</v>
      </c>
      <c r="B16" s="52" t="s">
        <v>117</v>
      </c>
      <c r="C16" s="52" t="s">
        <v>134</v>
      </c>
      <c r="D16" s="52"/>
      <c r="E16" s="52"/>
      <c r="F16" s="52"/>
      <c r="G16" s="52"/>
      <c r="H16" s="82">
        <v>16043000</v>
      </c>
      <c r="I16" s="50" t="s">
        <v>311</v>
      </c>
      <c r="J16" s="50"/>
      <c r="K16" s="52" t="s">
        <v>317</v>
      </c>
      <c r="L16" s="52"/>
      <c r="M16" s="79">
        <v>12210000</v>
      </c>
      <c r="N16" s="83">
        <f>94039000</f>
        <v>94039000</v>
      </c>
      <c r="O16" s="52"/>
      <c r="P16" s="41">
        <f>M16/N16*100</f>
        <v>12.983974733887004</v>
      </c>
      <c r="Q16" s="52"/>
      <c r="R16" s="75">
        <v>2905000</v>
      </c>
      <c r="S16" s="75">
        <v>42368000</v>
      </c>
      <c r="T16" s="52"/>
      <c r="U16" s="41">
        <f>(R16/S16)*100</f>
        <v>6.8565898791540789</v>
      </c>
    </row>
    <row r="17" spans="1:21">
      <c r="A17" s="52" t="s">
        <v>318</v>
      </c>
      <c r="B17" s="52" t="s">
        <v>132</v>
      </c>
      <c r="C17" s="52" t="s">
        <v>136</v>
      </c>
      <c r="D17" s="52"/>
      <c r="E17" s="52"/>
      <c r="F17" s="52"/>
      <c r="G17" s="52"/>
      <c r="H17" s="52" t="s">
        <v>319</v>
      </c>
      <c r="I17" s="52" t="s">
        <v>311</v>
      </c>
      <c r="J17" s="52"/>
      <c r="K17" s="52" t="s">
        <v>320</v>
      </c>
      <c r="L17" s="52"/>
      <c r="M17" s="75">
        <v>10402000</v>
      </c>
      <c r="N17" s="55">
        <f>94039000</f>
        <v>94039000</v>
      </c>
      <c r="O17" s="52"/>
      <c r="P17" s="41">
        <f t="shared" ref="P17" si="0">M17/N17*100</f>
        <v>11.061368155765161</v>
      </c>
      <c r="Q17" s="52"/>
      <c r="R17" s="75">
        <v>2016000</v>
      </c>
      <c r="S17" s="75">
        <v>42368000</v>
      </c>
      <c r="T17" s="52"/>
      <c r="U17" s="41">
        <f>(R17/S17)*100</f>
        <v>4.7583081570996981</v>
      </c>
    </row>
    <row r="18" spans="1:2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</row>
    <row r="19" spans="1:21">
      <c r="A19" s="52" t="s">
        <v>138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</row>
    <row r="20" spans="1:21">
      <c r="A20" s="52" t="s">
        <v>321</v>
      </c>
      <c r="B20" s="52" t="s">
        <v>117</v>
      </c>
      <c r="C20" s="52" t="s">
        <v>139</v>
      </c>
      <c r="D20" s="52"/>
      <c r="E20" s="52"/>
      <c r="F20" s="52"/>
      <c r="G20" s="52"/>
      <c r="H20" s="52" t="s">
        <v>319</v>
      </c>
      <c r="I20" s="82">
        <v>322362000</v>
      </c>
      <c r="J20" s="52"/>
      <c r="K20" s="75" t="s">
        <v>322</v>
      </c>
      <c r="L20" s="52"/>
      <c r="M20" s="75">
        <v>10402000</v>
      </c>
      <c r="N20" s="79">
        <v>322362000</v>
      </c>
      <c r="O20" s="52"/>
      <c r="P20" s="84">
        <f>M20/N20*100</f>
        <v>3.2268071298726273</v>
      </c>
      <c r="Q20" s="52"/>
      <c r="R20" s="75">
        <v>2016000</v>
      </c>
      <c r="S20" s="79">
        <v>322362000</v>
      </c>
      <c r="T20" s="52"/>
      <c r="U20" s="41">
        <f>(R20/S20)*100</f>
        <v>0.62538388519738675</v>
      </c>
    </row>
    <row r="21" spans="1:21">
      <c r="A21" s="52" t="s">
        <v>323</v>
      </c>
      <c r="B21" s="52" t="s">
        <v>117</v>
      </c>
      <c r="C21" s="52" t="s">
        <v>140</v>
      </c>
      <c r="D21" s="52"/>
      <c r="E21" s="52"/>
      <c r="F21" s="52"/>
      <c r="G21" s="52"/>
      <c r="H21" s="52" t="s">
        <v>319</v>
      </c>
      <c r="I21" s="52" t="s">
        <v>304</v>
      </c>
      <c r="J21" s="52"/>
      <c r="K21" s="52" t="s">
        <v>324</v>
      </c>
      <c r="L21" s="52"/>
      <c r="M21" s="75">
        <v>10402000</v>
      </c>
      <c r="N21" s="75">
        <v>215884000</v>
      </c>
      <c r="O21" s="52"/>
      <c r="P21" s="41">
        <f>M21/N21*100</f>
        <v>4.8183283615274872</v>
      </c>
      <c r="Q21" s="52"/>
      <c r="R21" s="75">
        <v>2016000</v>
      </c>
      <c r="S21" s="79">
        <v>32645000</v>
      </c>
      <c r="T21" s="52"/>
      <c r="U21" s="41">
        <f>(R21/S21)*100</f>
        <v>6.1755245826313372</v>
      </c>
    </row>
    <row r="23" spans="1:21">
      <c r="A23" s="52" t="s">
        <v>42</v>
      </c>
      <c r="B23" s="52"/>
      <c r="C23" s="52"/>
      <c r="D23" s="52"/>
      <c r="E23" s="52"/>
      <c r="F23" s="52"/>
      <c r="G23" s="52"/>
      <c r="H23" s="52"/>
      <c r="I23" s="80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</row>
    <row r="24" spans="1:21">
      <c r="A24" s="52" t="s">
        <v>141</v>
      </c>
      <c r="B24" s="52" t="s">
        <v>117</v>
      </c>
      <c r="C24" s="52" t="s">
        <v>142</v>
      </c>
      <c r="D24" s="52"/>
      <c r="E24" s="52"/>
      <c r="F24" s="52"/>
      <c r="G24" s="52"/>
      <c r="H24" s="52" t="s">
        <v>325</v>
      </c>
      <c r="I24" s="81">
        <v>101</v>
      </c>
      <c r="J24" s="52"/>
      <c r="K24" s="52" t="s">
        <v>44</v>
      </c>
      <c r="L24" s="52"/>
      <c r="M24" s="75">
        <v>94039000</v>
      </c>
      <c r="N24" s="52">
        <v>101</v>
      </c>
      <c r="O24" s="52"/>
      <c r="P24" s="75">
        <f>M24/N24</f>
        <v>931079.20792079205</v>
      </c>
      <c r="Q24" s="52"/>
      <c r="R24" s="75">
        <v>42368000</v>
      </c>
      <c r="S24" s="52">
        <v>101</v>
      </c>
      <c r="T24" s="52"/>
      <c r="U24" s="75">
        <v>419486</v>
      </c>
    </row>
    <row r="25" spans="1:21">
      <c r="A25" s="52" t="s">
        <v>145</v>
      </c>
      <c r="B25" s="52" t="s">
        <v>132</v>
      </c>
      <c r="C25" s="52" t="s">
        <v>146</v>
      </c>
      <c r="D25" s="52"/>
      <c r="E25" s="52"/>
      <c r="F25" s="52"/>
      <c r="G25" s="52"/>
      <c r="H25" s="82">
        <v>56682000</v>
      </c>
      <c r="I25" s="79">
        <v>17432000</v>
      </c>
      <c r="J25" s="52"/>
      <c r="K25" s="92">
        <f>(H25/I25)</f>
        <v>3.2516062413951352</v>
      </c>
      <c r="L25" s="52"/>
      <c r="M25" s="79">
        <v>51222000</v>
      </c>
      <c r="N25" s="79">
        <v>17432000</v>
      </c>
      <c r="O25" s="52"/>
      <c r="P25" s="92">
        <f>(M25/N25)</f>
        <v>2.9383891693437358</v>
      </c>
      <c r="Q25" s="52"/>
      <c r="R25" s="79">
        <v>16933000</v>
      </c>
      <c r="S25" s="79">
        <v>17432000</v>
      </c>
      <c r="T25" s="52"/>
      <c r="U25" s="84">
        <f>(R25/S25)</f>
        <v>0.97137448370812296</v>
      </c>
    </row>
    <row r="26" spans="1:2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</row>
    <row r="27" spans="1:21">
      <c r="A27" s="52" t="s">
        <v>48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</row>
    <row r="28" spans="1:21">
      <c r="A28" s="52" t="s">
        <v>148</v>
      </c>
      <c r="B28" s="52" t="s">
        <v>117</v>
      </c>
      <c r="C28" s="52" t="s">
        <v>149</v>
      </c>
      <c r="D28" s="52"/>
      <c r="E28" s="52"/>
      <c r="F28" s="52"/>
      <c r="G28" s="52"/>
      <c r="H28" s="90" t="s">
        <v>311</v>
      </c>
      <c r="I28" s="79">
        <v>322362000</v>
      </c>
      <c r="J28" s="52"/>
      <c r="K28" s="93">
        <v>0.34</v>
      </c>
      <c r="L28" s="52"/>
      <c r="M28" s="75">
        <v>94039000</v>
      </c>
      <c r="N28" s="79">
        <v>322362000</v>
      </c>
      <c r="O28" s="52"/>
      <c r="P28" s="84">
        <f>(M28/N28)</f>
        <v>0.29171862688530287</v>
      </c>
      <c r="Q28" s="52"/>
      <c r="R28" s="75">
        <v>42368000</v>
      </c>
      <c r="S28" s="79">
        <v>322362000</v>
      </c>
      <c r="T28" s="52"/>
      <c r="U28" s="84">
        <f>(R28/S28)</f>
        <v>0.13142988317481588</v>
      </c>
    </row>
    <row r="29" spans="1:2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</row>
    <row r="31" spans="1:2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</row>
    <row r="32" spans="1:2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</row>
    <row r="33" spans="1:3">
      <c r="A33" s="52"/>
      <c r="B33" s="52"/>
      <c r="C33" s="52"/>
    </row>
    <row r="34" spans="1:3">
      <c r="A34" s="52"/>
      <c r="B34" s="52"/>
      <c r="C34" s="52"/>
    </row>
    <row r="35" spans="1:3">
      <c r="A35" s="52"/>
      <c r="B35" s="52"/>
      <c r="C35" s="5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B2B9-FC49-4892-823B-78F32143E7B4}">
  <dimension ref="A1:P81"/>
  <sheetViews>
    <sheetView workbookViewId="0">
      <pane ySplit="2" topLeftCell="A12" activePane="bottomLeft" state="frozen"/>
      <selection pane="bottomLeft" activeCell="C12" sqref="C12"/>
    </sheetView>
  </sheetViews>
  <sheetFormatPr defaultColWidth="8.85546875" defaultRowHeight="15"/>
  <cols>
    <col min="1" max="1" width="40.140625" bestFit="1" customWidth="1"/>
    <col min="2" max="2" width="2" customWidth="1"/>
    <col min="3" max="3" width="40.42578125" customWidth="1"/>
    <col min="4" max="7" width="11.7109375" customWidth="1"/>
    <col min="8" max="8" width="19.28515625" customWidth="1"/>
    <col min="9" max="9" width="23.42578125" customWidth="1"/>
  </cols>
  <sheetData>
    <row r="1" spans="1:16" ht="41.25" customHeight="1">
      <c r="A1" s="144" t="s">
        <v>54</v>
      </c>
      <c r="B1" s="144"/>
      <c r="C1" s="144"/>
      <c r="D1" s="144"/>
      <c r="E1" s="144"/>
      <c r="F1" s="144"/>
      <c r="G1" s="127"/>
      <c r="H1" s="127"/>
      <c r="I1" s="127"/>
      <c r="J1" s="52"/>
      <c r="K1" s="52"/>
      <c r="L1" s="52"/>
      <c r="M1" s="52"/>
      <c r="N1" s="52"/>
      <c r="O1" s="52"/>
      <c r="P1" s="52"/>
    </row>
    <row r="2" spans="1:16">
      <c r="A2" s="52"/>
      <c r="B2" s="52"/>
      <c r="C2" s="52"/>
      <c r="D2" s="3">
        <v>2016</v>
      </c>
      <c r="E2" s="3">
        <v>2017</v>
      </c>
      <c r="F2" s="3">
        <v>2018</v>
      </c>
      <c r="G2" s="3">
        <v>2019</v>
      </c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3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114" t="s">
        <v>326</v>
      </c>
      <c r="E4" s="26" t="s">
        <v>326</v>
      </c>
      <c r="F4" s="114" t="s">
        <v>326</v>
      </c>
      <c r="G4" s="114" t="s">
        <v>326</v>
      </c>
      <c r="H4" s="52"/>
      <c r="I4" s="5"/>
      <c r="J4" s="52"/>
      <c r="K4" s="52"/>
      <c r="L4" s="52"/>
      <c r="M4" s="52"/>
      <c r="N4" s="52"/>
      <c r="O4" s="52"/>
      <c r="P4" s="52"/>
    </row>
    <row r="5" spans="1:16">
      <c r="A5" s="53" t="s">
        <v>192</v>
      </c>
      <c r="B5" s="52"/>
      <c r="C5" s="52"/>
      <c r="D5" s="52"/>
      <c r="E5" s="52"/>
      <c r="F5" s="52"/>
      <c r="G5" s="52"/>
      <c r="H5" s="52"/>
      <c r="I5" s="5"/>
      <c r="J5" s="52"/>
      <c r="K5" s="52"/>
      <c r="L5" s="52"/>
      <c r="M5" s="52"/>
      <c r="N5" s="52"/>
      <c r="O5" s="52"/>
      <c r="P5" s="52"/>
    </row>
    <row r="6" spans="1:16">
      <c r="A6" s="53" t="s">
        <v>193</v>
      </c>
      <c r="B6" s="52"/>
      <c r="C6" s="52"/>
      <c r="D6" s="52"/>
      <c r="E6" s="52"/>
      <c r="F6" s="52"/>
      <c r="G6" s="52"/>
      <c r="H6" s="52"/>
      <c r="I6" s="5"/>
      <c r="J6" s="52"/>
      <c r="K6" s="52"/>
      <c r="L6" s="52"/>
      <c r="M6" s="52"/>
      <c r="N6" s="52"/>
      <c r="O6" s="52"/>
      <c r="P6" s="52"/>
    </row>
    <row r="7" spans="1:16">
      <c r="A7" s="2" t="s">
        <v>194</v>
      </c>
      <c r="B7" s="52"/>
      <c r="C7" s="52"/>
      <c r="D7" s="52"/>
      <c r="E7" s="5">
        <v>4316</v>
      </c>
      <c r="F7" s="5">
        <v>3512</v>
      </c>
      <c r="G7" s="5">
        <v>4293</v>
      </c>
      <c r="H7" s="52"/>
      <c r="I7" s="5"/>
      <c r="J7" s="52"/>
      <c r="K7" s="52"/>
      <c r="L7" s="52"/>
      <c r="M7" s="52"/>
      <c r="N7" s="52"/>
      <c r="O7" s="52"/>
      <c r="P7" s="52"/>
    </row>
    <row r="8" spans="1:16">
      <c r="A8" s="2" t="s">
        <v>195</v>
      </c>
      <c r="B8" s="52"/>
      <c r="C8" s="52"/>
      <c r="D8" s="52"/>
      <c r="E8" s="5">
        <v>132455</v>
      </c>
      <c r="F8" s="5">
        <v>274315</v>
      </c>
      <c r="G8" s="5">
        <v>285219</v>
      </c>
      <c r="H8" s="52"/>
      <c r="I8" s="6"/>
      <c r="J8" s="52"/>
      <c r="K8" s="52"/>
      <c r="L8" s="52"/>
      <c r="M8" s="52"/>
      <c r="N8" s="52"/>
      <c r="O8" s="52"/>
      <c r="P8" s="52"/>
    </row>
    <row r="9" spans="1:16">
      <c r="A9" s="2" t="s">
        <v>196</v>
      </c>
      <c r="B9" s="52"/>
      <c r="C9" s="52"/>
      <c r="D9" s="52"/>
      <c r="E9" s="5">
        <v>1277</v>
      </c>
      <c r="F9" s="5">
        <v>3192</v>
      </c>
      <c r="G9" s="5">
        <v>4586</v>
      </c>
      <c r="H9" s="52"/>
      <c r="I9" s="52"/>
      <c r="J9" s="52"/>
      <c r="K9" s="52"/>
      <c r="L9" s="52"/>
      <c r="M9" s="52"/>
      <c r="N9" s="52"/>
      <c r="O9" s="52"/>
      <c r="P9" s="52"/>
    </row>
    <row r="10" spans="1:16">
      <c r="A10" s="53" t="s">
        <v>199</v>
      </c>
      <c r="B10" s="52"/>
      <c r="C10" s="52"/>
      <c r="D10" s="52"/>
      <c r="E10" s="6">
        <v>138048</v>
      </c>
      <c r="F10" s="6">
        <v>281019</v>
      </c>
      <c r="G10" s="6">
        <v>294098</v>
      </c>
      <c r="H10" s="52"/>
      <c r="I10" s="52"/>
      <c r="J10" s="52"/>
      <c r="K10" s="53"/>
      <c r="L10" s="52"/>
      <c r="M10" s="52"/>
      <c r="N10" s="52"/>
      <c r="O10" s="52"/>
      <c r="P10" s="52"/>
    </row>
    <row r="11" spans="1:16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"/>
      <c r="M11" s="52"/>
      <c r="N11" s="5"/>
      <c r="O11" s="5"/>
      <c r="P11" s="5"/>
    </row>
    <row r="12" spans="1:16">
      <c r="A12" s="53" t="s">
        <v>200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"/>
      <c r="M12" s="52"/>
      <c r="N12" s="5"/>
      <c r="O12" s="5"/>
      <c r="P12" s="5"/>
    </row>
    <row r="13" spans="1:16">
      <c r="A13" s="2" t="s">
        <v>164</v>
      </c>
      <c r="B13" s="52"/>
      <c r="C13" s="52"/>
      <c r="D13" s="5">
        <v>11251</v>
      </c>
      <c r="E13" s="5">
        <v>16395</v>
      </c>
      <c r="F13" s="5">
        <v>27891</v>
      </c>
      <c r="G13" s="5">
        <v>28833</v>
      </c>
      <c r="H13" s="52"/>
      <c r="I13" s="52"/>
      <c r="J13" s="52"/>
      <c r="K13" s="52"/>
      <c r="L13" s="5"/>
      <c r="M13" s="52"/>
      <c r="N13" s="5"/>
      <c r="O13" s="5"/>
      <c r="P13" s="5"/>
    </row>
    <row r="14" spans="1:16">
      <c r="A14" s="2" t="s">
        <v>201</v>
      </c>
      <c r="B14" s="52"/>
      <c r="C14" s="52"/>
      <c r="D14" s="52"/>
      <c r="E14" s="5">
        <v>18592</v>
      </c>
      <c r="F14" s="5">
        <v>31194</v>
      </c>
      <c r="G14" s="5">
        <v>30956</v>
      </c>
      <c r="H14" s="52"/>
      <c r="I14" s="52"/>
      <c r="J14" s="52"/>
      <c r="K14" s="52"/>
      <c r="L14" s="7"/>
      <c r="M14" s="52"/>
      <c r="N14" s="5"/>
      <c r="O14" s="11"/>
      <c r="P14" s="5"/>
    </row>
    <row r="15" spans="1:16">
      <c r="A15" s="2" t="s">
        <v>327</v>
      </c>
      <c r="B15" s="52"/>
      <c r="C15" s="52"/>
      <c r="D15" s="52"/>
      <c r="E15" s="5">
        <v>1197</v>
      </c>
      <c r="F15" s="5">
        <v>1825</v>
      </c>
      <c r="G15" s="5">
        <v>3658</v>
      </c>
      <c r="H15" s="52"/>
      <c r="I15" s="52"/>
      <c r="J15" s="52"/>
      <c r="K15" s="53"/>
      <c r="L15" s="6"/>
      <c r="M15" s="52"/>
      <c r="N15" s="6"/>
      <c r="O15" s="6"/>
      <c r="P15" s="6"/>
    </row>
    <row r="16" spans="1:16">
      <c r="A16" s="2" t="s">
        <v>203</v>
      </c>
      <c r="B16" s="52"/>
      <c r="C16" s="52"/>
      <c r="D16" s="52"/>
      <c r="E16" s="5">
        <v>11010</v>
      </c>
      <c r="F16" s="5">
        <v>19892</v>
      </c>
      <c r="G16" s="5">
        <v>11967</v>
      </c>
      <c r="H16" s="52"/>
      <c r="I16" s="52"/>
      <c r="J16" s="52"/>
      <c r="K16" s="52"/>
      <c r="L16" s="52"/>
      <c r="M16" s="52"/>
      <c r="N16" s="52"/>
      <c r="O16" s="52"/>
      <c r="P16" s="52"/>
    </row>
    <row r="17" spans="1:16">
      <c r="A17" s="2" t="s">
        <v>204</v>
      </c>
      <c r="B17" s="52"/>
      <c r="C17" s="52"/>
      <c r="D17" s="52"/>
      <c r="E17" s="7" t="s">
        <v>45</v>
      </c>
      <c r="F17" s="7" t="s">
        <v>45</v>
      </c>
      <c r="G17" s="5">
        <v>1012</v>
      </c>
      <c r="H17" s="52"/>
      <c r="I17" s="52"/>
      <c r="J17" s="52"/>
      <c r="K17" s="53"/>
      <c r="L17" s="52"/>
      <c r="M17" s="52"/>
      <c r="N17" s="52"/>
      <c r="O17" s="52"/>
      <c r="P17" s="52"/>
    </row>
    <row r="18" spans="1:16">
      <c r="A18" s="53" t="s">
        <v>205</v>
      </c>
      <c r="B18" s="52"/>
      <c r="C18" s="52"/>
      <c r="D18" s="52"/>
      <c r="E18" s="6">
        <v>47194</v>
      </c>
      <c r="F18" s="6">
        <v>80802</v>
      </c>
      <c r="G18" s="6">
        <v>76426</v>
      </c>
      <c r="H18" s="52"/>
      <c r="I18" s="52"/>
      <c r="J18" s="52"/>
      <c r="K18" s="52"/>
      <c r="L18" s="5"/>
      <c r="M18" s="52"/>
      <c r="N18" s="5"/>
      <c r="O18" s="52"/>
      <c r="P18" s="5"/>
    </row>
    <row r="19" spans="1:16">
      <c r="A19" s="53" t="s">
        <v>206</v>
      </c>
      <c r="B19" s="52"/>
      <c r="C19" s="52"/>
      <c r="D19" s="6">
        <v>106197</v>
      </c>
      <c r="E19" s="6">
        <v>185242</v>
      </c>
      <c r="F19" s="6">
        <v>361821</v>
      </c>
      <c r="G19" s="6">
        <v>370524</v>
      </c>
      <c r="H19" s="52"/>
      <c r="I19" s="52"/>
      <c r="J19" s="52"/>
      <c r="K19" s="52"/>
      <c r="L19" s="52"/>
      <c r="M19" s="52"/>
      <c r="N19" s="52"/>
      <c r="O19" s="52"/>
      <c r="P19" s="52"/>
    </row>
    <row r="20" spans="1:16">
      <c r="A20" s="53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"/>
      <c r="M20" s="52"/>
      <c r="N20" s="5"/>
      <c r="O20" s="52"/>
      <c r="P20" s="5"/>
    </row>
    <row r="21" spans="1:16">
      <c r="A21" s="53" t="s">
        <v>207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>
      <c r="A22" s="53" t="s">
        <v>208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"/>
      <c r="M22" s="52"/>
      <c r="N22" s="5"/>
      <c r="O22" s="52"/>
      <c r="P22" s="5"/>
    </row>
    <row r="23" spans="1:16">
      <c r="A23" s="2" t="s">
        <v>209</v>
      </c>
      <c r="B23" s="52"/>
      <c r="C23" s="52"/>
      <c r="D23" s="52"/>
      <c r="E23" s="5">
        <v>12080</v>
      </c>
      <c r="F23" s="5">
        <v>16156</v>
      </c>
      <c r="G23" s="5">
        <v>15575</v>
      </c>
      <c r="H23" s="52"/>
      <c r="I23" s="52"/>
      <c r="J23" s="52"/>
      <c r="K23" s="53"/>
      <c r="L23" s="52"/>
      <c r="M23" s="52"/>
      <c r="N23" s="52"/>
      <c r="O23" s="52"/>
      <c r="P23" s="52"/>
    </row>
    <row r="24" spans="1:16">
      <c r="A24" s="2" t="s">
        <v>328</v>
      </c>
      <c r="B24" s="52"/>
      <c r="C24" s="52"/>
      <c r="D24" s="52"/>
      <c r="E24" s="5">
        <v>18895</v>
      </c>
      <c r="F24" s="5">
        <v>18237</v>
      </c>
      <c r="G24" s="5">
        <v>22788</v>
      </c>
      <c r="H24" s="52"/>
      <c r="I24" s="52"/>
      <c r="J24" s="52"/>
      <c r="K24" s="52"/>
      <c r="L24" s="52"/>
      <c r="M24" s="52"/>
      <c r="N24" s="52"/>
      <c r="O24" s="52"/>
      <c r="P24" s="52"/>
    </row>
    <row r="25" spans="1:16">
      <c r="A25" s="2" t="s">
        <v>211</v>
      </c>
      <c r="B25" s="52"/>
      <c r="C25" s="52"/>
      <c r="D25" s="52"/>
      <c r="E25" s="5">
        <v>4530</v>
      </c>
      <c r="F25" s="5">
        <v>1419</v>
      </c>
      <c r="G25" s="7" t="s">
        <v>45</v>
      </c>
      <c r="H25" s="52"/>
      <c r="I25" s="52"/>
      <c r="J25" s="52"/>
      <c r="K25" s="52"/>
      <c r="L25" s="52"/>
      <c r="M25" s="52"/>
      <c r="N25" s="52"/>
      <c r="O25" s="52"/>
      <c r="P25" s="52"/>
    </row>
    <row r="26" spans="1:16">
      <c r="A26" s="52" t="s">
        <v>329</v>
      </c>
      <c r="B26" s="52"/>
      <c r="C26" s="52"/>
      <c r="D26" s="52"/>
      <c r="E26" s="5">
        <v>1219</v>
      </c>
      <c r="F26" s="5">
        <v>1236</v>
      </c>
      <c r="G26" s="5">
        <v>1379</v>
      </c>
      <c r="H26" s="52"/>
      <c r="I26" s="52"/>
      <c r="J26" s="52"/>
      <c r="K26" s="52"/>
      <c r="L26" s="52"/>
      <c r="M26" s="52"/>
      <c r="N26" s="52"/>
      <c r="O26" s="52"/>
      <c r="P26" s="52"/>
    </row>
    <row r="27" spans="1:16">
      <c r="A27" s="53" t="s">
        <v>212</v>
      </c>
      <c r="B27" s="52"/>
      <c r="C27" s="52"/>
      <c r="D27" s="52"/>
      <c r="E27" s="6">
        <f>SUM(E23:E26)</f>
        <v>36724</v>
      </c>
      <c r="F27" s="6">
        <f>SUM(F23:F26)</f>
        <v>37048</v>
      </c>
      <c r="G27" s="6">
        <f>SUM(G23:G26)</f>
        <v>39742</v>
      </c>
      <c r="H27" s="52"/>
      <c r="I27" s="52"/>
      <c r="J27" s="52"/>
      <c r="K27" s="52"/>
      <c r="L27" s="52"/>
      <c r="M27" s="52"/>
      <c r="N27" s="52"/>
      <c r="O27" s="52"/>
      <c r="P27" s="52"/>
    </row>
    <row r="29" spans="1:16">
      <c r="A29" s="53" t="s">
        <v>213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>
      <c r="A30" s="2" t="s">
        <v>328</v>
      </c>
      <c r="B30" s="52"/>
      <c r="C30" s="52"/>
      <c r="D30" s="52"/>
      <c r="E30" s="5">
        <v>49089</v>
      </c>
      <c r="F30" s="5">
        <v>54548</v>
      </c>
      <c r="G30" s="5">
        <v>44803</v>
      </c>
      <c r="H30" s="52"/>
      <c r="I30" s="52"/>
      <c r="J30" s="52"/>
      <c r="K30" s="52"/>
      <c r="L30" s="52"/>
      <c r="M30" s="52"/>
      <c r="N30" s="52"/>
      <c r="O30" s="52"/>
      <c r="P30" s="52"/>
    </row>
    <row r="31" spans="1:16">
      <c r="A31" s="2" t="s">
        <v>329</v>
      </c>
      <c r="B31" s="52"/>
      <c r="C31" s="52"/>
      <c r="D31" s="52"/>
      <c r="E31" s="52">
        <v>136</v>
      </c>
      <c r="F31" s="52">
        <v>197</v>
      </c>
      <c r="G31" s="52">
        <v>178</v>
      </c>
      <c r="H31" s="52"/>
      <c r="I31" s="52"/>
      <c r="J31" s="52"/>
      <c r="K31" s="52"/>
      <c r="L31" s="52"/>
      <c r="M31" s="52"/>
      <c r="N31" s="52"/>
      <c r="O31" s="52"/>
      <c r="P31" s="52"/>
    </row>
    <row r="32" spans="1:16">
      <c r="A32" s="53" t="s">
        <v>216</v>
      </c>
      <c r="B32" s="52"/>
      <c r="C32" s="52"/>
      <c r="D32" s="52"/>
      <c r="E32" s="6">
        <f>SUM(E30:E31)</f>
        <v>49225</v>
      </c>
      <c r="F32" s="6">
        <f>SUM(F30:F31)</f>
        <v>54745</v>
      </c>
      <c r="G32" s="6">
        <f>SUM(G30:G31)</f>
        <v>44981</v>
      </c>
      <c r="H32" s="52"/>
      <c r="I32" s="52"/>
      <c r="J32" s="52"/>
      <c r="K32" s="52"/>
      <c r="L32" s="52"/>
      <c r="M32" s="52"/>
      <c r="N32" s="52"/>
      <c r="O32" s="52"/>
      <c r="P32" s="52"/>
    </row>
    <row r="33" spans="1:7">
      <c r="A33" s="53" t="s">
        <v>217</v>
      </c>
      <c r="B33" s="52"/>
      <c r="C33" s="52"/>
      <c r="D33" s="52"/>
      <c r="E33" s="6">
        <v>85949</v>
      </c>
      <c r="F33" s="6">
        <v>91739</v>
      </c>
      <c r="G33" s="6">
        <v>84723</v>
      </c>
    </row>
    <row r="34" spans="1:7">
      <c r="A34" s="53" t="s">
        <v>218</v>
      </c>
      <c r="B34" s="52"/>
      <c r="C34" s="52"/>
      <c r="D34" s="52"/>
      <c r="E34" s="6">
        <v>99293</v>
      </c>
      <c r="F34" s="6">
        <v>270028</v>
      </c>
      <c r="G34" s="6">
        <v>285801</v>
      </c>
    </row>
    <row r="35" spans="1:7">
      <c r="A35" s="53"/>
      <c r="B35" s="52"/>
      <c r="C35" s="52"/>
      <c r="D35" s="52"/>
      <c r="E35" s="52"/>
      <c r="F35" s="52"/>
      <c r="G35" s="52"/>
    </row>
    <row r="36" spans="1:7">
      <c r="A36" s="53" t="s">
        <v>219</v>
      </c>
      <c r="B36" s="52"/>
      <c r="C36" s="52"/>
      <c r="D36" s="52"/>
      <c r="E36" s="52"/>
      <c r="F36" s="52"/>
      <c r="G36" s="52"/>
    </row>
    <row r="37" spans="1:7">
      <c r="A37" s="2" t="s">
        <v>330</v>
      </c>
      <c r="B37" s="52"/>
      <c r="C37" s="52"/>
      <c r="D37" s="52"/>
      <c r="E37" s="5">
        <v>81929</v>
      </c>
      <c r="F37" s="5">
        <v>233245</v>
      </c>
      <c r="G37" s="5">
        <v>235870</v>
      </c>
    </row>
    <row r="38" spans="1:7">
      <c r="A38" s="2" t="s">
        <v>331</v>
      </c>
      <c r="B38" s="52"/>
      <c r="C38" s="52"/>
      <c r="D38" s="52"/>
      <c r="E38" s="52">
        <v>663</v>
      </c>
      <c r="F38" s="5">
        <v>8738</v>
      </c>
      <c r="G38" s="5">
        <v>17552</v>
      </c>
    </row>
    <row r="39" spans="1:7">
      <c r="A39" s="2" t="s">
        <v>225</v>
      </c>
      <c r="B39" s="52"/>
      <c r="C39" s="52"/>
      <c r="D39" s="52"/>
      <c r="E39" s="5">
        <v>16701</v>
      </c>
      <c r="F39" s="5">
        <v>28045</v>
      </c>
      <c r="G39" s="5">
        <v>32379</v>
      </c>
    </row>
    <row r="40" spans="1:7">
      <c r="A40" s="53" t="s">
        <v>228</v>
      </c>
      <c r="B40" s="52"/>
      <c r="C40" s="52"/>
      <c r="D40" s="52"/>
      <c r="E40" s="6">
        <f>SUM(E37:E39)</f>
        <v>99293</v>
      </c>
      <c r="F40" s="6">
        <f>SUM(F37:F39)</f>
        <v>270028</v>
      </c>
      <c r="G40" s="6">
        <f>SUM(G37:G39)</f>
        <v>285801</v>
      </c>
    </row>
    <row r="41" spans="1:7">
      <c r="A41" s="53"/>
      <c r="B41" s="52"/>
      <c r="C41" s="52"/>
      <c r="D41" s="52"/>
      <c r="E41" s="52"/>
      <c r="F41" s="52"/>
      <c r="G41" s="52"/>
    </row>
    <row r="42" spans="1:7">
      <c r="A42" s="53" t="s">
        <v>229</v>
      </c>
      <c r="B42" s="52"/>
      <c r="C42" s="52"/>
      <c r="D42" s="52"/>
      <c r="E42" s="5">
        <v>72700</v>
      </c>
      <c r="F42" s="5">
        <v>148711</v>
      </c>
      <c r="G42" s="5">
        <v>149519</v>
      </c>
    </row>
    <row r="43" spans="1:7">
      <c r="A43" s="53" t="s">
        <v>230</v>
      </c>
      <c r="B43" s="52"/>
      <c r="C43" s="52"/>
      <c r="D43" s="52"/>
      <c r="E43" s="5">
        <v>25132</v>
      </c>
      <c r="F43" s="5">
        <v>60416</v>
      </c>
      <c r="G43" s="5">
        <v>71515</v>
      </c>
    </row>
    <row r="44" spans="1:7">
      <c r="A44" s="53" t="s">
        <v>231</v>
      </c>
      <c r="B44" s="52"/>
      <c r="C44" s="52"/>
      <c r="D44" s="52"/>
      <c r="E44" s="5">
        <v>22247</v>
      </c>
      <c r="F44" s="5">
        <v>35273</v>
      </c>
      <c r="G44" s="5">
        <v>19780</v>
      </c>
    </row>
    <row r="45" spans="1:7">
      <c r="A45" s="53" t="s">
        <v>232</v>
      </c>
      <c r="B45" s="52"/>
      <c r="C45" s="52"/>
      <c r="D45" s="52"/>
      <c r="E45" s="52">
        <v>899</v>
      </c>
      <c r="F45" s="5">
        <v>4420</v>
      </c>
      <c r="G45" s="5">
        <v>4223</v>
      </c>
    </row>
    <row r="46" spans="1:7">
      <c r="A46" s="53" t="s">
        <v>233</v>
      </c>
      <c r="B46" s="52"/>
      <c r="C46" s="52"/>
      <c r="D46" s="52"/>
      <c r="E46" s="5">
        <v>21423</v>
      </c>
      <c r="F46" s="5">
        <v>33418</v>
      </c>
      <c r="G46" s="5">
        <v>16691</v>
      </c>
    </row>
    <row r="47" spans="1:7">
      <c r="A47" s="53" t="s">
        <v>234</v>
      </c>
      <c r="B47" s="52"/>
      <c r="C47" s="52"/>
      <c r="D47" s="52"/>
      <c r="E47" s="5">
        <v>99293</v>
      </c>
      <c r="F47" s="5">
        <v>270028</v>
      </c>
      <c r="G47" s="5">
        <v>285801</v>
      </c>
    </row>
    <row r="48" spans="1:7">
      <c r="A48" s="53" t="s">
        <v>235</v>
      </c>
      <c r="B48" s="52"/>
      <c r="C48" s="52"/>
      <c r="D48" s="52"/>
      <c r="E48" s="5">
        <v>13447</v>
      </c>
      <c r="F48" s="5">
        <v>19216</v>
      </c>
      <c r="G48" s="5">
        <v>9538</v>
      </c>
    </row>
    <row r="49" spans="1:7">
      <c r="A49" s="53" t="s">
        <v>236</v>
      </c>
      <c r="B49" s="52"/>
      <c r="C49" s="52"/>
      <c r="D49" s="52"/>
      <c r="E49" s="5">
        <v>21423</v>
      </c>
      <c r="F49" s="5">
        <v>33418</v>
      </c>
      <c r="G49" s="5">
        <v>16691</v>
      </c>
    </row>
    <row r="50" spans="1:7">
      <c r="A50" s="53" t="s">
        <v>237</v>
      </c>
      <c r="B50" s="52"/>
      <c r="C50" s="7"/>
      <c r="D50" s="7" t="s">
        <v>45</v>
      </c>
      <c r="E50" s="7" t="s">
        <v>45</v>
      </c>
      <c r="F50" s="52">
        <v>217</v>
      </c>
      <c r="G50" s="52">
        <v>258</v>
      </c>
    </row>
    <row r="51" spans="1:7">
      <c r="A51" s="53" t="s">
        <v>238</v>
      </c>
      <c r="B51" s="52"/>
      <c r="C51" s="52"/>
      <c r="D51" s="52"/>
      <c r="E51" s="7" t="s">
        <v>45</v>
      </c>
      <c r="F51" s="7" t="s">
        <v>45</v>
      </c>
      <c r="G51" s="52">
        <v>237.5</v>
      </c>
    </row>
    <row r="52" spans="1:7">
      <c r="A52" s="53" t="s">
        <v>239</v>
      </c>
      <c r="B52" s="52"/>
      <c r="C52" s="52"/>
      <c r="D52" s="52"/>
      <c r="E52" s="5">
        <v>145720</v>
      </c>
      <c r="F52" s="5">
        <v>273532</v>
      </c>
      <c r="G52" s="5">
        <v>366173</v>
      </c>
    </row>
    <row r="53" spans="1:7">
      <c r="A53" s="53" t="s">
        <v>240</v>
      </c>
      <c r="B53" s="52"/>
      <c r="C53" s="52"/>
      <c r="D53" s="52"/>
      <c r="E53" s="5">
        <v>13823</v>
      </c>
      <c r="F53" s="5">
        <v>22143</v>
      </c>
      <c r="G53" s="5">
        <v>28362</v>
      </c>
    </row>
    <row r="56" spans="1:7">
      <c r="A56" s="173" t="s">
        <v>115</v>
      </c>
      <c r="B56" s="173"/>
      <c r="C56" s="173"/>
      <c r="D56" s="173"/>
      <c r="E56" s="173"/>
      <c r="F56" s="173"/>
      <c r="G56" s="52"/>
    </row>
    <row r="57" spans="1:7">
      <c r="A57" s="12" t="s">
        <v>116</v>
      </c>
      <c r="B57" s="13" t="s">
        <v>117</v>
      </c>
      <c r="C57" s="8" t="s">
        <v>118</v>
      </c>
      <c r="D57" s="8"/>
      <c r="E57" s="27">
        <v>0.84</v>
      </c>
      <c r="F57" s="27">
        <v>1.43</v>
      </c>
      <c r="G57" s="27">
        <v>1.2</v>
      </c>
    </row>
    <row r="58" spans="1:7">
      <c r="A58" s="8" t="s">
        <v>86</v>
      </c>
      <c r="B58" s="8" t="s">
        <v>117</v>
      </c>
      <c r="C58" s="8" t="s">
        <v>119</v>
      </c>
      <c r="D58" s="8"/>
      <c r="E58" s="27">
        <v>1.29</v>
      </c>
      <c r="F58" s="27">
        <v>1.72</v>
      </c>
      <c r="G58" s="27">
        <v>1.29</v>
      </c>
    </row>
    <row r="59" spans="1:7">
      <c r="A59" s="8"/>
      <c r="B59" s="8"/>
      <c r="C59" s="8"/>
      <c r="D59" s="8"/>
      <c r="E59" s="8"/>
      <c r="F59" s="8"/>
      <c r="G59" s="52"/>
    </row>
    <row r="60" spans="1:7">
      <c r="A60" s="173" t="s">
        <v>120</v>
      </c>
      <c r="B60" s="173"/>
      <c r="C60" s="173"/>
      <c r="D60" s="129"/>
      <c r="E60" s="8"/>
      <c r="F60" s="8"/>
      <c r="G60" s="52"/>
    </row>
    <row r="61" spans="1:7">
      <c r="A61" s="14" t="s">
        <v>121</v>
      </c>
      <c r="B61" s="8" t="s">
        <v>117</v>
      </c>
      <c r="C61" s="8" t="s">
        <v>122</v>
      </c>
      <c r="D61" s="8"/>
      <c r="E61" s="27">
        <v>0.61</v>
      </c>
      <c r="F61" s="27">
        <v>0.23</v>
      </c>
      <c r="G61" s="27">
        <v>0.19</v>
      </c>
    </row>
    <row r="62" spans="1:7">
      <c r="A62" s="8" t="s">
        <v>123</v>
      </c>
      <c r="B62" s="8" t="s">
        <v>117</v>
      </c>
      <c r="C62" s="8" t="s">
        <v>124</v>
      </c>
      <c r="D62" s="8"/>
      <c r="E62" s="28">
        <f xml:space="preserve"> 49225/196252</f>
        <v>0.25082546929458044</v>
      </c>
      <c r="F62" s="28">
        <f xml:space="preserve"> 54745/381713</f>
        <v>0.14341927049903985</v>
      </c>
      <c r="G62" s="28">
        <f xml:space="preserve"> 44981/382491</f>
        <v>0.11760015268333111</v>
      </c>
    </row>
    <row r="63" spans="1:7">
      <c r="A63" s="8" t="s">
        <v>125</v>
      </c>
      <c r="B63" s="8" t="s">
        <v>117</v>
      </c>
      <c r="C63" s="8" t="s">
        <v>126</v>
      </c>
      <c r="D63" s="8"/>
      <c r="E63" s="30">
        <v>23.83</v>
      </c>
      <c r="F63" s="31">
        <v>7.56</v>
      </c>
      <c r="G63" s="52">
        <v>3.952</v>
      </c>
    </row>
    <row r="64" spans="1:7">
      <c r="A64" s="8"/>
      <c r="B64" s="8"/>
      <c r="C64" s="8"/>
      <c r="D64" s="8"/>
      <c r="E64" s="8"/>
      <c r="F64" s="8"/>
      <c r="G64" s="52"/>
    </row>
    <row r="65" spans="1:7">
      <c r="A65" s="15" t="s">
        <v>34</v>
      </c>
      <c r="B65" s="8"/>
      <c r="C65" s="8"/>
      <c r="D65" s="8"/>
      <c r="E65" s="8"/>
      <c r="F65" s="8"/>
      <c r="G65" s="52"/>
    </row>
    <row r="66" spans="1:7">
      <c r="A66" s="16" t="s">
        <v>128</v>
      </c>
      <c r="B66" s="8"/>
      <c r="C66" s="8"/>
      <c r="D66" s="8"/>
      <c r="E66" s="8"/>
      <c r="F66" s="8"/>
      <c r="G66" s="52"/>
    </row>
    <row r="67" spans="1:7">
      <c r="A67" s="8" t="s">
        <v>309</v>
      </c>
      <c r="B67" s="8" t="s">
        <v>117</v>
      </c>
      <c r="C67" s="8" t="s">
        <v>130</v>
      </c>
      <c r="D67" s="8"/>
      <c r="E67" s="27">
        <v>65.430000000000007</v>
      </c>
      <c r="F67" s="27">
        <v>59.38</v>
      </c>
      <c r="G67" s="27">
        <v>52.17</v>
      </c>
    </row>
    <row r="68" spans="1:7">
      <c r="A68" s="8" t="s">
        <v>313</v>
      </c>
      <c r="B68" s="8" t="s">
        <v>132</v>
      </c>
      <c r="C68" s="8" t="s">
        <v>133</v>
      </c>
      <c r="D68" s="8"/>
      <c r="E68" s="29">
        <v>26.43</v>
      </c>
      <c r="F68" s="29">
        <v>40.26</v>
      </c>
      <c r="G68" s="27">
        <v>21.27</v>
      </c>
    </row>
    <row r="69" spans="1:7">
      <c r="A69" s="8" t="s">
        <v>316</v>
      </c>
      <c r="B69" s="8" t="s">
        <v>117</v>
      </c>
      <c r="C69" s="8" t="s">
        <v>134</v>
      </c>
      <c r="D69" s="8"/>
      <c r="E69" s="31">
        <v>29.468</v>
      </c>
      <c r="F69" s="31">
        <v>22.472000000000001</v>
      </c>
      <c r="G69" s="52">
        <v>11.163</v>
      </c>
    </row>
    <row r="70" spans="1:7">
      <c r="A70" s="8" t="s">
        <v>318</v>
      </c>
      <c r="B70" s="8" t="s">
        <v>132</v>
      </c>
      <c r="C70" s="8" t="s">
        <v>136</v>
      </c>
      <c r="D70" s="8"/>
      <c r="E70" s="36">
        <f>(E48/E42)*100</f>
        <v>18.496561210453923</v>
      </c>
      <c r="F70" s="36">
        <f>(F48/F42)*100</f>
        <v>12.92170720390556</v>
      </c>
      <c r="G70" s="36">
        <f>(G48/G42)*100</f>
        <v>6.379122385783746</v>
      </c>
    </row>
    <row r="71" spans="1:7">
      <c r="A71" s="8"/>
      <c r="B71" s="8"/>
      <c r="C71" s="8"/>
      <c r="D71" s="8"/>
      <c r="E71" s="8"/>
      <c r="F71" s="8"/>
      <c r="G71" s="52"/>
    </row>
    <row r="72" spans="1:7">
      <c r="A72" s="16" t="s">
        <v>138</v>
      </c>
      <c r="B72" s="8"/>
      <c r="C72" s="8"/>
      <c r="D72" s="8"/>
      <c r="E72" s="8"/>
      <c r="F72" s="8"/>
      <c r="G72" s="52"/>
    </row>
    <row r="73" spans="1:7">
      <c r="A73" s="8" t="s">
        <v>321</v>
      </c>
      <c r="B73" s="8" t="s">
        <v>117</v>
      </c>
      <c r="C73" s="8" t="s">
        <v>139</v>
      </c>
      <c r="D73" s="8"/>
      <c r="E73" s="31">
        <f>(E48/E52)*100</f>
        <v>9.2279714520999168</v>
      </c>
      <c r="F73" s="31">
        <f>(F48/F52)*100</f>
        <v>7.0251378266528235</v>
      </c>
      <c r="G73" s="31">
        <f>(G48/G52)*100</f>
        <v>2.6047797079522521</v>
      </c>
    </row>
    <row r="74" spans="1:7">
      <c r="A74" s="8" t="s">
        <v>323</v>
      </c>
      <c r="B74" s="8" t="s">
        <v>117</v>
      </c>
      <c r="C74" s="8" t="s">
        <v>140</v>
      </c>
      <c r="D74" s="8"/>
      <c r="E74" s="31">
        <f>(E48/E47)*100</f>
        <v>13.542747222865662</v>
      </c>
      <c r="F74" s="31">
        <f>(F48/F47)*100</f>
        <v>7.1162990504688395</v>
      </c>
      <c r="G74" s="31">
        <f>(G48/G47)*100</f>
        <v>3.3372871333550269</v>
      </c>
    </row>
    <row r="75" spans="1:7">
      <c r="A75" s="8"/>
      <c r="B75" s="8"/>
      <c r="C75" s="8"/>
      <c r="D75" s="8"/>
      <c r="E75" s="8"/>
      <c r="F75" s="8"/>
      <c r="G75" s="52"/>
    </row>
    <row r="76" spans="1:7">
      <c r="A76" s="15" t="s">
        <v>42</v>
      </c>
      <c r="B76" s="8"/>
      <c r="C76" s="8"/>
      <c r="D76" s="8"/>
      <c r="E76" s="8"/>
      <c r="F76" s="8"/>
      <c r="G76" s="52"/>
    </row>
    <row r="77" spans="1:7">
      <c r="A77" s="8" t="s">
        <v>141</v>
      </c>
      <c r="B77" s="8" t="s">
        <v>117</v>
      </c>
      <c r="C77" s="8" t="s">
        <v>243</v>
      </c>
      <c r="D77" s="8"/>
      <c r="E77" s="30" t="s">
        <v>45</v>
      </c>
      <c r="F77" s="37" t="s">
        <v>45</v>
      </c>
      <c r="G77" s="52">
        <f>(G42/G51)*1000</f>
        <v>629553.68421052629</v>
      </c>
    </row>
    <row r="78" spans="1:7">
      <c r="A78" s="8" t="s">
        <v>145</v>
      </c>
      <c r="B78" s="8" t="s">
        <v>132</v>
      </c>
      <c r="C78" s="8" t="s">
        <v>146</v>
      </c>
      <c r="D78" s="8"/>
      <c r="E78" s="31">
        <f>(E43/E53)</f>
        <v>1.8181292049482747</v>
      </c>
      <c r="F78" s="31">
        <f>(F43/F53)</f>
        <v>2.7284469132457212</v>
      </c>
      <c r="G78" s="31">
        <f>(G43/G53)</f>
        <v>2.5215076510824344</v>
      </c>
    </row>
    <row r="79" spans="1:7">
      <c r="A79" s="8"/>
      <c r="B79" s="8"/>
      <c r="C79" s="8"/>
      <c r="D79" s="8"/>
      <c r="E79" s="8"/>
      <c r="F79" s="8"/>
      <c r="G79" s="52"/>
    </row>
    <row r="80" spans="1:7">
      <c r="A80" s="15" t="s">
        <v>48</v>
      </c>
      <c r="B80" s="8"/>
      <c r="C80" s="8"/>
      <c r="D80" s="8"/>
      <c r="E80" s="8"/>
      <c r="F80" s="8"/>
      <c r="G80" s="52"/>
    </row>
    <row r="81" spans="1:7">
      <c r="A81" s="8" t="s">
        <v>148</v>
      </c>
      <c r="B81" s="8" t="s">
        <v>117</v>
      </c>
      <c r="C81" s="8" t="s">
        <v>149</v>
      </c>
      <c r="D81" s="8"/>
      <c r="E81" s="31">
        <f>(E42/E52)</f>
        <v>0.49890200384298655</v>
      </c>
      <c r="F81" s="31">
        <f>(F42/F52)</f>
        <v>0.54366947925654041</v>
      </c>
      <c r="G81" s="31">
        <f>(G42/G52)</f>
        <v>0.40832885002444202</v>
      </c>
    </row>
  </sheetData>
  <mergeCells count="3">
    <mergeCell ref="A1:F1"/>
    <mergeCell ref="A56:F56"/>
    <mergeCell ref="A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2020-05-11T09:31:58Z</dcterms:created>
  <dcterms:modified xsi:type="dcterms:W3CDTF">2020-05-31T21:39:06Z</dcterms:modified>
  <cp:category/>
  <cp:contentStatus/>
</cp:coreProperties>
</file>