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Users\matv3\Bureau\Satge IAA\"/>
    </mc:Choice>
  </mc:AlternateContent>
  <xr:revisionPtr revIDLastSave="0" documentId="13_ncr:1_{3ADD4461-F118-4EEF-978B-55CFCD70C569}" xr6:coauthVersionLast="47" xr6:coauthVersionMax="47" xr10:uidLastSave="{00000000-0000-0000-0000-000000000000}"/>
  <bookViews>
    <workbookView xWindow="-120" yWindow="-120" windowWidth="29040" windowHeight="15840" xr2:uid="{00000000-000D-0000-FFFF-FFFF00000000}"/>
  </bookViews>
  <sheets>
    <sheet name="Form responses 1" sheetId="1" r:id="rId1"/>
    <sheet name="Pivot Tables" sheetId="2" r:id="rId2"/>
    <sheet name="Plots" sheetId="3" r:id="rId3"/>
    <sheet name="Sheet3" sheetId="4" r:id="rId4"/>
  </sheets>
  <calcPr calcId="191029"/>
  <pivotCaches>
    <pivotCache cacheId="9"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4" i="2" l="1"/>
  <c r="H9" i="2"/>
  <c r="R17" i="2"/>
  <c r="C27" i="2"/>
  <c r="I14" i="2"/>
  <c r="C17" i="2"/>
  <c r="B23" i="2"/>
  <c r="E16" i="2"/>
  <c r="R18" i="2"/>
  <c r="D16" i="2"/>
  <c r="H5" i="2"/>
  <c r="D22" i="2"/>
  <c r="C16" i="2"/>
  <c r="B3" i="2"/>
  <c r="D24" i="2"/>
  <c r="C26" i="2"/>
  <c r="C23" i="2"/>
  <c r="R3" i="2"/>
  <c r="R13" i="2"/>
  <c r="E17" i="2"/>
  <c r="R4" i="2"/>
  <c r="C13" i="2"/>
  <c r="E22" i="2"/>
  <c r="B11" i="2"/>
  <c r="E26" i="2"/>
  <c r="C14" i="2"/>
  <c r="D14" i="2"/>
  <c r="H3" i="2"/>
  <c r="R10" i="2"/>
  <c r="D9" i="2"/>
  <c r="D11" i="2"/>
  <c r="E15" i="2"/>
  <c r="E12" i="2"/>
  <c r="B5" i="2"/>
  <c r="B15" i="2"/>
  <c r="B26" i="2"/>
  <c r="E23" i="2"/>
  <c r="H11" i="2"/>
  <c r="B18" i="2"/>
  <c r="D10" i="2"/>
  <c r="D15" i="2"/>
  <c r="D27" i="2"/>
  <c r="B14" i="2"/>
  <c r="B25" i="2"/>
  <c r="E13" i="2"/>
  <c r="R5" i="2"/>
  <c r="R11" i="2"/>
  <c r="C11" i="2"/>
  <c r="B17" i="2"/>
  <c r="D18" i="2"/>
  <c r="D13" i="2"/>
  <c r="E27" i="2"/>
  <c r="I10" i="2"/>
  <c r="B13" i="2"/>
  <c r="B9" i="2"/>
  <c r="H4" i="2"/>
  <c r="D17" i="2"/>
  <c r="H10" i="2"/>
  <c r="R6" i="2"/>
  <c r="E9" i="2"/>
  <c r="E14" i="2"/>
  <c r="E10" i="2"/>
  <c r="D25" i="2"/>
  <c r="B10" i="2"/>
  <c r="E18" i="2"/>
  <c r="R20" i="2"/>
  <c r="E25" i="2"/>
  <c r="D23" i="2"/>
  <c r="R23" i="2"/>
  <c r="R22" i="2"/>
  <c r="C25" i="2"/>
  <c r="R21" i="2"/>
  <c r="B22" i="2"/>
  <c r="C9" i="2"/>
  <c r="I11" i="2"/>
  <c r="E24" i="2"/>
  <c r="C22" i="2"/>
  <c r="B27" i="2"/>
  <c r="B4" i="2"/>
  <c r="H12" i="2"/>
  <c r="D26" i="2"/>
  <c r="H14" i="2"/>
  <c r="I12" i="2"/>
  <c r="C12" i="2"/>
  <c r="E11" i="2"/>
  <c r="D12" i="2"/>
  <c r="B12" i="2"/>
  <c r="R19" i="2"/>
  <c r="B24" i="2"/>
  <c r="H13" i="2"/>
  <c r="C18" i="2"/>
  <c r="C15" i="2"/>
  <c r="I13" i="2"/>
  <c r="I9" i="2"/>
  <c r="B16" i="2"/>
  <c r="R9" i="2"/>
  <c r="C10" i="2"/>
  <c r="R12" i="2"/>
  <c r="I15" i="2" l="1"/>
  <c r="C28" i="2"/>
  <c r="C19" i="2"/>
  <c r="B19" i="2"/>
  <c r="E19" i="2" s="1"/>
  <c r="D28" i="2"/>
  <c r="B28" i="2"/>
  <c r="E28" i="2" s="1"/>
  <c r="D19" i="2"/>
  <c r="H6" i="2"/>
  <c r="B6" i="2"/>
  <c r="H1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4" authorId="0" shapeId="0" xr:uid="{00000000-0006-0000-0000-000001000000}">
      <text>
        <r>
          <rPr>
            <sz val="10"/>
            <color rgb="FF000000"/>
            <rFont val="Arial"/>
            <scheme val="minor"/>
          </rPr>
          <t>Responder updated this value.</t>
        </r>
      </text>
    </comment>
    <comment ref="E4" authorId="0" shapeId="0" xr:uid="{00000000-0006-0000-0000-000002000000}">
      <text>
        <r>
          <rPr>
            <sz val="10"/>
            <color rgb="FF000000"/>
            <rFont val="Arial"/>
            <scheme val="minor"/>
          </rPr>
          <t>Responder updated this value.</t>
        </r>
      </text>
    </comment>
    <comment ref="N47" authorId="0" shapeId="0" xr:uid="{00000000-0006-0000-0000-000003000000}">
      <text>
        <r>
          <rPr>
            <sz val="10"/>
            <color rgb="FF000000"/>
            <rFont val="Arial"/>
            <scheme val="minor"/>
          </rPr>
          <t>Responder updated this value.</t>
        </r>
      </text>
    </comment>
    <comment ref="AN48" authorId="0" shapeId="0" xr:uid="{00000000-0006-0000-0000-000004000000}">
      <text>
        <r>
          <rPr>
            <sz val="10"/>
            <color rgb="FF000000"/>
            <rFont val="Arial"/>
            <scheme val="minor"/>
          </rPr>
          <t>Responder updated this value.</t>
        </r>
      </text>
    </comment>
    <comment ref="F61" authorId="0" shapeId="0" xr:uid="{00000000-0006-0000-0000-000005000000}">
      <text>
        <r>
          <rPr>
            <sz val="10"/>
            <color rgb="FF000000"/>
            <rFont val="Arial"/>
            <scheme val="minor"/>
          </rPr>
          <t>Responder updated this value.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2" authorId="0" shapeId="0" xr:uid="{00000000-0006-0000-0300-000001000000}">
      <text>
        <r>
          <rPr>
            <sz val="10"/>
            <color rgb="FF000000"/>
            <rFont val="Arial"/>
            <scheme val="minor"/>
          </rPr>
          <t>Responder updated this value.</t>
        </r>
      </text>
    </comment>
  </commentList>
</comments>
</file>

<file path=xl/sharedStrings.xml><?xml version="1.0" encoding="utf-8"?>
<sst xmlns="http://schemas.openxmlformats.org/spreadsheetml/2006/main" count="1841" uniqueCount="763">
  <si>
    <t>Timestamp</t>
  </si>
  <si>
    <t>Contact person</t>
  </si>
  <si>
    <t>Title of the project</t>
  </si>
  <si>
    <t>Short title of the project (61 characters maximum)</t>
  </si>
  <si>
    <t>PI</t>
  </si>
  <si>
    <t>Short name of your project (1-2 words or acronym)</t>
  </si>
  <si>
    <t>Contact e-mail</t>
  </si>
  <si>
    <t>Affiliation</t>
  </si>
  <si>
    <t>Is it a CSIC institution?</t>
  </si>
  <si>
    <t>Department</t>
  </si>
  <si>
    <t>Research group</t>
  </si>
  <si>
    <t>Other institutions participating in the project</t>
  </si>
  <si>
    <t>Type of use</t>
  </si>
  <si>
    <t>Abstract</t>
  </si>
  <si>
    <t>When would you like to start your project?</t>
  </si>
  <si>
    <t>What is the expected duration of the project?</t>
  </si>
  <si>
    <t>Expected deliverables and milestones</t>
  </si>
  <si>
    <t>Is your project related in some way with the SKA or with Open Science? If yes, provide details</t>
  </si>
  <si>
    <t>Any other information you want to share</t>
  </si>
  <si>
    <t>Number of CPUs needed [Normal use]</t>
  </si>
  <si>
    <t>Number of CPUs needed [Maximum peak]</t>
  </si>
  <si>
    <t>Amount of memory (RAM) needed [GB] [Normal use]</t>
  </si>
  <si>
    <t>Amount of memory (RAM) needed [GB] [Maximum requirement]</t>
  </si>
  <si>
    <t>Storage needed</t>
  </si>
  <si>
    <t>Online services required</t>
  </si>
  <si>
    <t>Approximate number of collaborators that will access the platform [IAA members]</t>
  </si>
  <si>
    <t>Approximate number of collaborators that will access the platform [Spanish collaborators]</t>
  </si>
  <si>
    <t>Approximate number of collaborators that will access the platform [Collaborators from other countries]</t>
  </si>
  <si>
    <t>Support needed</t>
  </si>
  <si>
    <t>Any other comment?</t>
  </si>
  <si>
    <t>Operating System</t>
  </si>
  <si>
    <t>Social abstract</t>
  </si>
  <si>
    <t/>
  </si>
  <si>
    <t>CPU and Memory requested [2 cpu / 4 GB]</t>
  </si>
  <si>
    <t>CPU and Memory requested [4 cpu / 8 GB]</t>
  </si>
  <si>
    <t>CPU and Memory requested [8 cpu / 32 GB]</t>
  </si>
  <si>
    <t>CPU and Memory requested [16 cpu / 64 GB]</t>
  </si>
  <si>
    <t>CPU and Memory requested [24 cpu / 190 GB]</t>
  </si>
  <si>
    <t>CPU and Memory requested [40 cpu / 1000 GB]</t>
  </si>
  <si>
    <t>Any other combination of CPU and memory?</t>
  </si>
  <si>
    <t>Is this project related to a PhD thesis? If so, explain the role of the student and expected finish date</t>
  </si>
  <si>
    <r>
      <t xml:space="preserve">For statistical purposes we differentiate between: 
-  scientific projects, 
- </t>
    </r>
    <r>
      <rPr>
        <b/>
        <sz val="10"/>
        <color theme="1"/>
        <rFont val="Arial"/>
      </rPr>
      <t>TIC - Research and Development, espSRC services in production</t>
    </r>
    <r>
      <rPr>
        <sz val="10"/>
        <color theme="1"/>
        <rFont val="Arial"/>
      </rPr>
      <t xml:space="preserve">
- training and other </t>
    </r>
  </si>
  <si>
    <t>Topic</t>
  </si>
  <si>
    <t xml:space="preserve">Is a SRCNet prototyping activity? </t>
  </si>
  <si>
    <t>Is a SRC National activity?</t>
  </si>
  <si>
    <t>Is the project contributing to Open and collaborative Science?</t>
  </si>
  <si>
    <t>Main scientific topic</t>
  </si>
  <si>
    <t>Is your project using SKA precursor data?</t>
  </si>
  <si>
    <t>Is your project using SKA pathfinder data?</t>
  </si>
  <si>
    <t>Other Instruments used</t>
  </si>
  <si>
    <t>Is the project using granted data, archive data or simulations?</t>
  </si>
  <si>
    <t>Main TIC topic</t>
  </si>
  <si>
    <t>Is the project contributing to Open and collaborative Science? yes/no</t>
  </si>
  <si>
    <t>Rainer Schoedel</t>
  </si>
  <si>
    <t xml:space="preserve">SOMACHINE  2 - An IAA SO  School </t>
  </si>
  <si>
    <t>SOMACHINE2</t>
  </si>
  <si>
    <t>IAA-CSIC</t>
  </si>
  <si>
    <t>Yes</t>
  </si>
  <si>
    <t>Radioastronomía y estructura galáctica</t>
  </si>
  <si>
    <t>Schools, workshops or time-specific events</t>
  </si>
  <si>
    <t>The second edition of the IAA-CSIC Severo Ochoa School on Machine Learning, Big Data, and Deep Learning in Astronomy (SOMACHINE 2020) will be held at the Instituto de Astrofísica de Andalucía (CSIC), Granada, from Monday 19th to Friday 23rd of April 2021. It is directed at researchers in astrophysics of all levels and aims at providing them with a thorough background in the advanced data processing techniques of Machine Learning, Big Data, and Deep Learning. Classes will be taught by experts from the Andalusian Institute of Data Science and Computational Intelligence (DaSCI) of the University of Granada (UGR), that belongs to the worldwide leading research institutes in its field. The theoretical lessons will be complemented by practical hands-on lessons and lectures on applications of Machine Learning, Big Data, and Deep Learning in astrophysical research.</t>
  </si>
  <si>
    <t>5 days</t>
  </si>
  <si>
    <t>improved knowledge of students about machine learning</t>
  </si>
  <si>
    <t>Not directly.</t>
  </si>
  <si>
    <t>Unspecified</t>
  </si>
  <si>
    <t>JupyterHub server</t>
  </si>
  <si>
    <t>10-50</t>
  </si>
  <si>
    <t>General set up instructions and access to use platform, Advice on Github usage and best practices</t>
  </si>
  <si>
    <t>The total number of particicipants will be &lt;= 50. I would need support for the management of the github site as in the last edition of the school. I cannot do this myself (no skill, and, more important, no time). Thank you all very much!</t>
  </si>
  <si>
    <t>Miguel Pérez Torres</t>
  </si>
  <si>
    <t>Data Analysis of LOFAR DATA for the LOFAR School 2021</t>
  </si>
  <si>
    <t>LOFAR School</t>
  </si>
  <si>
    <t>14 days</t>
  </si>
  <si>
    <t>Testing that we can carry out LOFAR data analysis using the SPSRC facilities</t>
  </si>
  <si>
    <t>Yes. LOFAR can be seen as one of the SKA-LOW precursors</t>
  </si>
  <si>
    <t>10TB</t>
  </si>
  <si>
    <t>Virtual Machine (VM), default, JupyterLab server (on your own VM), CARTA server (on your own VM)</t>
  </si>
  <si>
    <t>1-5</t>
  </si>
  <si>
    <t>General set up instructions and access to use platform, Support on efficiently managing conda environments, Advice on Github usage and best practices, Advice on making your project reproducible, Support on data processing software for radio nterferometry</t>
  </si>
  <si>
    <t>No tengo ni idea de lo que son los "containers"</t>
  </si>
  <si>
    <t>Jose Francisco Gomez (jfg@iaa.es)</t>
  </si>
  <si>
    <t>Study of star-planet interaction with MeerKat</t>
  </si>
  <si>
    <t>Jose Francisco Gomez</t>
  </si>
  <si>
    <t>SPI-Kat</t>
  </si>
  <si>
    <t>jfg@iaa.es</t>
  </si>
  <si>
    <t>Research</t>
  </si>
  <si>
    <t>We have carried out a monitoring of the radio emission from Proxima Cen, during 18 days, using Meerkat. We intend to follow the variability of the emission (total flux density and circularly polarized radiation), to try to find a relationship with the orbit of planet Proxima b</t>
  </si>
  <si>
    <t>6 months</t>
  </si>
  <si>
    <t>At least one scientific paper</t>
  </si>
  <si>
    <t>We are using one of the recognized SKA precursors for this project. Moreover, this project may open a new way to study exoplanets with SKA.</t>
  </si>
  <si>
    <t>4TB</t>
  </si>
  <si>
    <t>Virtual Machine (VM), default, JupyterLab server (on your own VM), CARTA server (on your own VM), Remote access for collaborators</t>
  </si>
  <si>
    <t>General set up instructions and access to use platform, Advice on making your project reproducible</t>
  </si>
  <si>
    <t>I have no idea of the number of CPU cores that our data reduction will require. I assume the processing scripts would allow parallel processing to some extent. For RAM, I took the expected size of each individual session of data (~60 GB), and then assumed that processing will be more efficient if all of it could be loaded simultaneously into RAM, so that no disk access is necessary during mathematical operations. But we are open to suggestions for the optimal resource allocation. There are several options on "support needed" which I have no idea what they mean. We will see what exactly we need as we proceed. We will start with an environment where we can reduce our data.</t>
  </si>
  <si>
    <t>Meerkat</t>
  </si>
  <si>
    <t>Granted</t>
  </si>
  <si>
    <t>Javier Moldon</t>
  </si>
  <si>
    <t>Luminous Infra­Red Galaxy Inventory, an i-LINK+ action</t>
  </si>
  <si>
    <t>lirgi</t>
  </si>
  <si>
    <t>Astronomía extragaláctica</t>
  </si>
  <si>
    <t>LIRGI (Luminous InfraRed Galaxy Inventory) is an e-MERLIN Legacy Project to obtain deep high-resolution images of 42 of the most luminous infrared galaxies. LIRGI will provide a much needed high-spatial-resolution radio imaging to reveal the sub-arcsecond morphology of the galaxies C- and L-band continuum and spectral line emission.  Furthermore, this  project combines data from 4 SKA pathfinders, as we also have EVN and  JVLA data for the whole sample and LOFAR data for some of the sources. By understanding the physical processes occurring in nearby objects we aim to gain insights into how star-formation occurs at high redshift, and thus throughout the Universe history. We aim to process the full e-MERLIN Legacy Project data at the protoSRC, making the data reduction and analysis as Open as possible. This project is embeded in the actions of an i-LINK+ 2020 coordination project, so the use the collaborative platform by the protoSRC at the IAA will be beneficial to allow collaborators from different countries to work in parallel</t>
  </si>
  <si>
    <t>2 years</t>
  </si>
  <si>
    <t>In our current plan we expect to publish at least four papers directly from the e-MERLIN data, and about 3-4 additional papers when combining the data with the other instruments involved in the project.</t>
  </si>
  <si>
    <t>It makes use of the SKA pathfinder e-MERLIN, and will also involve data from other two pathfinders: JVLA and LOFAR. We will make the data reduction and analysis as Open as possible</t>
  </si>
  <si>
    <t xml:space="preserve">We are open to redefine the scope of the project and update on the progress regularly. </t>
  </si>
  <si>
    <t>40TB</t>
  </si>
  <si>
    <t>5-10</t>
  </si>
  <si>
    <t>General set up instructions and access to use platform, Support on efficiently managing conda environments, Advice on Github usage and best practices, Advice on making your project reproducible, Advice on data management plans, Support on the use of containers (singularity, docker, etc.)</t>
  </si>
  <si>
    <t>Ubuntu 20.04</t>
  </si>
  <si>
    <t>e-Merlin</t>
  </si>
  <si>
    <t>Luis Peña</t>
  </si>
  <si>
    <t>Exoplanet-induced radio emission from GJ 486</t>
  </si>
  <si>
    <t>gj486-lofar</t>
  </si>
  <si>
    <t xml:space="preserve">We have recently carried out observations on LOFAR to probe star-planet interaction between the star GJ 486 and its confirmed rocky exoplanet GJ 486b. Our primary goal was the detection of electron cyclotron maser emission with a periodic enhancement that correlates with the orbital period of the planet.
Our observations will also allow us to study the impact of magnetic eruptive events, such as stellar flares and stellar coronal mass ejections from the host star, in the habitability of rocky exoplanets. Those observations will be part of a multi-frequency campaign, with simultaneous photometric and spectroscopic observations with the telescopes in Sierra Nevada and Calar Alto in the optical, and with the Swift satellite, in the X-ray and UV domain.
</t>
  </si>
  <si>
    <t>Reduction and analysis of interferometric data from star-planet system GJ 486 - GJ 486b that could point towards the existence of star-planet interaction. Results are to be published in a high impact journal.</t>
  </si>
  <si>
    <t>These observations are from SKA Pathfinder - LOFAR</t>
  </si>
  <si>
    <t>General set up instructions and access to use platform, Support on efficiently managing conda environments, Advice on Github usage and best practices, Advice on making your project reproducible, Advice on data management plans, Support on the use of containers (singularity, docker, etc.), Consultancy on interferometry basics and calibration, Support on data processing software for radio nterferometry</t>
  </si>
  <si>
    <t>LOFAR</t>
  </si>
  <si>
    <t>Reduction of radio astronomy data for master students</t>
  </si>
  <si>
    <t>Radio Master</t>
  </si>
  <si>
    <t>We teach a course on Radio Astronomy, within the FISyMAT Master program at the UGR. Part of the classes are practical, with hands-on experience on processing of radio astronomical data. This needs the installation of software such as GILDAS and CASA. In past years, we distributed virtual machines (VirtualBox) with this software installed. However, students had compatibility and usability problems. Moreover, the installation was not easy on VirtualBox VMs, depending on the guest distribution, and the host computer. We never found out any trend on the problematic combinations of guest-hosts. We would like to try a collaborative environment on the protoSRC VMs, for these academic purposes, where students can have access to data and properly installed software</t>
  </si>
  <si>
    <t>2 months</t>
  </si>
  <si>
    <t xml:space="preserve">Each student should be able to obtain fully reduced single-dish spectra and interferometric continuum maps. </t>
  </si>
  <si>
    <t>Not directly, but we will process interferometric data, providing learning opportunities to prospective future SKA users (the students of the course)</t>
  </si>
  <si>
    <t>200GB</t>
  </si>
  <si>
    <t>Virtual Machine (VM), default, Remote access for collaborators</t>
  </si>
  <si>
    <t>General set up instructions and access to use platform</t>
  </si>
  <si>
    <t>I think the computer requirements are enough. I have assumed what we can probably need considering about 10 users running the same type of process at the same time during the class. In principle, I do not intend to use containers (I think it would introduce unnecessary complications for these simple purposes), but I would reconsider it in case of problems.</t>
  </si>
  <si>
    <t>ALMA data of W75N</t>
  </si>
  <si>
    <t>W75N</t>
  </si>
  <si>
    <t xml:space="preserve">We process of ALMA data obtained in the last cycle 7, on the massive star-forming region W75N. This is an outstanding region, in which we have seen in real time (over 18 years) the
onset of outflow collimation, from nearly spherical mass-loss to a collimated ejection (Carrasco-Gonzalez et al. 2015, Science, 348,114).
In this new ALMA project, we aim to detect a circumstellar torus, whose existence we infer from this change of outflow properties. We also intend to estimate the relative orientation of the outflow processes and magnetic fields in the region, to determine the role of the later on mass loss. A very high angular resolution (90 mas) has been obtained to carry out our
science goals. Observations were completed in September 2021. We expect them to be delivered to us in October. We will process this data in collaboration with the PI of the project (Dr. J-S. Kim), who has recently applied to an incoming SO visit to the IAA.
</t>
  </si>
  <si>
    <t>At least one paper</t>
  </si>
  <si>
    <t>We will be using ALMA data, which is the closest available right now to SKA1 in terms of data size and interferometric data processing.</t>
  </si>
  <si>
    <t>1TB</t>
  </si>
  <si>
    <t>General set up instructions and access to use platform, Support on the use of containers (singularity, docker, etc.)</t>
  </si>
  <si>
    <t>My estimate on the requirement is based on the data storage used by a similar ALMA project, and the RAM available on a server we have been efficiently using for ALMA data processing. So, it might not be very accurate (although I think it is a reasonable requirement). The advantage for us of using the protoSRC resources this time is the possibility of advancing on data reduction, in collaboration with the PI and other collaborators (with easy remote access to data and computing resources), before a future visit to the IAA in person (which we expect this to be in February 2022)</t>
  </si>
  <si>
    <t>ALMA</t>
  </si>
  <si>
    <t>Miguel Pérez-Torres</t>
  </si>
  <si>
    <t>Studying the flaring activity and probing star-planet interaction in M-dwarfs</t>
  </si>
  <si>
    <t>SPI-JVLA</t>
  </si>
  <si>
    <t>torres@iaa.es</t>
  </si>
  <si>
    <t>29/10/2021</t>
  </si>
  <si>
    <t xml:space="preserve">At least one paper, compiling the results from the observations of 3 M-dwarf systems (GJ 393, GJ 876 and G 264-12). If there are particularly relevant results in any of them, we will consider their publication in independent refereed papers. </t>
  </si>
  <si>
    <t>Yes. These observations are taken with the JVLA at frequencies overlapping with those of the SKA, and will inform us on how to best use the SKA for those studies.</t>
  </si>
  <si>
    <t>7TB</t>
  </si>
  <si>
    <t>M dwarfs are the most common type of star and are known to commonly host exoplanets. We propose JVLA
observations of a sample of M-dwarfs with confirmed exoplanets, aimed at two main goals. (1) Studying the
flaring activity (stellar flares and coronal mass ejections) in M-stars. Stellar flares events trace particle acceleration,
powered by magnetic reconnection, shock fronts and magnetospheric currents, in some cases offering the only
window into these processes in stellar atmospheres. Our observations will allow us to detect and characterize flares
and states of high stellar activity in M-dwarf stars. This has important implications for the habitability of orbiting
planets, as well as for the properties of the stellar wind and magnetic dynamos. (2) Testing directly the star-planet
interaction scenario with radio observations, and independently confirm the existence of exoplanets. The detection
of auroral radio emission with periodic enhancements that correlate with the orbital period of the planet would be the
smoking gun of star-planet interaction. This would validate radio observations as an independent method to confirm
existing exoplanets and discover new ones.</t>
  </si>
  <si>
    <t>VLA</t>
  </si>
  <si>
    <t>Kelley Hess</t>
  </si>
  <si>
    <t>Apertif: HI Source Finding</t>
  </si>
  <si>
    <t>Apertif</t>
  </si>
  <si>
    <t>hess@iaa.es</t>
  </si>
  <si>
    <t>Research, Development</t>
  </si>
  <si>
    <t>Apertif is an SKA precursor that is surveying more than 2000 deg^2 in the northern sky in radio continuum, polarization, and HI spectral line using  phased array feeds.  I propose to use the SPSRC for advanced processing of the spectral line data cubes, HI source finding, and catalog and advanced data product generation which will make HI science with Apertif possible.  In the long term, this data will become available to the broader astronomical community through a data archive, hosted at ASTRON and/or potentially with the SPSRC.</t>
  </si>
  <si>
    <t>Now.</t>
  </si>
  <si>
    <t>3 years</t>
  </si>
  <si>
    <t>Of order 2 papers on the HI catalog (a preliminary catalog, and an updated catalog with improved calibration pipeline); data for an archive (potentially hosted here and/or at ASTRON); potential development includes a tool for creating final data products after running SoFiA.  A very optimistic look for the first HI catalog would be end of 2022, but more like 2023.</t>
  </si>
  <si>
    <t>Apertif is an SKA precursor.  Eventually all the data should be made public.</t>
  </si>
  <si>
    <t>The project is large and long term.  I would propose setting up a testing environment before allocating me all the resources I would like to have.  The minimum test environment is what I propose below to see if I can achieve the same performance as I have at ASTRON.</t>
  </si>
  <si>
    <t>5TB</t>
  </si>
  <si>
    <t>Virtual Machine (VM), default, CARTA server (on your own VM), Archive (under development), singularity container for the Apercal pipeline</t>
  </si>
  <si>
    <t>General set up instructions and access to use platform, Advice on making your project reproducible, Advice on data management plans, Support on the use of containers (singularity, docker, etc.)</t>
  </si>
  <si>
    <t>I have chosen Ubuntu 20.04, but to my knowledge the choice doesn't strictly matter.  Maybe some tips as to the advantage/disadvantage of each OS would be good somewhere in the documentation or on this form.</t>
  </si>
  <si>
    <t>The Apertif HI survey is detecting the neutral hydrogen gas in tens of thousands of galaxies which have never been observed before.  With resources at the SPSRC, we are working to make that data accessible to the broader astronomical community in the form of science-ready advanced data products.</t>
  </si>
  <si>
    <t>2nd IAA-CSIC Severo Ochoa School on Statistics, Data Mining, and Machine Learning</t>
  </si>
  <si>
    <t>SOSTAT 2021</t>
  </si>
  <si>
    <t>rainer@iaa.es</t>
  </si>
  <si>
    <t>The 2nd IAA-CSIC Severo Ochoa School on Statistics, Data Mining and Machine Learning will be held in Granada, from Monday, November 29th, to Friday, December 3rd, 2021. This school will have a strong hands-on aspect and the participants will repeat and apply the learned lessons in practical exercises. The character of the lessons will be introductory, but the school will be directed towards researchers of all levels. Basic familiarity with Python and tools such as Jupyter Notebooks is strongly recommended.</t>
  </si>
  <si>
    <t>29 Nov 2021</t>
  </si>
  <si>
    <t>Accelerated evolution in the densest groups of galaxies: MeerKAT imaging of the missing HI</t>
  </si>
  <si>
    <t>hcg-meerkat</t>
  </si>
  <si>
    <t>jmoldon@iaa.es</t>
  </si>
  <si>
    <t>Hickson Compact Groups (HCGs) are located in low-density environments, and composed of ~ 4-10 tightly bound galaxies. Their high galactic density, similar to the centres of rich clusters, causes strong gravitational interactions between members, accelerating their evolution. This makes them ideal to study galaxy transformations, such as mass assembly pathways and star formation quenching modes. HCGs can show extreme atomic gas (HI) deficiency. HI studies with the VLA have established an evolutionary sequence, where in Phase 1 the gas is mainly in galaxies, while in Phases 2 and 3 more and more HI gas is missing from these, either distributed in tidal tails, or missing altogether, yet (partly) detected in single-dish GBT observations (spread over up to 1000 km/s), suggesting the presence of diffuse gas in the intragroup medium (IGrM).
MeerKAT has the unique capabilities required to locate and analyse this elusive HI. Hence, we propose to observe a sample of HCGs in the most advanced evolutionary phases, in order to understand a) how do HCGs transition from a complex of HI tidal structures to the most extreme phase in which galaxies have completely lost their HI, b) how far from the core galaxies can the HI survive, and whether magnetic fields are aiding in this survival in the harsh IGrM, c) the effect of potential encounters with intruder galaxies located beyond the area studied with the VLA, and d) the unexplored role of intragroup gas in the accelerated transition of galaxies from active to quiescent.</t>
  </si>
  <si>
    <t>30/11/2021</t>
  </si>
  <si>
    <t>At least one publication with the results and tables/archive to deliver to the community</t>
  </si>
  <si>
    <t>It uses the SKA precursor MeerKAT. We will make the data analysis reproducible and the outputs openly available following FAIR principles</t>
  </si>
  <si>
    <t>200TB</t>
  </si>
  <si>
    <t>Virtual Machine (VM), default, JupyterLab server (on your own VM), CARTA server (on your own VM), Remote access for collaborators, Archive (under development)</t>
  </si>
  <si>
    <t>We study six Hickson Compact Groups of galaxies to search for "missing" intragroup gas in HI with the MeerKAT interferometer</t>
  </si>
  <si>
    <t>Amidou Sorgho</t>
  </si>
  <si>
    <t>Angular momentum of isolated AMIGA galaxies</t>
  </si>
  <si>
    <t>AMIGA-J</t>
  </si>
  <si>
    <t>amid.ast@gmail.com</t>
  </si>
  <si>
    <t>This project consists of computing the angular momentum of isolated galaxies selected from the AMIGA sample, which are by definition devoid of environmental effects. In fact, no study of angular momentum has so far been performed on strictly isolated galaxies to quantify the effects of the environment.</t>
  </si>
  <si>
    <t>15 December 2021</t>
  </si>
  <si>
    <t>We expect to produce a peer-reviewed paper by the end of 2022, along with an archive of HI data products and rotation curves</t>
  </si>
  <si>
    <t>Virtual Machine (VM), default, JupyterHub server, CARTA server (on your own VM)</t>
  </si>
  <si>
    <t>Ubuntu 18.04</t>
  </si>
  <si>
    <t>Guillermo Blázquez Calero</t>
  </si>
  <si>
    <t>Searching for dust components in Proxima Centauri planetary system with ALMA</t>
  </si>
  <si>
    <t>Proxima ALMA</t>
  </si>
  <si>
    <t>gblazquez@iaa.es</t>
  </si>
  <si>
    <t>After the discovery in 2016 of Proxima b, a terrestrial planet around Proxima Cen, a large effort has been carried out to further characterize this system. Proxima Cen is the closest star to our sun, and it has become a priority for a large number of studies. ALMA observations performed in 2017 revealed evidences for rings of dust around Proxima Cen, and an unresolved source at ~1.5 au to the south-east of Proxima Cen (Anglada et al. 2017). This unresolved source, among the several possibilities, could be emission from a ring of dust of a second planet, Proxima c. This interpretation is reinforced by the signs of a planet at 1.5 au discovered by radial velocity, and by VLT images which suggest the presence of an optical/near-IR orbiting source also at 1.5 au. Using new ALMA observations taken in 2021, this project aims to shed light on the architecture and dynamical history of this planetary system, and to clarify possible signatures of dust component related with planet candidate Proxima c.</t>
  </si>
  <si>
    <t>Mid-January 2022</t>
  </si>
  <si>
    <t>5 months</t>
  </si>
  <si>
    <t>This ALMA data will allow us to confirm or address the hypothesis that the unknown source observed with previous ALMA observations is the candidate planet Proxima c. The detection would be a confirmation of the existence of Proxima c itself, and to the best of our knowledge, it would be the first exoplanet to be confirmed by ALMA. If the unknown mm source is Proxima c, its detection with ALMA would mean it is either surrounded by a system of rings or by a cometary tail, or it might even be emitting gas and dust in a scaled-up version of the Jovian satellite Io. None of these features has been so far detected outside of our solar system. Therefore we are not only possibly detecting Proxima c with ALMA, but also opening countless possibilities for its characterization. Even in the case of non-detection, the potential outcome of the project is, at least, a letter or a paper.</t>
  </si>
  <si>
    <t>This project may open the way for future SKA observations toward this target. ALMA will publicly release the data in the ALMA Science Archive, but we could also share our own data reduction.</t>
  </si>
  <si>
    <t>General set up instructions and access to use platform, Support on efficiently managing conda environments, Advice on Github usage and best practices, Advice on making your project reproducible, Support on the use of containers (singularity, docker, etc.), Consultancy on interferometry basics and calibration, Support on data processing software for radio nterferometry</t>
  </si>
  <si>
    <t xml:space="preserve">I am not very sure about the ideal number of CPUs and amount of memory RAM we would need for the project. Most of the computational resources will be dedicated to the calibration and reduction of ALMA observations, both continuum and line data. We have already worked on this data in previous servers with 32 cores and 256 GB of RAM, and we would like a similar performance. </t>
  </si>
  <si>
    <t>To understand and explore our solar system has been a priority of space research for decades. Nowadays, with the evidence that many other planetary systems populate our Galaxy, this interest in characterizing, and even in exploring, other planetary systems has expanded to other systems. Proxima Cen is the closest star to our Sun (d=1.3 pc), and the target has become a priority for a large number of studies, observational and theoretical. As such, it is considered both by astronomers and the general public as a very special target. We carried out ALMA observations aimed at detecting a possible ring/disk of dust around Proxima Cen that could shed further light on the architecture and dynamical history of the planetary system nearest to ours.</t>
  </si>
  <si>
    <t>Gas and star formation in the Hydra Cluster</t>
  </si>
  <si>
    <t>Hydra Cluster</t>
  </si>
  <si>
    <t>15 February 2022</t>
  </si>
  <si>
    <t>one paper and a successful JAE project, hopefully!</t>
  </si>
  <si>
    <t>We are using MeerKAT data, but otherwise, no.</t>
  </si>
  <si>
    <t>This VM is for a JAE student, Clara Cabanillas, to be able to work with data.  Both she and I should have access.</t>
  </si>
  <si>
    <t>250GB</t>
  </si>
  <si>
    <t>Marie-Lou Gendron-Marsolais</t>
  </si>
  <si>
    <t>Perseus Radio Observations</t>
  </si>
  <si>
    <t>perseus</t>
  </si>
  <si>
    <t>marielou@iaa.es</t>
  </si>
  <si>
    <t xml:space="preserve">I request extra computational ressource for the storage and reduction of several VLA datasets of the Perseus cluster. </t>
  </si>
  <si>
    <t>as soon as possible</t>
  </si>
  <si>
    <t xml:space="preserve">These observations will lead to several papers, at least 2 : one on the central emission in the cluster and the other on the galaxy member IC310. </t>
  </si>
  <si>
    <t>no</t>
  </si>
  <si>
    <t>15TB</t>
  </si>
  <si>
    <t>Virtual Machine (VM), default</t>
  </si>
  <si>
    <t>This will be used for casa data reduction of large VLA datasets...any advices on the CPU and memory requirement is welcome... also about the Operating System, I have no preference.</t>
  </si>
  <si>
    <t>CentOS 8</t>
  </si>
  <si>
    <t>Clusters of galaxies are large gathering of thousands of galaxies and constitute unique environments, very different from the neighborhood of our galaxy the Milky Way. Radio observations give important clues for our understanding of the complex interplay between central supermassive black holes and the gas found in between these galaxies...</t>
  </si>
  <si>
    <t>Normal Use</t>
  </si>
  <si>
    <t>Maximum peak</t>
  </si>
  <si>
    <t>Laura Darriba</t>
  </si>
  <si>
    <t>Pysnacks Data Carpentry: Fundations of Astronomical Data Science</t>
  </si>
  <si>
    <t>pysnacks-dc1</t>
  </si>
  <si>
    <t>ldarriba@iaa.es</t>
  </si>
  <si>
    <t>The IAA Severo Ochoa Training Initiative will conduct a series of workshops on  the use of Python packages for astrophysics/space science: ”PySnacks”. Our first four lessons will be dedicated to fundamental packages (Pandas, Astropy, Astroquery) in combination with the Gaia and Pa-STARRS datasets (see https://datacarpentry.org/astronomy-python/).</t>
  </si>
  <si>
    <t>11th March 2022</t>
  </si>
  <si>
    <t>1 month</t>
  </si>
  <si>
    <t>This is a training event for the IAA</t>
  </si>
  <si>
    <t>We will promote reproducibility best practices</t>
  </si>
  <si>
    <t>General set up instructions and access to use platform, Support on efficiently managing conda environments, Advice on Github usage and best practices, Advice on making your project reproducible</t>
  </si>
  <si>
    <t xml:space="preserve">The school will happen from 21st of March to 1st of April 2022 </t>
  </si>
  <si>
    <t>Use JupyterHub service for 35 people</t>
  </si>
  <si>
    <t>Reproducibility course (CSIC course)</t>
  </si>
  <si>
    <t>reprocsic</t>
  </si>
  <si>
    <t>Este curso es una introducción a una serie de herramientas y buenas prácticas para que el análisis científico sea más abierto, organizado y automatizado, con metodologías que pueden incorporarse a su flujo trabajo. El curso permitirá conocer en más profundidad los principios de Ciencia Abierta, que cada vez son más demandados a nivel institucional y dan un valor añadido a la carrera científica. Además, se cubrirán los conceptos de reproducibilidad en ciencia, los principios FAIR aplicados a datos y a software. Se mostrarán ejemplos prácticos de cómo utilizar una serie de herramientas que permitan crear análisis más robustos y reproducibles, así como herramientas para hacer los resultados accesibles a la comunidad, con la intención de maximizar el impacto de los resultados de la investigación. Consideramos que es importante que el conocimiento de estas herramientas forme parte del currículum formativo del personal investigador del CSIC.</t>
  </si>
  <si>
    <t>23rd March 2022</t>
  </si>
  <si>
    <t xml:space="preserve">This is a training event </t>
  </si>
  <si>
    <t>Yes, reproducibility course</t>
  </si>
  <si>
    <t>100GB</t>
  </si>
  <si>
    <t>Virtual Machine (VM), default, Remote access for collaborators, singularity, docker, latex, evince, eog</t>
  </si>
  <si>
    <t>General set up instructions and access to use platform, Support on the use of containers (singularity, docker, etc.), Managing user accounts</t>
  </si>
  <si>
    <t>Manuel Parra</t>
  </si>
  <si>
    <t xml:space="preserve">BinderHub </t>
  </si>
  <si>
    <t>BinderHub</t>
  </si>
  <si>
    <t>mparra@iaa.es</t>
  </si>
  <si>
    <t>Development</t>
  </si>
  <si>
    <t>The reproducibility of code in science repositories plays a critical role in the advancement and development of scientific work. For this reason, tools such as BindeHub are making it possible to generate a complete environment from a code repository that provides the entire work cycle necessary to launch a study or analysis using JupyterNotebooks. BinderHub takes care of deploying the container, downloading the code, launching the environments and finally raising the JupyterLab instance to support the user. For this reason we request to deploy an instance within the Kubernetes cluster that provides a Hub to host Binder. In addition, this deployment is intended to support the access to our infrastructure of part of the computation that is done in ESCAPE, with the objective of integrating this BinderHub as part of the resources available for ESCAPE-ESAP.</t>
  </si>
  <si>
    <t>2022-03-09</t>
  </si>
  <si>
    <t>Workshops and conferences</t>
  </si>
  <si>
    <t>Yes, related with ESCAPE that will be part of SKA develpment</t>
  </si>
  <si>
    <t>BinderHub takes care of deploying the container, downloading the code, launching the environments and finally raising the JupyterLab instance to support the user.</t>
  </si>
  <si>
    <t>5GB</t>
  </si>
  <si>
    <t>BinderHub will be host on top of Kubernetes</t>
  </si>
  <si>
    <t>Advice on Github usage and best practices, Advice on making your project reproducible</t>
  </si>
  <si>
    <t>Project Scientist can propose a more appropriate short name.</t>
  </si>
  <si>
    <t>None of the above (describe it at the end)</t>
  </si>
  <si>
    <t>The reproducibility of code in science repositories plays a critical role in the advancement and development of scientific work. For this reason, tools such as BindeHub are making it possible to generate a complete environment from a code repository that provides the entire work cycle necessary to launch a study or analysis using JupyterNotebooks. For this reason we request to deploy an instance within the Kubernetes cluster that provides a Hub to host Binder. In addition, this deployment is intended to support the access to our infrastructure of part of the computation that is done in ESCAPE, with the objective of integrating this BindeHub as part of the resources available for ESCAPE-ESAP.</t>
  </si>
  <si>
    <t>WALLABY - Notebooks</t>
  </si>
  <si>
    <t>wallaby-nbs</t>
  </si>
  <si>
    <t xml:space="preserve">The Widefield ASKAP L-band Legacy All-sky Blind surveY (WALLABY) (1) is a neutral hydrogen survey (HI) that is running on the Australian SKA Pathfinder (ASKAP), a precursor telescope for the Square Kilometre Array (SKA). The goal of WALLABY is to use ASKAP's powerful wide- field phased array feed technology to observe three quarters of the entire sky at the 21 cm neutral hydrogen line with an angular resolution of 30 arcseconds. Post-processing activities at the Australian SKA Regional Centre (AusSRC), Canadian Initiative for Radio Astronomy Data Analysis (CIRADA) and Spanish SKA Regional Centre prototype (SPSRC) will then produce publicly available advanced data products in the form of source catalogues, kinematic models and image cutouts, respectively. These data products will be generated at the locations and distributed by the network of CRSs to the targeted centres. For the analysis of these data, a series of Science Notebooks have been developed to process data products at the local sites that will connect to the data stored in the Postgres database at the Endpoint, resulting in considerable savings in data access and computation, as the computation is moved to where the data is located. This scenario will be key to future developments of the CRS network.
</t>
  </si>
  <si>
    <t>1 year</t>
  </si>
  <si>
    <t>Paper, Conference and workshops.</t>
  </si>
  <si>
    <t xml:space="preserve">Yes, through ASKAP </t>
  </si>
  <si>
    <t>It will include a nice feature not yet explored in protoSRC, which will allow to connect BlockStorage and Wallaby DB access locally through postgresql connectors.</t>
  </si>
  <si>
    <t>JupyterHub server, An instance on JupyterHub cluster</t>
  </si>
  <si>
    <t>Advice on Github usage and best practices, Advice on making your project reproducible, Advice on data management plans, Support on data processing software for radio nterferometry</t>
  </si>
  <si>
    <t>The Widefield ASKAP L-band Legacy All-sky Blind surveY (WALLABY) (1) is a neutral hydrogen survey (HI) that is running on the Australian SKA Pathfinder (ASKAP), a precursor telescope for the Square Kilometre Array (SKA). The goal of WALLABY is to use ASKAP's powerful wide- field phased array feed technology to observe three quarters of the entire sky at the 21 cm neutral hydrogen line with an angular resolution of 30 arcseconds. Post-processing activities at the Australian SKA Regional Centre (AusSRC), Canadian Initiative for Radio Astronomy Data Analysis (CIRADA) and Spanish SKA Regional Centre prototype (SPSRC) will then produce publicly available advanced data products in the form of source catalogues, kinematic models and image cutouts, respectively. These data products will be generated at the locations and distributed by the network of CRSs to the targeted centres. For the analysis of these data, a series of Science Notebooks have been developed to process data products at the local sites that will connect to the data stored in the Postgres database at the Endpoint, resulting in considerable savings in data access and computation, as the computation is moved to where the data is located. This scenario will be key to future developments of the CRS network.</t>
  </si>
  <si>
    <t>Kubernetes Flavor</t>
  </si>
  <si>
    <t>Radio continuum observations of massive star clusters in the GC</t>
  </si>
  <si>
    <t>galactic</t>
  </si>
  <si>
    <t>Young massive clusters are key astrophysical targets to study star formation and massive stellar evolution under extreme conditions. They are critical to question whether the initial mass function (IMF) is a universal property, as seen by studies of the solar neighborhood, or if it changes depending on the host environment. We can use radio continuum observations to detect radiation produced by stellar winds of the cluster's massive members (post main sequence O stars and Wolf-Rayet stars). We have successfully carried out a pilot study with the Jansky Very Large Array (JVLA) to constrain the IMF of the Arches and Quintuplet clusters, located around 30 pc in projection from Sgr A*, the supermassive black hole at the centre of the Milky Way. Infrared studies on Arches and Quintuplet can be used to ensure cluster membership and de-select potential spurious radio sources. Given the JVLA limited sensitivity and locus in the northern hemisphere, only the bright end of the radio luminosity function (RLF) was detected in the pilot study. The unprecedented capabilities and privileged position of the future Square Kilometer Array (SKA) would surely provide a more substantial census of radio stars in such clusters, extending the tail of the RLF towards fainter sources.</t>
  </si>
  <si>
    <t>ASAP</t>
  </si>
  <si>
    <t>At least one paper.</t>
  </si>
  <si>
    <t>The project uses VLA as an SKA pathfinder and is prepaaratory work for an SKA GC survey</t>
  </si>
  <si>
    <t>2TB</t>
  </si>
  <si>
    <t>General set up instructions and access to use platform, Support on efficiently managing conda environments, Support on the use of containers (singularity, docker, etc.), Consultancy on interferometry basics and calibration, Support on data processing software for radio nterferometry</t>
  </si>
  <si>
    <t>The study of young massive clusters such as the Arches and Quintuplet clusters, located at the Galactic centre, is key to understand star formation in the most extreme environments of the Milky Way. Radio observations allow us to detect emission arising from the stellar winds of the most massive cluster members, which, combined with infrared studies, can provide constrains on some of the most important cluster properties.</t>
  </si>
  <si>
    <t>Ananthan Karunakaran</t>
  </si>
  <si>
    <t>Resolving UDGs in HI</t>
  </si>
  <si>
    <t>MeerKATUDGs</t>
  </si>
  <si>
    <t>ananthan@iaa.es</t>
  </si>
  <si>
    <t>We have obtained ~20 hours of MeerKAT 32K mode observations to image and resolve the HI distributions of two gas-rich ultra-diffuse galaxies (UDGs). The properties of most UDGs are commensurate with dwarf galaxies, but some have dynamical masses similar to the Milky Way with 1-10% of the stars. While several formation mechanisms have been proposed, the origin of these peculiar objects, particularly gas-rich, blue UDGs in low-density (i.e. field) environments, remains unclear. Efforts have been made to constrain formation scenarios for these objects using both single-dish and interferometric HI observations. Interestingly, recent work using marginally resolved HI imaging suggests that their rotation velocities are lower than expected from the nearby galaxy Baryonic Tully-Fisher Relation (BTFR), implying that they are dark matter-free within their baryonic disks. However, this finding is muddled by the low spatial resolution of the HI observations, which required a novel technique to disentangle their rotation velocities from their inclinations. Understanding the kinematics of UDGs is essential in understanding their origin and evolution. The combination of its exquisite surface brightness sensitivity and high spatial resolution makes MeerKAT the ideal telescope to image gas-rich UDGs at higher angular resolution and apply standard, well-tested tilted-ring kinematic models to the final HI datacubes. The modest amount of observing time requested in this proposal will have the potential to illuminate whether UDGs are truly rotating more slowly than expected and demonstrate the capabilities of MeerKAT in this regime.</t>
  </si>
  <si>
    <t>11/04/2022</t>
  </si>
  <si>
    <t>One paper based on the primary goal of the project.</t>
  </si>
  <si>
    <t>The data is from MeerKAT which is an SKA precursor facility</t>
  </si>
  <si>
    <t>N/A</t>
  </si>
  <si>
    <t>Virtual Machine (VM), default, CARTA server (on your own VM)</t>
  </si>
  <si>
    <t>General set up instructions and access to use platform, Support on efficiently managing conda environments, Consultancy on interferometry basics and calibration, Support on data processing software for radio nterferometry</t>
  </si>
  <si>
    <t>René Duffard</t>
  </si>
  <si>
    <t>Precise astrometric and photometric resolving of 100k Images</t>
  </si>
  <si>
    <t>TNO</t>
  </si>
  <si>
    <t>duffard@iaa.es</t>
  </si>
  <si>
    <t>Sistema solar</t>
  </si>
  <si>
    <t xml:space="preserve">The main objective is to generate the catalogues for all our telescope observations of the last 20 years. We have already started to process all the images we have. Each image will be reduced, calibrated and the information from all sources and all asteroids/TNOs present in the images will be extracted. Not only the object that was the cause of that image, but also the unidentified objects in the same field of view of each image. The ultimate goal is to be able to reduce the huge number of images we have on our disks to a catalogue of parameters of the objects observed over those 20 years. </t>
  </si>
  <si>
    <t>April 10th, 2022</t>
  </si>
  <si>
    <t xml:space="preserve">The deliverables will be a series of papers with the physical parameters extracted along 20 years of observations. </t>
  </si>
  <si>
    <t>Open Science</t>
  </si>
  <si>
    <t xml:space="preserve">we are evaluating to also extract all the information on the stars present on the images and create a catalogue. </t>
  </si>
  <si>
    <t>500GB</t>
  </si>
  <si>
    <t>We need external access to a database inside IAA</t>
  </si>
  <si>
    <t xml:space="preserve">We will create a catalogue, a text table, with all the information from all sources and all asteroids/TNOs present in the images we have in the last 20 years. The ultimate goal is to be able to reduce the huge number of images we have on our disks to a catalogue of parameters of the objects observed </t>
  </si>
  <si>
    <t>40 cpu / 512 GB</t>
  </si>
  <si>
    <t>Other (Catalog/simulations,...)</t>
  </si>
  <si>
    <t>Archival, simulations</t>
  </si>
  <si>
    <t>Ancor Damas Segovia</t>
  </si>
  <si>
    <t>Polarisation studies of HCGs with MeerKAT</t>
  </si>
  <si>
    <t>Pol HCGs</t>
  </si>
  <si>
    <t>adamas@mpifr-bonn.mpg.de</t>
  </si>
  <si>
    <t>MPIfR</t>
  </si>
  <si>
    <t>No</t>
  </si>
  <si>
    <t>19/04/2022</t>
  </si>
  <si>
    <t>a series of papers</t>
  </si>
  <si>
    <t>Yes, the data used in this study is part of a MeerKAT proposal.</t>
  </si>
  <si>
    <t>Virtual Machine (VM), default, CARTA server (on your own VM), Remote access for collaborators</t>
  </si>
  <si>
    <t>General set up instructions and access to use platform, Advice on Github usage and best practices, Advice on making your project reproducible, Support on the use of containers (singularity, docker, etc.)</t>
  </si>
  <si>
    <t>Theresa Wiegert</t>
  </si>
  <si>
    <t>CHANG-ES data reduction</t>
  </si>
  <si>
    <t>NGC 3735</t>
  </si>
  <si>
    <t>twiegert@iaa.es</t>
  </si>
  <si>
    <t xml:space="preserve">The decade old Continuum Halos of Nearby Spiral Galaxies - an EVLA Survey (CHANG-ES) has a legacy of of data products and publications on properties of the faint halos surrounding edge-on galaxies, based on deep VLA observations. The CHANG-ES consortium obtained new VLA S-band observations in 2020 to further study the polarisation within and around these galaxies. A group of consortium members are working on data reductions, and I will need a virtual machine to work with CASA on a couple of the 34 galaxies that were observed, starting with NGC 3735. Standard calibrations will be used to image continuum Stokes I, extract polarisation information and maps(polarisation angle and intensity via Stokes Q and U), create cubes and perform Rotation Measure (RM) synthesis, as well as create publishable images and outreach images (this involves combining the new S-band data with previously observed C and L band data, covering a frquency range from 1.2-7 GHz). Certain data products will be used in a coordinated data release for all the galaxies in the CHANG-ES project (data release V), including publications. </t>
  </si>
  <si>
    <t>asap</t>
  </si>
  <si>
    <t xml:space="preserve">The data reduction products will be included in a data release paper, combining these results with those of other people in the data reduction group (who will work at other institutes, the work being streamlined via biweekly meetings and discussions), and the data will be gathered in a publicly available archive of FITS files (Either at Queen's University where the current CHANG-ES data are located (queensu.ca/changes) or at University of Hamburg, which may be the new site for CHANG-ES soon). As well, I expect at least one press release, and a galaxy specific (NGC 3735) paper. It is difficult to set specific timelines, as a lot will depend on the quality of the data, but for the case of NGC 3735, data reductions and imaged in 2-3 months, a paper during autumn 2022. </t>
  </si>
  <si>
    <t xml:space="preserve">Yes: the data reduction procedure will be following Open Science and reproducibility aims, with codes in a github repository, a detailed data reduction document will accompany the products. We are looking into using Jupyter Notebooks connected with CASA for the reducttions. VLA is a SKA pathfinder and these studies form a basework for subsequent deeper work on galaxy halos and polarisation using the SKAO in the future. </t>
  </si>
  <si>
    <t>Virtual Machine (VM), default, JupyterLab server (on your own VM), CASA</t>
  </si>
  <si>
    <t xml:space="preserve">General set up instructions and access to use platform, Might need some of the above as time progresses, but not sure at this stage. </t>
  </si>
  <si>
    <t>The OS doesn't really matter, as long as it can run CASA. (which I have used on CentOS before and it officially only lists RHEL8)</t>
  </si>
  <si>
    <t xml:space="preserve">Faint gas, assembled in "halos" surrounding galaxies, are indicative of processes going on inside and in the environment of these galaxies. The halos are best discerned and observed in galaxies seen edge-in, above and below the disk of the host galaxy. In this project, Continuum Halos of Nearby Spiral Galaxies - an EVLA Survey (CHANG-ES), we study galaxy halos using deep observations taken with the VLA telescope, a pathfinder to the upcoming SKA observatory. New observations obtained in 2020 will let us probe the magnetic fields within the galaxy and the halo. As a results, we will learn about the extended halo structure  of a different magnetic field patterns in nearby galaxies and see how these are connected to other properties of the galaxy and scenarios on how galaxies are formed. </t>
  </si>
  <si>
    <t>Jesús Sánchez</t>
  </si>
  <si>
    <t>Open On Demand (OOD)</t>
  </si>
  <si>
    <t>ood</t>
  </si>
  <si>
    <t>jsanchez@iaa.es</t>
  </si>
  <si>
    <t>Today</t>
  </si>
  <si>
    <t>-</t>
  </si>
  <si>
    <t>yes</t>
  </si>
  <si>
    <t>Bob Watson</t>
  </si>
  <si>
    <t>SRC benchmarking using e-MERLIN</t>
  </si>
  <si>
    <t>eMER-Bench</t>
  </si>
  <si>
    <t>bob.watson@manchester.ac.uk</t>
  </si>
  <si>
    <t>Part of the testing of the SKA region center prototypes is based on the processing of data from the SKA precursor arrays, one of which is e-MERLIN. The idea of this is to test all the parts necessary for a SRC to function, authorization, data transfer/storage, processing, and assessment. This project will look mainly at bench-marking the data processing in the context of an active system with other concurrent users also reducing data</t>
  </si>
  <si>
    <t>As soon as possible</t>
  </si>
  <si>
    <t>SPSRC tests with e-MERLIN data: The SKA precursor telescope e-MERLIN can provide real life data to stress test parts of the Spanish prototype SKA region center.</t>
  </si>
  <si>
    <t>General set up instructions and access to use platform, Advice on making your project reproducible, Advice on data management plans</t>
  </si>
  <si>
    <t>Look forward to working with you all</t>
  </si>
  <si>
    <t xml:space="preserve">Bench-marking </t>
  </si>
  <si>
    <t>Matilde Fernandez</t>
  </si>
  <si>
    <t>Differential photometry with LEMON</t>
  </si>
  <si>
    <t>LEMON</t>
  </si>
  <si>
    <t>matilde@iaa.es</t>
  </si>
  <si>
    <t>Física estelar</t>
  </si>
  <si>
    <t>We work with a package of programs that compute the light curves of
targets that have been observed in time series.</t>
  </si>
  <si>
    <t>June 9, 2022</t>
  </si>
  <si>
    <t>4 months</t>
  </si>
  <si>
    <t>The results will be publish in a paper.</t>
  </si>
  <si>
    <t>Virtual Machine (VM), default, docker should be installed</t>
  </si>
  <si>
    <t>We work with a package of programs that compute the light curves of
targets that have been observed in time series. We want to offer this package to other astronomers.</t>
  </si>
  <si>
    <t>Calar Alto 1.23m + other optical</t>
  </si>
  <si>
    <t>David Orozco Suárez</t>
  </si>
  <si>
    <t>3D modelling of the solar corona</t>
  </si>
  <si>
    <t>solar corona</t>
  </si>
  <si>
    <t>orozco@iaa.es</t>
  </si>
  <si>
    <t>Studying solar coronal properties from stereoscopic observations is presently a significant 
challenge. Nowadays, solar k-corona observations can be recorder from Earth 
observatories, from SOHO mission using the Lasco instruments and from the Solar Orbiter 
mission. The combination of Earth observations (or SOHO) with Solar Orbiter provides the 
opportunity to perform unique stereoscopy observations of the solar corona. If one wants to 
compare different models of the solar corona from different points of view with real 
observations, special designed software tools for accelerating k-corona computations from 
any point of view are necessary. This project aims at developing and testing an octree 
representation of current large magnetohydrodynamic models of the solar corona for the 
fast calculation of the solar k-corona and other physical quantities of interest. The proof-of-
concept of the octree representation and the forward synthesis of the k corona are already
concept of the octree representation and the forward synthesis of the k-corona are already 
in place. Further testing and developing requires the use of fast computation devices. The 
final goal is to compare actual numerical models of the solar corona with real observations 
taken from different points of view.</t>
  </si>
  <si>
    <t>June 2022</t>
  </si>
  <si>
    <t>Fully developed code and publication of initial results on the new approach for dealing with large coronal models</t>
  </si>
  <si>
    <t>All results developed codes will be aligned with Open Science policies</t>
  </si>
  <si>
    <t>The operative System should be Fedora 36.</t>
  </si>
  <si>
    <t>Calculations of the Solar K-coronal images from magnetohydrodinamic simulations.</t>
  </si>
  <si>
    <t>8 cpu / 64 GB</t>
  </si>
  <si>
    <t>SOHO and Solar Orbiter</t>
  </si>
  <si>
    <t>Unkown</t>
  </si>
  <si>
    <t>PLUTOM</t>
  </si>
  <si>
    <t>Numerical simulations of the exospace weather around the planet Proxima b using the 3D MHD PLUTO code</t>
  </si>
  <si>
    <t>15 July 2022</t>
  </si>
  <si>
    <t>Unknown</t>
  </si>
  <si>
    <t xml:space="preserve">One refereed paper reporting the space weather conditions around Proxima b, our closest  exoplanet to Earth. </t>
  </si>
  <si>
    <t>Yes. Proxima Centauri will be subject of intense monitoring observations with the SKA as soon as an open call is made to the astronomical community.</t>
  </si>
  <si>
    <t>We explore the impact of the stellar wind of the Proxima Centauri star on its nearby planets Proxima b and Proxima d, using the 3D MHD PLUTO code.</t>
  </si>
  <si>
    <t>- Cores: The mininum requirement is a machine with 32 cores. This will take about 24-36 hr for a single run. Ideally, we like to run at least 3-4 runs simultaneously, so we need 96-128 cores.  - RAM: 32-64 GB of RAM.</t>
  </si>
  <si>
    <t>COR-19: Configure a VM with rucio client and a FTS client, GFAL, oidc-agent (Production Cyan Team)</t>
  </si>
  <si>
    <t>spsrc22t03-rse-rucio</t>
  </si>
  <si>
    <t>07/2022</t>
  </si>
  <si>
    <t>Permanent</t>
  </si>
  <si>
    <t>None</t>
  </si>
  <si>
    <t>COR-17 Deploy a local instance of Rucio</t>
  </si>
  <si>
    <t>spsrc22t04-dev-rucio</t>
  </si>
  <si>
    <t>Science Platform for Tangerine</t>
  </si>
  <si>
    <t>SRCNet Tangerine</t>
  </si>
  <si>
    <t xml:space="preserve">For the development of the prototypes proposed by SKAO, different teams are working on a set of prototypes fundamental to SKA science. In this context one of the groups, called Tangerine team, is working on the deployment of different science platforms as a basis for the future platform that will form the ecosystem of services for scientists within the network of SRCs. For this work, Tangerine Team needs a set of VMs to be able to test and deploy science platforms. Tangerine has been offered the use of computing resources from the Coral team (mostly made up of members of the SPSRC).
</t>
  </si>
  <si>
    <t>09 Aug 2022</t>
  </si>
  <si>
    <t xml:space="preserve">No expected deliverables. </t>
  </si>
  <si>
    <t>Yes, is related to SKA science platform and the SRCNet.</t>
  </si>
  <si>
    <t>Users that are created must have the ability to change settings that could be associated with an account with administrator privileges.</t>
  </si>
  <si>
    <t>Tangerine Team is one of the teams working on the development and implementation of a science platform for the future SKA telescope. In this development process they require testing a large set of science platforms and selecting a subset that approximates the needs required for the SKA science platform. In this context, having the infrastructure to be able to deploy this subset of services would be fundamental to advance the understanding and use of these services.</t>
  </si>
  <si>
    <t>Manuel Parra, Jesus Sanchez</t>
  </si>
  <si>
    <t>Tangerine Team Request (SRC)</t>
  </si>
  <si>
    <t>srcnet-tangerine</t>
  </si>
  <si>
    <t>3 VM for this project</t>
  </si>
  <si>
    <t>c4m32h100</t>
  </si>
  <si>
    <t>Gemma Busquet</t>
  </si>
  <si>
    <t>Grain growth in protoplanetary disks in Oph A cluster</t>
  </si>
  <si>
    <t>OphA-disks</t>
  </si>
  <si>
    <t>gbusquet@fqa.ub.edu</t>
  </si>
  <si>
    <t>U. de Barcelona</t>
  </si>
  <si>
    <t xml:space="preserve">Grain growth in protoplanetary disks is a crucial process in planet formation, but it is still poorly understood. The lack of a representative sample of observations of disks at centimeter wavelengths is a significant barrier, and prevents us from investigating large scale trends across planet forming disks. The present project consists of VLA observations of X, K and Q bands at 10 au resolution toward the nearby Ophiuchus A cluster, which contains Young Stellar Objects at different evolutionary stages. The aim of this project is to constrain the timeline of dust growth and determine the location of large (cm-sized) grains toward a sample of 18 prototplanetary disks. The VLA data set along with the high angular resolution ALMA images, will allow to decompose the emission into thermal dust and ionised gas components.
</t>
  </si>
  <si>
    <t>If possible on September 19, 2023 but we understand that it may take longer to approve and accommodate the project. In that case, any time in September or early October can work.</t>
  </si>
  <si>
    <t xml:space="preserve">The project is expected to provide ~2-3 papers based on VLA observations. Observational data will be, however, confronted with models and simulations, which will potentially deliver ~2 additional papers. 
Fits images will be available to the entire community using CDS. 
Any tool developed by our team will be accessible through GitHub.
</t>
  </si>
  <si>
    <t xml:space="preserve">Yes, the VLA project is part of the "Cradle of Life" SWG of SKA, representing a pilot study of the region and the precursor of the Key Science project for SKA. In addition of including SKA band 5 observations, the VLA project spans up to 7mm, complementing the SKA coverage.
</t>
  </si>
  <si>
    <t>8TB</t>
  </si>
  <si>
    <t>Virtual Machine (VM), default, JupyterLab server (on your own VM), CARTA server (on your own VM), Remote access for collaborators, We would also need the GILDAS package (from IRAM)</t>
  </si>
  <si>
    <t>General set up instructions and access to use platform, Support on efficiently managing conda environments, Advice on data management plans, Support on the use of containers (singularity, docker, etc.), Support on data processing software for radio interferometry</t>
  </si>
  <si>
    <t xml:space="preserve">The Ophiuchus A cluster is one of the closest and densest clustered star-forming region that harbour several Young Stellar Objects in different evolutionary stages but sharing the same birth environment. 
The aim of this project is to constrain when the process of dust growth starts during the protostellar evolution and what processes are involved. This will shed light on the distribution and properties of the raw material available for planet formation in protoplanetary disks, helping us to constrain models of planet formation.
</t>
  </si>
  <si>
    <t>8 cpu/ 256 GB</t>
  </si>
  <si>
    <t xml:space="preserve">Yes, the project is part of the Ph.D. thesis of Mr. Isaac Radley from the University of Leeds, entitled "Unveiling planet-forming discs with the Square Kilometer Array" and supervised by Dr. John Ilee (University of Leeds) and Dra. Gemma Busquet (University of Barcelona). 
The student will be in charge of reducing the data and create the images that will be use for the student. It is expected that during the first year the student will focus mainly on the observational part of the thesis, publishing the first observational paper together with a confrontation with models and simulations. Later on, the student will also work on predictions of protoplanetary disks and grain growth for SKA.
The expected finish date of the PhD thesis will be ~2024/2025.
</t>
  </si>
  <si>
    <t>Manuel Parra &amp; Jesús Sánchez</t>
  </si>
  <si>
    <t xml:space="preserve">Coral Team Tasks </t>
  </si>
  <si>
    <t>Rancher&amp;Harbor&amp;kubernetes</t>
  </si>
  <si>
    <t>As soon as posible</t>
  </si>
  <si>
    <t>SKA</t>
  </si>
  <si>
    <t>This vms are for test the deployment and the functionality of this tools</t>
  </si>
  <si>
    <t>8.11.2022</t>
  </si>
  <si>
    <t>10Tb</t>
  </si>
  <si>
    <t>Rohan Dahale</t>
  </si>
  <si>
    <t>Study of relativistic jets using VLBI data from MOJAVE and BEAM-ME programs</t>
  </si>
  <si>
    <t>Comrade</t>
  </si>
  <si>
    <t>rdahale@iaa.es</t>
  </si>
  <si>
    <t>Embargo</t>
  </si>
  <si>
    <t>15 November 2022</t>
  </si>
  <si>
    <t>1-3 research papers in peer reviewed high impact factor journals.</t>
  </si>
  <si>
    <t>Yes it is a part of PhD thesis. Expected project duration is &lt;6months. Expected graduation is 2025.</t>
  </si>
  <si>
    <t>VLBA</t>
  </si>
  <si>
    <t>Aurelia Teresa Gallego Calvente</t>
  </si>
  <si>
    <t>Imaging the infall in the L1287 "Guitar" star-forming core</t>
  </si>
  <si>
    <t>Guitar</t>
  </si>
  <si>
    <t>gallego@iaa.es</t>
  </si>
  <si>
    <t xml:space="preserve">The protostellar infall that should characterise the star-formation process has been extensively, but almost exclusively, studied on the basis of asymmetries in molecular line profiles. However, these are signatures based on the overall emission of the source as a function of line-of-sight velocity and the amount of information that can be inferred from them is limited and, in some cases, ambiguous. A lot more information can be inferred from images that angularly resolve the source, as a function of the velocity. So far, spectral imaging signatures have been identified in the very massive G31 HMC, but we have found indications that it is also present in a guitar- shaped core that we have identified through previous VLA ammonia observations of the L1287 molecular cloud. We have new
VLA observations with higher sensitivity, angular and spectral resolution that will allow us to determine the physical properties protostellar collapse of this object.
</t>
  </si>
  <si>
    <t>At least two papers are expected. The main milestones for the project are: 1) To confirm the presence of the central blue spot signature, a new infall signature introduced by Mayen-Gijon et al. (2014); 2) To study the full kinematics of the Guitar core; 3) To obtain the velocity gradient as a function of the radius. 4) To infer the central protostellar mass, an to constrain the temperature distribution. 5) To improve the multitransitional ammonia study of the remaining dense molecular cores, radio continuum and H2O maser sources.</t>
  </si>
  <si>
    <t>Yes. For example, the new infall signature named the "central blue spot" that we want to establish, is simple to obtain because does not require an "a priori" very precise determination of the systemic velocity, and does not present the ambiguities inherent to the signatures based only on the spectral line profile. So in the future SKA could make this kind of analysis routinely.</t>
  </si>
  <si>
    <t xml:space="preserve">- </t>
  </si>
  <si>
    <t>We study the dense gas of the molecular cloud LDN 1287 (L1287), which harbours a double FU Ori system, an energetic molecular outflow, and a still-forming cluster of deeply embedded low-mass young stellar objects that show a high level of fragmentation.</t>
  </si>
  <si>
    <t>No.</t>
  </si>
  <si>
    <t>Manuel Parra &amp; Jesus Sanchez</t>
  </si>
  <si>
    <t>Deployment of CADC- SI</t>
  </si>
  <si>
    <t>CADC-SI</t>
  </si>
  <si>
    <t xml:space="preserve"> specific development</t>
  </si>
  <si>
    <t>nop</t>
  </si>
  <si>
    <t>Deploy a new kubernetes cluster to test the federation</t>
  </si>
  <si>
    <t>k8s-01</t>
  </si>
  <si>
    <t>Specific development</t>
  </si>
  <si>
    <t>CentOS 7</t>
  </si>
  <si>
    <t>yes, 2 vm</t>
  </si>
  <si>
    <t>Kelly Hess</t>
  </si>
  <si>
    <t>Carta Server for Weave</t>
  </si>
  <si>
    <t>spsrc23d01-weave-cs</t>
  </si>
  <si>
    <t xml:space="preserve">yes </t>
  </si>
  <si>
    <t>WEAVE</t>
  </si>
  <si>
    <t>Test VisIVO docker image</t>
  </si>
  <si>
    <t>VisIVO test</t>
  </si>
  <si>
    <t>Specific Development</t>
  </si>
  <si>
    <t>Virtual Machine (VM), default, docker</t>
  </si>
  <si>
    <t>Slurm Cluster</t>
  </si>
  <si>
    <t>slurm cluster</t>
  </si>
  <si>
    <t>4 vm (2 with c2m4 y 2 with c4m8)</t>
  </si>
  <si>
    <t>Entrypoint-04</t>
  </si>
  <si>
    <t>Javier Moldón</t>
  </si>
  <si>
    <t xml:space="preserve"> The first radio detection of a SN Ia CSM</t>
  </si>
  <si>
    <t>sn-ia</t>
  </si>
  <si>
    <t>Type Ia-CSM are a rare subclass of thermonuclear supernovae that strongly interact with its
circumstellar medium (CSM). Type Ia-CSM are strong candidates for the single-degenerate
SN Ia channel. SN 2020eyj is a unique SN Ia showing delayed interaction with helium-rich,
but hydrogen-poor, circumstellar material, making it the first SN Ia-CSM that interacts with He -rich environment. We detected a compact radio source compatible with the position of the SN &gt;600 days after the explosion, as predicted by our models. This project is to analyse the radio lightcurve monitoring we have conducted with SKA precursors and pathfinders</t>
  </si>
  <si>
    <t>Nature paper, and at least a A&amp;A follow up</t>
  </si>
  <si>
    <t>It uses 1 SKA precursor (MeerKAT) and different SKA pathfinders: e-MERLIN, VLA, GMRT</t>
  </si>
  <si>
    <t>General set up instructions and access to use platform, Support on efficiently managing conda environments, Advice on Github usage and best practices, Advice on making your project reproducible, Advice on data management plans, Support on the use of containers (singularity, docker, etc.), Consultancy on interferometry basics and calibration, Support on data processing software for radio interferometry</t>
  </si>
  <si>
    <t>We have unveiled the first-ever radio detection of a thermonuclear supernovae of the type SN Ia-CSM from SN 2020eyj. We aim to characterize how this emission is evolving with time to better characterize the physical processes of this unique system.</t>
  </si>
  <si>
    <t>To optimize SPSRC resources, we don't need a new VM and we can work in the existing spsrc2113-spi-jvla</t>
  </si>
  <si>
    <t>Jesus Sanchez</t>
  </si>
  <si>
    <t>Storage Inventory Global Site</t>
  </si>
  <si>
    <t>si-global</t>
  </si>
  <si>
    <t>SI Global site - Request and Deploy Computing and Storage Requirements for Global SI. SWESRC/SPSRC</t>
  </si>
  <si>
    <t>Gabriella Gilli</t>
  </si>
  <si>
    <t>Variability of Venus upper atmosphere (ViVa) in 3D - support for EnVIsion mission and natural laboratory for Venus-analogue exoplanets characterization</t>
  </si>
  <si>
    <t>ViVa</t>
  </si>
  <si>
    <t>gilli@iaa.es</t>
  </si>
  <si>
    <t xml:space="preserve">The planetary exploration and research with a comparative planetology focus, have played an important role in our understanding of climate on Earth and they offer an additional point of view on the climatic variation. Future NASA and ESA missions to Venus, scheduled to be launched before 2032, aim to better understand how Venus and the Earth started so similar but became such different worlds. Terrestrial planets are thought to share a common origin, forming at the same time out of a condensing nebulosity around 4.5 billion years ago, therefore Venus and Mars play a prominent role in this comparative study among different Solar System bodies.
In parallel, the recent launch of the JWST will advance the atmosphere characterization of nearby rocky exoplanets, with the support of upcoming ground-based observatories and space telescopes, such as ARIEL/ESA mission, scheduled for launch in 2029.
This project is conceived not only to improve our knowledge of the atmosphere of Venus and Mars but also to foster the synergies between Solar System Planets and Exoplanets, using similar 3D models.  The understanding of our closest neighbour planetary atmospheres is an interesting challenge by itself, that deserves further investigation by updating models and comparing results from the latest missions. Which processes control the variability of present-day climate on terrestrial planets is one of the overarching open questions that this project will contribute to resolve. In the frame of comparative planetology, Venus may serve as archetypes for the characterization of future terrestrial exoplanets, notably close-in-orbit hot rocky planets that are the most favourable targets for atmospheric characterization.
Predicted transmission and reflected light/emission spectra of those exoplanets, from 3D model outputs, are the main innovative outcome of this work. They will give an estimation of day-night temperature gradient and cloud patterns, suggesting the presence of jets and waves in hot terrestrial planets expected to be discovered in the next years. </t>
  </si>
  <si>
    <t>20/03/2023</t>
  </si>
  <si>
    <t>4 years</t>
  </si>
  <si>
    <t>Papers: 1. Paper on the analysis of the variability of gas tracers using the full ground-to-thermosphere Venus-Planet Climate Model (PCM) 2. Paper on the impact of the variation of the obliquity of the orbit on the escape of Hydrogen from the Mars atmosphere  3. Paper on the inter-comparison study of Venus General Circulation Models (e.g. 3D models), 4. paper on theoretical simulations of Trappist-1c with the Generic-PCM and implications on its general circulation 4. paper on theoretical predictions of thermal emission, reflected light and first estimation of transmission of Venus-analogues as observed by JWST. 
 Milestones: 1. end of 2023 deliver of EnVision RedBook, 2. mid-2024 start of Envision Adoption phase (if approved),  3. Deliver of the version 3 of Venus Climate Database (end of 2026)</t>
  </si>
  <si>
    <t>The results of the project  will contribute to improve the Venus PCM and Mars PCM, that are part of the Planetary Climates Database projects (the http://www-planets.lmd.jussieu.fr), in particular to provide inputs for to the Venus Climate Database project (http://www-venus.lmd.jussieu.fr), a data base open to all the scientific community and engineers that want to study Venus using reliable modernisation of Venus Climatological system</t>
  </si>
  <si>
    <t>Virtual Machine (VM), default, JupyterLab server (on your own VM), Remote access for collaborators</t>
  </si>
  <si>
    <t>General set up instructions and access to use platform, Support on efficiently managing conda environments</t>
  </si>
  <si>
    <t>the abstract above can be used as "social abstract" too</t>
  </si>
  <si>
    <t>48 cpu/190 GB</t>
  </si>
  <si>
    <t>Two PhD students (with FPI Severo Ochoa and Caixa-SO) will join the project, starting in October 2023. They will work on improving the photochemical model on the Venus PCM, analyse and interpret the simulated variability,  and on the implementation of a simplified microphysical model on the Generic PCM to study Venus-analogues.</t>
  </si>
  <si>
    <t>Venus space missions</t>
  </si>
  <si>
    <t>Marta Puig-Subirà</t>
  </si>
  <si>
    <t>Multiface outflows in LINERs  connecting supermassive black holes and their host galaxies</t>
  </si>
  <si>
    <t>Jetted LINERs</t>
  </si>
  <si>
    <t>mpuig@iaa.es</t>
  </si>
  <si>
    <t xml:space="preserve">The connection between supermassive black holes (SMBHs) and their host galaxies is an active field with implications for galaxy evolution. In particular, outflows produced by Active Galactic Nuclei (AGNs) and intense episodes of star formation (SF) may play a crucial role in regulating (feedback) the growth of both the stellar mass and SMBH mass. In the last decade, the different gas phases of outflows have been widely studied, mostly through observations of long-slit spectroscopy and Integral Field Spectroscopy (IFS).
This study focuses on a special type of low-luminosity AGNs: LINERS (Low Ionization Nuclear Emission-line Regions). It may represent the most numerous type of AGNs in the local Universe. Since they generally do not harbor significant SF activity, interpretation is easier, as starbursts do not provide competing outflow driving mechanisms.
In previous works, we have addressed this topic with a multi-wavelength perspective, and among the explored LINER population (30 sources), multi-phase outflows seem to be common (60%) in type-1 LINERs. Most of these outflows, spectroscopically identified, show a large-scale biconical or bubble-like shape in their HST Hα image, along with evident spatially resolved sub-structures such as gas clumps ranging in size from 20 to 70 pc.
For a deeper understanding of the impact of outflows on the host galaxies, an additional key ingredient is required: the effect of jets in the central kpc, which are usually detected in radio continuum images of LINERs. In order to explore the relation between the ionized gas and radio jets as a source of powering outflows, we propose to proceed with a detailed, comparative study of the connections between the morphology of the ionized gas and that of the radio continuum emission tracing the jet, for a sample of about fifty LINERs.
</t>
  </si>
  <si>
    <t>Over the first semester of 2023</t>
  </si>
  <si>
    <t xml:space="preserve">A series of papers (at least 3) and a possible collaboration with the LeMMINGs group. </t>
  </si>
  <si>
    <t xml:space="preserve">The connection between supermassive black holes (SMBHs) and their host galaxies is an active field with implications for galaxy evolution. In particular, outflows produced by Active Galactic Nuclei (AGNs) and intense episodes of star formation (SF) may play a crucial role in regulating (feedback) the growth of both the stellar mass and SMBH mass. In the last decade, the different gas phases of outflows have been widely studied, mostly through observations of long-slit spectroscopy and Integral Field Spectroscopy (IFS).
This study focuses on a special type of low-luminosity AGNs: LINERS (Low Ionization Nuclear Emission-line Regions). It may represent the most numerous type of AGNs in the local Universe. Since they generally do not harbor significant SF activity, interpretation is easier, as starbursts do not provide competing outflow driving mechanisms.
In previous works, we have addressed this topic with a multi-wavelength perspective, and among the explored LINER population (30 sources), multi-phase outflows seem to be common (60%) in type-1 LINERs. Most of these outflows, spectroscopically identified, show a large-scale biconical or bubble-like shape in their HST Hα image, along with evident spatially resolved sub-structures such as gas clumps ranging in size from 20 to 70 pc.
For a deeper understanding of the impact of outflows on the host galaxies, an additional key ingredient is required: the effect of jets in the central kpc, which are usually detected in radio continuum images of LINERs. In order to explore the relation between the ionized gas and radio jets as a source of powering outflows, we propose to proceed with a detailed, comparative study of the connections between the morphology of the ionized gas and that of the radio continuum emission tracing the jet, for a sample of about fifty LINERs.
</t>
  </si>
  <si>
    <t>Yes. I am a PhD student. My thesis is planned to take place over 4 years, from August 2022 to August 2026</t>
  </si>
  <si>
    <t>Website for ska-spain</t>
  </si>
  <si>
    <t>spsrc23d01-ska-spain-web</t>
  </si>
  <si>
    <t>none</t>
  </si>
  <si>
    <t>Spain Skao website</t>
  </si>
  <si>
    <t>Metadata Database Service</t>
  </si>
  <si>
    <t>spsrc-si-global-metadata-metadata</t>
  </si>
  <si>
    <t>CADC Storage Inventory Global Site metadata database</t>
  </si>
  <si>
    <t>Support metadata database service for SI</t>
  </si>
  <si>
    <t>Entrypoint-05</t>
  </si>
  <si>
    <t>entrypoint-05</t>
  </si>
  <si>
    <t>Infra support</t>
  </si>
  <si>
    <t>Infra Support</t>
  </si>
  <si>
    <t>PySnacks2023</t>
  </si>
  <si>
    <t>2 days</t>
  </si>
  <si>
    <t>C24m128h100</t>
  </si>
  <si>
    <t>Manu&amp;Jesus</t>
  </si>
  <si>
    <t>spsrc-cluster</t>
  </si>
  <si>
    <t>spsrc23d04-rancher</t>
  </si>
  <si>
    <t>rancher-cluster</t>
  </si>
  <si>
    <t>New kubernetes cluster</t>
  </si>
  <si>
    <t>The project has 4 vm (1 vm for rancher and 3 worker nodes)</t>
  </si>
  <si>
    <t>JS &amp; MP</t>
  </si>
  <si>
    <t>Network Tests with Perfsonar</t>
  </si>
  <si>
    <t>perfSONAR</t>
  </si>
  <si>
    <t>Network tests with perfSONAR for SRCNet</t>
  </si>
  <si>
    <t>knowledge on how to improve networks to be transferred to the SRCNet.</t>
  </si>
  <si>
    <t>Manuel Parra &amp;&amp; Jesus Sanchez</t>
  </si>
  <si>
    <t>COR-426 ESP - Configure harbour with IAM</t>
  </si>
  <si>
    <t>harbor</t>
  </si>
  <si>
    <t>Clara Cabanillas / Angela Gardini</t>
  </si>
  <si>
    <t>Analysing the Unveiled Radio Origins of Rapid Astronomical Sources</t>
  </si>
  <si>
    <t>AURORAS</t>
  </si>
  <si>
    <t>clarac@iaa.es / gardini@iaa.es</t>
  </si>
  <si>
    <t xml:space="preserve">MaRaGra (Master de Radioastronomía de Granada) was born from the desire to promote the interest of graduate students in radioastronomy. Educational at its core, it was created by researchers as a project for former students from the Radioastronomy course of MSc Physics and Mathematics at UGR taught by IAA and UGR researchers. Its aim was to deepen the understanding of the basic techniques of observation, processing and analysis of radio astronomical data, while creating a collaborative environment that serves as a first encounter with the academic world. 
The project AURORAS(Analysing the Unveiled Radio Origins of Rapid Astronomical Sources) that we propose here delves into the exploration of galaxies hosting Fast Radio Bursts (FRBs), a field marked by the rarity and unpredictability of these signals. Given the ongoing mystery surrounding FRBs, various hypotheses attempt to decipher the nature of the sources emitting such signals. Our primary goal is to study the environments where these signals originate, seeking to comprehend the conditions that give rise to the occurrence of FRBs, analyzing the molecular and atomic components of their host galaxies from a morphological, stellar and kinematical perspective.
Currently, we are in the process of retrieving data from recent observations conducted in the millimeter range, primarily focusing on CO lines. This effort aims to deepen our understanding of the primordial gas within the host galaxies and the regions surrounding the presumed progenitors of FRBs. The data come mainly from the ALMA and MeerKAT observatories, making it imperative for our team to secure access to the computational resources of the Spanish Prototype of a SKA Regional Centre (SPSRC) at the IAA-CSIC. This access will facilitate the proper organization and analysis of the amassed data, thus advancing our research endeavors. Following the spirit of MaRaGra, we also aim to share the results of our research with the community in the future, publishing paper(s) but also proposing outreach activities, seminars and participating in public events. We also aim to make AURORAS an open science project, giving access to all the material used and created during its development.
</t>
  </si>
  <si>
    <t>As soon as possible. We already have data from the ALMA Archive to process and have applied for MeerKAT archival data.</t>
  </si>
  <si>
    <t>Expected deliverables: 
- Archival and processed data along with the employed parameters to make it reproducible
- Repository of code and procedures to recreate the analysis.
- A paper with the analysis/re-analysis of ALMA and MeerKAT archival data (some has not been reported in any paper yet). If observing time is granted, another paper with the new data’s study.
Milestones:
- Reduce the ALMA archival data and search for any common feature among the FRB hosts that have not yet been reported in any paper, and publish the results. - --- We will employ the selection of Gordon et. al. 2023 as parent sample, and follow the procedures of Hatsukade et al. 2022 and Chittidi et. al. 2023 as baseline.
- Compare with MeerKAT archival data of the same hosts after learning to reduce that data as well.
- Submit a proposal for a selection of FRB hosts that have not been covered neither by ALMA nor MeerKAT yet to improve the statistics. If the time is granted, we would proceed as with the archival data, and the new results will be published according to OS.</t>
  </si>
  <si>
    <t>Our project is intended to follow the principles of Open Science. Our goal is to make it accessible to as many people as possible, whether within the scientific or academic community. With this in mind, we wish to make our analysis tools, data and results available following the Open Science guidelines.
In relation to SKA, we have applied for MeerKAT’s archival data to make preliminary analysis and we intend to propose for observing time in the next cycle of proposals, to study the neutral component of the hydrogen present in FRB host galaxies.</t>
  </si>
  <si>
    <t>The project is at the core, educational. The main aim is to promote the interest in radioastronomy among students, and to learn the techniques required for a successful career in this field. A long period of time has been requested not to interfere with the development of the member’s main activities.</t>
  </si>
  <si>
    <t>General set up instructions and access to use platform, Advice on Github usage and best practices, Advice on making your project reproducible</t>
  </si>
  <si>
    <t xml:space="preserve">As part of MaRaGra, stemming from the multidisciplinary nature of our group and its origin in the radioastronomy course of the Fisica y Matematica master’s program, our ambition is to extend the social reach of our research and educational efforts. Whether within the academic environment, engaging with astrophysics students and pupils at various educational levels, or beyond, within the broader community, we aspire to share our work widely. Our goal is to promote radioastronomy, shedding light on the research conducted in this field, and making it accessible to diverse audience. By doing so, we aim to facilitate a broader understanding of this discipline, its mechanisms, and the ongoing projects within it.
</t>
  </si>
  <si>
    <t>Yes, It is. Currently, one PhD student and 2 students starting their PhD in the first quarter of next year are involved in the data acquisition, processing and analysis. The techniques applied will be of use for their respective thesis.</t>
  </si>
  <si>
    <t>Jesus Sanchez&amp;&amp;Manuel Parra</t>
  </si>
  <si>
    <t>Ted4Ska</t>
  </si>
  <si>
    <t xml:space="preserve">Temperature and energy consumption metrics </t>
  </si>
  <si>
    <t>New analysis of ALMA data in W75N</t>
  </si>
  <si>
    <t>ALMA data in W75N</t>
  </si>
  <si>
    <t>ALMA-W75N-new</t>
  </si>
  <si>
    <t>Star and planet formation and evolution</t>
  </si>
  <si>
    <t>ICE-CSIC</t>
  </si>
  <si>
    <t>During 2023 we calibrated, reduced and analyzed ALMA observations of the massive star-forming region W75N(B). All this data processing was carried out with the computing facilities of the SPSRC (virtual machine spscr20.iaa.csic.es, slack channel spscr2112-alma-w75n). Our work has already been published in The Astrophysical Journal Letters (Gómez et al. 2023; ApJL, 956, L45), where we specifically acknowledge the support of the SPSRC. In that work (An SiO Toroid and Wide-angle Outflow Associated with the Massive Protostar W75N (B)-VLA2) we focused on one of the several massive protostars in the region. Now we want to extend our research to other interesting objects in the region, for which we again request the SPSRC capabilities. Our calibrated ALMA data were left in the server, as we agreed with SPSRC staff, and we would like that resources (RAM, processing cores and disk space) are assigned again to continue our work.</t>
  </si>
  <si>
    <t>One additional paper, in addition to the one that we already published</t>
  </si>
  <si>
    <t>SKA will complement ALMA data on mass-loss processes. Probably not in this region, given its northern position, but in similar regions.</t>
  </si>
  <si>
    <t>calibrated data are already in the SPSRC servers, as mentioned in the abstract</t>
  </si>
  <si>
    <t>The way in which high-mass stars (more than 8 times heavier than the sun) are born is still unclear. In some cases they seem to form in a similar way as stars like our Sun. In other cases, different processes are at work. We use data from the Atacama Large Millimeter/Submillimeter Array to study a region, W75N(B), where several massive stars are being formed. We recently used them to study in detail one of them, which seems to be ejecting material at high velocity in a way that changes in a few years: while the material was ejected in all directions 20 years ago, it now moves in a preferential direction. In this project we will focus on other objects in the region, to see how their birth is proceeding.</t>
  </si>
  <si>
    <t>NO</t>
  </si>
  <si>
    <t>Granted data</t>
  </si>
  <si>
    <t>Follow-up of water fountains monitored in the FLASHING program</t>
  </si>
  <si>
    <t>Water fountains monitored in FLASHING</t>
  </si>
  <si>
    <t>José Francisco Gomez</t>
  </si>
  <si>
    <t>FLASHING</t>
  </si>
  <si>
    <t>star and planet formation and evolution</t>
  </si>
  <si>
    <t>Universidad de Guanajuato (Mexico). Kagoshima University (Japan)</t>
  </si>
  <si>
    <t>The mechanism to shape a planetary nebula (PN) remains unexplained although the transition from an AGB to post-AGB star has been expected at the same time and intensively explored. Water fountains (WFs) are objects in such a transitional state, and thus may hold the key to revealing the PN metamorphosis. Recently, episodic/periodic and precessing jets from these evolved stars have been invoked to help explain the morpho-kinematics observed in several WFs. There are still two open questions related to: the launching mechanism and the timescale of such jet ejections. We suggest that the timescale of the jet evolution is ~a decade. Our recent ATCA observations have identified new high-velocity H2O maser features to be located at the outer outflow lobes. This may indicate a rapid growth of the outflow triggered by an increase in the maximum intrinsic outflow velocity. Mapping these H2O masers may provide a strong constraint on the jet launching mechanism and an estimation of the lifetime as a WF source, also locate the SiO masers in order to exactly pinpoint the jet’s launching position.</t>
  </si>
  <si>
    <t>Deliverables: a series of paper.
Milestones:
- Mapping the SiO masers with ATCA, previously detected with Nobeyama in IRAS 16552−3050
- Spectral evolution of SiO masers in OH16.3-3.0: a) Periodicity of SiO/H2O masers. b) ATCA follow-up mapping.
- Evolution of H2O masers in IRAS 15103-5754</t>
  </si>
  <si>
    <t>Maser science in evolved stars is expected to be part of the SKA (mainly for hydroxyl masers). The FLASHING sources will be also covered in hydroxyl with our GASKAP project (key project of ASKAP). Regarding open science, we plan to make openly available our final products (calibrated spectral cubes) in public data respositories</t>
  </si>
  <si>
    <t>Our project is not specially demanding regarding computing facilities. We request SPSRC services because our collaborators at U. Guanajuato (PI: Lucero Uscanga) do not have, at this poing, access to a modern computer that can reliable run CASA. They will take care of the data processing, and our IAA group will support them with this data processing.</t>
  </si>
  <si>
    <t>General set up instructions and access to use platform, Advice on data management plans</t>
  </si>
  <si>
    <t xml:space="preserve">Our sun will end its life as a planetary nebula, which is a type of astronomical objects showing spectacular morphologies, some resembling butterflies, necklaces, or animal eyes. In this projectl, we study objects just making the transition from being spherical stars into odd-shaped planetary nebulae. Our targets are a special type of objects (called "water fountains") that expel jets of gas at extremely high velocities and hosting astrophysical water masers. We intend to determine whether stars like our sun may one day become a "water fountain", or whether stars in special conditions, such as a high mass and composed of a binary system, can go through this phase. </t>
  </si>
  <si>
    <t>n/a</t>
  </si>
  <si>
    <t>radio interferometry. Post-AGB stars</t>
  </si>
  <si>
    <t>VLA, ATCA</t>
  </si>
  <si>
    <t xml:space="preserve">Bayesian fitting framework for synchrotron processes </t>
  </si>
  <si>
    <t>synchrotron</t>
  </si>
  <si>
    <t>This is a project with a JAE Intro Student to extract physical parameters from extragalactic synchrotron sources by developing a generic code to fit SED at radiowavelengths using a Bayesian nested sampling method. This will be applied to several tpyes of sources, from TDEs, SN and AGN/SF regions</t>
  </si>
  <si>
    <t>Github code with the fitting procedures. At least one publication where the code is applied</t>
  </si>
  <si>
    <t>It will develop an open-source code and will be applied to SKA pathfinders and precursors data</t>
  </si>
  <si>
    <t>50GB</t>
  </si>
  <si>
    <t>Virtual Machine (VM), default, JupyterHub server, JupyterLab server (on your own VM), Remote access for collaborators</t>
  </si>
  <si>
    <t>extragalactic radio astronomy</t>
  </si>
  <si>
    <t>Gitlab local instance</t>
  </si>
  <si>
    <t>espsrc-gitlab-service</t>
  </si>
  <si>
    <t>COR-544 espSRC local GitLab server</t>
  </si>
  <si>
    <t>Asap</t>
  </si>
  <si>
    <t>To provide a local repository for espsrc users</t>
  </si>
  <si>
    <t>Archive data</t>
  </si>
  <si>
    <t>astro-benchmark</t>
  </si>
  <si>
    <t>Test of astro* software to create execution profiles</t>
  </si>
  <si>
    <t>Manuel Parrra</t>
  </si>
  <si>
    <t>astrobenchmark</t>
  </si>
  <si>
    <t>Extragalactic Aastronomy</t>
  </si>
  <si>
    <t>AMIGA</t>
  </si>
  <si>
    <t>Universidad de Granada</t>
  </si>
  <si>
    <t>In order to know the performance of operations and functions commonly used in astrophysics, we need to perform a study of the resources consumed by these functions which are highly demanding on cpu, network, and data. The idea with this project is to perform a battery of executions of classical astronomical software functions and extract the resource profiles for each triplet, data, function and parameters. The objective is to use all this data to feed an ML algorithm that allows to deduce the estimated resource consumption based on this parameterisation and thus decide a posteriori which strategies to follow for the execution of the pipelines within a decision making algorithm.</t>
  </si>
  <si>
    <t>1 paper and 1 conference paper</t>
  </si>
  <si>
    <t>Virtual Machine (VM), default, container hub</t>
  </si>
  <si>
    <t>This project aims to analyze the resource consumption of commonly used operations and functions in astrophysics, which are known for their high demands on CPU, network, and data. By executing a series of astronomical software functions and profiling their resource usage, we aim to parameterize the data and functions. This data will then be utilized to train machine learning algorithms to predict resource consumption, aiding in decision-making processes for pipeline executions. Ultimately, this research will enhance our understanding of resource optimization strategies in astrophysical data processing.</t>
  </si>
  <si>
    <t>Benchmarking</t>
  </si>
  <si>
    <t>GABRIEL ANDRES JAIMES ILLANES</t>
  </si>
  <si>
    <t>HI profile classification using Convolutional Neural Networks (IAA-14)</t>
  </si>
  <si>
    <t>HI Profile Classification with CNNs</t>
  </si>
  <si>
    <t>GABRIEL JAIMES ILLANES</t>
  </si>
  <si>
    <t>IAA-14</t>
  </si>
  <si>
    <t>gjaimes@iaa.es</t>
  </si>
  <si>
    <t>Instituto de Astrofísica de Andalucía (IAA)</t>
  </si>
  <si>
    <t>Extragalactic Astronomy</t>
  </si>
  <si>
    <t>espSRC</t>
  </si>
  <si>
    <t>SKAO Project</t>
  </si>
  <si>
    <t xml:space="preserve">This work aims to introduce applications of Deep Learning (DL) techniques, focused on Convolutional Neural Networks (CNNs) for HI (Neutral Hydrogen) profile classification in radio astronomy. Beginning with an overview of HI and its classification, it develops the significance of galaxy studies and learn to extract HI profiles from observed galaxies. Therefore, derive physical properties from data cubes to understand galaxy evolution and dynamics. The project entails collecting, preprocessing, and labeling a dataset of HI profiles, followed by the implementation and optimization of a CNN model for classification. Utilizing data from Arecibo and VLA catalogues primarily, the project aims to establish a methodology applicable to ongoing SKA precursor surveys. All materials, code, and models will be publicly accessible. </t>
  </si>
  <si>
    <t>May, 1st. 2024</t>
  </si>
  <si>
    <t>5 moths</t>
  </si>
  <si>
    <t>Paper publication; GitHub codes, and models.</t>
  </si>
  <si>
    <t xml:space="preserve">Yes. It relates a methodology applicable to ongoing SKA project from precursor surveys. Focused on Convolutional Neural Networks (CNNs) for HI (Neutral Hydrogen) profile classification. All materials, code, and models will be publicly accessible. </t>
  </si>
  <si>
    <t xml:space="preserve">Part of JAE Intro ICU 2024 </t>
  </si>
  <si>
    <t>Just in case, if needed for the next moths</t>
  </si>
  <si>
    <t>General set up instructions and access to use platform, Advice on Github usage and best practices, Advice on making your project reproducible, Support on the use of containers (singularity, docker, etc.), Consultancy on interferometry basics and calibration</t>
  </si>
  <si>
    <t>Modern Radioastronomy Applications on HI Profiles Classified with CNNs"</t>
  </si>
  <si>
    <t>Scientific research</t>
  </si>
  <si>
    <t>MeerKAT</t>
  </si>
  <si>
    <t>Arecibo, eVLA</t>
  </si>
  <si>
    <t>COR-630 [profiling] Prepare the computing resources required at the espSRC for the applying STARS</t>
  </si>
  <si>
    <t>Susana</t>
  </si>
  <si>
    <t>spsrc24d02-stars</t>
  </si>
  <si>
    <t>IAA</t>
  </si>
  <si>
    <t>UK</t>
  </si>
  <si>
    <t>Prepare the computing resources required at the espSRC for the applying STARS</t>
  </si>
  <si>
    <t>Pablo Santo-Tomás</t>
  </si>
  <si>
    <t>Test and analysis of GASKAP-OH data</t>
  </si>
  <si>
    <t>GASKAP-OH</t>
  </si>
  <si>
    <t>Pablo Santo-Tomás Ros</t>
  </si>
  <si>
    <t>psantoto@iaa.es</t>
  </si>
  <si>
    <t>Instituto de Astofísica de Andalucia (IAA-CSIC)</t>
  </si>
  <si>
    <t>Radio Astronomy and Galactic Structure</t>
  </si>
  <si>
    <t>Star and planetary formation and evolution</t>
  </si>
  <si>
    <t>SKAO, CSIRO</t>
  </si>
  <si>
    <t>This project seeks to advance in the contributions of the Instituto de Astrofísica de Andalucía (IAA) to the GASKAP-OH survey, a key project of the Australian Square Kilometer Array Pathfinder (ASKAP). The ASKAP represents a groundbreaking advancement in radio astronomy through its implementation of Phased Array Feeds (PAFs), which significantly expand the field of view to approximately 25 deg². This large-scale observational capability makes ASKAP an ideal instrument for extensive mappings of the galactic plane. 
GASKAP, established as one of ASKAP's key science projects, initially aimed to simultaneously observe the HI line at 21 cm and the four ground-state OH transitions at 18 cm. Due to technical constraints, the project split into GASKAP-HI and GASKAP-OH, with the latter focusing on mapping OH transitions in the galactic plane, the Galactic Bulge, and the Large Magellanic Cloud. This survey, with 526 hours of granted telescope time, will be one of the most extensive and sensitive explorations of OH masers, which are critical for studying mass-loss processes and magnetic fields in star-forming regions and late stages of stellar evolution.
The IAA's contribution to GASKAP-OH includes leading the study of OH masers in post-AGB stars and planetary nebulae, and optimizing source-finding algorithms essential for cataloging the expected thousands of OH masers. The primary task for this project will involve testing and fine-tuning these algorithms (e.g. Duchamp or ATNF) on pilot data and initial survey data, cross-correlating detected sources with existing catalogs, and processing data of maser emission from other relevant projects. This role is crucial for ensuring the quality and accuracy of the GASKAP-OH survey.</t>
  </si>
  <si>
    <t>13/06/2024</t>
  </si>
  <si>
    <t>15 months</t>
  </si>
  <si>
    <t>A series of papers. Milestones: obtaining a catalog of maser emission sources in OH, obtaining a catalog of possible planetary nebulae, obtaining sources with maser emission obtained with other interferometers.</t>
  </si>
  <si>
    <t>SKA: we will be using data from ASKAP, one of the precursors of SKA. 
Open Science: data from all ASKAP surveys will be public immediately after validation</t>
  </si>
  <si>
    <t>I will be collaborating with Jose Francisco Gomez</t>
  </si>
  <si>
    <t>20TB</t>
  </si>
  <si>
    <t xml:space="preserve">The Instituto de Astrofísica de Andalucía (IAA) is contributing to the GASKAP-OH survey, a major project using the state-of-the-art Australian Square Kilometer Array Pathfinder (ASKAP) telescope. This project will explore our galaxy (the Milky Way) in unprecedented detail, focusing on special signals called OH masers that help scientists understand how stars live and die and the role of magnetic fields in space.
Our team will play a crucial role in this survey by using computer programs to identify and catalog thousands of these OH masers. This work will be essential for creating one of the most detailed maps of these signals, covering key areas like the center of our galaxy and the Large Magellanic Cloud. </t>
  </si>
  <si>
    <t>Interstellar medium</t>
  </si>
  <si>
    <t>ASKAP</t>
  </si>
  <si>
    <t>eVLA, ATCA</t>
  </si>
  <si>
    <t>Granted data, Archive data</t>
  </si>
  <si>
    <t>Maria Angeles Mendoza Perez</t>
  </si>
  <si>
    <t>Deploy Karaboo in espSRC</t>
  </si>
  <si>
    <t>Karaboo Deployment</t>
  </si>
  <si>
    <t>Maria Angeles Mendoza Pérez</t>
  </si>
  <si>
    <t>karaboo</t>
  </si>
  <si>
    <t>amendoza@iaa.es</t>
  </si>
  <si>
    <t>Switzerland SRC - Chocolate Team</t>
  </si>
  <si>
    <t>We want to deploy Karaboo in different SRC</t>
  </si>
  <si>
    <t>July 5 th</t>
  </si>
  <si>
    <t>August 1st</t>
  </si>
  <si>
    <t>an specific development</t>
  </si>
  <si>
    <t>yes, with the SRCNet</t>
  </si>
  <si>
    <t>normal=30GB, peak=100GB</t>
  </si>
  <si>
    <t xml:space="preserve">normal=1cores/8GB, peak=16cores/64GB </t>
  </si>
  <si>
    <t xml:space="preserve">Deployment </t>
  </si>
  <si>
    <t>End-to-end validation of LOFAR data reduction on SKA-RC architecture</t>
  </si>
  <si>
    <t>LOFAR pipeline validation on SKA-SRC infrastructure</t>
  </si>
  <si>
    <t>Etienne Bonnassieux</t>
  </si>
  <si>
    <t>LOFAR pipelines</t>
  </si>
  <si>
    <t>ebonnassieux.astro@gmail.com</t>
  </si>
  <si>
    <t>EXLOO-CARMENES</t>
  </si>
  <si>
    <t>LOFAR data reduction is an unusual compute problem in that it is dominated by disk space constraints, while still requiring high enough CPU/RAM availability that it often is best done on dedicated scientific computing infrastructure. A series of modern pipelines (LINC, DDF_pipeline, LOFAR-VLBI_pipeline) have been developed for use with runners such as toil or cwltool in order to allow their deployment on a variety of architectures.
This project consists of the validation of our group's ability to reduce LOFAR data on national architecture rather than relying on the LOFAR Survey group for this task. This is a necessary prerequisite to the blooming of an active low-frequency radio community in Spain, and to allow the Spanish astronomical community to be able to confidently propose for LOFAR observing time in the future, knowing it will be able to achieve its scientific objectives on its own schedule.</t>
  </si>
  <si>
    <t>November 1st</t>
  </si>
  <si>
    <t>3 months</t>
  </si>
  <si>
    <t>The primary scientific deliverable will be a reduced dataset, potentially including international LOFAR stations (10x increase in resolution) for a CARMENES-observed LOFAR target. If work proceeds faster than expected, we aim to also reduce up to 2 additional similar datasets.
The primary technical deliverable will be a memo and documentation outlining the exact steps taken to reduce this data, in as clear and reproducible a way as possible. This will allow non-expert scientists interested in LOFAR to easily reduce their own datasets on IAA infrastructure.</t>
  </si>
  <si>
    <t>This project is related to the SKA in that LOFAR is a prototype, in a way, for SKA-Low. Science at low radio frequencies is its own beast, and building a low-frequency radio community in anticipation of SKA-Low will ensure that its scientific returns are maximised.
All the pipelines used in this project are public and accessible to the scientific community. In this sense, it is related to Open Science. However, this is perhaps a secondary link.</t>
  </si>
  <si>
    <t>A raw LOFAR observation uses up to 8TB of disk space. Two of the three pipelines to be tested immediately reduce the size of the data being worked with; the third immediately doubles it. As such, we request 10TB of disk space for most of the project, and a total of 20TB later in the project should we test the LOFAR-VLBI pipeline deployment.</t>
  </si>
  <si>
    <t>For diffusion and outreach to the computer science community, the SKA precursor intsruments provide a novel challenge in terms of efficient data access and management. Involvement in the development of appropriate tools to tackle this challenge may lead to high-level international collaborations, in particular with the South African community.
For the general public, the next generation of radio interferometric telescopes (and particularly those operating at low frequencies such as LOFAR, NenuFAR and SKA-Low) are allowing us to explore, in unprecedented details, a very large number of astronomical objects, from our Galaxy (pulsating neutron stars, solar-mass black hole activity) and far, far  beyond (from millions of other galaxies in the Universe, to the largest-scale structures of the Cosmic Web).</t>
  </si>
  <si>
    <t>The default memory availability expected for LOFAR pipelines is 256GB. 24-32 CPU should allow us to run each pipeline in a week, once any initial deployment issues are solved.</t>
  </si>
  <si>
    <t>Star-planet interactions on CARMENES targets</t>
  </si>
  <si>
    <t>Pipeline deployment</t>
  </si>
  <si>
    <t>COUNTA of Affiliation</t>
  </si>
  <si>
    <t>COUNTA of Is your project using SKA precursor data?</t>
  </si>
  <si>
    <t>SKA Precusors</t>
  </si>
  <si>
    <t>Simulations data</t>
  </si>
  <si>
    <t>MWA</t>
  </si>
  <si>
    <t>total</t>
  </si>
  <si>
    <t>TOTAL</t>
  </si>
  <si>
    <t>Grand Total</t>
  </si>
  <si>
    <t>ERA</t>
  </si>
  <si>
    <t>What is the expected duration of the research project?</t>
  </si>
  <si>
    <t>CPU and Memory requested</t>
  </si>
  <si>
    <t>Normal use</t>
  </si>
  <si>
    <t>Maximum</t>
  </si>
  <si>
    <t>SKA Pathfinders</t>
  </si>
  <si>
    <t>2 cpu / 4 GB</t>
  </si>
  <si>
    <t>Days</t>
  </si>
  <si>
    <t>4 cpu / 8 GB</t>
  </si>
  <si>
    <t>8 cpu / 32 GB</t>
  </si>
  <si>
    <t>16 cpu / 64 GB</t>
  </si>
  <si>
    <t>24 cpu / 190 GB</t>
  </si>
  <si>
    <t>ATCA</t>
  </si>
  <si>
    <t>40 cpu / 1000 GB</t>
  </si>
  <si>
    <t>COUNTA of Is it a CSIC institution?</t>
  </si>
  <si>
    <t>COUNTA of Other Instruments used</t>
  </si>
  <si>
    <t>Other Instruments/Telescopes</t>
  </si>
  <si>
    <t>Calar Alto</t>
  </si>
  <si>
    <t>Requested storage</t>
  </si>
  <si>
    <t>&lt; 1TB</t>
  </si>
  <si>
    <t>1-10TB</t>
  </si>
  <si>
    <t>10-100TB</t>
  </si>
  <si>
    <t>&gt;100TB</t>
  </si>
  <si>
    <t>COUNTA of Other institutions participating in the project</t>
  </si>
  <si>
    <t>COUNTA of Storage needed</t>
  </si>
  <si>
    <t>COUNTA of Is the project using granted data, archive data or simulations?</t>
  </si>
  <si>
    <t>COUNTA of Department</t>
  </si>
  <si>
    <t>When would you like to start your project? An approximate date is enough</t>
  </si>
  <si>
    <t>Is your project related in some way with the SKA or with Open Science?</t>
  </si>
  <si>
    <t>40 TB (maybe more depending on the final implementation of the analysis algorithms)</t>
  </si>
  <si>
    <t>10 TB</t>
  </si>
  <si>
    <t>4 TB minimum of storage for data reduction</t>
  </si>
  <si>
    <t>(vide)</t>
  </si>
  <si>
    <t>Total général</t>
  </si>
  <si>
    <t>(Plusieurs éléments)</t>
  </si>
  <si>
    <t>VM name</t>
  </si>
  <si>
    <t>sprc-007-spi-kat</t>
  </si>
  <si>
    <t>spsrc2108-lirgi-v2</t>
  </si>
  <si>
    <t>spsrc2109-gj486-lofar</t>
  </si>
  <si>
    <t>spsrc2111-radiomaster</t>
  </si>
  <si>
    <t xml:space="preserve">spsrc2112-alma-w75n </t>
  </si>
  <si>
    <t>spsrc2113-spi-jvla</t>
  </si>
  <si>
    <t>spsrc2114-apertif</t>
  </si>
  <si>
    <t>spsrc2115-hcg-meerkat</t>
  </si>
  <si>
    <t>spsrc2116-amiga-j</t>
  </si>
  <si>
    <t>spsrc2117-proxima-alma</t>
  </si>
  <si>
    <t>spsrc2201-hydra</t>
  </si>
  <si>
    <t>spsrc22r02-perseus</t>
  </si>
  <si>
    <t>spsrc22t02-reprocsic</t>
  </si>
  <si>
    <t>binderhub</t>
  </si>
  <si>
    <t>spsrc22r03-galactic-center</t>
  </si>
  <si>
    <t>spsrc22r04-meerkat-udgs</t>
  </si>
  <si>
    <t>spsrc22r05-tno</t>
  </si>
  <si>
    <t>spsrc22r06-pol-hcgs</t>
  </si>
  <si>
    <t>spsrc22d04-emer-bench</t>
  </si>
  <si>
    <t>spsrc22r08-lemon</t>
  </si>
  <si>
    <t>spsrc22r09-solarcorona</t>
  </si>
  <si>
    <t>spsrc22r10-plutom</t>
  </si>
  <si>
    <t>spsrc22d04-rse-rucio</t>
  </si>
  <si>
    <t>spsrc22d05-dev-rucio</t>
  </si>
  <si>
    <t>3 VM to discuss with Jesus</t>
  </si>
  <si>
    <t>spsrc22r11-opha-disks</t>
  </si>
  <si>
    <t>spsrc22r13-guitar</t>
  </si>
  <si>
    <t>spsrc-cadc-si</t>
  </si>
  <si>
    <t>VisIVO-test</t>
  </si>
  <si>
    <t>entrypoint-04</t>
  </si>
  <si>
    <t>spsrc23r03-viva</t>
  </si>
  <si>
    <t>spsrc23r04-liners</t>
  </si>
  <si>
    <t>spsrc23t02-PySnacks2023</t>
  </si>
  <si>
    <t>spsrc23d05-perfsonar</t>
  </si>
  <si>
    <t>spsrc23d07-harbor</t>
  </si>
  <si>
    <t>spsrc24r01-auroras</t>
  </si>
  <si>
    <t>spsrc24d02-ted4ska</t>
  </si>
  <si>
    <t>spsrc24r03-synchrotron</t>
  </si>
  <si>
    <t>spsrc24r05-iaa-14</t>
  </si>
  <si>
    <t>spsrc24d03-karaboo</t>
  </si>
  <si>
    <t>spsrc24r07-lofar-pipelines</t>
  </si>
  <si>
    <t>spsrc24r06-GASKAP-OH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</si>
</sst>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17">
    <font>
      <sz val="10"/>
      <color rgb="FF000000"/>
      <name val="Arial"/>
      <scheme val="minor"/>
    </font>
    <font>
      <sz val="10"/>
      <color theme="1"/>
      <name val="Arial"/>
      <scheme val="minor"/>
    </font>
    <font>
      <b/>
      <sz val="11"/>
      <color rgb="FF1F1F1F"/>
      <name val="&quot;Google Sans&quot;"/>
    </font>
    <font>
      <sz val="11"/>
      <color theme="1"/>
      <name val="Arial"/>
      <scheme val="minor"/>
    </font>
    <font>
      <b/>
      <sz val="11"/>
      <color theme="1"/>
      <name val="Arial"/>
      <scheme val="minor"/>
    </font>
    <font>
      <b/>
      <sz val="12"/>
      <color rgb="FF202124"/>
      <name val="Roboto"/>
    </font>
    <font>
      <sz val="11"/>
      <color rgb="FF000000"/>
      <name val="Arial"/>
      <scheme val="minor"/>
    </font>
    <font>
      <sz val="11"/>
      <color rgb="FF000000"/>
      <name val="&quot;Google Sans Mono&quot;"/>
    </font>
    <font>
      <b/>
      <sz val="11"/>
      <color rgb="FF000000"/>
      <name val="&quot;Google Sans Mono&quot;"/>
    </font>
    <font>
      <sz val="12"/>
      <color rgb="FF202124"/>
      <name val="Roboto"/>
    </font>
    <font>
      <sz val="9"/>
      <color rgb="FF000000"/>
      <name val="&quot;Google Sans Mono&quot;"/>
    </font>
    <font>
      <b/>
      <sz val="12"/>
      <color rgb="FF202124"/>
      <name val="Docs-Roboto"/>
    </font>
    <font>
      <sz val="11"/>
      <color rgb="FF1F1F1F"/>
      <name val="&quot;Google Sans&quot;"/>
    </font>
    <font>
      <sz val="11"/>
      <color rgb="FF1F1F1F"/>
      <name val="Arial"/>
      <scheme val="minor"/>
    </font>
    <font>
      <b/>
      <sz val="10"/>
      <color theme="1"/>
      <name val="Arial"/>
    </font>
    <font>
      <sz val="10"/>
      <color theme="1"/>
      <name val="Arial"/>
    </font>
    <font>
      <sz val="10"/>
      <color theme="1"/>
      <name val="Arial"/>
      <family val="2"/>
      <scheme val="minor"/>
    </font>
  </fonts>
  <fills count="3">
    <fill>
      <patternFill patternType="none"/>
    </fill>
    <fill>
      <patternFill patternType="gray125"/>
    </fill>
    <fill>
      <patternFill patternType="solid">
        <fgColor rgb="FFFFFFFF"/>
        <bgColor rgb="FFFFFFFF"/>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s>
  <cellStyleXfs count="1">
    <xf numFmtId="0" fontId="0" fillId="0" borderId="0"/>
  </cellStyleXfs>
  <cellXfs count="38">
    <xf numFmtId="0" fontId="0" fillId="0" borderId="0" xfId="0"/>
    <xf numFmtId="0" fontId="1" fillId="0" borderId="0" xfId="0" applyFont="1" applyAlignment="1">
      <alignment wrapText="1"/>
    </xf>
    <xf numFmtId="164" fontId="1" fillId="0" borderId="0" xfId="0" applyNumberFormat="1" applyFont="1"/>
    <xf numFmtId="0" fontId="1" fillId="0" borderId="0" xfId="0" applyFont="1"/>
    <xf numFmtId="14" fontId="1" fillId="0" borderId="0" xfId="0" applyNumberFormat="1" applyFont="1"/>
    <xf numFmtId="0" fontId="1" fillId="0" borderId="0" xfId="0" quotePrefix="1" applyFont="1"/>
    <xf numFmtId="0" fontId="2" fillId="2" borderId="0" xfId="0" applyFont="1" applyFill="1" applyAlignment="1">
      <alignment wrapText="1"/>
    </xf>
    <xf numFmtId="0" fontId="3" fillId="0" borderId="0" xfId="0" applyFont="1" applyAlignment="1">
      <alignment wrapText="1"/>
    </xf>
    <xf numFmtId="0" fontId="4" fillId="0" borderId="1" xfId="0" applyFont="1" applyBorder="1"/>
    <xf numFmtId="0" fontId="3" fillId="0" borderId="1" xfId="0" applyFont="1" applyBorder="1"/>
    <xf numFmtId="0" fontId="5" fillId="0" borderId="1" xfId="0" applyFont="1" applyBorder="1" applyAlignment="1">
      <alignment wrapText="1"/>
    </xf>
    <xf numFmtId="0" fontId="1" fillId="0" borderId="1" xfId="0" applyFont="1" applyBorder="1"/>
    <xf numFmtId="0" fontId="6" fillId="0" borderId="0" xfId="0" applyFont="1" applyAlignment="1">
      <alignment wrapText="1"/>
    </xf>
    <xf numFmtId="0" fontId="7" fillId="0" borderId="0" xfId="0" applyFont="1"/>
    <xf numFmtId="0" fontId="8" fillId="0" borderId="1" xfId="0" applyFont="1" applyBorder="1"/>
    <xf numFmtId="0" fontId="7" fillId="0" borderId="1" xfId="0" applyFont="1" applyBorder="1"/>
    <xf numFmtId="0" fontId="3" fillId="0" borderId="1" xfId="0" applyFont="1" applyBorder="1" applyAlignment="1">
      <alignment wrapText="1"/>
    </xf>
    <xf numFmtId="0" fontId="9" fillId="0" borderId="1" xfId="0" applyFont="1" applyBorder="1"/>
    <xf numFmtId="0" fontId="10" fillId="0" borderId="1" xfId="0" applyFont="1" applyBorder="1"/>
    <xf numFmtId="0" fontId="3" fillId="0" borderId="0" xfId="0" applyFont="1"/>
    <xf numFmtId="0" fontId="2" fillId="2" borderId="1" xfId="0" applyFont="1" applyFill="1" applyBorder="1" applyAlignment="1">
      <alignment wrapText="1"/>
    </xf>
    <xf numFmtId="0" fontId="11" fillId="0" borderId="1" xfId="0" applyFont="1" applyBorder="1" applyAlignment="1">
      <alignment wrapText="1"/>
    </xf>
    <xf numFmtId="0" fontId="12" fillId="2" borderId="1" xfId="0" applyFont="1" applyFill="1" applyBorder="1"/>
    <xf numFmtId="0" fontId="13" fillId="2" borderId="0" xfId="0" applyFont="1" applyFill="1"/>
    <xf numFmtId="0" fontId="13" fillId="2" borderId="0" xfId="0" applyFont="1" applyFill="1" applyAlignment="1">
      <alignment wrapText="1"/>
    </xf>
    <xf numFmtId="0" fontId="12" fillId="2" borderId="0" xfId="0" applyFont="1" applyFill="1" applyAlignment="1">
      <alignment wrapText="1"/>
    </xf>
    <xf numFmtId="0" fontId="0" fillId="0" borderId="2" xfId="0" pivotButton="1" applyBorder="1"/>
    <xf numFmtId="0" fontId="0" fillId="0" borderId="3" xfId="0" applyBorder="1"/>
    <xf numFmtId="0" fontId="0" fillId="0" borderId="2" xfId="0" applyBorder="1"/>
    <xf numFmtId="0" fontId="0" fillId="0" borderId="4" xfId="0" applyBorder="1"/>
    <xf numFmtId="0" fontId="0" fillId="0" borderId="6" xfId="0" applyBorder="1"/>
    <xf numFmtId="0" fontId="0" fillId="0" borderId="7" xfId="0" applyBorder="1"/>
    <xf numFmtId="0" fontId="0" fillId="0" borderId="7" xfId="0" pivotButton="1" applyBorder="1"/>
    <xf numFmtId="0" fontId="16" fillId="0" borderId="0" xfId="0" applyFont="1" applyAlignment="1">
      <alignment wrapText="1"/>
    </xf>
    <xf numFmtId="0" fontId="16" fillId="0" borderId="0" xfId="0" applyFont="1"/>
    <xf numFmtId="0" fontId="0" fillId="0" borderId="3" xfId="0" applyNumberFormat="1" applyBorder="1"/>
    <xf numFmtId="0" fontId="0" fillId="0" borderId="5" xfId="0" applyNumberFormat="1" applyBorder="1"/>
    <xf numFmtId="0" fontId="0" fillId="0" borderId="7"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1"/>
  <c:style val="2"/>
  <c:chart>
    <c:title>
      <c:tx>
        <c:rich>
          <a:bodyPr/>
          <a:lstStyle/>
          <a:p>
            <a:pPr lvl="0">
              <a:defRPr b="0">
                <a:solidFill>
                  <a:srgbClr val="757575"/>
                </a:solidFill>
                <a:latin typeface="+mn-lt"/>
              </a:defRPr>
            </a:pPr>
            <a:r>
              <a:rPr b="0">
                <a:solidFill>
                  <a:srgbClr val="757575"/>
                </a:solidFill>
                <a:latin typeface="+mn-lt"/>
              </a:rPr>
              <a:t>Affiliation of the PIs</a:t>
            </a:r>
          </a:p>
        </c:rich>
      </c:tx>
      <c:overlay val="0"/>
    </c:title>
    <c:autoTitleDeleted val="0"/>
    <c:plotArea>
      <c:layout/>
      <c:pieChart>
        <c:varyColors val="1"/>
        <c:ser>
          <c:idx val="0"/>
          <c:order val="0"/>
          <c:tx>
            <c:strRef>
              <c:f>'Pivot Tables'!$L$1</c:f>
              <c:strCache>
                <c:ptCount val="1"/>
                <c:pt idx="0">
                  <c:v>COUNTA of Affiliation</c:v>
                </c:pt>
              </c:strCache>
            </c:strRef>
          </c:tx>
          <c:dPt>
            <c:idx val="0"/>
            <c:bubble3D val="0"/>
            <c:spPr>
              <a:solidFill>
                <a:srgbClr val="4285F4"/>
              </a:solidFill>
            </c:spPr>
            <c:extLst>
              <c:ext xmlns:c16="http://schemas.microsoft.com/office/drawing/2014/chart" uri="{C3380CC4-5D6E-409C-BE32-E72D297353CC}">
                <c16:uniqueId val="{00000001-DFCE-473B-8DCA-BD3766E2422C}"/>
              </c:ext>
            </c:extLst>
          </c:dPt>
          <c:dPt>
            <c:idx val="1"/>
            <c:bubble3D val="0"/>
            <c:spPr>
              <a:solidFill>
                <a:srgbClr val="EA4335"/>
              </a:solidFill>
            </c:spPr>
            <c:extLst>
              <c:ext xmlns:c16="http://schemas.microsoft.com/office/drawing/2014/chart" uri="{C3380CC4-5D6E-409C-BE32-E72D297353CC}">
                <c16:uniqueId val="{00000003-DFCE-473B-8DCA-BD3766E2422C}"/>
              </c:ext>
            </c:extLst>
          </c:dPt>
          <c:dPt>
            <c:idx val="2"/>
            <c:bubble3D val="0"/>
            <c:spPr>
              <a:solidFill>
                <a:srgbClr val="FBBC04"/>
              </a:solidFill>
            </c:spPr>
            <c:extLst>
              <c:ext xmlns:c16="http://schemas.microsoft.com/office/drawing/2014/chart" uri="{C3380CC4-5D6E-409C-BE32-E72D297353CC}">
                <c16:uniqueId val="{00000005-DFCE-473B-8DCA-BD3766E2422C}"/>
              </c:ext>
            </c:extLst>
          </c:dPt>
          <c:dPt>
            <c:idx val="3"/>
            <c:bubble3D val="0"/>
            <c:spPr>
              <a:solidFill>
                <a:srgbClr val="34A853"/>
              </a:solidFill>
            </c:spPr>
            <c:extLst>
              <c:ext xmlns:c16="http://schemas.microsoft.com/office/drawing/2014/chart" uri="{C3380CC4-5D6E-409C-BE32-E72D297353CC}">
                <c16:uniqueId val="{00000007-DFCE-473B-8DCA-BD3766E2422C}"/>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'Pivot Tables'!$K$2:$K$5</c:f>
              <c:strCache>
                <c:ptCount val="4"/>
                <c:pt idx="0">
                  <c:v>IAA-CSIC</c:v>
                </c:pt>
                <c:pt idx="1">
                  <c:v>MPIfR</c:v>
                </c:pt>
                <c:pt idx="2">
                  <c:v>U. de Barcelona</c:v>
                </c:pt>
                <c:pt idx="3">
                  <c:v>(vide)</c:v>
                </c:pt>
              </c:strCache>
            </c:strRef>
          </c:cat>
          <c:val>
            <c:numRef>
              <c:f>'Pivot Tables'!$L$2:$L$5</c:f>
              <c:numCache>
                <c:formatCode>General</c:formatCode>
                <c:ptCount val="4"/>
                <c:pt idx="0">
                  <c:v>57</c:v>
                </c:pt>
                <c:pt idx="1">
                  <c:v>2</c:v>
                </c:pt>
                <c:pt idx="2">
                  <c:v>1</c:v>
                </c:pt>
              </c:numCache>
            </c:numRef>
          </c:val>
          <c:extLst>
            <c:ext xmlns:c16="http://schemas.microsoft.com/office/drawing/2014/chart" uri="{C3380CC4-5D6E-409C-BE32-E72D297353CC}">
              <c16:uniqueId val="{00000008-DFCE-473B-8DCA-BD3766E2422C}"/>
            </c:ext>
          </c:extLst>
        </c:ser>
        <c:dLbls>
          <c:showLegendKey val="0"/>
          <c:showVal val="0"/>
          <c:showCatName val="0"/>
          <c:showSerName val="0"/>
          <c:showPercent val="0"/>
          <c:showBubbleSize val="0"/>
          <c:showLeaderLines val="1"/>
        </c:dLbls>
        <c:firstSliceAng val="0"/>
      </c:pieChart>
    </c:plotArea>
    <c:legend>
      <c:legendPos val="t"/>
      <c:overlay val="0"/>
      <c:txPr>
        <a:bodyPr/>
        <a:lstStyle/>
        <a:p>
          <a:pPr lvl="0">
            <a:defRPr b="0">
              <a:solidFill>
                <a:srgbClr val="1A1A1A"/>
              </a:solidFill>
              <a:latin typeface="+mn-lt"/>
            </a:defRPr>
          </a:pPr>
          <a:endParaRPr lang="fr-FR"/>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1"/>
  <c:style val="2"/>
  <c:chart>
    <c:title>
      <c:tx>
        <c:rich>
          <a:bodyPr/>
          <a:lstStyle/>
          <a:p>
            <a:pPr lvl="0">
              <a:defRPr b="0">
                <a:solidFill>
                  <a:srgbClr val="757575"/>
                </a:solidFill>
                <a:latin typeface="+mn-lt"/>
              </a:defRPr>
            </a:pPr>
            <a:r>
              <a:rPr b="0">
                <a:solidFill>
                  <a:srgbClr val="757575"/>
                </a:solidFill>
                <a:latin typeface="+mn-lt"/>
              </a:rPr>
              <a:t>Is the PI from a CSIC institution?</a:t>
            </a:r>
          </a:p>
        </c:rich>
      </c:tx>
      <c:overlay val="0"/>
    </c:title>
    <c:autoTitleDeleted val="0"/>
    <c:plotArea>
      <c:layout/>
      <c:pieChart>
        <c:varyColors val="1"/>
        <c:ser>
          <c:idx val="0"/>
          <c:order val="0"/>
          <c:tx>
            <c:strRef>
              <c:f>'Pivot Tables'!$L$14</c:f>
              <c:strCache>
                <c:ptCount val="1"/>
                <c:pt idx="0">
                  <c:v>COUNTA of Is it a CSIC institution?</c:v>
                </c:pt>
              </c:strCache>
            </c:strRef>
          </c:tx>
          <c:dPt>
            <c:idx val="0"/>
            <c:bubble3D val="0"/>
            <c:spPr>
              <a:solidFill>
                <a:srgbClr val="4285F4"/>
              </a:solidFill>
            </c:spPr>
            <c:extLst>
              <c:ext xmlns:c16="http://schemas.microsoft.com/office/drawing/2014/chart" uri="{C3380CC4-5D6E-409C-BE32-E72D297353CC}">
                <c16:uniqueId val="{00000001-41AC-4A6D-A235-D0F87FBB3C14}"/>
              </c:ext>
            </c:extLst>
          </c:dPt>
          <c:dPt>
            <c:idx val="1"/>
            <c:bubble3D val="0"/>
            <c:spPr>
              <a:solidFill>
                <a:srgbClr val="EA4335"/>
              </a:solidFill>
            </c:spPr>
            <c:extLst>
              <c:ext xmlns:c16="http://schemas.microsoft.com/office/drawing/2014/chart" uri="{C3380CC4-5D6E-409C-BE32-E72D297353CC}">
                <c16:uniqueId val="{00000003-41AC-4A6D-A235-D0F87FBB3C14}"/>
              </c:ext>
            </c:extLst>
          </c:dPt>
          <c:dPt>
            <c:idx val="2"/>
            <c:bubble3D val="0"/>
            <c:spPr>
              <a:solidFill>
                <a:srgbClr val="FBBC04"/>
              </a:solidFill>
            </c:spPr>
            <c:extLst>
              <c:ext xmlns:c16="http://schemas.microsoft.com/office/drawing/2014/chart" uri="{C3380CC4-5D6E-409C-BE32-E72D297353CC}">
                <c16:uniqueId val="{00000005-41AC-4A6D-A235-D0F87FBB3C14}"/>
              </c:ext>
            </c:extLst>
          </c:dPt>
          <c:cat>
            <c:strRef>
              <c:f>'Pivot Tables'!$K$15:$K$17</c:f>
              <c:strCache>
                <c:ptCount val="3"/>
                <c:pt idx="0">
                  <c:v>No</c:v>
                </c:pt>
                <c:pt idx="1">
                  <c:v>Yes</c:v>
                </c:pt>
                <c:pt idx="2">
                  <c:v>(vide)</c:v>
                </c:pt>
              </c:strCache>
            </c:strRef>
          </c:cat>
          <c:val>
            <c:numRef>
              <c:f>'Pivot Tables'!$L$15:$L$17</c:f>
              <c:numCache>
                <c:formatCode>General</c:formatCode>
                <c:ptCount val="3"/>
                <c:pt idx="0">
                  <c:v>3</c:v>
                </c:pt>
                <c:pt idx="1">
                  <c:v>57</c:v>
                </c:pt>
              </c:numCache>
            </c:numRef>
          </c:val>
          <c:extLst>
            <c:ext xmlns:c16="http://schemas.microsoft.com/office/drawing/2014/chart" uri="{C3380CC4-5D6E-409C-BE32-E72D297353CC}">
              <c16:uniqueId val="{00000006-41AC-4A6D-A235-D0F87FBB3C14}"/>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fr-FR"/>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1"/>
  <c:style val="2"/>
  <c:chart>
    <c:title>
      <c:tx>
        <c:rich>
          <a:bodyPr/>
          <a:lstStyle/>
          <a:p>
            <a:pPr lvl="0">
              <a:defRPr b="0">
                <a:solidFill>
                  <a:srgbClr val="757575"/>
                </a:solidFill>
                <a:latin typeface="+mn-lt"/>
              </a:defRPr>
            </a:pPr>
            <a:r>
              <a:rPr b="0">
                <a:solidFill>
                  <a:srgbClr val="757575"/>
                </a:solidFill>
                <a:latin typeface="+mn-lt"/>
              </a:rPr>
              <a:t>Other institutions participating in the project</a:t>
            </a:r>
          </a:p>
        </c:rich>
      </c:tx>
      <c:overlay val="0"/>
    </c:title>
    <c:autoTitleDeleted val="0"/>
    <c:plotArea>
      <c:layout>
        <c:manualLayout>
          <c:xMode val="edge"/>
          <c:yMode val="edge"/>
          <c:x val="0.11916666666666667"/>
          <c:y val="0.18306379155435756"/>
          <c:w val="0.86166666666666647"/>
          <c:h val="0.69429469901168028"/>
        </c:manualLayout>
      </c:layout>
      <c:pieChart>
        <c:varyColors val="1"/>
        <c:ser>
          <c:idx val="0"/>
          <c:order val="0"/>
          <c:tx>
            <c:strRef>
              <c:f>'Pivot Tables'!$L$30</c:f>
              <c:strCache>
                <c:ptCount val="1"/>
                <c:pt idx="0">
                  <c:v>COUNTA of Other institutions participating in the project</c:v>
                </c:pt>
              </c:strCache>
            </c:strRef>
          </c:tx>
          <c:dPt>
            <c:idx val="0"/>
            <c:bubble3D val="0"/>
            <c:spPr>
              <a:solidFill>
                <a:srgbClr val="4285F4"/>
              </a:solidFill>
            </c:spPr>
            <c:extLst>
              <c:ext xmlns:c16="http://schemas.microsoft.com/office/drawing/2014/chart" uri="{C3380CC4-5D6E-409C-BE32-E72D297353CC}">
                <c16:uniqueId val="{00000001-8828-44B2-BE5E-02943892C226}"/>
              </c:ext>
            </c:extLst>
          </c:dPt>
          <c:dPt>
            <c:idx val="1"/>
            <c:bubble3D val="0"/>
            <c:spPr>
              <a:solidFill>
                <a:srgbClr val="EA4335"/>
              </a:solidFill>
            </c:spPr>
            <c:extLst>
              <c:ext xmlns:c16="http://schemas.microsoft.com/office/drawing/2014/chart" uri="{C3380CC4-5D6E-409C-BE32-E72D297353CC}">
                <c16:uniqueId val="{00000003-8828-44B2-BE5E-02943892C226}"/>
              </c:ext>
            </c:extLst>
          </c:dPt>
          <c:dPt>
            <c:idx val="2"/>
            <c:bubble3D val="0"/>
            <c:spPr>
              <a:solidFill>
                <a:srgbClr val="FBBC04"/>
              </a:solidFill>
            </c:spPr>
            <c:extLst>
              <c:ext xmlns:c16="http://schemas.microsoft.com/office/drawing/2014/chart" uri="{C3380CC4-5D6E-409C-BE32-E72D297353CC}">
                <c16:uniqueId val="{00000005-8828-44B2-BE5E-02943892C226}"/>
              </c:ext>
            </c:extLst>
          </c:dPt>
          <c:dPt>
            <c:idx val="3"/>
            <c:bubble3D val="0"/>
            <c:spPr>
              <a:solidFill>
                <a:srgbClr val="34A853"/>
              </a:solidFill>
            </c:spPr>
            <c:extLst>
              <c:ext xmlns:c16="http://schemas.microsoft.com/office/drawing/2014/chart" uri="{C3380CC4-5D6E-409C-BE32-E72D297353CC}">
                <c16:uniqueId val="{00000007-8828-44B2-BE5E-02943892C226}"/>
              </c:ext>
            </c:extLst>
          </c:dPt>
          <c:cat>
            <c:strRef>
              <c:f>'Pivot Tables'!$K$31:$K$34</c:f>
              <c:strCache>
                <c:ptCount val="4"/>
                <c:pt idx="0">
                  <c:v>ICE-CSIC</c:v>
                </c:pt>
                <c:pt idx="1">
                  <c:v>SKA</c:v>
                </c:pt>
                <c:pt idx="2">
                  <c:v>Universidad de Guanajuato (Mexico). Kagoshima University (Japan)</c:v>
                </c:pt>
                <c:pt idx="3">
                  <c:v>(vide)</c:v>
                </c:pt>
              </c:strCache>
            </c:strRef>
          </c:cat>
          <c:val>
            <c:numRef>
              <c:f>'Pivot Tables'!$L$31:$L$34</c:f>
              <c:numCache>
                <c:formatCode>General</c:formatCode>
                <c:ptCount val="4"/>
                <c:pt idx="0">
                  <c:v>1</c:v>
                </c:pt>
                <c:pt idx="1">
                  <c:v>1</c:v>
                </c:pt>
                <c:pt idx="2">
                  <c:v>1</c:v>
                </c:pt>
              </c:numCache>
            </c:numRef>
          </c:val>
          <c:extLst>
            <c:ext xmlns:c16="http://schemas.microsoft.com/office/drawing/2014/chart" uri="{C3380CC4-5D6E-409C-BE32-E72D297353CC}">
              <c16:uniqueId val="{00000008-8828-44B2-BE5E-02943892C226}"/>
            </c:ext>
          </c:extLst>
        </c:ser>
        <c:dLbls>
          <c:showLegendKey val="0"/>
          <c:showVal val="0"/>
          <c:showCatName val="0"/>
          <c:showSerName val="0"/>
          <c:showPercent val="0"/>
          <c:showBubbleSize val="0"/>
          <c:showLeaderLines val="1"/>
        </c:dLbls>
        <c:firstSliceAng val="0"/>
      </c:pieChart>
    </c:plotArea>
    <c:legend>
      <c:legendPos val="t"/>
      <c:overlay val="0"/>
      <c:txPr>
        <a:bodyPr/>
        <a:lstStyle/>
        <a:p>
          <a:pPr lvl="0">
            <a:defRPr b="0">
              <a:solidFill>
                <a:srgbClr val="1A1A1A"/>
              </a:solidFill>
              <a:latin typeface="+mn-lt"/>
            </a:defRPr>
          </a:pPr>
          <a:endParaRPr lang="fr-FR"/>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1"/>
  <c:style val="2"/>
  <c:chart>
    <c:title>
      <c:tx>
        <c:rich>
          <a:bodyPr/>
          <a:lstStyle/>
          <a:p>
            <a:pPr lvl="0">
              <a:defRPr b="0">
                <a:solidFill>
                  <a:srgbClr val="757575"/>
                </a:solidFill>
                <a:latin typeface="+mn-lt"/>
              </a:defRPr>
            </a:pPr>
            <a:r>
              <a:rPr b="0">
                <a:solidFill>
                  <a:srgbClr val="757575"/>
                </a:solidFill>
                <a:latin typeface="+mn-lt"/>
              </a:rPr>
              <a:t>Type of use</a:t>
            </a:r>
          </a:p>
        </c:rich>
      </c:tx>
      <c:overlay val="0"/>
    </c:title>
    <c:autoTitleDeleted val="0"/>
    <c:plotArea>
      <c:layout/>
      <c:barChart>
        <c:barDir val="bar"/>
        <c:grouping val="clustered"/>
        <c:varyColors val="1"/>
        <c:ser>
          <c:idx val="0"/>
          <c:order val="0"/>
          <c:tx>
            <c:strRef>
              <c:f>'Pivot Tables'!$B$2</c:f>
              <c:strCache>
                <c:ptCount val="1"/>
              </c:strCache>
            </c:strRef>
          </c:tx>
          <c:spPr>
            <a:solidFill>
              <a:srgbClr val="4285F4"/>
            </a:solidFill>
            <a:ln cmpd="sng">
              <a:solidFill>
                <a:srgbClr val="000000"/>
              </a:solidFill>
            </a:ln>
          </c:spPr>
          <c:invertIfNegative val="1"/>
          <c:cat>
            <c:strRef>
              <c:f>'Pivot Tables'!$A$3:$A$5</c:f>
              <c:strCache>
                <c:ptCount val="3"/>
                <c:pt idx="0">
                  <c:v>Schools, workshops or time-specific events</c:v>
                </c:pt>
                <c:pt idx="1">
                  <c:v>Development</c:v>
                </c:pt>
                <c:pt idx="2">
                  <c:v>Research</c:v>
                </c:pt>
              </c:strCache>
            </c:strRef>
          </c:cat>
          <c:val>
            <c:numRef>
              <c:f>'Pivot Tables'!$B$3:$B$5</c:f>
              <c:numCache>
                <c:formatCode>General</c:formatCode>
                <c:ptCount val="3"/>
                <c:pt idx="0">
                  <c:v>0</c:v>
                </c:pt>
                <c:pt idx="1">
                  <c:v>0</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C7C1-41B6-A48B-4EBEE7D1E3A9}"/>
            </c:ext>
          </c:extLst>
        </c:ser>
        <c:dLbls>
          <c:showLegendKey val="0"/>
          <c:showVal val="0"/>
          <c:showCatName val="0"/>
          <c:showSerName val="0"/>
          <c:showPercent val="0"/>
          <c:showBubbleSize val="0"/>
        </c:dLbls>
        <c:gapWidth val="150"/>
        <c:axId val="1617749792"/>
        <c:axId val="691471214"/>
      </c:barChart>
      <c:catAx>
        <c:axId val="1617749792"/>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fr-FR"/>
          </a:p>
        </c:txPr>
        <c:crossAx val="691471214"/>
        <c:crosses val="autoZero"/>
        <c:auto val="1"/>
        <c:lblAlgn val="ctr"/>
        <c:lblOffset val="100"/>
        <c:noMultiLvlLbl val="1"/>
      </c:catAx>
      <c:valAx>
        <c:axId val="69147121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fr-FR"/>
          </a:p>
        </c:txPr>
        <c:crossAx val="1617749792"/>
        <c:crosses val="max"/>
        <c:crossBetween val="between"/>
      </c:valAx>
    </c:plotArea>
    <c:legend>
      <c:legendPos val="r"/>
      <c:overlay val="0"/>
      <c:txPr>
        <a:bodyPr/>
        <a:lstStyle/>
        <a:p>
          <a:pPr lvl="0">
            <a:defRPr b="0">
              <a:solidFill>
                <a:srgbClr val="1A1A1A"/>
              </a:solidFill>
              <a:latin typeface="+mn-lt"/>
            </a:defRPr>
          </a:pPr>
          <a:endParaRPr lang="fr-FR"/>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1"/>
  <c:style val="2"/>
  <c:chart>
    <c:title>
      <c:tx>
        <c:rich>
          <a:bodyPr/>
          <a:lstStyle/>
          <a:p>
            <a:pPr lvl="0">
              <a:defRPr b="0">
                <a:solidFill>
                  <a:srgbClr val="757575"/>
                </a:solidFill>
                <a:latin typeface="+mn-lt"/>
              </a:defRPr>
            </a:pPr>
            <a:r>
              <a:rPr b="0">
                <a:solidFill>
                  <a:srgbClr val="757575"/>
                </a:solidFill>
                <a:latin typeface="+mn-lt"/>
              </a:rPr>
              <a:t>Projects at IAA per departments </a:t>
            </a:r>
          </a:p>
        </c:rich>
      </c:tx>
      <c:overlay val="0"/>
    </c:title>
    <c:autoTitleDeleted val="0"/>
    <c:plotArea>
      <c:layout/>
      <c:barChart>
        <c:barDir val="bar"/>
        <c:grouping val="clustered"/>
        <c:varyColors val="1"/>
        <c:ser>
          <c:idx val="0"/>
          <c:order val="0"/>
          <c:tx>
            <c:strRef>
              <c:f>'Pivot Tables'!$L$39</c:f>
              <c:strCache>
                <c:ptCount val="1"/>
                <c:pt idx="0">
                  <c:v>COUNTA of Department</c:v>
                </c:pt>
              </c:strCache>
            </c:strRef>
          </c:tx>
          <c:spPr>
            <a:solidFill>
              <a:srgbClr val="4285F4"/>
            </a:solidFill>
            <a:ln cmpd="sng">
              <a:solidFill>
                <a:srgbClr val="000000"/>
              </a:solidFill>
            </a:ln>
          </c:spPr>
          <c:invertIfNegative val="1"/>
          <c:cat>
            <c:strRef>
              <c:f>'Pivot Tables'!$K$40:$K$43</c:f>
              <c:strCache>
                <c:ptCount val="4"/>
                <c:pt idx="0">
                  <c:v>Astronomía extragaláctica</c:v>
                </c:pt>
                <c:pt idx="1">
                  <c:v>Física estelar</c:v>
                </c:pt>
                <c:pt idx="2">
                  <c:v>Radioastronomía y estructura galáctica</c:v>
                </c:pt>
                <c:pt idx="3">
                  <c:v>Sistema solar</c:v>
                </c:pt>
              </c:strCache>
            </c:strRef>
          </c:cat>
          <c:val>
            <c:numRef>
              <c:f>'Pivot Tables'!$L$40:$L$43</c:f>
              <c:numCache>
                <c:formatCode>General</c:formatCode>
                <c:ptCount val="4"/>
                <c:pt idx="0">
                  <c:v>16</c:v>
                </c:pt>
                <c:pt idx="1">
                  <c:v>1</c:v>
                </c:pt>
                <c:pt idx="2">
                  <c:v>11</c:v>
                </c:pt>
                <c:pt idx="3">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711-4604-8427-2CBF81DF4EA3}"/>
            </c:ext>
          </c:extLst>
        </c:ser>
        <c:dLbls>
          <c:showLegendKey val="0"/>
          <c:showVal val="0"/>
          <c:showCatName val="0"/>
          <c:showSerName val="0"/>
          <c:showPercent val="0"/>
          <c:showBubbleSize val="0"/>
        </c:dLbls>
        <c:gapWidth val="150"/>
        <c:axId val="1511441598"/>
        <c:axId val="1716635337"/>
      </c:barChart>
      <c:catAx>
        <c:axId val="1511441598"/>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fr-FR"/>
          </a:p>
        </c:txPr>
        <c:crossAx val="1716635337"/>
        <c:crosses val="autoZero"/>
        <c:auto val="1"/>
        <c:lblAlgn val="ctr"/>
        <c:lblOffset val="100"/>
        <c:noMultiLvlLbl val="1"/>
      </c:catAx>
      <c:valAx>
        <c:axId val="171663533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fr-FR"/>
          </a:p>
        </c:txPr>
        <c:crossAx val="1511441598"/>
        <c:crosses val="max"/>
        <c:crossBetween val="between"/>
      </c:valAx>
    </c:plotArea>
    <c:legend>
      <c:legendPos val="r"/>
      <c:overlay val="0"/>
      <c:txPr>
        <a:bodyPr/>
        <a:lstStyle/>
        <a:p>
          <a:pPr lvl="0">
            <a:defRPr b="0">
              <a:solidFill>
                <a:srgbClr val="1A1A1A"/>
              </a:solidFill>
              <a:latin typeface="+mn-lt"/>
            </a:defRPr>
          </a:pPr>
          <a:endParaRPr lang="fr-FR"/>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1"/>
  <c:style val="2"/>
  <c:chart>
    <c:title>
      <c:tx>
        <c:rich>
          <a:bodyPr/>
          <a:lstStyle/>
          <a:p>
            <a:pPr lvl="0">
              <a:defRPr b="0">
                <a:solidFill>
                  <a:srgbClr val="757575"/>
                </a:solidFill>
                <a:latin typeface="+mn-lt"/>
              </a:defRPr>
            </a:pPr>
            <a:r>
              <a:rPr b="0">
                <a:solidFill>
                  <a:srgbClr val="757575"/>
                </a:solidFill>
                <a:latin typeface="+mn-lt"/>
              </a:rPr>
              <a:t>CPU and Memory requested</a:t>
            </a:r>
          </a:p>
        </c:rich>
      </c:tx>
      <c:overlay val="0"/>
    </c:title>
    <c:autoTitleDeleted val="0"/>
    <c:plotArea>
      <c:layout/>
      <c:barChart>
        <c:barDir val="col"/>
        <c:grouping val="clustered"/>
        <c:varyColors val="1"/>
        <c:ser>
          <c:idx val="0"/>
          <c:order val="0"/>
          <c:tx>
            <c:strRef>
              <c:f>'Pivot Tables'!$H$8</c:f>
              <c:strCache>
                <c:ptCount val="1"/>
                <c:pt idx="0">
                  <c:v>Normal use</c:v>
                </c:pt>
              </c:strCache>
            </c:strRef>
          </c:tx>
          <c:spPr>
            <a:solidFill>
              <a:srgbClr val="4285F4"/>
            </a:solidFill>
            <a:ln cmpd="sng">
              <a:solidFill>
                <a:srgbClr val="000000"/>
              </a:solidFill>
            </a:ln>
          </c:spPr>
          <c:invertIfNegative val="1"/>
          <c:cat>
            <c:strRef>
              <c:f>'Pivot Tables'!$G$9:$G$14</c:f>
              <c:strCache>
                <c:ptCount val="6"/>
                <c:pt idx="0">
                  <c:v>2 cpu / 4 GB</c:v>
                </c:pt>
                <c:pt idx="1">
                  <c:v>4 cpu / 8 GB</c:v>
                </c:pt>
                <c:pt idx="2">
                  <c:v>8 cpu / 32 GB</c:v>
                </c:pt>
                <c:pt idx="3">
                  <c:v>16 cpu / 64 GB</c:v>
                </c:pt>
                <c:pt idx="4">
                  <c:v>24 cpu / 190 GB</c:v>
                </c:pt>
                <c:pt idx="5">
                  <c:v>40 cpu / 1000 GB</c:v>
                </c:pt>
              </c:strCache>
            </c:strRef>
          </c:cat>
          <c:val>
            <c:numRef>
              <c:f>'Pivot Tables'!$H$9:$H$14</c:f>
              <c:numCache>
                <c:formatCode>General</c:formatCode>
                <c:ptCount val="6"/>
                <c:pt idx="0">
                  <c:v>0</c:v>
                </c:pt>
                <c:pt idx="1">
                  <c:v>0</c:v>
                </c:pt>
                <c:pt idx="2">
                  <c:v>0</c:v>
                </c:pt>
                <c:pt idx="3">
                  <c:v>0</c:v>
                </c:pt>
                <c:pt idx="4">
                  <c:v>0</c:v>
                </c:pt>
                <c:pt idx="5">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F216-4019-B4F0-8E41F33DE091}"/>
            </c:ext>
          </c:extLst>
        </c:ser>
        <c:ser>
          <c:idx val="1"/>
          <c:order val="1"/>
          <c:tx>
            <c:strRef>
              <c:f>'Pivot Tables'!$I$8</c:f>
              <c:strCache>
                <c:ptCount val="1"/>
                <c:pt idx="0">
                  <c:v>Maximum</c:v>
                </c:pt>
              </c:strCache>
            </c:strRef>
          </c:tx>
          <c:spPr>
            <a:solidFill>
              <a:srgbClr val="EA4335"/>
            </a:solidFill>
            <a:ln cmpd="sng">
              <a:solidFill>
                <a:srgbClr val="000000"/>
              </a:solidFill>
            </a:ln>
          </c:spPr>
          <c:invertIfNegative val="1"/>
          <c:cat>
            <c:strRef>
              <c:f>'Pivot Tables'!$G$9:$G$14</c:f>
              <c:strCache>
                <c:ptCount val="6"/>
                <c:pt idx="0">
                  <c:v>2 cpu / 4 GB</c:v>
                </c:pt>
                <c:pt idx="1">
                  <c:v>4 cpu / 8 GB</c:v>
                </c:pt>
                <c:pt idx="2">
                  <c:v>8 cpu / 32 GB</c:v>
                </c:pt>
                <c:pt idx="3">
                  <c:v>16 cpu / 64 GB</c:v>
                </c:pt>
                <c:pt idx="4">
                  <c:v>24 cpu / 190 GB</c:v>
                </c:pt>
                <c:pt idx="5">
                  <c:v>40 cpu / 1000 GB</c:v>
                </c:pt>
              </c:strCache>
            </c:strRef>
          </c:cat>
          <c:val>
            <c:numRef>
              <c:f>'Pivot Tables'!$I$9:$I$14</c:f>
              <c:numCache>
                <c:formatCode>General</c:formatCode>
                <c:ptCount val="6"/>
                <c:pt idx="0">
                  <c:v>0</c:v>
                </c:pt>
                <c:pt idx="1">
                  <c:v>0</c:v>
                </c:pt>
                <c:pt idx="2">
                  <c:v>0</c:v>
                </c:pt>
                <c:pt idx="3">
                  <c:v>0</c:v>
                </c:pt>
                <c:pt idx="4">
                  <c:v>0</c:v>
                </c:pt>
                <c:pt idx="5">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F216-4019-B4F0-8E41F33DE091}"/>
            </c:ext>
          </c:extLst>
        </c:ser>
        <c:dLbls>
          <c:showLegendKey val="0"/>
          <c:showVal val="0"/>
          <c:showCatName val="0"/>
          <c:showSerName val="0"/>
          <c:showPercent val="0"/>
          <c:showBubbleSize val="0"/>
        </c:dLbls>
        <c:gapWidth val="150"/>
        <c:axId val="1422152713"/>
        <c:axId val="2144695665"/>
      </c:barChart>
      <c:catAx>
        <c:axId val="142215271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CPU and Memory requested</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fr-FR"/>
          </a:p>
        </c:txPr>
        <c:crossAx val="2144695665"/>
        <c:crosses val="autoZero"/>
        <c:auto val="1"/>
        <c:lblAlgn val="ctr"/>
        <c:lblOffset val="100"/>
        <c:noMultiLvlLbl val="1"/>
      </c:catAx>
      <c:valAx>
        <c:axId val="214469566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fr-FR"/>
          </a:p>
        </c:txPr>
        <c:crossAx val="1422152713"/>
        <c:crosses val="autoZero"/>
        <c:crossBetween val="between"/>
      </c:valAx>
    </c:plotArea>
    <c:legend>
      <c:legendPos val="r"/>
      <c:overlay val="0"/>
      <c:txPr>
        <a:bodyPr/>
        <a:lstStyle/>
        <a:p>
          <a:pPr lvl="0">
            <a:defRPr b="0">
              <a:solidFill>
                <a:srgbClr val="1A1A1A"/>
              </a:solidFill>
              <a:latin typeface="+mn-lt"/>
            </a:defRPr>
          </a:pPr>
          <a:endParaRPr lang="fr-FR"/>
        </a:p>
      </c:txPr>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1"/>
  <c:style val="2"/>
  <c:chart>
    <c:title>
      <c:tx>
        <c:rich>
          <a:bodyPr/>
          <a:lstStyle/>
          <a:p>
            <a:pPr lvl="0">
              <a:defRPr b="0">
                <a:solidFill>
                  <a:srgbClr val="757575"/>
                </a:solidFill>
                <a:latin typeface="+mn-lt"/>
              </a:defRPr>
            </a:pPr>
            <a:r>
              <a:rPr b="0">
                <a:solidFill>
                  <a:srgbClr val="757575"/>
                </a:solidFill>
                <a:latin typeface="+mn-lt"/>
              </a:rPr>
              <a:t>What is the expected duration of the research project?</a:t>
            </a:r>
          </a:p>
        </c:rich>
      </c:tx>
      <c:overlay val="0"/>
    </c:title>
    <c:autoTitleDeleted val="0"/>
    <c:plotArea>
      <c:layout/>
      <c:barChart>
        <c:barDir val="bar"/>
        <c:grouping val="stacked"/>
        <c:varyColors val="1"/>
        <c:ser>
          <c:idx val="0"/>
          <c:order val="0"/>
          <c:tx>
            <c:strRef>
              <c:f>'Pivot Tables'!$B$8</c:f>
              <c:strCache>
                <c:ptCount val="1"/>
                <c:pt idx="0">
                  <c:v>Schools, workshops or time-specific events</c:v>
                </c:pt>
              </c:strCache>
            </c:strRef>
          </c:tx>
          <c:spPr>
            <a:solidFill>
              <a:srgbClr val="4285F4"/>
            </a:solidFill>
            <a:ln cmpd="sng">
              <a:solidFill>
                <a:srgbClr val="000000"/>
              </a:solidFill>
            </a:ln>
          </c:spPr>
          <c:invertIfNegative val="1"/>
          <c:cat>
            <c:strRef>
              <c:f>'Pivot Tables'!$A$9:$A$18</c:f>
              <c:strCache>
                <c:ptCount val="10"/>
                <c:pt idx="0">
                  <c:v>Unknown</c:v>
                </c:pt>
                <c:pt idx="1">
                  <c:v>Days</c:v>
                </c:pt>
                <c:pt idx="2">
                  <c:v>4 months</c:v>
                </c:pt>
                <c:pt idx="3">
                  <c:v>5 months</c:v>
                </c:pt>
                <c:pt idx="4">
                  <c:v>6 months</c:v>
                </c:pt>
                <c:pt idx="5">
                  <c:v>1 year</c:v>
                </c:pt>
                <c:pt idx="6">
                  <c:v>2 years</c:v>
                </c:pt>
                <c:pt idx="7">
                  <c:v>3 years</c:v>
                </c:pt>
                <c:pt idx="8">
                  <c:v>4 years</c:v>
                </c:pt>
                <c:pt idx="9">
                  <c:v>Permanent</c:v>
                </c:pt>
              </c:strCache>
            </c:strRef>
          </c:cat>
          <c:val>
            <c:numRef>
              <c:f>'Pivot Tables'!$B$9:$B$18</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193-4221-9AE9-42749FD5B25B}"/>
            </c:ext>
          </c:extLst>
        </c:ser>
        <c:ser>
          <c:idx val="1"/>
          <c:order val="1"/>
          <c:tx>
            <c:strRef>
              <c:f>'Pivot Tables'!$C$8</c:f>
              <c:strCache>
                <c:ptCount val="1"/>
                <c:pt idx="0">
                  <c:v>Development</c:v>
                </c:pt>
              </c:strCache>
            </c:strRef>
          </c:tx>
          <c:spPr>
            <a:solidFill>
              <a:srgbClr val="EA4335"/>
            </a:solidFill>
            <a:ln cmpd="sng">
              <a:solidFill>
                <a:srgbClr val="000000"/>
              </a:solidFill>
            </a:ln>
          </c:spPr>
          <c:invertIfNegative val="1"/>
          <c:cat>
            <c:strRef>
              <c:f>'Pivot Tables'!$A$9:$A$18</c:f>
              <c:strCache>
                <c:ptCount val="10"/>
                <c:pt idx="0">
                  <c:v>Unknown</c:v>
                </c:pt>
                <c:pt idx="1">
                  <c:v>Days</c:v>
                </c:pt>
                <c:pt idx="2">
                  <c:v>4 months</c:v>
                </c:pt>
                <c:pt idx="3">
                  <c:v>5 months</c:v>
                </c:pt>
                <c:pt idx="4">
                  <c:v>6 months</c:v>
                </c:pt>
                <c:pt idx="5">
                  <c:v>1 year</c:v>
                </c:pt>
                <c:pt idx="6">
                  <c:v>2 years</c:v>
                </c:pt>
                <c:pt idx="7">
                  <c:v>3 years</c:v>
                </c:pt>
                <c:pt idx="8">
                  <c:v>4 years</c:v>
                </c:pt>
                <c:pt idx="9">
                  <c:v>Permanent</c:v>
                </c:pt>
              </c:strCache>
            </c:strRef>
          </c:cat>
          <c:val>
            <c:numRef>
              <c:f>'Pivot Tables'!$C$9:$C$18</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7193-4221-9AE9-42749FD5B25B}"/>
            </c:ext>
          </c:extLst>
        </c:ser>
        <c:ser>
          <c:idx val="2"/>
          <c:order val="2"/>
          <c:tx>
            <c:strRef>
              <c:f>'Pivot Tables'!$D$8</c:f>
              <c:strCache>
                <c:ptCount val="1"/>
                <c:pt idx="0">
                  <c:v>Research</c:v>
                </c:pt>
              </c:strCache>
            </c:strRef>
          </c:tx>
          <c:spPr>
            <a:solidFill>
              <a:srgbClr val="FBBC04"/>
            </a:solidFill>
            <a:ln cmpd="sng">
              <a:solidFill>
                <a:srgbClr val="000000"/>
              </a:solidFill>
            </a:ln>
          </c:spPr>
          <c:invertIfNegative val="1"/>
          <c:cat>
            <c:strRef>
              <c:f>'Pivot Tables'!$A$9:$A$18</c:f>
              <c:strCache>
                <c:ptCount val="10"/>
                <c:pt idx="0">
                  <c:v>Unknown</c:v>
                </c:pt>
                <c:pt idx="1">
                  <c:v>Days</c:v>
                </c:pt>
                <c:pt idx="2">
                  <c:v>4 months</c:v>
                </c:pt>
                <c:pt idx="3">
                  <c:v>5 months</c:v>
                </c:pt>
                <c:pt idx="4">
                  <c:v>6 months</c:v>
                </c:pt>
                <c:pt idx="5">
                  <c:v>1 year</c:v>
                </c:pt>
                <c:pt idx="6">
                  <c:v>2 years</c:v>
                </c:pt>
                <c:pt idx="7">
                  <c:v>3 years</c:v>
                </c:pt>
                <c:pt idx="8">
                  <c:v>4 years</c:v>
                </c:pt>
                <c:pt idx="9">
                  <c:v>Permanent</c:v>
                </c:pt>
              </c:strCache>
            </c:strRef>
          </c:cat>
          <c:val>
            <c:numRef>
              <c:f>'Pivot Tables'!$D$9:$D$18</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7193-4221-9AE9-42749FD5B25B}"/>
            </c:ext>
          </c:extLst>
        </c:ser>
        <c:dLbls>
          <c:showLegendKey val="0"/>
          <c:showVal val="0"/>
          <c:showCatName val="0"/>
          <c:showSerName val="0"/>
          <c:showPercent val="0"/>
          <c:showBubbleSize val="0"/>
        </c:dLbls>
        <c:gapWidth val="150"/>
        <c:overlap val="100"/>
        <c:axId val="2062859629"/>
        <c:axId val="783128728"/>
      </c:barChart>
      <c:catAx>
        <c:axId val="2062859629"/>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cross"/>
        <c:minorTickMark val="none"/>
        <c:tickLblPos val="nextTo"/>
        <c:txPr>
          <a:bodyPr/>
          <a:lstStyle/>
          <a:p>
            <a:pPr lvl="0">
              <a:defRPr b="0">
                <a:solidFill>
                  <a:srgbClr val="000000"/>
                </a:solidFill>
                <a:latin typeface="+mn-lt"/>
              </a:defRPr>
            </a:pPr>
            <a:endParaRPr lang="fr-FR"/>
          </a:p>
        </c:txPr>
        <c:crossAx val="783128728"/>
        <c:crosses val="autoZero"/>
        <c:auto val="1"/>
        <c:lblAlgn val="ctr"/>
        <c:lblOffset val="100"/>
        <c:noMultiLvlLbl val="1"/>
      </c:catAx>
      <c:valAx>
        <c:axId val="78312872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fr-FR"/>
          </a:p>
        </c:txPr>
        <c:crossAx val="2062859629"/>
        <c:crosses val="max"/>
        <c:crossBetween val="between"/>
      </c:valAx>
    </c:plotArea>
    <c:legend>
      <c:legendPos val="r"/>
      <c:overlay val="0"/>
      <c:txPr>
        <a:bodyPr/>
        <a:lstStyle/>
        <a:p>
          <a:pPr lvl="0">
            <a:defRPr b="0">
              <a:solidFill>
                <a:srgbClr val="1A1A1A"/>
              </a:solidFill>
              <a:latin typeface="+mn-lt"/>
            </a:defRPr>
          </a:pPr>
          <a:endParaRPr lang="fr-FR"/>
        </a:p>
      </c:txPr>
    </c:legend>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1"/>
  <c:style val="2"/>
  <c:chart>
    <c:title>
      <c:tx>
        <c:rich>
          <a:bodyPr/>
          <a:lstStyle/>
          <a:p>
            <a:pPr lvl="0">
              <a:defRPr b="0">
                <a:solidFill>
                  <a:srgbClr val="757575"/>
                </a:solidFill>
                <a:latin typeface="+mn-lt"/>
              </a:defRPr>
            </a:pPr>
            <a:r>
              <a:rPr b="0">
                <a:solidFill>
                  <a:srgbClr val="757575"/>
                </a:solidFill>
                <a:latin typeface="+mn-lt"/>
              </a:rPr>
              <a:t>Requested Storage</a:t>
            </a:r>
          </a:p>
        </c:rich>
      </c:tx>
      <c:overlay val="0"/>
    </c:title>
    <c:autoTitleDeleted val="0"/>
    <c:plotArea>
      <c:layout/>
      <c:barChart>
        <c:barDir val="bar"/>
        <c:grouping val="stacked"/>
        <c:varyColors val="1"/>
        <c:ser>
          <c:idx val="0"/>
          <c:order val="0"/>
          <c:tx>
            <c:strRef>
              <c:f>'Pivot Tables'!$B$21</c:f>
              <c:strCache>
                <c:ptCount val="1"/>
                <c:pt idx="0">
                  <c:v>Schools, workshops or time-specific events</c:v>
                </c:pt>
              </c:strCache>
            </c:strRef>
          </c:tx>
          <c:spPr>
            <a:solidFill>
              <a:srgbClr val="4285F4"/>
            </a:solidFill>
            <a:ln cmpd="sng">
              <a:solidFill>
                <a:srgbClr val="000000"/>
              </a:solidFill>
            </a:ln>
          </c:spPr>
          <c:invertIfNegative val="1"/>
          <c:cat>
            <c:strRef>
              <c:f>'Pivot Tables'!$A$22:$A$27</c:f>
              <c:strCache>
                <c:ptCount val="6"/>
                <c:pt idx="0">
                  <c:v>Unspecified</c:v>
                </c:pt>
                <c:pt idx="1">
                  <c:v>None</c:v>
                </c:pt>
                <c:pt idx="2">
                  <c:v>&lt; 1TB</c:v>
                </c:pt>
                <c:pt idx="3">
                  <c:v>1-10TB</c:v>
                </c:pt>
                <c:pt idx="4">
                  <c:v>10-100TB</c:v>
                </c:pt>
                <c:pt idx="5">
                  <c:v>&gt;100TB</c:v>
                </c:pt>
              </c:strCache>
            </c:strRef>
          </c:cat>
          <c:val>
            <c:numRef>
              <c:f>'Pivot Tables'!$B$22:$B$27</c:f>
              <c:numCache>
                <c:formatCode>General</c:formatCode>
                <c:ptCount val="6"/>
                <c:pt idx="0">
                  <c:v>0</c:v>
                </c:pt>
                <c:pt idx="1">
                  <c:v>0</c:v>
                </c:pt>
                <c:pt idx="2">
                  <c:v>0</c:v>
                </c:pt>
                <c:pt idx="3">
                  <c:v>0</c:v>
                </c:pt>
                <c:pt idx="4">
                  <c:v>0</c:v>
                </c:pt>
                <c:pt idx="5">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9BD-4A9C-80C2-E952379E2F9F}"/>
            </c:ext>
          </c:extLst>
        </c:ser>
        <c:ser>
          <c:idx val="1"/>
          <c:order val="1"/>
          <c:tx>
            <c:strRef>
              <c:f>'Pivot Tables'!$C$21</c:f>
              <c:strCache>
                <c:ptCount val="1"/>
                <c:pt idx="0">
                  <c:v>Development</c:v>
                </c:pt>
              </c:strCache>
            </c:strRef>
          </c:tx>
          <c:spPr>
            <a:solidFill>
              <a:srgbClr val="EA4335"/>
            </a:solidFill>
            <a:ln cmpd="sng">
              <a:solidFill>
                <a:srgbClr val="000000"/>
              </a:solidFill>
            </a:ln>
          </c:spPr>
          <c:invertIfNegative val="1"/>
          <c:cat>
            <c:strRef>
              <c:f>'Pivot Tables'!$A$22:$A$27</c:f>
              <c:strCache>
                <c:ptCount val="6"/>
                <c:pt idx="0">
                  <c:v>Unspecified</c:v>
                </c:pt>
                <c:pt idx="1">
                  <c:v>None</c:v>
                </c:pt>
                <c:pt idx="2">
                  <c:v>&lt; 1TB</c:v>
                </c:pt>
                <c:pt idx="3">
                  <c:v>1-10TB</c:v>
                </c:pt>
                <c:pt idx="4">
                  <c:v>10-100TB</c:v>
                </c:pt>
                <c:pt idx="5">
                  <c:v>&gt;100TB</c:v>
                </c:pt>
              </c:strCache>
            </c:strRef>
          </c:cat>
          <c:val>
            <c:numRef>
              <c:f>'Pivot Tables'!$C$22:$C$27</c:f>
              <c:numCache>
                <c:formatCode>General</c:formatCode>
                <c:ptCount val="6"/>
                <c:pt idx="0">
                  <c:v>0</c:v>
                </c:pt>
                <c:pt idx="1">
                  <c:v>0</c:v>
                </c:pt>
                <c:pt idx="2">
                  <c:v>0</c:v>
                </c:pt>
                <c:pt idx="3">
                  <c:v>0</c:v>
                </c:pt>
                <c:pt idx="4">
                  <c:v>0</c:v>
                </c:pt>
                <c:pt idx="5">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A9BD-4A9C-80C2-E952379E2F9F}"/>
            </c:ext>
          </c:extLst>
        </c:ser>
        <c:ser>
          <c:idx val="2"/>
          <c:order val="2"/>
          <c:tx>
            <c:strRef>
              <c:f>'Pivot Tables'!$D$21</c:f>
              <c:strCache>
                <c:ptCount val="1"/>
                <c:pt idx="0">
                  <c:v>Research</c:v>
                </c:pt>
              </c:strCache>
            </c:strRef>
          </c:tx>
          <c:spPr>
            <a:solidFill>
              <a:srgbClr val="FBBC04"/>
            </a:solidFill>
            <a:ln cmpd="sng">
              <a:solidFill>
                <a:srgbClr val="000000"/>
              </a:solidFill>
            </a:ln>
          </c:spPr>
          <c:invertIfNegative val="1"/>
          <c:cat>
            <c:strRef>
              <c:f>'Pivot Tables'!$A$22:$A$27</c:f>
              <c:strCache>
                <c:ptCount val="6"/>
                <c:pt idx="0">
                  <c:v>Unspecified</c:v>
                </c:pt>
                <c:pt idx="1">
                  <c:v>None</c:v>
                </c:pt>
                <c:pt idx="2">
                  <c:v>&lt; 1TB</c:v>
                </c:pt>
                <c:pt idx="3">
                  <c:v>1-10TB</c:v>
                </c:pt>
                <c:pt idx="4">
                  <c:v>10-100TB</c:v>
                </c:pt>
                <c:pt idx="5">
                  <c:v>&gt;100TB</c:v>
                </c:pt>
              </c:strCache>
            </c:strRef>
          </c:cat>
          <c:val>
            <c:numRef>
              <c:f>'Pivot Tables'!$D$22:$D$27</c:f>
              <c:numCache>
                <c:formatCode>General</c:formatCode>
                <c:ptCount val="6"/>
                <c:pt idx="0">
                  <c:v>0</c:v>
                </c:pt>
                <c:pt idx="1">
                  <c:v>0</c:v>
                </c:pt>
                <c:pt idx="2">
                  <c:v>0</c:v>
                </c:pt>
                <c:pt idx="3">
                  <c:v>0</c:v>
                </c:pt>
                <c:pt idx="4">
                  <c:v>0</c:v>
                </c:pt>
                <c:pt idx="5">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A9BD-4A9C-80C2-E952379E2F9F}"/>
            </c:ext>
          </c:extLst>
        </c:ser>
        <c:dLbls>
          <c:showLegendKey val="0"/>
          <c:showVal val="0"/>
          <c:showCatName val="0"/>
          <c:showSerName val="0"/>
          <c:showPercent val="0"/>
          <c:showBubbleSize val="0"/>
        </c:dLbls>
        <c:gapWidth val="150"/>
        <c:overlap val="100"/>
        <c:axId val="1512366274"/>
        <c:axId val="785883724"/>
      </c:barChart>
      <c:catAx>
        <c:axId val="1512366274"/>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fr-FR"/>
          </a:p>
        </c:txPr>
        <c:crossAx val="785883724"/>
        <c:crosses val="autoZero"/>
        <c:auto val="1"/>
        <c:lblAlgn val="ctr"/>
        <c:lblOffset val="100"/>
        <c:noMultiLvlLbl val="1"/>
      </c:catAx>
      <c:valAx>
        <c:axId val="78588372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fr-FR"/>
          </a:p>
        </c:txPr>
        <c:crossAx val="1512366274"/>
        <c:crosses val="max"/>
        <c:crossBetween val="between"/>
      </c:valAx>
    </c:plotArea>
    <c:legend>
      <c:legendPos val="r"/>
      <c:overlay val="0"/>
      <c:txPr>
        <a:bodyPr/>
        <a:lstStyle/>
        <a:p>
          <a:pPr lvl="0">
            <a:defRPr b="0">
              <a:solidFill>
                <a:srgbClr val="1A1A1A"/>
              </a:solidFill>
              <a:latin typeface="+mn-lt"/>
            </a:defRPr>
          </a:pPr>
          <a:endParaRPr lang="fr-FR"/>
        </a:p>
      </c:txPr>
    </c:legend>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1"/>
  <c:style val="2"/>
  <c:chart>
    <c:title>
      <c:tx>
        <c:rich>
          <a:bodyPr/>
          <a:lstStyle/>
          <a:p>
            <a:pPr lvl="0">
              <a:defRPr b="0">
                <a:solidFill>
                  <a:srgbClr val="757575"/>
                </a:solidFill>
                <a:latin typeface="+mn-lt"/>
              </a:defRPr>
            </a:pPr>
            <a:r>
              <a:rPr b="0">
                <a:solidFill>
                  <a:srgbClr val="757575"/>
                </a:solidFill>
                <a:latin typeface="+mn-lt"/>
              </a:rPr>
              <a:t>Is the project using granted data, archive data or simulations?</a:t>
            </a:r>
          </a:p>
        </c:rich>
      </c:tx>
      <c:overlay val="0"/>
    </c:title>
    <c:autoTitleDeleted val="0"/>
    <c:plotArea>
      <c:layout/>
      <c:barChart>
        <c:barDir val="bar"/>
        <c:grouping val="clustered"/>
        <c:varyColors val="1"/>
        <c:ser>
          <c:idx val="0"/>
          <c:order val="0"/>
          <c:spPr>
            <a:solidFill>
              <a:srgbClr val="4285F4"/>
            </a:solidFill>
            <a:ln cmpd="sng">
              <a:solidFill>
                <a:srgbClr val="000000"/>
              </a:solidFill>
            </a:ln>
          </c:spPr>
          <c:invertIfNegative val="1"/>
          <c:cat>
            <c:strRef>
              <c:f>'Pivot Tables'!$N$17:$N$21</c:f>
              <c:strCache>
                <c:ptCount val="5"/>
                <c:pt idx="1">
                  <c:v>ALMA</c:v>
                </c:pt>
                <c:pt idx="2">
                  <c:v>Calar Alto 1.23m + other optical</c:v>
                </c:pt>
                <c:pt idx="3">
                  <c:v>Other (Catalog/simulations,...)</c:v>
                </c:pt>
                <c:pt idx="4">
                  <c:v>SOHO and Solar Orbiter</c:v>
                </c:pt>
              </c:strCache>
            </c:strRef>
          </c:cat>
          <c:val>
            <c:numRef>
              <c:f>'Pivot Tables'!$O$17:$O$21</c:f>
              <c:numCache>
                <c:formatCode>General</c:formatCode>
                <c:ptCount val="5"/>
                <c:pt idx="0">
                  <c:v>0</c:v>
                </c:pt>
                <c:pt idx="1">
                  <c:v>3</c:v>
                </c:pt>
                <c:pt idx="2">
                  <c:v>1</c:v>
                </c:pt>
                <c:pt idx="3">
                  <c:v>2</c:v>
                </c:pt>
                <c:pt idx="4">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FA1C-4453-8F68-3998FEE25C92}"/>
            </c:ext>
          </c:extLst>
        </c:ser>
        <c:dLbls>
          <c:showLegendKey val="0"/>
          <c:showVal val="0"/>
          <c:showCatName val="0"/>
          <c:showSerName val="0"/>
          <c:showPercent val="0"/>
          <c:showBubbleSize val="0"/>
        </c:dLbls>
        <c:gapWidth val="150"/>
        <c:axId val="187072337"/>
        <c:axId val="1847490115"/>
      </c:barChart>
      <c:catAx>
        <c:axId val="187072337"/>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fr-FR"/>
          </a:p>
        </c:txPr>
        <c:crossAx val="1847490115"/>
        <c:crosses val="autoZero"/>
        <c:auto val="1"/>
        <c:lblAlgn val="ctr"/>
        <c:lblOffset val="100"/>
        <c:noMultiLvlLbl val="1"/>
      </c:catAx>
      <c:valAx>
        <c:axId val="184749011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fr-FR"/>
          </a:p>
        </c:txPr>
        <c:crossAx val="187072337"/>
        <c:crosses val="max"/>
        <c:crossBetween val="between"/>
      </c:valAx>
    </c:plotArea>
    <c:legend>
      <c:legendPos val="r"/>
      <c:overlay val="0"/>
      <c:txPr>
        <a:bodyPr/>
        <a:lstStyle/>
        <a:p>
          <a:pPr lvl="0">
            <a:defRPr b="0">
              <a:solidFill>
                <a:srgbClr val="1A1A1A"/>
              </a:solidFill>
              <a:latin typeface="+mn-lt"/>
            </a:defRPr>
          </a:pPr>
          <a:endParaRPr lang="fr-FR"/>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oneCellAnchor>
    <xdr:from>
      <xdr:col>6</xdr:col>
      <xdr:colOff>28575</xdr:colOff>
      <xdr:row>1</xdr:row>
      <xdr:rowOff>28575</xdr:rowOff>
    </xdr:from>
    <xdr:ext cx="3933825" cy="3533775"/>
    <xdr:graphicFrame macro="">
      <xdr:nvGraphicFramePr>
        <xdr:cNvPr id="2" name="Chart 1"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6</xdr:col>
      <xdr:colOff>123825</xdr:colOff>
      <xdr:row>19</xdr:row>
      <xdr:rowOff>114300</xdr:rowOff>
    </xdr:from>
    <xdr:ext cx="3495675" cy="2162175"/>
    <xdr:graphicFrame macro="">
      <xdr:nvGraphicFramePr>
        <xdr:cNvPr id="3" name="Chart 2" title="Chart">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10</xdr:col>
      <xdr:colOff>304800</xdr:colOff>
      <xdr:row>19</xdr:row>
      <xdr:rowOff>104775</xdr:rowOff>
    </xdr:from>
    <xdr:ext cx="5715000" cy="3533775"/>
    <xdr:graphicFrame macro="">
      <xdr:nvGraphicFramePr>
        <xdr:cNvPr id="4" name="Chart 3" title="Chart">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0</xdr:col>
      <xdr:colOff>38100</xdr:colOff>
      <xdr:row>1</xdr:row>
      <xdr:rowOff>19050</xdr:rowOff>
    </xdr:from>
    <xdr:ext cx="5715000" cy="3533775"/>
    <xdr:graphicFrame macro="">
      <xdr:nvGraphicFramePr>
        <xdr:cNvPr id="5" name="Chart 4" title="Chart">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10</xdr:col>
      <xdr:colOff>304800</xdr:colOff>
      <xdr:row>1</xdr:row>
      <xdr:rowOff>28575</xdr:rowOff>
    </xdr:from>
    <xdr:ext cx="5715000" cy="3533775"/>
    <xdr:graphicFrame macro="">
      <xdr:nvGraphicFramePr>
        <xdr:cNvPr id="6" name="Chart 5" title="Chart">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6</xdr:col>
      <xdr:colOff>28575</xdr:colOff>
      <xdr:row>37</xdr:row>
      <xdr:rowOff>66675</xdr:rowOff>
    </xdr:from>
    <xdr:ext cx="5715000" cy="3533775"/>
    <xdr:graphicFrame macro="">
      <xdr:nvGraphicFramePr>
        <xdr:cNvPr id="7" name="Chart 6" title="Chart">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0</xdr:col>
      <xdr:colOff>38100</xdr:colOff>
      <xdr:row>19</xdr:row>
      <xdr:rowOff>19050</xdr:rowOff>
    </xdr:from>
    <xdr:ext cx="5715000" cy="3533775"/>
    <xdr:graphicFrame macro="">
      <xdr:nvGraphicFramePr>
        <xdr:cNvPr id="8" name="Chart 7" title="Chart">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0</xdr:col>
      <xdr:colOff>38100</xdr:colOff>
      <xdr:row>37</xdr:row>
      <xdr:rowOff>57150</xdr:rowOff>
    </xdr:from>
    <xdr:ext cx="5715000" cy="3533775"/>
    <xdr:graphicFrame macro="">
      <xdr:nvGraphicFramePr>
        <xdr:cNvPr id="9" name="Chart 8" title="Chart">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oneCellAnchor>
    <xdr:from>
      <xdr:col>16</xdr:col>
      <xdr:colOff>609600</xdr:colOff>
      <xdr:row>1</xdr:row>
      <xdr:rowOff>85725</xdr:rowOff>
    </xdr:from>
    <xdr:ext cx="5715000" cy="3533775"/>
    <xdr:graphicFrame macro="">
      <xdr:nvGraphicFramePr>
        <xdr:cNvPr id="10" name="Chart 9" title="Chart">
          <a:extLst>
            <a:ext uri="{FF2B5EF4-FFF2-40B4-BE49-F238E27FC236}">
              <a16:creationId xmlns:a16="http://schemas.microsoft.com/office/drawing/2014/main" id="{00000000-0008-0000-02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Math Occit" refreshedDate="45686.463811458336" refreshedVersion="8" recordCount="61" xr:uid="{00000000-000A-0000-FFFF-FFFF00000000}">
  <cacheSource type="worksheet">
    <worksheetSource ref="A1:AF62" sheet="Form responses 1"/>
  </cacheSource>
  <cacheFields count="32">
    <cacheField name="Timestamp" numFmtId="164">
      <sharedItems containsSemiMixedTypes="0" containsNonDate="0" containsDate="1" containsString="0" minDate="2021-03-10T19:26:40" maxDate="2024-02-27T08:38:02"/>
    </cacheField>
    <cacheField name="Contact person" numFmtId="0">
      <sharedItems/>
    </cacheField>
    <cacheField name="Title of the project" numFmtId="0">
      <sharedItems containsBlank="1"/>
    </cacheField>
    <cacheField name="Short title of the project (61 characters maximum)" numFmtId="0">
      <sharedItems containsBlank="1"/>
    </cacheField>
    <cacheField name="PI" numFmtId="0">
      <sharedItems/>
    </cacheField>
    <cacheField name="Short name of your project (1-2 words or acronym)" numFmtId="0">
      <sharedItems/>
    </cacheField>
    <cacheField name="Contact e-mail" numFmtId="0">
      <sharedItems containsBlank="1"/>
    </cacheField>
    <cacheField name="Affiliation" numFmtId="0">
      <sharedItems containsBlank="1" count="4">
        <s v="IAA-CSIC"/>
        <s v="MPIfR"/>
        <m/>
        <s v="U. de Barcelona"/>
      </sharedItems>
    </cacheField>
    <cacheField name="Is it a CSIC institution?" numFmtId="0">
      <sharedItems containsBlank="1" count="3">
        <s v="Yes"/>
        <s v="No"/>
        <m/>
      </sharedItems>
    </cacheField>
    <cacheField name="Department" numFmtId="0">
      <sharedItems containsBlank="1" count="5">
        <s v="Radioastronomía y estructura galáctica"/>
        <s v="Astronomía extragaláctica"/>
        <s v="Sistema solar"/>
        <m/>
        <s v="Física estelar"/>
      </sharedItems>
    </cacheField>
    <cacheField name="Research group" numFmtId="0">
      <sharedItems containsBlank="1"/>
    </cacheField>
    <cacheField name="Other institutions participating in the project" numFmtId="0">
      <sharedItems containsBlank="1" count="4">
        <m/>
        <s v="ICE-CSIC"/>
        <s v="Universidad de Guanajuato (Mexico). Kagoshima University (Japan)"/>
        <s v="SKA"/>
      </sharedItems>
    </cacheField>
    <cacheField name="Type of use" numFmtId="0">
      <sharedItems count="4">
        <s v="Schools, workshops or time-specific events"/>
        <s v="Research"/>
        <s v="Research, Development"/>
        <s v="Development"/>
      </sharedItems>
    </cacheField>
    <cacheField name="Abstract" numFmtId="0">
      <sharedItems containsBlank="1"/>
    </cacheField>
    <cacheField name="When would you like to start your project?" numFmtId="0">
      <sharedItems containsDate="1" containsBlank="1" containsMixedTypes="1" minDate="2021-03-19T00:00:00" maxDate="2021-10-21T00:00:00"/>
    </cacheField>
    <cacheField name="What is the expected duration of the project?" numFmtId="0">
      <sharedItems containsBlank="1"/>
    </cacheField>
    <cacheField name="Expected deliverables and milestones" numFmtId="0">
      <sharedItems containsBlank="1"/>
    </cacheField>
    <cacheField name="Is your project related in some way with the SKA or with Open Science? If yes, provide details" numFmtId="0">
      <sharedItems containsBlank="1"/>
    </cacheField>
    <cacheField name="Any other information you want to share" numFmtId="0">
      <sharedItems containsBlank="1"/>
    </cacheField>
    <cacheField name="Number of CPUs needed [Normal use]" numFmtId="0">
      <sharedItems containsString="0" containsBlank="1" containsNumber="1" containsInteger="1" minValue="4" maxValue="24"/>
    </cacheField>
    <cacheField name="Number of CPUs needed [Maximum peak]" numFmtId="0">
      <sharedItems containsString="0" containsBlank="1" containsNumber="1" containsInteger="1" minValue="4" maxValue="40"/>
    </cacheField>
    <cacheField name="Amount of memory (RAM) needed [GB] [Normal use]" numFmtId="0">
      <sharedItems containsString="0" containsBlank="1" containsNumber="1" containsInteger="1" minValue="16" maxValue="192"/>
    </cacheField>
    <cacheField name="Amount of memory (RAM) needed [GB] [Maximum requirement]" numFmtId="0">
      <sharedItems containsString="0" containsBlank="1" containsNumber="1" containsInteger="1" minValue="16" maxValue="1000"/>
    </cacheField>
    <cacheField name="Storage needed" numFmtId="0">
      <sharedItems count="18">
        <s v="Unspecified"/>
        <s v="10TB"/>
        <s v="4TB"/>
        <s v="40TB"/>
        <s v="200GB"/>
        <s v="1TB"/>
        <s v="7TB"/>
        <s v="5TB"/>
        <s v="200TB"/>
        <s v="250GB"/>
        <s v="15TB"/>
        <s v="100GB"/>
        <s v="5GB"/>
        <s v="2TB"/>
        <s v="500GB"/>
        <s v="None"/>
        <s v="8TB"/>
        <s v="50GB"/>
      </sharedItems>
    </cacheField>
    <cacheField name="Online services required" numFmtId="0">
      <sharedItems containsBlank="1"/>
    </cacheField>
    <cacheField name="Approximate number of collaborators that will access the platform [IAA members]" numFmtId="0">
      <sharedItems containsBlank="1"/>
    </cacheField>
    <cacheField name="Approximate number of collaborators that will access the platform [Spanish collaborators]" numFmtId="0">
      <sharedItems containsBlank="1"/>
    </cacheField>
    <cacheField name="Approximate number of collaborators that will access the platform [Collaborators from other countries]" numFmtId="0">
      <sharedItems containsBlank="1"/>
    </cacheField>
    <cacheField name="Support needed" numFmtId="0">
      <sharedItems containsBlank="1"/>
    </cacheField>
    <cacheField name="Any other comment?" numFmtId="0">
      <sharedItems containsBlank="1"/>
    </cacheField>
    <cacheField name="Operating System" numFmtId="0">
      <sharedItems containsBlank="1"/>
    </cacheField>
    <cacheField name="Social abstract"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
  <r>
    <d v="2021-03-10T19:26:40"/>
    <s v="Rainer Schoedel"/>
    <s v="SOMACHINE  2 - An IAA SO  School "/>
    <m/>
    <s v="Rainer Schoedel"/>
    <s v="SOMACHINE2"/>
    <m/>
    <x v="0"/>
    <x v="0"/>
    <x v="0"/>
    <m/>
    <x v="0"/>
    <x v="0"/>
    <s v="The second edition of the IAA-CSIC Severo Ochoa School on Machine Learning, Big Data, and Deep Learning in Astronomy (SOMACHINE 2020) will be held at the Instituto de Astrofísica de Andalucía (CSIC), Granada, from Monday 19th to Friday 23rd of April 2021."/>
    <d v="2021-04-19T00:00:00"/>
    <s v="5 days"/>
    <s v="improved knowledge of students about machine learning"/>
    <s v="Not directly."/>
    <m/>
    <m/>
    <m/>
    <m/>
    <m/>
    <x v="0"/>
    <s v="JupyterHub server"/>
    <s v="10-50"/>
    <s v="10-50"/>
    <s v="10-50"/>
    <s v="General set up instructions and access to use platform, Advice on Github usage and best practices"/>
    <s v="The total number of particicipants will be &lt;= 50. I would need support for the management of the github site as in the last edition of the school. I cannot do this myself (no skill, and, more important, no time). Thank you all very much!"/>
    <m/>
    <m/>
  </r>
  <r>
    <d v="2021-03-20T11:25:45"/>
    <s v="Miguel Pérez Torres"/>
    <s v="Data Analysis of LOFAR DATA for the LOFAR School 2021"/>
    <m/>
    <s v="Miguel Pérez Torres"/>
    <s v="LOFAR School"/>
    <m/>
    <x v="0"/>
    <x v="0"/>
    <x v="0"/>
    <m/>
    <x v="0"/>
    <x v="0"/>
    <s v="Data Analysis of LOFAR DATA for the LOFAR School 2021"/>
    <d v="2021-03-19T00:00:00"/>
    <s v="14 days"/>
    <s v="Testing that we can carry out LOFAR data analysis using the SPSRC facilities"/>
    <s v="Yes. LOFAR can be seen as one of the SKA-LOW precursors"/>
    <m/>
    <n v="4"/>
    <n v="4"/>
    <n v="32"/>
    <n v="32"/>
    <x v="1"/>
    <s v="Virtual Machine (VM), default, JupyterLab server (on your own VM), CARTA server (on your own VM)"/>
    <s v="1-5"/>
    <m/>
    <m/>
    <s v="General set up instructions and access to use platform, Support on efficiently managing conda environments, Advice on Github usage and best practices, Advice on making your project reproducible, Support on data processing software for radio nterferometry"/>
    <s v="No tengo ni idea de lo que son los &quot;containers&quot;"/>
    <m/>
    <m/>
  </r>
  <r>
    <d v="2021-04-06T16:28:13"/>
    <s v="Jose Francisco Gomez (jfg@iaa.es)"/>
    <s v="Study of star-planet interaction with MeerKat"/>
    <m/>
    <s v="Jose Francisco Gomez"/>
    <s v="SPI-Kat"/>
    <s v="jfg@iaa.es"/>
    <x v="0"/>
    <x v="0"/>
    <x v="0"/>
    <m/>
    <x v="0"/>
    <x v="1"/>
    <s v="We have carried out a monitoring of the radio emission from Proxima Cen, during 18 days, using Meerkat. We intend to follow the variability of the emission (total flux density and circularly polarized radiation), to try to find a relationship with the orb"/>
    <d v="2021-04-18T00:00:00"/>
    <s v="6 months"/>
    <s v="At least one scientific paper"/>
    <s v="We are using one of the recognized SKA precursors for this project. Moreover, this project may open a new way to study exoplanets with SKA."/>
    <m/>
    <n v="8"/>
    <n v="16"/>
    <n v="64"/>
    <n v="192"/>
    <x v="2"/>
    <s v="Virtual Machine (VM), default, JupyterLab server (on your own VM), CARTA server (on your own VM), Remote access for collaborators"/>
    <s v="1-5"/>
    <s v="1-5"/>
    <s v="1-5"/>
    <s v="General set up instructions and access to use platform, Advice on making your project reproducible"/>
    <s v="I have no idea of the number of CPU cores that our data reduction will require. I assume the processing scripts would allow parallel processing to some extent. For RAM, I took the expected size of each individual session of data (~60 GB), and then assumed"/>
    <m/>
    <m/>
  </r>
  <r>
    <d v="2021-05-03T10:17:22"/>
    <s v="Javier Moldon"/>
    <s v="Luminous Infra­Red Galaxy Inventory, an i-LINK+ action"/>
    <m/>
    <s v="Javier Moldon"/>
    <s v="lirgi"/>
    <m/>
    <x v="0"/>
    <x v="0"/>
    <x v="1"/>
    <m/>
    <x v="0"/>
    <x v="1"/>
    <s v="LIRGI (Luminous InfraRed Galaxy Inventory) is an e-MERLIN Legacy Project to obtain deep high-resolution images of 42 of the most luminous infrared galaxies. LIRGI will provide a much needed high-spatial-resolution radio imaging to reveal the sub-arcsecond"/>
    <d v="2021-05-05T00:00:00"/>
    <s v="2 years"/>
    <s v="In our current plan we expect to publish at least four papers directly from the e-MERLIN data, and about 3-4 additional papers when combining the data with the other instruments involved in the project."/>
    <s v="It makes use of the SKA pathfinder e-MERLIN, and will also involve data from other two pathfinders: JVLA and LOFAR. We will make the data reduction and analysis as Open as possible"/>
    <s v="We are open to redefine the scope of the project and update on the progress regularly. "/>
    <n v="16"/>
    <n v="40"/>
    <n v="64"/>
    <n v="1000"/>
    <x v="3"/>
    <s v="Virtual Machine (VM), default, JupyterLab server (on your own VM), CARTA server (on your own VM), Remote access for collaborators"/>
    <s v="1-5"/>
    <m/>
    <s v="5-10"/>
    <s v="General set up instructions and access to use platform, Support on efficiently managing conda environments, Advice on Github usage and best practices, Advice on making your project reproducible, Advice on data management plans, Support on the use of conta"/>
    <m/>
    <s v="Ubuntu 20.04"/>
    <m/>
  </r>
  <r>
    <d v="2021-05-03T16:11:34"/>
    <s v="Luis Peña"/>
    <s v="Exoplanet-induced radio emission from GJ 486"/>
    <m/>
    <s v="Luis Peña"/>
    <s v="gj486-lofar"/>
    <m/>
    <x v="0"/>
    <x v="0"/>
    <x v="0"/>
    <m/>
    <x v="0"/>
    <x v="1"/>
    <s v="We have recently carried out observations on LOFAR to probe star-planet interaction between the star GJ 486 and its confirmed rocky exoplanet GJ 486b. Our primary goal was the detection of electron cyclotron maser emission with a periodic enhancement that"/>
    <d v="2021-05-15T00:00:00"/>
    <s v="6 months"/>
    <s v="Reduction and analysis of interferometric data from star-planet system GJ 486 - GJ 486b that could point towards the existence of star-planet interaction. Results are to be published in a high impact journal."/>
    <s v="These observations are from SKA Pathfinder - LOFAR"/>
    <m/>
    <n v="16"/>
    <n v="40"/>
    <n v="32"/>
    <n v="1000"/>
    <x v="1"/>
    <s v="Virtual Machine (VM), default, JupyterLab server (on your own VM), CARTA server (on your own VM), Remote access for collaborators"/>
    <s v="1-5"/>
    <m/>
    <m/>
    <s v="General set up instructions and access to use platform, Support on efficiently managing conda environments, Advice on Github usage and best practices, Advice on making your project reproducible, Advice on data management plans, Support on the use of conta"/>
    <m/>
    <s v="Ubuntu 20.04"/>
    <m/>
  </r>
  <r>
    <d v="2021-09-28T10:52:43"/>
    <s v="Jose Francisco Gomez"/>
    <s v="Reduction of radio astronomy data for master students"/>
    <m/>
    <s v="Jose Francisco Gomez"/>
    <s v="Radio Master"/>
    <s v="jfg@iaa.es"/>
    <x v="0"/>
    <x v="0"/>
    <x v="0"/>
    <m/>
    <x v="0"/>
    <x v="0"/>
    <s v="We teach a course on Radio Astronomy, within the FISyMAT Master program at the UGR. Part of the classes are practical, with hands-on experience on processing of radio astronomical data. This needs the installation of software such as GILDAS and CASA. In p"/>
    <d v="2021-10-11T00:00:00"/>
    <s v="2 months"/>
    <s v="Each student should be able to obtain fully reduced single-dish spectra and interferometric continuum maps. "/>
    <s v="Not directly, but we will process interferometric data, providing learning opportunities to prospective future SKA users (the students of the course)"/>
    <m/>
    <n v="8"/>
    <n v="8"/>
    <n v="16"/>
    <n v="16"/>
    <x v="4"/>
    <s v="Virtual Machine (VM), default, Remote access for collaborators"/>
    <s v="1-5"/>
    <s v="5-10"/>
    <m/>
    <s v="General set up instructions and access to use platform"/>
    <s v="I think the computer requirements are enough. I have assumed what we can probably need considering about 10 users running the same type of process at the same time during the class. In principle, I do not intend to use containers (I think it would introdu"/>
    <s v="Ubuntu 20.04"/>
    <m/>
  </r>
  <r>
    <d v="2021-09-28T11:17:30"/>
    <s v="Jose Francisco Gomez"/>
    <s v="ALMA data of W75N"/>
    <m/>
    <s v="Jose Francisco Gomez"/>
    <s v="W75N"/>
    <s v="jfg@iaa.es"/>
    <x v="0"/>
    <x v="0"/>
    <x v="0"/>
    <m/>
    <x v="0"/>
    <x v="1"/>
    <s v="We process of ALMA data obtained in the last cycle 7, on the massive star-forming region W75N. This is an outstanding region, in which we have seen in real time (over 18 years) the_x000a_onset of outflow collimation, from nearly spherical mass-loss to a collima"/>
    <d v="2021-10-20T00:00:00"/>
    <s v="6 months"/>
    <s v="At least one paper"/>
    <s v="We will be using ALMA data, which is the closest available right now to SKA1 in terms of data size and interferometric data processing."/>
    <m/>
    <n v="4"/>
    <n v="8"/>
    <n v="64"/>
    <n v="192"/>
    <x v="5"/>
    <s v="Virtual Machine (VM), default, Remote access for collaborators"/>
    <s v="1-5"/>
    <s v="1-5"/>
    <s v="1-5"/>
    <s v="General set up instructions and access to use platform, Support on the use of containers (singularity, docker, etc.)"/>
    <s v="My estimate on the requirement is based on the data storage used by a similar ALMA project, and the RAM available on a server we have been efficiently using for ALMA data processing. So, it might not be very accurate (although I think it is a reasonable r"/>
    <s v="Ubuntu 20.04"/>
    <m/>
  </r>
  <r>
    <d v="2021-10-29T09:22:25"/>
    <s v="Miguel Pérez-Torres"/>
    <s v="Studying the flaring activity and probing star-planet interaction in M-dwarfs"/>
    <m/>
    <s v="Miguel Pérez-Torres"/>
    <s v="SPI-JVLA"/>
    <s v="torres@iaa.es"/>
    <x v="0"/>
    <x v="0"/>
    <x v="0"/>
    <m/>
    <x v="0"/>
    <x v="1"/>
    <m/>
    <s v="29/10/2021"/>
    <s v="6 months"/>
    <s v="At least one paper, compiling the results from the observations of 3 M-dwarf systems (GJ 393, GJ 876 and G 264-12). If there are particularly relevant results in any of them, we will consider their publication in independent refereed papers. "/>
    <s v="Yes. These observations are taken with the JVLA at frequencies overlapping with those of the SKA, and will inform us on how to best use the SKA for those studies."/>
    <m/>
    <n v="16"/>
    <n v="40"/>
    <n v="32"/>
    <n v="192"/>
    <x v="6"/>
    <s v="Virtual Machine (VM), default, JupyterLab server (on your own VM), CARTA server (on your own VM), Remote access for collaborators"/>
    <s v="1-5"/>
    <s v="1-5"/>
    <m/>
    <s v="General set up instructions and access to use platform, Support on efficiently managing conda environments, Advice on Github usage and best practices, Advice on making your project reproducible, Advice on data management plans, Support on the use of conta"/>
    <m/>
    <s v="Ubuntu 20.04"/>
    <s v="M dwarfs are the most common type of star and are known to commonly host exoplanets. We propose JVLA_x000a_observations of a sample of M-dwarfs with confirmed exoplanets, aimed at two main goals. (1) Studying the_x000a_flaring activity (stellar flares and coronal mas"/>
  </r>
  <r>
    <d v="2021-11-01T17:37:36"/>
    <s v="Kelley Hess"/>
    <s v="Apertif: HI Source Finding"/>
    <m/>
    <s v="Kelley Hess"/>
    <s v="Apertif"/>
    <s v="hess@iaa.es"/>
    <x v="0"/>
    <x v="0"/>
    <x v="1"/>
    <m/>
    <x v="0"/>
    <x v="2"/>
    <s v="Apertif is an SKA precursor that is surveying more than 2000 deg^2 in the northern sky in radio continuum, polarization, and HI spectral line using  phased array feeds.  I propose to use the SPSRC for advanced processing of the spectral line data cubes, H"/>
    <s v="Now."/>
    <s v="3 years"/>
    <s v="Of order 2 papers on the HI catalog (a preliminary catalog, and an updated catalog with improved calibration pipeline); data for an archive (potentially hosted here and/or at ASTRON); potential development includes a tool for creating final data products "/>
    <s v="Apertif is an SKA precursor.  Eventually all the data should be made public."/>
    <s v="The project is large and long term.  I would propose setting up a testing environment before allocating me all the resources I would like to have.  The minimum test environment is what I propose below to see if I can achieve the same performance as I have"/>
    <n v="24"/>
    <n v="24"/>
    <n v="32"/>
    <n v="32"/>
    <x v="7"/>
    <s v="Virtual Machine (VM), default, CARTA server (on your own VM), Archive (under development), singularity container for the Apercal pipeline"/>
    <s v="1-5"/>
    <m/>
    <s v="1-5"/>
    <s v="General set up instructions and access to use platform, Advice on making your project reproducible, Advice on data management plans, Support on the use of containers (singularity, docker, etc.)"/>
    <s v="I have chosen Ubuntu 20.04, but to my knowledge the choice doesn't strictly matter.  Maybe some tips as to the advantage/disadvantage of each OS would be good somewhere in the documentation or on this form."/>
    <s v="Ubuntu 20.04"/>
    <s v="The Apertif HI survey is detecting the neutral hydrogen gas in tens of thousands of galaxies which have never been observed before.  With resources at the SPSRC, we are working to make that data accessible to the broader astronomical community in the form"/>
  </r>
  <r>
    <d v="2021-11-23T14:13:21"/>
    <s v="Rainer Schoedel"/>
    <s v="2nd IAA-CSIC Severo Ochoa School on Statistics, Data Mining, and Machine Learning"/>
    <m/>
    <s v="Rainer Schoedel"/>
    <s v="SOSTAT 2021"/>
    <s v="rainer@iaa.es"/>
    <x v="0"/>
    <x v="0"/>
    <x v="0"/>
    <m/>
    <x v="0"/>
    <x v="0"/>
    <s v="The 2nd IAA-CSIC Severo Ochoa School on Statistics, Data Mining and Machine Learning will be held in Granada, from Monday, November 29th, to Friday, December 3rd, 2021. This school will have a strong hands-on aspect and the participants will repeat and ap"/>
    <s v="29 Nov 2021"/>
    <s v="5 days"/>
    <m/>
    <m/>
    <m/>
    <m/>
    <m/>
    <m/>
    <m/>
    <x v="0"/>
    <m/>
    <m/>
    <m/>
    <m/>
    <m/>
    <m/>
    <m/>
    <m/>
  </r>
  <r>
    <d v="2021-11-30T09:23:53"/>
    <s v="Javier Moldon"/>
    <s v="Accelerated evolution in the densest groups of galaxies: MeerKAT imaging of the missing HI"/>
    <m/>
    <s v="Javier Moldon"/>
    <s v="hcg-meerkat"/>
    <s v="jmoldon@iaa.es"/>
    <x v="0"/>
    <x v="0"/>
    <x v="1"/>
    <m/>
    <x v="0"/>
    <x v="1"/>
    <s v="Hickson Compact Groups (HCGs) are located in low-density environments, and composed of ~ 4-10 tightly bound galaxies. Their high galactic density, similar to the centres of rich clusters, causes strong gravitational interactions between members, accelerat"/>
    <s v="30/11/2021"/>
    <s v="6 months"/>
    <s v="At least one publication with the results and tables/archive to deliver to the community"/>
    <s v="It uses the SKA precursor MeerKAT. We will make the data analysis reproducible and the outputs openly available following FAIR principles"/>
    <m/>
    <n v="16"/>
    <n v="24"/>
    <n v="64"/>
    <n v="192"/>
    <x v="8"/>
    <s v="Virtual Machine (VM), default, JupyterLab server (on your own VM), CARTA server (on your own VM), Remote access for collaborators, Archive (under development)"/>
    <s v="5-10"/>
    <m/>
    <s v="5-10"/>
    <s v="General set up instructions and access to use platform, Support on efficiently managing conda environments, Advice on Github usage and best practices, Advice on making your project reproducible, Advice on data management plans, Support on the use of conta"/>
    <m/>
    <s v="Ubuntu 20.04"/>
    <s v="We study six Hickson Compact Groups of galaxies to search for &quot;missing&quot; intragroup gas in HI with the MeerKAT interferometer"/>
  </r>
  <r>
    <d v="2021-12-15T12:58:46"/>
    <s v="Amidou Sorgho"/>
    <s v="Angular momentum of isolated AMIGA galaxies"/>
    <m/>
    <s v="Amidou Sorgho"/>
    <s v="AMIGA-J"/>
    <s v="amid.ast@gmail.com"/>
    <x v="0"/>
    <x v="0"/>
    <x v="1"/>
    <m/>
    <x v="0"/>
    <x v="1"/>
    <s v="This project consists of computing the angular momentum of isolated galaxies selected from the AMIGA sample, which are by definition devoid of environmental effects. In fact, no study of angular momentum has so far been performed on strictly isolated gala"/>
    <s v="15 December 2021"/>
    <s v="6 months"/>
    <s v="We expect to produce a peer-reviewed paper by the end of 2022, along with an archive of HI data products and rotation curves"/>
    <s v="Yes"/>
    <m/>
    <n v="16"/>
    <n v="16"/>
    <n v="192"/>
    <n v="192"/>
    <x v="1"/>
    <s v="Virtual Machine (VM), default, JupyterHub server, CARTA server (on your own VM)"/>
    <s v="1-5"/>
    <m/>
    <m/>
    <s v="General set up instructions and access to use platform, Support on the use of containers (singularity, docker, etc.)"/>
    <m/>
    <s v="Ubuntu 18.04"/>
    <m/>
  </r>
  <r>
    <d v="2021-12-22T21:09:49"/>
    <s v="Guillermo Blázquez Calero"/>
    <s v="Searching for dust components in Proxima Centauri planetary system with ALMA"/>
    <m/>
    <s v="Guillermo Blázquez Calero"/>
    <s v="Proxima ALMA"/>
    <s v="gblazquez@iaa.es"/>
    <x v="0"/>
    <x v="0"/>
    <x v="0"/>
    <m/>
    <x v="0"/>
    <x v="1"/>
    <s v="After the discovery in 2016 of Proxima b, a terrestrial planet around Proxima Cen, a large effort has been carried out to further characterize this system. Proxima Cen is the closest star to our sun, and it has become a priority for a large number of stud"/>
    <s v="Mid-January 2022"/>
    <s v="5 months"/>
    <s v="This ALMA data will allow us to confirm or address the hypothesis that the unknown source observed with previous ALMA observations is the candidate planet Proxima c. The detection would be a confirmation of the existence of Proxima c itself, and to the be"/>
    <s v="This project may open the way for future SKA observations toward this target. ALMA will publicly release the data in the ALMA Science Archive, but we could also share our own data reduction."/>
    <m/>
    <n v="24"/>
    <n v="40"/>
    <n v="64"/>
    <n v="192"/>
    <x v="1"/>
    <s v="Virtual Machine (VM), default, JupyterLab server (on your own VM), CARTA server (on your own VM), Remote access for collaborators"/>
    <s v="1-5"/>
    <m/>
    <m/>
    <s v="General set up instructions and access to use platform, Support on efficiently managing conda environments, Advice on Github usage and best practices, Advice on making your project reproducible, Support on the use of containers (singularity, docker, etc.)"/>
    <s v="I am not very sure about the ideal number of CPUs and amount of memory RAM we would need for the project. Most of the computational resources will be dedicated to the calibration and reduction of ALMA observations, both continuum and line data. We have al"/>
    <s v="Ubuntu 20.04"/>
    <s v="To understand and explore our solar system has been a priority of space research for decades. Nowadays, with the evidence that many other planetary systems populate our Galaxy, this interest in characterizing, and even in exploring, other planetary system"/>
  </r>
  <r>
    <d v="2022-02-11T14:20:23"/>
    <s v="Kelley Hess"/>
    <s v="Gas and star formation in the Hydra Cluster"/>
    <m/>
    <s v="Kelley Hess"/>
    <s v="Hydra Cluster"/>
    <s v="hess@iaa.es"/>
    <x v="0"/>
    <x v="0"/>
    <x v="1"/>
    <m/>
    <x v="0"/>
    <x v="1"/>
    <m/>
    <s v="15 February 2022"/>
    <s v="6 months"/>
    <s v="one paper and a successful JAE project, hopefully!"/>
    <s v="We are using MeerKAT data, but otherwise, no."/>
    <s v="This VM is for a JAE student, Clara Cabanillas, to be able to work with data.  Both she and I should have access."/>
    <n v="4"/>
    <n v="4"/>
    <n v="32"/>
    <n v="64"/>
    <x v="9"/>
    <s v="Virtual Machine (VM), default, JupyterLab server (on your own VM), CARTA server (on your own VM), Remote access for collaborators"/>
    <s v="1-5"/>
    <m/>
    <m/>
    <s v="General set up instructions and access to use platform"/>
    <m/>
    <m/>
    <m/>
  </r>
  <r>
    <d v="2022-02-21T17:47:55"/>
    <s v="Marie-Lou Gendron-Marsolais"/>
    <s v="Perseus Radio Observations"/>
    <m/>
    <s v="Marie-Lou Gendron-Marsolais"/>
    <s v="perseus"/>
    <s v="marielou@iaa.es"/>
    <x v="0"/>
    <x v="0"/>
    <x v="1"/>
    <m/>
    <x v="0"/>
    <x v="1"/>
    <s v="I request extra computational ressource for the storage and reduction of several VLA datasets of the Perseus cluster. "/>
    <s v="as soon as possible"/>
    <s v="3 years"/>
    <s v="These observations will lead to several papers, at least 2 : one on the central emission in the cluster and the other on the galaxy member IC310. "/>
    <s v="no"/>
    <m/>
    <m/>
    <m/>
    <m/>
    <m/>
    <x v="10"/>
    <s v="Virtual Machine (VM), default"/>
    <m/>
    <m/>
    <s v="1-5"/>
    <s v="General set up instructions and access to use platform"/>
    <s v="This will be used for casa data reduction of large VLA datasets...any advices on the CPU and memory requirement is welcome... also about the Operating System, I have no preference."/>
    <s v="CentOS 8"/>
    <s v="Clusters of galaxies are large gathering of thousands of galaxies and constitute unique environments, very different from the neighborhood of our galaxy the Milky Way. Radio observations give important clues for our understanding of the complex interplay "/>
  </r>
  <r>
    <d v="2022-02-21T19:49:05"/>
    <s v="Laura Darriba"/>
    <s v="Pysnacks Data Carpentry: Fundations of Astronomical Data Science"/>
    <m/>
    <s v="Laura Darriba"/>
    <s v="pysnacks-dc1"/>
    <s v="ldarriba@iaa.es"/>
    <x v="0"/>
    <x v="0"/>
    <x v="1"/>
    <m/>
    <x v="0"/>
    <x v="0"/>
    <s v="The IAA Severo Ochoa Training Initiative will conduct a series of workshops on  the use of Python packages for astrophysics/space science: ”PySnacks”. Our first four lessons will be dedicated to fundamental packages (Pandas, Astropy, Astroquery) in combin"/>
    <s v="11th March 2022"/>
    <s v="1 month"/>
    <s v="This is a training event for the IAA"/>
    <s v="We will promote reproducibility best practices"/>
    <m/>
    <m/>
    <m/>
    <m/>
    <m/>
    <x v="0"/>
    <s v="JupyterHub server"/>
    <s v="10-50"/>
    <m/>
    <m/>
    <s v="General set up instructions and access to use platform, Support on efficiently managing conda environments, Advice on Github usage and best practices, Advice on making your project reproducible"/>
    <s v="The school will happen from 21st of March to 1st of April 2022 "/>
    <s v="Ubuntu 20.04"/>
    <s v="The IAA Severo Ochoa Training Initiative will conduct a series of workshops on  the use of Python packages for astrophysics/space science: ”PySnacks”. Our first four lessons will be dedicated to fundamental packages (Pandas, Astropy, Astroquery) in combin"/>
  </r>
  <r>
    <d v="2022-03-03T11:21:52"/>
    <s v="Laura Darriba"/>
    <s v="Reproducibility course (CSIC course)"/>
    <m/>
    <s v="Laura Darriba"/>
    <s v="reprocsic"/>
    <s v="ldarriba@iaa.es"/>
    <x v="0"/>
    <x v="0"/>
    <x v="1"/>
    <m/>
    <x v="0"/>
    <x v="0"/>
    <s v="Este curso es una introducción a una serie de herramientas y buenas prácticas para que el análisis científico sea más abierto, organizado y automatizado, con metodologías que pueden incorporarse a su flujo trabajo. El curso permitirá conocer en más profun"/>
    <s v="23rd March 2022"/>
    <s v="6 months"/>
    <s v="This is a training event "/>
    <s v="Yes, reproducibility course"/>
    <m/>
    <m/>
    <m/>
    <m/>
    <m/>
    <x v="11"/>
    <s v="Virtual Machine (VM), default, Remote access for collaborators, singularity, docker, latex, evince, eog"/>
    <s v="1-5"/>
    <s v="10-50"/>
    <m/>
    <s v="General set up instructions and access to use platform, Support on the use of containers (singularity, docker, etc.), Managing user accounts"/>
    <m/>
    <s v="Ubuntu 20.04"/>
    <s v="Este curso es una introducción a una serie de herramientas y buenas prácticas para que el análisis científico sea más abierto, organizado y automatizado, con metodologías que pueden incorporarse a su flujo trabajo. El curso permitirá conocer en más profun"/>
  </r>
  <r>
    <d v="2022-03-09T17:21:56"/>
    <s v="Manuel Parra"/>
    <s v="BinderHub "/>
    <m/>
    <s v="Manuel Parra"/>
    <s v="BinderHub"/>
    <s v="mparra@iaa.es"/>
    <x v="0"/>
    <x v="0"/>
    <x v="1"/>
    <m/>
    <x v="0"/>
    <x v="3"/>
    <s v="The reproducibility of code in science repositories plays a critical role in the advancement and development of scientific work. For this reason, tools such as BindeHub are making it possible to generate a complete environment from a code repository that "/>
    <s v="2022-03-09"/>
    <s v="6 months"/>
    <s v="Workshops and conferences"/>
    <s v="Yes, related with ESCAPE that will be part of SKA develpment"/>
    <s v="BinderHub takes care of deploying the container, downloading the code, launching the environments and finally raising the JupyterLab instance to support the user."/>
    <m/>
    <m/>
    <m/>
    <m/>
    <x v="12"/>
    <s v="BinderHub will be host on top of Kubernetes"/>
    <s v="5-10"/>
    <s v="5-10"/>
    <s v="5-10"/>
    <s v="Advice on Github usage and best practices, Advice on making your project reproducible"/>
    <s v="Project Scientist can propose a more appropriate short name."/>
    <s v="None of the above (describe it at the end)"/>
    <s v="The reproducibility of code in science repositories plays a critical role in the advancement and development of scientific work. For this reason, tools such as BindeHub are making it possible to generate a complete environment from a code repository that "/>
  </r>
  <r>
    <d v="2022-03-09T17:36:39"/>
    <s v="Manuel Parra"/>
    <s v="WALLABY - Notebooks"/>
    <m/>
    <s v="Manuel Parra"/>
    <s v="wallaby-nbs"/>
    <s v="mparra@iaa.es"/>
    <x v="0"/>
    <x v="0"/>
    <x v="1"/>
    <m/>
    <x v="0"/>
    <x v="1"/>
    <s v="The Widefield ASKAP L-band Legacy All-sky Blind surveY (WALLABY) (1) is a neutral hydrogen survey (HI) that is running on the Australian SKA Pathfinder (ASKAP), a precursor telescope for the Square Kilometre Array (SKA). The goal of WALLABY is to use ASKA"/>
    <s v="2022-03-09"/>
    <s v="1 year"/>
    <s v="Paper, Conference and workshops."/>
    <s v="Yes, through ASKAP "/>
    <s v="It will include a nice feature not yet explored in protoSRC, which will allow to connect BlockStorage and Wallaby DB access locally through postgresql connectors."/>
    <m/>
    <m/>
    <m/>
    <m/>
    <x v="12"/>
    <s v="JupyterHub server, An instance on JupyterHub cluster"/>
    <m/>
    <s v="1-5"/>
    <s v="1-5"/>
    <s v="Advice on Github usage and best practices, Advice on making your project reproducible, Advice on data management plans, Support on data processing software for radio nterferometry"/>
    <m/>
    <s v="None of the above (describe it at the end)"/>
    <s v="The Widefield ASKAP L-band Legacy All-sky Blind surveY (WALLABY) (1) is a neutral hydrogen survey (HI) that is running on the Australian SKA Pathfinder (ASKAP), a precursor telescope for the Square Kilometre Array (SKA). The goal of WALLABY is to use ASKA"/>
  </r>
  <r>
    <d v="2022-03-24T13:56:21"/>
    <s v="Rainer Schoedel"/>
    <s v="Radio continuum observations of massive star clusters in the GC"/>
    <m/>
    <s v="Rainer Schoedel"/>
    <s v="galactic"/>
    <s v="rainer@iaa.es"/>
    <x v="0"/>
    <x v="0"/>
    <x v="0"/>
    <m/>
    <x v="0"/>
    <x v="1"/>
    <s v="Young massive clusters are key astrophysical targets to study star formation and massive stellar evolution under extreme conditions. They are critical to question whether the initial mass function (IMF) is a universal property, as seen by studies of the s"/>
    <s v="ASAP"/>
    <s v="6 months"/>
    <s v="At least one paper."/>
    <s v="The project uses VLA as an SKA pathfinder and is prepaaratory work for an SKA GC survey"/>
    <m/>
    <m/>
    <m/>
    <m/>
    <m/>
    <x v="13"/>
    <s v="Virtual Machine (VM), default, JupyterLab server (on your own VM), CARTA server (on your own VM)"/>
    <s v="1-5"/>
    <m/>
    <m/>
    <s v="General set up instructions and access to use platform, Support on efficiently managing conda environments, Support on the use of containers (singularity, docker, etc.), Consultancy on interferometry basics and calibration, Support on data processing soft"/>
    <m/>
    <s v="Ubuntu 20.04"/>
    <s v="The study of young massive clusters such as the Arches and Quintuplet clusters, located at the Galactic centre, is key to understand star formation in the most extreme environments of the Milky Way. Radio observations allow us to detect emission arising f"/>
  </r>
  <r>
    <d v="2022-03-30T12:43:26"/>
    <s v="Ananthan Karunakaran"/>
    <s v="Resolving UDGs in HI"/>
    <m/>
    <s v="Ananthan Karunakaran"/>
    <s v="MeerKATUDGs"/>
    <s v="ananthan@iaa.es"/>
    <x v="0"/>
    <x v="0"/>
    <x v="1"/>
    <m/>
    <x v="0"/>
    <x v="1"/>
    <s v="We have obtained ~20 hours of MeerKAT 32K mode observations to image and resolve the HI distributions of two gas-rich ultra-diffuse galaxies (UDGs). The properties of most UDGs are commensurate with dwarf galaxies, but some have dynamical masses similar t"/>
    <s v="11/04/2022"/>
    <s v="6 months"/>
    <s v="One paper based on the primary goal of the project."/>
    <s v="The data is from MeerKAT which is an SKA precursor facility"/>
    <s v="N/A"/>
    <m/>
    <m/>
    <m/>
    <m/>
    <x v="10"/>
    <s v="Virtual Machine (VM), default, CARTA server (on your own VM)"/>
    <s v="1-5"/>
    <m/>
    <m/>
    <s v="General set up instructions and access to use platform, Support on efficiently managing conda environments, Consultancy on interferometry basics and calibration, Support on data processing software for radio nterferometry"/>
    <m/>
    <s v="Ubuntu 20.04"/>
    <m/>
  </r>
  <r>
    <d v="2022-04-05T13:02:19"/>
    <s v="René Duffard"/>
    <s v="Precise astrometric and photometric resolving of 100k Images"/>
    <m/>
    <s v="René Duffard"/>
    <s v="TNO"/>
    <s v="duffard@iaa.es"/>
    <x v="0"/>
    <x v="0"/>
    <x v="2"/>
    <m/>
    <x v="0"/>
    <x v="1"/>
    <s v="The main objective is to generate the catalogues for all our telescope observations of the last 20 years. We have already started to process all the images we have. Each image will be reduced, calibrated and the information from all sources and all astero"/>
    <s v="April 10th, 2022"/>
    <s v="6 months"/>
    <s v="The deliverables will be a series of papers with the physical parameters extracted along 20 years of observations. "/>
    <s v="Open Science"/>
    <s v="we are evaluating to also extract all the information on the stars present on the images and create a catalogue. "/>
    <m/>
    <m/>
    <m/>
    <m/>
    <x v="14"/>
    <s v="Virtual Machine (VM), default, Remote access for collaborators"/>
    <s v="5-10"/>
    <m/>
    <m/>
    <m/>
    <s v="We need external access to a database inside IAA"/>
    <s v="CentOS 8"/>
    <s v="We will create a catalogue, a text table, with all the information from all sources and all asteroids/TNOs present in the images we have in the last 20 years. The ultimate goal is to be able to reduce the huge number of images we have on our disks to a ca"/>
  </r>
  <r>
    <d v="2022-04-18T12:08:52"/>
    <s v="Ancor Damas Segovia"/>
    <s v="Polarisation studies of HCGs with MeerKAT"/>
    <m/>
    <s v="Ancor Damas Segovia"/>
    <s v="Pol HCGs"/>
    <s v="adamas@mpifr-bonn.mpg.de"/>
    <x v="1"/>
    <x v="1"/>
    <x v="3"/>
    <m/>
    <x v="0"/>
    <x v="1"/>
    <m/>
    <s v="19/04/2022"/>
    <s v="6 months"/>
    <s v="a series of papers"/>
    <s v="Yes, the data used in this study is part of a MeerKAT proposal."/>
    <m/>
    <m/>
    <m/>
    <m/>
    <m/>
    <x v="5"/>
    <s v="Virtual Machine (VM), default, CARTA server (on your own VM), Remote access for collaborators"/>
    <s v="1-5"/>
    <m/>
    <s v="1-5"/>
    <s v="General set up instructions and access to use platform, Advice on Github usage and best practices, Advice on making your project reproducible, Support on the use of containers (singularity, docker, etc.)"/>
    <m/>
    <s v="Ubuntu 20.04"/>
    <m/>
  </r>
  <r>
    <d v="2022-04-18T15:05:43"/>
    <s v="Theresa Wiegert"/>
    <s v="CHANG-ES data reduction"/>
    <m/>
    <s v="Theresa Wiegert"/>
    <s v="NGC 3735"/>
    <s v="twiegert@iaa.es"/>
    <x v="0"/>
    <x v="0"/>
    <x v="1"/>
    <m/>
    <x v="0"/>
    <x v="1"/>
    <s v="The decade old Continuum Halos of Nearby Spiral Galaxies - an EVLA Survey (CHANG-ES) has a legacy of of data products and publications on properties of the faint halos surrounding edge-on galaxies, based on deep VLA observations. The CHANG-ES consortium o"/>
    <s v="ASAP"/>
    <s v="6 months"/>
    <s v="The data reduction products will be included in a data release paper, combining these results with those of other people in the data reduction group (who will work at other institutes, the work being streamlined via biweekly meetings and discussions), and"/>
    <s v="Yes: the data reduction procedure will be following Open Science and reproducibility aims, with codes in a github repository, a detailed data reduction document will accompany the products. We are looking into using Jupyter Notebooks connected with CASA f"/>
    <m/>
    <m/>
    <m/>
    <m/>
    <m/>
    <x v="5"/>
    <s v="Virtual Machine (VM), default, JupyterLab server (on your own VM), CASA"/>
    <s v="1-5"/>
    <m/>
    <m/>
    <s v="General set up instructions and access to use platform, Might need some of the above as time progresses, but not sure at this stage. "/>
    <s v="The OS doesn't really matter, as long as it can run CASA. (which I have used on CentOS before and it officially only lists RHEL8)"/>
    <s v="CentOS 8"/>
    <s v="Faint gas, assembled in &quot;halos&quot; surrounding galaxies, are indicative of processes going on inside and in the environment of these galaxies. The halos are best discerned and observed in galaxies seen edge-in, above and below the disk of the host galaxy. In"/>
  </r>
  <r>
    <d v="2022-04-20T10:23:28"/>
    <s v="Jesús Sánchez"/>
    <s v="Open On Demand (OOD)"/>
    <m/>
    <s v="Jesús Sánchez"/>
    <s v="ood"/>
    <s v="jsanchez@iaa.es"/>
    <x v="0"/>
    <x v="0"/>
    <x v="3"/>
    <m/>
    <x v="0"/>
    <x v="3"/>
    <m/>
    <s v="Today"/>
    <s v="-"/>
    <s v="-"/>
    <s v="Yes"/>
    <m/>
    <m/>
    <m/>
    <m/>
    <m/>
    <x v="11"/>
    <s v="Virtual Machine (VM), default"/>
    <m/>
    <m/>
    <m/>
    <m/>
    <m/>
    <s v="CentOS 8"/>
    <m/>
  </r>
  <r>
    <d v="2022-06-01T13:10:15"/>
    <s v="Bob Watson"/>
    <s v="SRC benchmarking using e-MERLIN"/>
    <m/>
    <s v="Bob Watson"/>
    <s v="eMER-Bench"/>
    <s v="bob.watson@manchester.ac.uk"/>
    <x v="2"/>
    <x v="2"/>
    <x v="3"/>
    <m/>
    <x v="0"/>
    <x v="3"/>
    <s v="Part of the testing of the SKA region center prototypes is based on the processing of data from the SKA precursor arrays, one of which is e-MERLIN. The idea of this is to test all the parts necessary for a SRC to function, authorization, data transfer/sto"/>
    <s v="as soon as possible"/>
    <s v="6 months"/>
    <m/>
    <s v="SPSRC tests with e-MERLIN data: The SKA precursor telescope e-MERLIN can provide real life data to stress test parts of the Spanish prototype SKA region center."/>
    <m/>
    <m/>
    <m/>
    <m/>
    <m/>
    <x v="5"/>
    <s v="Virtual Machine (VM), default"/>
    <s v="1-5"/>
    <m/>
    <s v="1-5"/>
    <s v="General set up instructions and access to use platform, Advice on making your project reproducible, Advice on data management plans"/>
    <s v="Look forward to working with you all"/>
    <s v="Ubuntu 20.04"/>
    <s v="Bench-marking "/>
  </r>
  <r>
    <d v="2022-06-07T19:19:30"/>
    <s v="Matilde Fernandez"/>
    <s v="Differential photometry with LEMON"/>
    <m/>
    <s v="Matilde Fernandez"/>
    <s v="LEMON"/>
    <s v="matilde@iaa.es"/>
    <x v="0"/>
    <x v="0"/>
    <x v="4"/>
    <m/>
    <x v="0"/>
    <x v="1"/>
    <s v="We work with a package of programs that compute the light curves of_x000a_targets that have been observed in time series."/>
    <s v="June 9, 2022"/>
    <s v="4 months"/>
    <s v="The results will be publish in a paper."/>
    <s v="no"/>
    <m/>
    <m/>
    <m/>
    <m/>
    <m/>
    <x v="14"/>
    <s v="Virtual Machine (VM), default, docker should be installed"/>
    <s v="1-5"/>
    <m/>
    <m/>
    <s v="General set up instructions and access to use platform, Support on the use of containers (singularity, docker, etc.)"/>
    <m/>
    <s v="Ubuntu 20.04"/>
    <s v="We work with a package of programs that compute the light curves of_x000a_targets that have been observed in time series. We want to offer this package to other astronomers."/>
  </r>
  <r>
    <d v="2022-06-20T09:14:11"/>
    <s v="David Orozco Suárez"/>
    <s v="3D modelling of the solar corona"/>
    <m/>
    <s v="David Orozco Suárez"/>
    <s v="solar corona"/>
    <s v="orozco@iaa.es"/>
    <x v="0"/>
    <x v="0"/>
    <x v="2"/>
    <m/>
    <x v="0"/>
    <x v="2"/>
    <s v="Studying solar coronal properties from stereoscopic observations is presently a significant _x000a_challenge. Nowadays, solar k-corona observations can be recorder from Earth _x000a_observatories, from SOHO mission using the Lasco instruments and from the Solar Orbit"/>
    <s v="June 2022"/>
    <s v="6 months"/>
    <s v="Fully developed code and publication of initial results on the new approach for dealing with large coronal models"/>
    <s v="All results developed codes will be aligned with Open Science policies"/>
    <m/>
    <m/>
    <m/>
    <m/>
    <m/>
    <x v="14"/>
    <s v="Virtual Machine (VM), default"/>
    <s v="1-5"/>
    <m/>
    <s v="1-5"/>
    <m/>
    <s v="The operative System should be Fedora 36."/>
    <s v="None of the above (describe it at the end)"/>
    <s v="Calculations of the Solar K-coronal images from magnetohydrodinamic simulations."/>
  </r>
  <r>
    <d v="2022-07-06T11:42:32"/>
    <s v="Miguel Pérez Torres"/>
    <m/>
    <m/>
    <s v="Miguel Pérez Torres"/>
    <s v="PLUTOM"/>
    <s v="torres@iaa.es"/>
    <x v="0"/>
    <x v="0"/>
    <x v="0"/>
    <m/>
    <x v="0"/>
    <x v="1"/>
    <s v="Numerical simulations of the exospace weather around the planet Proxima b using the 3D MHD PLUTO code"/>
    <s v="15 July 2022"/>
    <s v="Unknown"/>
    <s v="One refereed paper reporting the space weather conditions around Proxima b, our closest  exoplanet to Earth. "/>
    <s v="Yes. Proxima Centauri will be subject of intense monitoring observations with the SKA as soon as an open call is made to the astronomical community."/>
    <m/>
    <m/>
    <m/>
    <m/>
    <m/>
    <x v="14"/>
    <s v="Virtual Machine (VM), default, Remote access for collaborators"/>
    <s v="1-5"/>
    <s v="1-5"/>
    <m/>
    <s v="General set up instructions and access to use platform"/>
    <m/>
    <s v="Ubuntu 20.04"/>
    <s v="We explore the impact of the stellar wind of the Proxima Centauri star on its nearby planets Proxima b and Proxima d, using the 3D MHD PLUTO code."/>
  </r>
  <r>
    <d v="2022-07-08T09:22:48"/>
    <s v="Jesús Sánchez"/>
    <s v="COR-19: Configure a VM with rucio client and a FTS client, GFAL, oidc-agent (Production Cyan Team)"/>
    <m/>
    <s v="Jesús Sánchez"/>
    <s v="spsrc22t03-rse-rucio"/>
    <s v="jsanchez@iaa.es"/>
    <x v="0"/>
    <x v="0"/>
    <x v="3"/>
    <m/>
    <x v="0"/>
    <x v="3"/>
    <m/>
    <s v="07/2022"/>
    <s v="Permanent"/>
    <m/>
    <s v="Yes"/>
    <m/>
    <m/>
    <m/>
    <m/>
    <m/>
    <x v="15"/>
    <s v="Virtual Machine (VM), default"/>
    <s v="1-5"/>
    <m/>
    <s v="5-10"/>
    <m/>
    <m/>
    <s v="CentOS 8"/>
    <m/>
  </r>
  <r>
    <d v="2022-07-08T09:25:12"/>
    <s v="Jesús Sánchez"/>
    <s v="COR-17 Deploy a local instance of Rucio"/>
    <m/>
    <s v="Jesús Sánchez"/>
    <s v="spsrc22t04-dev-rucio"/>
    <s v="jsanchez@iaa.es"/>
    <x v="0"/>
    <x v="0"/>
    <x v="3"/>
    <m/>
    <x v="0"/>
    <x v="3"/>
    <m/>
    <s v="07/2022"/>
    <s v="Permanent"/>
    <m/>
    <s v="Yes"/>
    <m/>
    <m/>
    <m/>
    <m/>
    <m/>
    <x v="15"/>
    <s v="Virtual Machine (VM), default"/>
    <s v="1-5"/>
    <m/>
    <s v="5-10"/>
    <m/>
    <m/>
    <s v="CentOS 8"/>
    <m/>
  </r>
  <r>
    <d v="2022-08-05T08:17:19"/>
    <s v="Manuel Parra"/>
    <s v="Science Platform for Tangerine"/>
    <m/>
    <s v="Manuel Parra"/>
    <s v="SRCNet Tangerine"/>
    <s v="mparra@iaa.es"/>
    <x v="0"/>
    <x v="0"/>
    <x v="3"/>
    <m/>
    <x v="0"/>
    <x v="3"/>
    <s v="For the development of the prototypes proposed by SKAO, different teams are working on a set of prototypes fundamental to SKA science. In this context one of the groups, called Tangerine team, is working on the deployment of different science platforms as"/>
    <s v="09 Aug 2022"/>
    <s v="2 months"/>
    <s v="No expected deliverables. "/>
    <s v="Yes, is related to SKA science platform and the SRCNet."/>
    <m/>
    <m/>
    <m/>
    <m/>
    <m/>
    <x v="11"/>
    <s v="Virtual Machine (VM), default, Remote access for collaborators"/>
    <s v="1-5"/>
    <s v="1-5"/>
    <s v="5-10"/>
    <s v="General set up instructions and access to use platform"/>
    <s v="Users that are created must have the ability to change settings that could be associated with an account with administrator privileges."/>
    <s v="Ubuntu 20.04"/>
    <s v="Tangerine Team is one of the teams working on the development and implementation of a science platform for the future SKA telescope. In this development process they require testing a large set of science platforms and selecting a subset that approximates"/>
  </r>
  <r>
    <d v="2022-08-16T14:01:24"/>
    <s v="Manuel Parra, Jesus Sanchez"/>
    <s v="Tangerine Team Request (SRC)"/>
    <m/>
    <s v="Manuel Parra, Jesus Sanchez"/>
    <s v="srcnet-tangerine"/>
    <s v="jsanchez@iaa.es"/>
    <x v="0"/>
    <x v="0"/>
    <x v="3"/>
    <m/>
    <x v="0"/>
    <x v="3"/>
    <m/>
    <s v="ASAP"/>
    <m/>
    <m/>
    <s v="Yes"/>
    <s v="3 VM for this project"/>
    <m/>
    <m/>
    <m/>
    <m/>
    <x v="15"/>
    <s v="Virtual Machine (VM), default"/>
    <s v="1-5"/>
    <s v="1-5"/>
    <s v="1-5"/>
    <m/>
    <m/>
    <s v="Ubuntu 20.04"/>
    <m/>
  </r>
  <r>
    <d v="2022-09-13T18:42:51"/>
    <s v="Gemma Busquet"/>
    <s v="Grain growth in protoplanetary disks in Oph A cluster"/>
    <m/>
    <s v="Gemma Busquet"/>
    <s v="OphA-disks"/>
    <s v="gbusquet@fqa.ub.edu"/>
    <x v="3"/>
    <x v="1"/>
    <x v="3"/>
    <m/>
    <x v="0"/>
    <x v="1"/>
    <s v="Grain growth in protoplanetary disks is a crucial process in planet formation, but it is still poorly understood. The lack of a representative sample of observations of disks at centimeter wavelengths is a significant barrier, and prevents us from investi"/>
    <s v="If possible on September 19, 2023 but we understand that it may take longer to approve and accommodate the project. In that case, any time in September or early October can work."/>
    <s v="1 year"/>
    <s v="The project is expected to provide ~2-3 papers based on VLA observations. Observational data will be, however, confronted with models and simulations, which will potentially deliver ~2 additional papers. _x000a_Fits images will be available to the entire commun"/>
    <s v="Yes, the VLA project is part of the &quot;Cradle of Life&quot; SWG of SKA, representing a pilot study of the region and the precursor of the Key Science project for SKA. In addition of including SKA band 5 observations, the VLA project spans up to 7mm, complementin"/>
    <m/>
    <m/>
    <m/>
    <m/>
    <m/>
    <x v="16"/>
    <s v="Virtual Machine (VM), default, JupyterLab server (on your own VM), CARTA server (on your own VM), Remote access for collaborators, We would also need the GILDAS package (from IRAM)"/>
    <m/>
    <s v="1-5"/>
    <s v="1-5"/>
    <s v="General set up instructions and access to use platform, Support on efficiently managing conda environments, Advice on data management plans, Support on the use of containers (singularity, docker, etc.), Support on data processing software for radio interf"/>
    <m/>
    <s v="Ubuntu 20.04"/>
    <s v="The Ophiuchus A cluster is one of the closest and densest clustered star-forming region that harbour several Young Stellar Objects in different evolutionary stages but sharing the same birth environment. _x000a_The aim of this project is to constrain when the p"/>
  </r>
  <r>
    <d v="2022-11-02T08:46:58"/>
    <s v="Manuel Parra &amp; Jesús Sánchez"/>
    <s v="Coral Team Tasks "/>
    <m/>
    <s v="Manuel Parra &amp; Jesús Sánchez"/>
    <s v="Rancher&amp;Harbor&amp;kubernetes"/>
    <s v="jsanchez@iaa.es"/>
    <x v="0"/>
    <x v="0"/>
    <x v="3"/>
    <m/>
    <x v="0"/>
    <x v="3"/>
    <m/>
    <s v="As soon as posible"/>
    <s v="1 year"/>
    <m/>
    <s v="SKA"/>
    <m/>
    <m/>
    <m/>
    <m/>
    <m/>
    <x v="15"/>
    <s v="Virtual Machine (VM), default"/>
    <s v="1-5"/>
    <s v="1-5"/>
    <s v="1-5"/>
    <m/>
    <s v="This vms are for test the deployment and the functionality of this tools"/>
    <s v="None of the above (describe it at the end)"/>
    <m/>
  </r>
  <r>
    <d v="2022-11-07T14:03:18"/>
    <s v="Ancor Damas Segovia"/>
    <s v="Polarisation studies of HCGs with MeerKAT"/>
    <m/>
    <s v="Ancor Damas Segovia"/>
    <s v="Pol HCGs"/>
    <s v="adamas@mpifr-bonn.mpg.de"/>
    <x v="1"/>
    <x v="1"/>
    <x v="3"/>
    <m/>
    <x v="0"/>
    <x v="1"/>
    <m/>
    <s v="8.11.2022"/>
    <s v="6 months"/>
    <s v="a series of papers"/>
    <s v="Yes, the data used in this study is part of a MeerKAT proposal."/>
    <m/>
    <m/>
    <m/>
    <m/>
    <m/>
    <x v="1"/>
    <s v="Virtual Machine (VM), default, JupyterLab server (on your own VM), CARTA server (on your own VM), Remote access for collaborators"/>
    <s v="5-10"/>
    <m/>
    <s v="1-5"/>
    <s v="General set up instructions and access to use platform, Advice on Github usage and best practices, Advice on making your project reproducible, Support on the use of containers (singularity, docker, etc.)"/>
    <m/>
    <s v="Ubuntu 20.04"/>
    <m/>
  </r>
  <r>
    <d v="2022-11-14T14:57:03"/>
    <s v="Rohan Dahale"/>
    <s v="Study of relativistic jets using VLBI data from MOJAVE and BEAM-ME programs"/>
    <m/>
    <s v="Rohan Dahale"/>
    <s v="Comrade"/>
    <s v="rdahale@iaa.es"/>
    <x v="0"/>
    <x v="0"/>
    <x v="0"/>
    <m/>
    <x v="0"/>
    <x v="1"/>
    <s v="Embargo"/>
    <s v="15 November 2022"/>
    <s v="6 months"/>
    <s v="1-3 research papers in peer reviewed high impact factor journals."/>
    <s v="Open Science"/>
    <m/>
    <m/>
    <m/>
    <m/>
    <m/>
    <x v="11"/>
    <s v="Virtual Machine (VM), default"/>
    <s v="1-5"/>
    <m/>
    <m/>
    <s v="General set up instructions and access to use platform"/>
    <m/>
    <s v="Ubuntu 20.04"/>
    <s v="Embargo"/>
  </r>
  <r>
    <d v="2022-12-12T10:59:02"/>
    <s v="Aurelia Teresa Gallego Calvente"/>
    <s v="Imaging the infall in the L1287 &quot;Guitar&quot; star-forming core"/>
    <m/>
    <s v="Aurelia Teresa Gallego Calvente"/>
    <s v="Guitar"/>
    <s v="gallego@iaa.es"/>
    <x v="0"/>
    <x v="0"/>
    <x v="0"/>
    <m/>
    <x v="0"/>
    <x v="1"/>
    <s v="The protostellar infall that should characterise the star-formation process has been extensively, but almost exclusively, studied on the basis of asymmetries in molecular line profiles. However, these are signatures based on the overall emission of the so"/>
    <s v="As soon as possible"/>
    <s v="2 years"/>
    <s v="At least two papers are expected. The main milestones for the project are: 1) To confirm the presence of the central blue spot signature, a new infall signature introduced by Mayen-Gijon et al. (2014); 2) To study the full kinematics of the Guitar core; 3"/>
    <s v="Yes. For example, the new infall signature named the &quot;central blue spot&quot; that we want to establish, is simple to obtain because does not require an &quot;a priori&quot; very precise determination of the systemic velocity, and does not present the ambiguities inhere"/>
    <m/>
    <m/>
    <m/>
    <m/>
    <m/>
    <x v="1"/>
    <s v="Virtual Machine (VM), default, Remote access for collaborators"/>
    <s v="1-5"/>
    <s v="5-10"/>
    <s v="1-5"/>
    <s v="General set up instructions and access to use platform"/>
    <s v="- "/>
    <s v="Ubuntu 20.04"/>
    <s v="We study the dense gas of the molecular cloud LDN 1287 (L1287), which harbours a double FU Ori system, an energetic molecular outflow, and a still-forming cluster of deeply embedded low-mass young stellar objects that show a high level of fragmentation."/>
  </r>
  <r>
    <d v="2023-01-24T11:59:00"/>
    <s v="Manuel Parra &amp; Jesus Sanchez"/>
    <s v="Deployment of CADC- SI"/>
    <m/>
    <s v="Manuel Parra &amp; Jesus Sanchez"/>
    <s v="CADC-SI"/>
    <s v="jsanchez@iaa.es"/>
    <x v="0"/>
    <x v="0"/>
    <x v="3"/>
    <m/>
    <x v="0"/>
    <x v="3"/>
    <m/>
    <s v="ASAP"/>
    <s v="1 year"/>
    <s v=" specific development"/>
    <s v="yes"/>
    <m/>
    <m/>
    <m/>
    <m/>
    <m/>
    <x v="15"/>
    <s v="Virtual Machine (VM), default"/>
    <s v="1-5"/>
    <s v="1-5"/>
    <m/>
    <m/>
    <m/>
    <s v="Ubuntu 20.04"/>
    <m/>
  </r>
  <r>
    <d v="2023-01-24T12:07:38"/>
    <s v="Manuel Parra &amp; Jesus Sanchez"/>
    <s v="Deploy a new kubernetes cluster to test the federation"/>
    <m/>
    <s v="Manuel Parra &amp; Jesus Sanchez"/>
    <s v="k8s-01"/>
    <s v="jsanchez@iaa.es"/>
    <x v="0"/>
    <x v="0"/>
    <x v="3"/>
    <m/>
    <x v="0"/>
    <x v="3"/>
    <m/>
    <s v="ASAP"/>
    <s v="1 year"/>
    <s v="Specific development"/>
    <s v="yes"/>
    <m/>
    <m/>
    <m/>
    <m/>
    <m/>
    <x v="0"/>
    <s v="Virtual Machine (VM), default"/>
    <s v="1-5"/>
    <s v="1-5"/>
    <m/>
    <m/>
    <m/>
    <s v="CentOS 7"/>
    <m/>
  </r>
  <r>
    <d v="2023-01-24T12:10:42"/>
    <s v="Kelly Hess"/>
    <s v="Carta Server for Weave"/>
    <m/>
    <s v="Kelly Hess"/>
    <s v="spsrc23d01-weave-cs"/>
    <s v="hess@iaa.es"/>
    <x v="0"/>
    <x v="0"/>
    <x v="1"/>
    <m/>
    <x v="0"/>
    <x v="1"/>
    <m/>
    <s v="ASAP"/>
    <s v="6 months"/>
    <m/>
    <s v="no"/>
    <m/>
    <m/>
    <m/>
    <m/>
    <m/>
    <x v="14"/>
    <s v="Virtual Machine (VM), default, CARTA server (on your own VM)"/>
    <s v="1-5"/>
    <s v="1-5"/>
    <m/>
    <m/>
    <m/>
    <s v="Ubuntu 20.04"/>
    <m/>
  </r>
  <r>
    <d v="2023-01-26T14:15:17"/>
    <s v="Manuel Parra &amp; Jesus Sanchez"/>
    <s v="Test VisIVO docker image"/>
    <m/>
    <s v="Manuel Parra &amp; Jesus Sanchez"/>
    <s v="VisIVO test"/>
    <s v="jsanchez@iaa.es"/>
    <x v="0"/>
    <x v="0"/>
    <x v="3"/>
    <m/>
    <x v="0"/>
    <x v="3"/>
    <m/>
    <m/>
    <m/>
    <s v="Specific Development"/>
    <s v="Yes"/>
    <m/>
    <m/>
    <m/>
    <m/>
    <m/>
    <x v="15"/>
    <s v="Virtual Machine (VM), default, docker"/>
    <s v="1-5"/>
    <s v="1-5"/>
    <s v="1-5"/>
    <m/>
    <m/>
    <s v="Ubuntu 20.04"/>
    <m/>
  </r>
  <r>
    <d v="2023-01-31T09:56:56"/>
    <s v="Manuel Parra &amp; Jesus Sanchez"/>
    <s v="Slurm Cluster"/>
    <m/>
    <s v="Manuel Parra &amp; Jesus Sanchez"/>
    <s v="slurm cluster"/>
    <s v="jsanchez@iaa.es"/>
    <x v="0"/>
    <x v="0"/>
    <x v="3"/>
    <m/>
    <x v="0"/>
    <x v="3"/>
    <m/>
    <m/>
    <m/>
    <m/>
    <s v="yes"/>
    <m/>
    <m/>
    <m/>
    <m/>
    <m/>
    <x v="15"/>
    <s v="Virtual Machine (VM), default"/>
    <s v="1-5"/>
    <s v="1-5"/>
    <s v="1-5"/>
    <s v="General set up instructions and access to use platform"/>
    <s v="4 vm (2 with c2m4 y 2 with c4m8)"/>
    <s v="CentOS 7"/>
    <m/>
  </r>
  <r>
    <d v="2023-02-01T10:24:32"/>
    <s v="Manuel Parra &amp; Jesus Sanchez"/>
    <s v="Entrypoint-04"/>
    <m/>
    <s v="Manuel Parra &amp; Jesus Sanchez"/>
    <s v="Entrypoint-04"/>
    <s v="jsanchez@iaa.es"/>
    <x v="0"/>
    <x v="0"/>
    <x v="3"/>
    <m/>
    <x v="0"/>
    <x v="3"/>
    <m/>
    <m/>
    <m/>
    <m/>
    <s v="yes"/>
    <m/>
    <m/>
    <m/>
    <m/>
    <m/>
    <x v="15"/>
    <s v="Virtual Machine (VM), default"/>
    <s v="1-5"/>
    <m/>
    <m/>
    <m/>
    <m/>
    <s v="Ubuntu 20.04"/>
    <m/>
  </r>
  <r>
    <d v="2023-03-10T17:10:24"/>
    <s v="Javier Moldón"/>
    <s v=" The first radio detection of a SN Ia CSM"/>
    <m/>
    <s v="Javier Moldón"/>
    <s v="sn-ia"/>
    <s v="jmoldon@iaa.es"/>
    <x v="0"/>
    <x v="0"/>
    <x v="1"/>
    <m/>
    <x v="0"/>
    <x v="1"/>
    <s v="Type Ia-CSM are a rare subclass of thermonuclear supernovae that strongly interact with its_x000a_circumstellar medium (CSM). Type Ia-CSM are strong candidates for the single-degenerate_x000a_SN Ia channel. SN 2020eyj is a unique SN Ia showing delayed interaction wit"/>
    <s v="as soon as possible"/>
    <s v="6 months"/>
    <s v="Nature paper, and at least a A&amp;A follow up"/>
    <s v="It uses 1 SKA precursor (MeerKAT) and different SKA pathfinders: e-MERLIN, VLA, GMRT"/>
    <m/>
    <m/>
    <m/>
    <m/>
    <m/>
    <x v="1"/>
    <s v="Virtual Machine (VM), default, CARTA server (on your own VM), Remote access for collaborators"/>
    <s v="1-5"/>
    <m/>
    <m/>
    <s v="General set up instructions and access to use platform, Support on efficiently managing conda environments, Advice on Github usage and best practices, Advice on making your project reproducible, Advice on data management plans, Support on the use of conta"/>
    <m/>
    <s v="Ubuntu 20.04"/>
    <s v="We have unveiled the first-ever radio detection of a thermonuclear supernovae of the type SN Ia-CSM from SN 2020eyj. We aim to characterize how this emission is evolving with time to better characterize the physical processes of this unique system."/>
  </r>
  <r>
    <d v="2023-03-16T08:26:47"/>
    <s v="Jesus Sanchez"/>
    <s v="Storage Inventory Global Site"/>
    <m/>
    <s v="Jesus Sanchez"/>
    <s v="si-global"/>
    <s v="jsanchez@iaa.es"/>
    <x v="0"/>
    <x v="0"/>
    <x v="3"/>
    <m/>
    <x v="0"/>
    <x v="3"/>
    <s v="SI Global site - Request and Deploy Computing and Storage Requirements for Global SI. SWESRC/SPSRC"/>
    <s v="Today"/>
    <m/>
    <m/>
    <s v="Yes"/>
    <m/>
    <m/>
    <m/>
    <m/>
    <m/>
    <x v="1"/>
    <s v="Virtual Machine (VM), default"/>
    <s v="1-5"/>
    <m/>
    <s v="5-10"/>
    <m/>
    <m/>
    <s v="Ubuntu 20.04"/>
    <m/>
  </r>
  <r>
    <d v="2023-03-17T18:39:34"/>
    <s v="Gabriella Gilli"/>
    <s v="Variability of Venus upper atmosphere (ViVa) in 3D - support for EnVIsion mission and natural laboratory for Venus-analogue exoplanets characterization"/>
    <m/>
    <s v="Gabriella Gilli"/>
    <s v="ViVa"/>
    <s v="gilli@iaa.es"/>
    <x v="0"/>
    <x v="0"/>
    <x v="2"/>
    <m/>
    <x v="0"/>
    <x v="1"/>
    <s v="The planetary exploration and research with a comparative planetology focus, have played an important role in our understanding of climate on Earth and they offer an additional point of view on the climatic variation. Future NASA and ESA missions to Venus"/>
    <s v="20/03/2023"/>
    <s v="4 years"/>
    <s v="Papers: 1. Paper on the analysis of the variability of gas tracers using the full ground-to-thermosphere Venus-Planet Climate Model (PCM) 2. Paper on the impact of the variation of the obliquity of the orbit on the escape of Hydrogen from the Mars atmosph"/>
    <s v="The results of the project  will contribute to improve the Venus PCM and Mars PCM, that are part of the Planetary Climates Database projects (the http://www-planets.lmd.jussieu.fr), in particular to provide inputs for to the Venus Climate Database project"/>
    <m/>
    <m/>
    <m/>
    <m/>
    <m/>
    <x v="1"/>
    <s v="Virtual Machine (VM), default, JupyterLab server (on your own VM), Remote access for collaborators"/>
    <s v="1-5"/>
    <m/>
    <s v="1-5"/>
    <s v="General set up instructions and access to use platform, Support on efficiently managing conda environments"/>
    <m/>
    <s v="Ubuntu 20.04"/>
    <s v="the abstract above can be used as &quot;social abstract&quot; too"/>
  </r>
  <r>
    <d v="2023-03-20T13:48:21"/>
    <s v="Marta Puig-Subirà"/>
    <s v="Multiface outflows in LINERs  connecting supermassive black holes and their host galaxies"/>
    <m/>
    <s v="Marta Puig-Subirà"/>
    <s v="Jetted LINERs"/>
    <s v="mpuig@iaa.es"/>
    <x v="0"/>
    <x v="0"/>
    <x v="1"/>
    <m/>
    <x v="0"/>
    <x v="1"/>
    <s v="The connection between supermassive black holes (SMBHs) and their host galaxies is an active field with implications for galaxy evolution. In particular, outflows produced by Active Galactic Nuclei (AGNs) and intense episodes of star formation (SF) may pl"/>
    <s v="Over the first semester of 2023"/>
    <s v="3 years"/>
    <s v="A series of papers (at least 3) and a possible collaboration with the LeMMINGs group. "/>
    <m/>
    <m/>
    <m/>
    <m/>
    <m/>
    <m/>
    <x v="0"/>
    <s v="Virtual Machine (VM), default"/>
    <s v="1-5"/>
    <m/>
    <m/>
    <m/>
    <m/>
    <s v="Ubuntu 20.04"/>
    <s v="The connection between supermassive black holes (SMBHs) and their host galaxies is an active field with implications for galaxy evolution. In particular, outflows produced by Active Galactic Nuclei (AGNs) and intense episodes of star formation (SF) may pl"/>
  </r>
  <r>
    <d v="2023-06-20T08:47:48"/>
    <s v="Jesus Sanchez"/>
    <s v="Website for ska-spain"/>
    <m/>
    <s v="Jesus Sanchez"/>
    <s v="spsrc23d01-ska-spain-web"/>
    <s v="jsanchez@iaa.es"/>
    <x v="0"/>
    <x v="0"/>
    <x v="3"/>
    <m/>
    <x v="0"/>
    <x v="3"/>
    <s v="spsrc23d01-ska-spain-web"/>
    <m/>
    <m/>
    <s v="none"/>
    <s v="Yes"/>
    <m/>
    <m/>
    <m/>
    <m/>
    <m/>
    <x v="0"/>
    <s v="Virtual Machine (VM), default"/>
    <s v="1-5"/>
    <m/>
    <s v="1-5"/>
    <m/>
    <m/>
    <s v="Ubuntu 20.04"/>
    <s v="Spain Skao website"/>
  </r>
  <r>
    <d v="2023-06-20T08:50:02"/>
    <s v="Jesus Sanchez"/>
    <s v="Metadata Database Service"/>
    <m/>
    <s v="Jesus Sanchez"/>
    <s v="spsrc-si-global-metadata-metadata"/>
    <s v="jsanchez@iaa.es"/>
    <x v="0"/>
    <x v="0"/>
    <x v="3"/>
    <m/>
    <x v="0"/>
    <x v="3"/>
    <s v="CADC Storage Inventory Global Site metadata database"/>
    <m/>
    <m/>
    <s v="Support metadata database service for SI"/>
    <s v="yes"/>
    <m/>
    <m/>
    <m/>
    <m/>
    <m/>
    <x v="0"/>
    <s v="Virtual Machine (VM), default"/>
    <s v="1-5"/>
    <m/>
    <s v="1-5"/>
    <m/>
    <m/>
    <m/>
    <s v="spsrc-si-global-metadata-metadata"/>
  </r>
  <r>
    <d v="2023-06-20T08:51:33"/>
    <s v="Jesus Sanchez"/>
    <s v="Entrypoint-05"/>
    <m/>
    <s v="Jesus Sanchez"/>
    <s v="entrypoint-05"/>
    <s v="jsanchez@iaa.es"/>
    <x v="0"/>
    <x v="0"/>
    <x v="3"/>
    <m/>
    <x v="0"/>
    <x v="3"/>
    <s v="Infra support"/>
    <m/>
    <m/>
    <s v="Infra Support"/>
    <s v="No"/>
    <m/>
    <m/>
    <m/>
    <m/>
    <m/>
    <x v="0"/>
    <s v="Virtual Machine (VM), default"/>
    <s v="1-5"/>
    <m/>
    <m/>
    <m/>
    <m/>
    <m/>
    <s v="None"/>
  </r>
  <r>
    <d v="2023-06-20T09:10:33"/>
    <s v="Manuel Parra"/>
    <s v="PySnacks2023"/>
    <m/>
    <s v="Manuel Parra"/>
    <s v="PySnacks2023"/>
    <s v="mparra@iaa.es"/>
    <x v="0"/>
    <x v="0"/>
    <x v="3"/>
    <m/>
    <x v="0"/>
    <x v="0"/>
    <s v="PySnacks2023"/>
    <m/>
    <s v="2 days"/>
    <s v="PySnacks2023"/>
    <s v="Yes"/>
    <m/>
    <m/>
    <m/>
    <m/>
    <m/>
    <x v="0"/>
    <s v="Virtual Machine (VM), default"/>
    <s v="1-5"/>
    <m/>
    <s v="5-10"/>
    <m/>
    <m/>
    <s v="Ubuntu 20.04"/>
    <s v="PySnacks2023"/>
  </r>
  <r>
    <d v="2023-07-11T10:53:17"/>
    <s v="Manu&amp;Jesus"/>
    <s v="spsrc-cluster"/>
    <m/>
    <s v="Manu&amp;Jesus"/>
    <s v="spsrc23d04-rancher"/>
    <s v="jsanchez@iaa.es"/>
    <x v="0"/>
    <x v="0"/>
    <x v="3"/>
    <m/>
    <x v="0"/>
    <x v="3"/>
    <s v="rancher-cluster"/>
    <s v="ASAP"/>
    <m/>
    <s v="New kubernetes cluster"/>
    <s v="yes"/>
    <m/>
    <m/>
    <m/>
    <m/>
    <m/>
    <x v="0"/>
    <s v="Virtual Machine (VM), default"/>
    <s v="5-10"/>
    <m/>
    <m/>
    <m/>
    <s v="The project has 4 vm (1 vm for rancher and 3 worker nodes)"/>
    <s v="Ubuntu 20.04"/>
    <s v="rancher-cluster"/>
  </r>
  <r>
    <d v="2023-09-07T12:08:02"/>
    <s v="JS &amp; MP"/>
    <s v="Network Tests with Perfsonar"/>
    <m/>
    <s v="JS &amp; MP"/>
    <s v="perfSONAR"/>
    <s v="jsanchez@iaa.es"/>
    <x v="0"/>
    <x v="0"/>
    <x v="1"/>
    <m/>
    <x v="0"/>
    <x v="2"/>
    <s v="Network tests with perfSONAR for SRCNet"/>
    <s v="ASAP"/>
    <s v="1 year"/>
    <s v="knowledge on how to improve networks to be transferred to the SRCNet."/>
    <s v="Yes"/>
    <m/>
    <m/>
    <m/>
    <m/>
    <m/>
    <x v="11"/>
    <s v="Virtual Machine (VM), default, Remote access for collaborators"/>
    <s v="1-5"/>
    <s v="1-5"/>
    <s v="1-5"/>
    <m/>
    <m/>
    <s v="Ubuntu 20.04"/>
    <s v="Network tests with perfSONAR for SRCNet"/>
  </r>
  <r>
    <d v="2023-10-11T08:57:25"/>
    <s v="Manuel Parra &amp;&amp; Jesus Sanchez"/>
    <s v="COR-426 ESP - Configure harbour with IAM"/>
    <m/>
    <s v="Manuel Parra &amp;&amp; Jesus Sanchez"/>
    <s v="harbor"/>
    <s v="jsanchez@iaa.es"/>
    <x v="0"/>
    <x v="0"/>
    <x v="3"/>
    <m/>
    <x v="0"/>
    <x v="3"/>
    <s v="COR-426 ESP - Configure harbour with IAM"/>
    <s v="ASAP"/>
    <s v="-"/>
    <s v="Specific Development"/>
    <s v="yes"/>
    <m/>
    <m/>
    <m/>
    <m/>
    <m/>
    <x v="0"/>
    <s v="Virtual Machine (VM), default"/>
    <s v="1-5"/>
    <m/>
    <s v="1-5"/>
    <m/>
    <m/>
    <s v="Ubuntu 20.04"/>
    <s v="None"/>
  </r>
  <r>
    <d v="2023-12-22T15:30:19"/>
    <s v="Clara Cabanillas / Angela Gardini"/>
    <s v="Analysing the Unveiled Radio Origins of Rapid Astronomical Sources"/>
    <m/>
    <s v="Clara Cabanillas / Angela Gardini"/>
    <s v="AURORAS"/>
    <s v="clarac@iaa.es / gardini@iaa.es"/>
    <x v="0"/>
    <x v="0"/>
    <x v="1"/>
    <m/>
    <x v="0"/>
    <x v="1"/>
    <s v="MaRaGra (Master de Radioastronomía de Granada) was born from the desire to promote the interest of graduate students in radioastronomy. Educational at its core, it was created by researchers as a project for former students from the Radioastronomy course "/>
    <s v="As soon as possible. We already have data from the ALMA Archive to process and have applied for MeerKAT archival data."/>
    <s v="1 year"/>
    <s v="Expected deliverables: _x000a_- Archival and processed data along with the employed parameters to make it reproducible_x000a_- Repository of code and procedures to recreate the analysis._x000a_- A paper with the analysis/re-analysis of ALMA and MeerKAT archival data (some "/>
    <s v="Our project is intended to follow the principles of Open Science. Our goal is to make it accessible to as many people as possible, whether within the scientific or academic community. With this in mind, we wish to make our analysis tools, data and results"/>
    <s v="The project is at the core, educational. The main aim is to promote the interest in radioastronomy among students, and to learn the techniques required for a successful career in this field. A long period of time has been requested not to interfere with t"/>
    <m/>
    <m/>
    <m/>
    <m/>
    <x v="16"/>
    <s v="Virtual Machine (VM), default, JupyterLab server (on your own VM), CARTA server (on your own VM)"/>
    <s v="1-5"/>
    <s v="1-5"/>
    <s v="1-5"/>
    <s v="General set up instructions and access to use platform, Advice on Github usage and best practices, Advice on making your project reproducible"/>
    <m/>
    <s v="Ubuntu 20.04"/>
    <s v="As part of MaRaGra, stemming from the multidisciplinary nature of our group and its origin in the radioastronomy course of the Fisica y Matematica master’s program, our ambition is to extend the social reach of our research and educational efforts. Whethe"/>
  </r>
  <r>
    <d v="2024-01-30T13:27:13"/>
    <s v="Jesus Sanchez&amp;&amp;Manuel Parra"/>
    <s v="Ted4Ska"/>
    <m/>
    <s v="Jesus Sanchez&amp;&amp;Manuel Parra"/>
    <s v="Ted4Ska"/>
    <s v="jsanchez@iaa.es"/>
    <x v="0"/>
    <x v="0"/>
    <x v="1"/>
    <m/>
    <x v="0"/>
    <x v="1"/>
    <s v="none"/>
    <s v="ASAP"/>
    <s v="1 year"/>
    <s v="Temperature and energy consumption metrics "/>
    <s v="Yes"/>
    <m/>
    <m/>
    <m/>
    <m/>
    <m/>
    <x v="0"/>
    <s v="Virtual Machine (VM), default, Remote access for collaborators"/>
    <s v="1-5"/>
    <s v="1-5"/>
    <m/>
    <m/>
    <m/>
    <s v="None of the above (describe it at the end)"/>
    <s v="none"/>
  </r>
  <r>
    <d v="2024-02-07T12:08:34"/>
    <s v="Jose Francisco Gomez"/>
    <s v="New analysis of ALMA data in W75N"/>
    <s v="ALMA data in W75N"/>
    <s v="Jose Francisco Gomez"/>
    <s v="ALMA-W75N-new"/>
    <s v="jfg@iaa.es"/>
    <x v="0"/>
    <x v="0"/>
    <x v="0"/>
    <s v="Star and planet formation and evolution"/>
    <x v="1"/>
    <x v="1"/>
    <s v="During 2023 we calibrated, reduced and analyzed ALMA observations of the massive star-forming region W75N(B). All this data processing was carried out with the computing facilities of the SPSRC (virtual machine spscr20.iaa.csic.es, slack channel spscr2112"/>
    <s v="ASAP"/>
    <s v="6 months"/>
    <s v="One additional paper, in addition to the one that we already published"/>
    <s v="SKA will complement ALMA data on mass-loss processes. Probably not in this region, given its northern position, but in similar regions."/>
    <s v="calibrated data are already in the SPSRC servers, as mentioned in the abstract"/>
    <m/>
    <m/>
    <m/>
    <m/>
    <x v="13"/>
    <s v="Virtual Machine (VM), default"/>
    <s v="1-5"/>
    <s v="1-5"/>
    <m/>
    <s v="General set up instructions and access to use platform"/>
    <m/>
    <s v="Ubuntu 20.04"/>
    <s v="The way in which high-mass stars (more than 8 times heavier than the sun) are born is still unclear. In some cases they seem to form in a similar way as stars like our Sun. In other cases, different processes are at work. We use data from the Atacama Larg"/>
  </r>
  <r>
    <d v="2024-02-12T11:11:32"/>
    <s v="Jose Francisco Gomez"/>
    <s v="Follow-up of water fountains monitored in the FLASHING program"/>
    <s v="Water fountains monitored in FLASHING"/>
    <s v="José Francisco Gomez"/>
    <s v="FLASHING"/>
    <s v="jfg@iaa.es"/>
    <x v="0"/>
    <x v="0"/>
    <x v="0"/>
    <s v="Star and planet formation and evolution"/>
    <x v="2"/>
    <x v="1"/>
    <s v="The mechanism to shape a planetary nebula (PN) remains unexplained although the transition from an AGB to post-AGB star has been expected at the same time and intensively explored. Water fountains (WFs) are objects in such a transitional state, and thus m"/>
    <s v="as soon as possible"/>
    <s v="1 year"/>
    <s v="Deliverables: a series of paper._x000a__x000a_Milestones:_x000a_- Mapping the SiO masers with ATCA, previously detected with Nobeyama in IRAS 16552−3050_x000a_- Spectral evolution of SiO masers in OH16.3-3.0: a) Periodicity of SiO/H2O masers. b) ATCA follow-up mapping._x000a_- Evoluti"/>
    <s v="Maser science in evolved stars is expected to be part of the SKA (mainly for hydroxyl masers). The FLASHING sources will be also covered in hydroxyl with our GASKAP project (key project of ASKAP). Regarding open science, we plan to make openly available o"/>
    <s v="Our project is not specially demanding regarding computing facilities. We request SPSRC services because our collaborators at U. Guanajuato (PI: Lucero Uscanga) do not have, at this poing, access to a modern computer that can reliable run CASA. They will "/>
    <m/>
    <m/>
    <m/>
    <m/>
    <x v="5"/>
    <s v="Virtual Machine (VM), default, CARTA server (on your own VM)"/>
    <s v="1-5"/>
    <m/>
    <s v="1-5"/>
    <s v="General set up instructions and access to use platform, Advice on data management plans"/>
    <m/>
    <s v="Ubuntu 20.04"/>
    <s v="Our sun will end its life as a planetary nebula, which is a type of astronomical objects showing spectacular morphologies, some resembling butterflies, necklaces, or animal eyes. In this projectl, we study objects just making the transition from being sph"/>
  </r>
  <r>
    <d v="2024-02-16T12:14:45"/>
    <s v="Javier Moldon"/>
    <s v="Bayesian fitting framework for synchrotron processes "/>
    <s v="Bayesian fitting framework for synchrotron processes "/>
    <s v="Javier Moldon"/>
    <s v="synchrotron"/>
    <s v="jmoldon@iaa.es"/>
    <x v="0"/>
    <x v="0"/>
    <x v="1"/>
    <m/>
    <x v="0"/>
    <x v="1"/>
    <s v="This is a project with a JAE Intro Student to extract physical parameters from extragalactic synchrotron sources by developing a generic code to fit SED at radiowavelengths using a Bayesian nested sampling method. This will be applied to several tpyes of "/>
    <s v="ASAP"/>
    <s v="5 months"/>
    <s v="Github code with the fitting procedures. At least one publication where the code is applied"/>
    <s v="It will develop an open-source code and will be applied to SKA pathfinders and precursors data"/>
    <m/>
    <m/>
    <m/>
    <m/>
    <m/>
    <x v="17"/>
    <s v="Virtual Machine (VM), default, JupyterHub server, JupyterLab server (on your own VM), Remote access for collaborators"/>
    <s v="1-5"/>
    <m/>
    <m/>
    <s v="General set up instructions and access to use platform, Support on efficiently managing conda environments, Advice on Github usage and best practices, Advice on making your project reproducible, Advice on data management plans, Support on the use of conta"/>
    <m/>
    <s v="Ubuntu 20.04"/>
    <s v="This is a project with a JAE Intro Student to extract physical parameters from extragalactic synchrotron sources by developing a generic code to fit SED at radiowavelengths using a Bayesian nested sampling method. This will be applied to several tpyes of "/>
  </r>
  <r>
    <d v="2024-02-27T08:38:02"/>
    <s v="Jesús Sánchez"/>
    <s v="Gitlab local instance"/>
    <s v="espsrc-gitlab-service"/>
    <s v="Jesús Sánchez"/>
    <s v="espsrc-gitlab-service"/>
    <s v="jsanchez@iaa.es"/>
    <x v="0"/>
    <x v="0"/>
    <x v="3"/>
    <m/>
    <x v="3"/>
    <x v="3"/>
    <s v="COR-544 espSRC local GitLab server"/>
    <s v="Asap"/>
    <s v="Unkown"/>
    <s v="To provide a local repository for espsrc users"/>
    <s v="yes"/>
    <m/>
    <m/>
    <m/>
    <m/>
    <m/>
    <x v="15"/>
    <s v="Virtual Machine (VM), default"/>
    <s v="1-5"/>
    <s v="1-5"/>
    <m/>
    <m/>
    <m/>
    <s v="None of the above (describe it at the end)"/>
    <s v="COR-544 espSRC local GitLab server"/>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 Tables 4" cacheId="9" applyNumberFormats="0" applyBorderFormats="0" applyFontFormats="0" applyPatternFormats="0" applyAlignmentFormats="0" applyWidthHeightFormats="0" dataCaption="" updatedVersion="8" compact="0" compactData="0">
  <location ref="A31:B50" firstHeaderRow="1" firstDataRow="1" firstDataCol="1"/>
  <pivotFields count="32">
    <pivotField name="Timestamp" compact="0" numFmtId="164" outline="0" multipleItemSelectionAllowed="1" showAll="0"/>
    <pivotField name="Contact person" compact="0" outline="0" multipleItemSelectionAllowed="1" showAll="0"/>
    <pivotField name="Title of the project" compact="0" outline="0" multipleItemSelectionAllowed="1" showAll="0"/>
    <pivotField name="Short title of the project (61 characters maximum)" compact="0" outline="0" multipleItemSelectionAllowed="1" showAll="0"/>
    <pivotField name="PI" compact="0" outline="0" multipleItemSelectionAllowed="1" showAll="0"/>
    <pivotField name="Short name of your project (1-2 words or acronym)" compact="0" outline="0" multipleItemSelectionAllowed="1" showAll="0"/>
    <pivotField name="Contact e-mail" compact="0" outline="0" multipleItemSelectionAllowed="1" showAll="0"/>
    <pivotField name="Affiliation" compact="0" outline="0" multipleItemSelectionAllowed="1" showAll="0"/>
    <pivotField name="Is it a CSIC institution?" compact="0" outline="0" multipleItemSelectionAllowed="1" showAll="0"/>
    <pivotField name="Department" compact="0" outline="0" multipleItemSelectionAllowed="1" showAll="0"/>
    <pivotField name="Research group" compact="0" outline="0" multipleItemSelectionAllowed="1" showAll="0"/>
    <pivotField name="Other institutions participating in the project" compact="0" outline="0" multipleItemSelectionAllowed="1" showAll="0"/>
    <pivotField name="Type of use" compact="0" outline="0" multipleItemSelectionAllowed="1" showAll="0"/>
    <pivotField name="Abstract" compact="0" outline="0" multipleItemSelectionAllowed="1" showAll="0"/>
    <pivotField name="When would you like to start your project?" compact="0" outline="0" multipleItemSelectionAllowed="1" showAll="0"/>
    <pivotField name="What is the expected duration of the project?" compact="0" outline="0" multipleItemSelectionAllowed="1" showAll="0"/>
    <pivotField name="Expected deliverables and milestones" compact="0" outline="0" multipleItemSelectionAllowed="1" showAll="0"/>
    <pivotField name="Is your project related in some way with the SKA or with Open Science? If yes, provide details" compact="0" outline="0" multipleItemSelectionAllowed="1" showAll="0"/>
    <pivotField name="Any other information you want to share" compact="0" outline="0" multipleItemSelectionAllowed="1" showAll="0"/>
    <pivotField name="Number of CPUs needed [Normal use]" compact="0" outline="0" multipleItemSelectionAllowed="1" showAll="0"/>
    <pivotField name="Number of CPUs needed [Maximum peak]" compact="0" outline="0" multipleItemSelectionAllowed="1" showAll="0"/>
    <pivotField name="Amount of memory (RAM) needed [GB] [Normal use]" compact="0" outline="0" multipleItemSelectionAllowed="1" showAll="0"/>
    <pivotField name="Amount of memory (RAM) needed [GB] [Maximum requirement]" compact="0" outline="0" multipleItemSelectionAllowed="1" showAll="0"/>
    <pivotField name="Storage needed" axis="axisRow" dataField="1" compact="0" outline="0" multipleItemSelectionAllowed="1" showAll="0" sortType="ascending">
      <items count="19">
        <item x="11"/>
        <item x="1"/>
        <item x="10"/>
        <item x="5"/>
        <item x="4"/>
        <item x="8"/>
        <item x="9"/>
        <item x="13"/>
        <item x="3"/>
        <item x="2"/>
        <item x="14"/>
        <item x="17"/>
        <item x="12"/>
        <item x="7"/>
        <item x="6"/>
        <item x="16"/>
        <item x="15"/>
        <item x="0"/>
        <item t="default"/>
      </items>
    </pivotField>
    <pivotField name="Online services required" compact="0" outline="0" multipleItemSelectionAllowed="1" showAll="0"/>
    <pivotField name="Approximate number of collaborators that will access the platform [IAA members]" compact="0" outline="0" multipleItemSelectionAllowed="1" showAll="0"/>
    <pivotField name="Approximate number of collaborators that will access the platform [Spanish collaborators]" compact="0" outline="0" multipleItemSelectionAllowed="1" showAll="0"/>
    <pivotField name="Approximate number of collaborators that will access the platform [Collaborators from other countries]" compact="0" outline="0" multipleItemSelectionAllowed="1" showAll="0"/>
    <pivotField name="Support needed" compact="0" outline="0" multipleItemSelectionAllowed="1" showAll="0"/>
    <pivotField name="Any other comment?" compact="0" outline="0" multipleItemSelectionAllowed="1" showAll="0"/>
    <pivotField name="Operating System" compact="0" outline="0" multipleItemSelectionAllowed="1" showAll="0"/>
    <pivotField name="Social abstract" compact="0" outline="0" multipleItemSelectionAllowed="1" showAll="0"/>
  </pivotFields>
  <rowFields count="1">
    <field x="23"/>
  </rowFields>
  <rowItems count="19">
    <i>
      <x/>
    </i>
    <i>
      <x v="1"/>
    </i>
    <i>
      <x v="2"/>
    </i>
    <i>
      <x v="3"/>
    </i>
    <i>
      <x v="4"/>
    </i>
    <i>
      <x v="5"/>
    </i>
    <i>
      <x v="6"/>
    </i>
    <i>
      <x v="7"/>
    </i>
    <i>
      <x v="8"/>
    </i>
    <i>
      <x v="9"/>
    </i>
    <i>
      <x v="10"/>
    </i>
    <i>
      <x v="11"/>
    </i>
    <i>
      <x v="12"/>
    </i>
    <i>
      <x v="13"/>
    </i>
    <i>
      <x v="14"/>
    </i>
    <i>
      <x v="15"/>
    </i>
    <i>
      <x v="16"/>
    </i>
    <i>
      <x v="17"/>
    </i>
    <i t="grand">
      <x/>
    </i>
  </rowItems>
  <colItems count="1">
    <i/>
  </colItems>
  <dataFields count="1">
    <dataField name="COUNTA of Storage needed" fld="23"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 Tables 5" cacheId="9" applyNumberFormats="0" applyBorderFormats="0" applyFontFormats="0" applyPatternFormats="0" applyAlignmentFormats="0" applyWidthHeightFormats="0" dataCaption="" updatedVersion="8" compact="0" compactData="0">
  <location ref="K39:L44" firstHeaderRow="1" firstDataRow="1" firstDataCol="1" rowPageCount="2" colPageCount="1"/>
  <pivotFields count="32">
    <pivotField name="Timestamp" compact="0" numFmtId="164" outline="0" multipleItemSelectionAllowed="1" showAll="0"/>
    <pivotField name="Contact person" compact="0" outline="0" multipleItemSelectionAllowed="1" showAll="0"/>
    <pivotField name="Title of the project" compact="0" outline="0" multipleItemSelectionAllowed="1" showAll="0"/>
    <pivotField name="Short title of the project (61 characters maximum)" compact="0" outline="0" multipleItemSelectionAllowed="1" showAll="0"/>
    <pivotField name="PI" compact="0" outline="0" multipleItemSelectionAllowed="1" showAll="0"/>
    <pivotField name="Short name of your project (1-2 words or acronym)" compact="0" outline="0" multipleItemSelectionAllowed="1" showAll="0"/>
    <pivotField name="Contact e-mail" compact="0" outline="0" multipleItemSelectionAllowed="1" showAll="0"/>
    <pivotField name="Affiliation" axis="axisPage" compact="0" outline="0" multipleItemSelectionAllowed="1" showAll="0">
      <items count="5">
        <item x="0"/>
        <item h="1" x="1"/>
        <item h="1" x="2"/>
        <item h="1" x="3"/>
        <item t="default"/>
      </items>
    </pivotField>
    <pivotField name="Is it a CSIC institution?" compact="0" outline="0" multipleItemSelectionAllowed="1" showAll="0"/>
    <pivotField name="Department" axis="axisRow" dataField="1" compact="0" outline="0" multipleItemSelectionAllowed="1" showAll="0" sortType="ascending">
      <items count="6">
        <item x="1"/>
        <item x="4"/>
        <item x="0"/>
        <item x="2"/>
        <item x="3"/>
        <item t="default"/>
      </items>
    </pivotField>
    <pivotField name="Research group" compact="0" outline="0" multipleItemSelectionAllowed="1" showAll="0"/>
    <pivotField name="Other institutions participating in the project" compact="0" outline="0" multipleItemSelectionAllowed="1" showAll="0"/>
    <pivotField name="Type of use" axis="axisPage" compact="0" outline="0" multipleItemSelectionAllowed="1" showAll="0">
      <items count="5">
        <item h="1" x="0"/>
        <item x="1"/>
        <item x="2"/>
        <item h="1" x="3"/>
        <item t="default"/>
      </items>
    </pivotField>
    <pivotField name="Abstract" compact="0" outline="0" multipleItemSelectionAllowed="1" showAll="0"/>
    <pivotField name="When would you like to start your project?" compact="0" outline="0" multipleItemSelectionAllowed="1" showAll="0"/>
    <pivotField name="What is the expected duration of the project?" compact="0" outline="0" multipleItemSelectionAllowed="1" showAll="0"/>
    <pivotField name="Expected deliverables and milestones" compact="0" outline="0" multipleItemSelectionAllowed="1" showAll="0"/>
    <pivotField name="Is your project related in some way with the SKA or with Open Science? If yes, provide details" compact="0" outline="0" multipleItemSelectionAllowed="1" showAll="0"/>
    <pivotField name="Any other information you want to share" compact="0" outline="0" multipleItemSelectionAllowed="1" showAll="0"/>
    <pivotField name="Number of CPUs needed [Normal use]" compact="0" outline="0" multipleItemSelectionAllowed="1" showAll="0"/>
    <pivotField name="Number of CPUs needed [Maximum peak]" compact="0" outline="0" multipleItemSelectionAllowed="1" showAll="0"/>
    <pivotField name="Amount of memory (RAM) needed [GB] [Normal use]" compact="0" outline="0" multipleItemSelectionAllowed="1" showAll="0"/>
    <pivotField name="Amount of memory (RAM) needed [GB] [Maximum requirement]" compact="0" outline="0" multipleItemSelectionAllowed="1" showAll="0"/>
    <pivotField name="Storage needed" compact="0" outline="0" multipleItemSelectionAllowed="1" showAll="0"/>
    <pivotField name="Online services required" compact="0" outline="0" multipleItemSelectionAllowed="1" showAll="0"/>
    <pivotField name="Approximate number of collaborators that will access the platform [IAA members]" compact="0" outline="0" multipleItemSelectionAllowed="1" showAll="0"/>
    <pivotField name="Approximate number of collaborators that will access the platform [Spanish collaborators]" compact="0" outline="0" multipleItemSelectionAllowed="1" showAll="0"/>
    <pivotField name="Approximate number of collaborators that will access the platform [Collaborators from other countries]" compact="0" outline="0" multipleItemSelectionAllowed="1" showAll="0"/>
    <pivotField name="Support needed" compact="0" outline="0" multipleItemSelectionAllowed="1" showAll="0"/>
    <pivotField name="Any other comment?" compact="0" outline="0" multipleItemSelectionAllowed="1" showAll="0"/>
    <pivotField name="Operating System" compact="0" outline="0" multipleItemSelectionAllowed="1" showAll="0"/>
    <pivotField name="Social abstract" compact="0" outline="0" multipleItemSelectionAllowed="1" showAll="0"/>
  </pivotFields>
  <rowFields count="1">
    <field x="9"/>
  </rowFields>
  <rowItems count="5">
    <i>
      <x/>
    </i>
    <i>
      <x v="1"/>
    </i>
    <i>
      <x v="2"/>
    </i>
    <i>
      <x v="3"/>
    </i>
    <i t="grand">
      <x/>
    </i>
  </rowItems>
  <colItems count="1">
    <i/>
  </colItems>
  <pageFields count="2">
    <pageField fld="7" hier="0"/>
    <pageField fld="12" hier="0"/>
  </pageFields>
  <dataFields count="1">
    <dataField name="COUNTA of Department" fld="9"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 Tables" cacheId="9" applyNumberFormats="0" applyBorderFormats="0" applyFontFormats="0" applyPatternFormats="0" applyAlignmentFormats="0" applyWidthHeightFormats="0" dataCaption="" updatedVersion="8" compact="0" compactData="0">
  <location ref="K1:L6" firstHeaderRow="1" firstDataRow="1" firstDataCol="1"/>
  <pivotFields count="32">
    <pivotField name="Timestamp" compact="0" numFmtId="164" outline="0" multipleItemSelectionAllowed="1" showAll="0"/>
    <pivotField name="Contact person" compact="0" outline="0" multipleItemSelectionAllowed="1" showAll="0"/>
    <pivotField name="Title of the project" compact="0" outline="0" multipleItemSelectionAllowed="1" showAll="0"/>
    <pivotField name="Short title of the project (61 characters maximum)" compact="0" outline="0" multipleItemSelectionAllowed="1" showAll="0"/>
    <pivotField name="PI" compact="0" outline="0" multipleItemSelectionAllowed="1" showAll="0"/>
    <pivotField name="Short name of your project (1-2 words or acronym)" compact="0" outline="0" multipleItemSelectionAllowed="1" showAll="0"/>
    <pivotField name="Contact e-mail" compact="0" outline="0" multipleItemSelectionAllowed="1" showAll="0"/>
    <pivotField name="Affiliation" axis="axisRow" dataField="1" compact="0" outline="0" multipleItemSelectionAllowed="1" showAll="0" sortType="ascending">
      <items count="5">
        <item x="0"/>
        <item x="1"/>
        <item x="3"/>
        <item x="2"/>
        <item t="default"/>
      </items>
    </pivotField>
    <pivotField name="Is it a CSIC institution?" compact="0" outline="0" multipleItemSelectionAllowed="1" showAll="0"/>
    <pivotField name="Department" compact="0" outline="0" multipleItemSelectionAllowed="1" showAll="0"/>
    <pivotField name="Research group" compact="0" outline="0" multipleItemSelectionAllowed="1" showAll="0"/>
    <pivotField name="Other institutions participating in the project" compact="0" outline="0" multipleItemSelectionAllowed="1" showAll="0"/>
    <pivotField name="Type of use" compact="0" outline="0" multipleItemSelectionAllowed="1" showAll="0"/>
    <pivotField name="Abstract" compact="0" outline="0" multipleItemSelectionAllowed="1" showAll="0"/>
    <pivotField name="When would you like to start your project?" compact="0" outline="0" multipleItemSelectionAllowed="1" showAll="0"/>
    <pivotField name="What is the expected duration of the project?" compact="0" outline="0" multipleItemSelectionAllowed="1" showAll="0"/>
    <pivotField name="Expected deliverables and milestones" compact="0" outline="0" multipleItemSelectionAllowed="1" showAll="0"/>
    <pivotField name="Is your project related in some way with the SKA or with Open Science? If yes, provide details" compact="0" outline="0" multipleItemSelectionAllowed="1" showAll="0"/>
    <pivotField name="Any other information you want to share" compact="0" outline="0" multipleItemSelectionAllowed="1" showAll="0"/>
    <pivotField name="Number of CPUs needed [Normal use]" compact="0" outline="0" multipleItemSelectionAllowed="1" showAll="0"/>
    <pivotField name="Number of CPUs needed [Maximum peak]" compact="0" outline="0" multipleItemSelectionAllowed="1" showAll="0"/>
    <pivotField name="Amount of memory (RAM) needed [GB] [Normal use]" compact="0" outline="0" multipleItemSelectionAllowed="1" showAll="0"/>
    <pivotField name="Amount of memory (RAM) needed [GB] [Maximum requirement]" compact="0" outline="0" multipleItemSelectionAllowed="1" showAll="0"/>
    <pivotField name="Storage needed" compact="0" outline="0" multipleItemSelectionAllowed="1" showAll="0"/>
    <pivotField name="Online services required" compact="0" outline="0" multipleItemSelectionAllowed="1" showAll="0"/>
    <pivotField name="Approximate number of collaborators that will access the platform [IAA members]" compact="0" outline="0" multipleItemSelectionAllowed="1" showAll="0"/>
    <pivotField name="Approximate number of collaborators that will access the platform [Spanish collaborators]" compact="0" outline="0" multipleItemSelectionAllowed="1" showAll="0"/>
    <pivotField name="Approximate number of collaborators that will access the platform [Collaborators from other countries]" compact="0" outline="0" multipleItemSelectionAllowed="1" showAll="0"/>
    <pivotField name="Support needed" compact="0" outline="0" multipleItemSelectionAllowed="1" showAll="0"/>
    <pivotField name="Any other comment?" compact="0" outline="0" multipleItemSelectionAllowed="1" showAll="0"/>
    <pivotField name="Operating System" compact="0" outline="0" multipleItemSelectionAllowed="1" showAll="0"/>
    <pivotField name="Social abstract" compact="0" outline="0" multipleItemSelectionAllowed="1" showAll="0"/>
  </pivotFields>
  <rowFields count="1">
    <field x="7"/>
  </rowFields>
  <rowItems count="5">
    <i>
      <x/>
    </i>
    <i>
      <x v="1"/>
    </i>
    <i>
      <x v="2"/>
    </i>
    <i>
      <x v="3"/>
    </i>
    <i t="grand">
      <x/>
    </i>
  </rowItems>
  <colItems count="1">
    <i/>
  </colItems>
  <dataFields count="1">
    <dataField name="COUNTA of Affiliation" fld="7"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 Tables 2" cacheId="9" applyNumberFormats="0" applyBorderFormats="0" applyFontFormats="0" applyPatternFormats="0" applyAlignmentFormats="0" applyWidthHeightFormats="0" dataCaption="" updatedVersion="8" compact="0" compactData="0">
  <location ref="K14:L18" firstHeaderRow="1" firstDataRow="1" firstDataCol="1"/>
  <pivotFields count="32">
    <pivotField name="Timestamp" compact="0" numFmtId="164" outline="0" multipleItemSelectionAllowed="1" showAll="0"/>
    <pivotField name="Contact person" compact="0" outline="0" multipleItemSelectionAllowed="1" showAll="0"/>
    <pivotField name="Title of the project" compact="0" outline="0" multipleItemSelectionAllowed="1" showAll="0"/>
    <pivotField name="Short title of the project (61 characters maximum)" compact="0" outline="0" multipleItemSelectionAllowed="1" showAll="0"/>
    <pivotField name="PI" compact="0" outline="0" multipleItemSelectionAllowed="1" showAll="0"/>
    <pivotField name="Short name of your project (1-2 words or acronym)" compact="0" outline="0" multipleItemSelectionAllowed="1" showAll="0"/>
    <pivotField name="Contact e-mail" compact="0" outline="0" multipleItemSelectionAllowed="1" showAll="0"/>
    <pivotField name="Affiliation" compact="0" outline="0" multipleItemSelectionAllowed="1" showAll="0"/>
    <pivotField name="Is it a CSIC institution?" axis="axisRow" dataField="1" compact="0" outline="0" multipleItemSelectionAllowed="1" showAll="0" sortType="ascending">
      <items count="4">
        <item x="1"/>
        <item x="0"/>
        <item x="2"/>
        <item t="default"/>
      </items>
    </pivotField>
    <pivotField name="Department" compact="0" outline="0" multipleItemSelectionAllowed="1" showAll="0"/>
    <pivotField name="Research group" compact="0" outline="0" multipleItemSelectionAllowed="1" showAll="0"/>
    <pivotField name="Other institutions participating in the project" compact="0" outline="0" multipleItemSelectionAllowed="1" showAll="0"/>
    <pivotField name="Type of use" compact="0" outline="0" multipleItemSelectionAllowed="1" showAll="0"/>
    <pivotField name="Abstract" compact="0" outline="0" multipleItemSelectionAllowed="1" showAll="0"/>
    <pivotField name="When would you like to start your project?" compact="0" outline="0" multipleItemSelectionAllowed="1" showAll="0"/>
    <pivotField name="What is the expected duration of the project?" compact="0" outline="0" multipleItemSelectionAllowed="1" showAll="0"/>
    <pivotField name="Expected deliverables and milestones" compact="0" outline="0" multipleItemSelectionAllowed="1" showAll="0"/>
    <pivotField name="Is your project related in some way with the SKA or with Open Science? If yes, provide details" compact="0" outline="0" multipleItemSelectionAllowed="1" showAll="0"/>
    <pivotField name="Any other information you want to share" compact="0" outline="0" multipleItemSelectionAllowed="1" showAll="0"/>
    <pivotField name="Number of CPUs needed [Normal use]" compact="0" outline="0" multipleItemSelectionAllowed="1" showAll="0"/>
    <pivotField name="Number of CPUs needed [Maximum peak]" compact="0" outline="0" multipleItemSelectionAllowed="1" showAll="0"/>
    <pivotField name="Amount of memory (RAM) needed [GB] [Normal use]" compact="0" outline="0" multipleItemSelectionAllowed="1" showAll="0"/>
    <pivotField name="Amount of memory (RAM) needed [GB] [Maximum requirement]" compact="0" outline="0" multipleItemSelectionAllowed="1" showAll="0"/>
    <pivotField name="Storage needed" compact="0" outline="0" multipleItemSelectionAllowed="1" showAll="0"/>
    <pivotField name="Online services required" compact="0" outline="0" multipleItemSelectionAllowed="1" showAll="0"/>
    <pivotField name="Approximate number of collaborators that will access the platform [IAA members]" compact="0" outline="0" multipleItemSelectionAllowed="1" showAll="0"/>
    <pivotField name="Approximate number of collaborators that will access the platform [Spanish collaborators]" compact="0" outline="0" multipleItemSelectionAllowed="1" showAll="0"/>
    <pivotField name="Approximate number of collaborators that will access the platform [Collaborators from other countries]" compact="0" outline="0" multipleItemSelectionAllowed="1" showAll="0"/>
    <pivotField name="Support needed" compact="0" outline="0" multipleItemSelectionAllowed="1" showAll="0"/>
    <pivotField name="Any other comment?" compact="0" outline="0" multipleItemSelectionAllowed="1" showAll="0"/>
    <pivotField name="Operating System" compact="0" outline="0" multipleItemSelectionAllowed="1" showAll="0"/>
    <pivotField name="Social abstract" compact="0" outline="0" multipleItemSelectionAllowed="1" showAll="0"/>
  </pivotFields>
  <rowFields count="1">
    <field x="8"/>
  </rowFields>
  <rowItems count="4">
    <i>
      <x/>
    </i>
    <i>
      <x v="1"/>
    </i>
    <i>
      <x v="2"/>
    </i>
    <i t="grand">
      <x/>
    </i>
  </rowItems>
  <colItems count="1">
    <i/>
  </colItems>
  <dataFields count="1">
    <dataField name="COUNTA of Is it a CSIC institution?" fld="8"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 Tables 3" cacheId="9" applyNumberFormats="0" applyBorderFormats="0" applyFontFormats="0" applyPatternFormats="0" applyAlignmentFormats="0" applyWidthHeightFormats="0" dataCaption="" updatedVersion="8" compact="0" compactData="0">
  <location ref="K30:L35" firstHeaderRow="1" firstDataRow="1" firstDataCol="1"/>
  <pivotFields count="32">
    <pivotField name="Timestamp" compact="0" numFmtId="164" outline="0" multipleItemSelectionAllowed="1" showAll="0"/>
    <pivotField name="Contact person" compact="0" outline="0" multipleItemSelectionAllowed="1" showAll="0"/>
    <pivotField name="Title of the project" compact="0" outline="0" multipleItemSelectionAllowed="1" showAll="0"/>
    <pivotField name="Short title of the project (61 characters maximum)" compact="0" outline="0" multipleItemSelectionAllowed="1" showAll="0"/>
    <pivotField name="PI" compact="0" outline="0" multipleItemSelectionAllowed="1" showAll="0"/>
    <pivotField name="Short name of your project (1-2 words or acronym)" compact="0" outline="0" multipleItemSelectionAllowed="1" showAll="0"/>
    <pivotField name="Contact e-mail" compact="0" outline="0" multipleItemSelectionAllowed="1" showAll="0"/>
    <pivotField name="Affiliation" compact="0" outline="0" multipleItemSelectionAllowed="1" showAll="0"/>
    <pivotField name="Is it a CSIC institution?" compact="0" outline="0" multipleItemSelectionAllowed="1" showAll="0"/>
    <pivotField name="Department" compact="0" outline="0" multipleItemSelectionAllowed="1" showAll="0"/>
    <pivotField name="Research group" compact="0" outline="0" multipleItemSelectionAllowed="1" showAll="0"/>
    <pivotField name="Other institutions participating in the project" axis="axisRow" dataField="1" compact="0" outline="0" multipleItemSelectionAllowed="1" showAll="0" sortType="ascending">
      <items count="5">
        <item x="1"/>
        <item x="3"/>
        <item x="2"/>
        <item x="0"/>
        <item t="default"/>
      </items>
    </pivotField>
    <pivotField name="Type of use" compact="0" outline="0" multipleItemSelectionAllowed="1" showAll="0"/>
    <pivotField name="Abstract" compact="0" outline="0" multipleItemSelectionAllowed="1" showAll="0"/>
    <pivotField name="When would you like to start your project?" compact="0" outline="0" multipleItemSelectionAllowed="1" showAll="0"/>
    <pivotField name="What is the expected duration of the project?" compact="0" outline="0" multipleItemSelectionAllowed="1" showAll="0"/>
    <pivotField name="Expected deliverables and milestones" compact="0" outline="0" multipleItemSelectionAllowed="1" showAll="0"/>
    <pivotField name="Is your project related in some way with the SKA or with Open Science? If yes, provide details" compact="0" outline="0" multipleItemSelectionAllowed="1" showAll="0"/>
    <pivotField name="Any other information you want to share" compact="0" outline="0" multipleItemSelectionAllowed="1" showAll="0"/>
    <pivotField name="Number of CPUs needed [Normal use]" compact="0" outline="0" multipleItemSelectionAllowed="1" showAll="0"/>
    <pivotField name="Number of CPUs needed [Maximum peak]" compact="0" outline="0" multipleItemSelectionAllowed="1" showAll="0"/>
    <pivotField name="Amount of memory (RAM) needed [GB] [Normal use]" compact="0" outline="0" multipleItemSelectionAllowed="1" showAll="0"/>
    <pivotField name="Amount of memory (RAM) needed [GB] [Maximum requirement]" compact="0" outline="0" multipleItemSelectionAllowed="1" showAll="0"/>
    <pivotField name="Storage needed" compact="0" outline="0" multipleItemSelectionAllowed="1" showAll="0"/>
    <pivotField name="Online services required" compact="0" outline="0" multipleItemSelectionAllowed="1" showAll="0"/>
    <pivotField name="Approximate number of collaborators that will access the platform [IAA members]" compact="0" outline="0" multipleItemSelectionAllowed="1" showAll="0"/>
    <pivotField name="Approximate number of collaborators that will access the platform [Spanish collaborators]" compact="0" outline="0" multipleItemSelectionAllowed="1" showAll="0"/>
    <pivotField name="Approximate number of collaborators that will access the platform [Collaborators from other countries]" compact="0" outline="0" multipleItemSelectionAllowed="1" showAll="0"/>
    <pivotField name="Support needed" compact="0" outline="0" multipleItemSelectionAllowed="1" showAll="0"/>
    <pivotField name="Any other comment?" compact="0" outline="0" multipleItemSelectionAllowed="1" showAll="0"/>
    <pivotField name="Operating System" compact="0" outline="0" multipleItemSelectionAllowed="1" showAll="0"/>
    <pivotField name="Social abstract" compact="0" outline="0" multipleItemSelectionAllowed="1" showAll="0"/>
  </pivotFields>
  <rowFields count="1">
    <field x="11"/>
  </rowFields>
  <rowItems count="5">
    <i>
      <x/>
    </i>
    <i>
      <x v="1"/>
    </i>
    <i>
      <x v="2"/>
    </i>
    <i>
      <x v="3"/>
    </i>
    <i t="grand">
      <x/>
    </i>
  </rowItems>
  <colItems count="1">
    <i/>
  </colItems>
  <dataFields count="1">
    <dataField name="COUNTA of Other institutions participating in the project" fld="11"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N168"/>
  <sheetViews>
    <sheetView tabSelected="1" zoomScale="106" zoomScaleNormal="70" workbookViewId="0">
      <pane ySplit="1" topLeftCell="A2" activePane="bottomLeft" state="frozen"/>
      <selection pane="bottomLeft" activeCell="BB71" sqref="BB71"/>
    </sheetView>
  </sheetViews>
  <sheetFormatPr baseColWidth="10" defaultColWidth="12.5703125" defaultRowHeight="15.75" customHeight="1"/>
  <cols>
    <col min="1" max="1" width="18.85546875" bestFit="1" customWidth="1"/>
    <col min="2" max="2" width="31.85546875" customWidth="1"/>
    <col min="3" max="3" width="129.85546875" bestFit="1" customWidth="1"/>
    <col min="4" max="4" width="86.28515625" bestFit="1" customWidth="1"/>
    <col min="5" max="5" width="28.85546875" bestFit="1" customWidth="1"/>
    <col min="6" max="6" width="45" bestFit="1" customWidth="1"/>
    <col min="7" max="7" width="28" bestFit="1" customWidth="1"/>
    <col min="8" max="8" width="40.42578125" bestFit="1" customWidth="1"/>
    <col min="9" max="9" width="20.140625" bestFit="1" customWidth="1"/>
    <col min="10" max="10" width="35" bestFit="1" customWidth="1"/>
    <col min="11" max="11" width="36.140625" bestFit="1" customWidth="1"/>
    <col min="12" max="12" width="57.5703125" bestFit="1" customWidth="1"/>
    <col min="13" max="13" width="37.42578125" bestFit="1" customWidth="1"/>
    <col min="14" max="14" width="255.7109375" bestFit="1" customWidth="1"/>
    <col min="15" max="15" width="155.28515625" bestFit="1" customWidth="1"/>
    <col min="16" max="16" width="38.85546875" bestFit="1" customWidth="1"/>
    <col min="17" max="19" width="255.7109375" bestFit="1" customWidth="1"/>
    <col min="20" max="20" width="33.140625" bestFit="1" customWidth="1"/>
    <col min="21" max="21" width="36.42578125" bestFit="1" customWidth="1"/>
    <col min="22" max="22" width="45.5703125" bestFit="1" customWidth="1"/>
    <col min="23" max="23" width="54.85546875" bestFit="1" customWidth="1"/>
    <col min="24" max="24" width="255.7109375" bestFit="1" customWidth="1"/>
    <col min="25" max="25" width="161.85546875" bestFit="1" customWidth="1"/>
    <col min="26" max="26" width="69.5703125" bestFit="1" customWidth="1"/>
    <col min="27" max="27" width="76.28515625" bestFit="1" customWidth="1"/>
    <col min="28" max="28" width="86.5703125" bestFit="1" customWidth="1"/>
    <col min="29" max="30" width="255.7109375" bestFit="1" customWidth="1"/>
    <col min="31" max="31" width="35.42578125" bestFit="1" customWidth="1"/>
    <col min="32" max="32" width="255.7109375" bestFit="1" customWidth="1"/>
    <col min="33" max="33" width="18.85546875" customWidth="1"/>
    <col min="34" max="35" width="37.42578125" bestFit="1" customWidth="1"/>
    <col min="36" max="36" width="18.85546875" customWidth="1"/>
    <col min="37" max="37" width="39.42578125" bestFit="1" customWidth="1"/>
    <col min="38" max="38" width="40.42578125" bestFit="1" customWidth="1"/>
    <col min="39" max="39" width="41.42578125" bestFit="1" customWidth="1"/>
    <col min="40" max="40" width="184.140625" bestFit="1" customWidth="1"/>
    <col min="41" max="41" width="255.7109375" bestFit="1" customWidth="1"/>
    <col min="42" max="42" width="18.5703125" bestFit="1" customWidth="1"/>
    <col min="43" max="43" width="5.42578125" bestFit="1" customWidth="1"/>
    <col min="44" max="44" width="28.7109375" bestFit="1" customWidth="1"/>
    <col min="45" max="45" width="23.28515625" bestFit="1" customWidth="1"/>
    <col min="46" max="46" width="52.7109375" bestFit="1" customWidth="1"/>
    <col min="47" max="47" width="40.85546875" customWidth="1"/>
    <col min="48" max="48" width="10.85546875" customWidth="1"/>
    <col min="49" max="49" width="15.140625" customWidth="1"/>
    <col min="50" max="50" width="11.42578125" customWidth="1"/>
    <col min="51" max="51" width="25.5703125" customWidth="1"/>
    <col min="52" max="52" width="18" customWidth="1"/>
    <col min="53" max="53" width="31" bestFit="1" customWidth="1"/>
    <col min="54" max="54" width="5.42578125" bestFit="1" customWidth="1"/>
    <col min="55" max="55" width="59" bestFit="1" customWidth="1"/>
    <col min="56" max="57" width="18.85546875" customWidth="1"/>
    <col min="58" max="58" width="17.5703125" bestFit="1" customWidth="1"/>
    <col min="59" max="66" width="18.85546875" customWidth="1"/>
  </cols>
  <sheetData>
    <row r="1" spans="1:66" ht="114.7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720</v>
      </c>
      <c r="BB1" s="1" t="s">
        <v>42</v>
      </c>
      <c r="BC1" s="1" t="s">
        <v>52</v>
      </c>
      <c r="BD1" s="1" t="s">
        <v>32</v>
      </c>
      <c r="BE1" s="1" t="s">
        <v>32</v>
      </c>
      <c r="BF1" s="1"/>
      <c r="BG1" s="1" t="s">
        <v>32</v>
      </c>
      <c r="BH1" s="1" t="s">
        <v>32</v>
      </c>
      <c r="BI1" s="1"/>
      <c r="BJ1" s="1"/>
      <c r="BK1" s="1"/>
      <c r="BL1" s="1"/>
      <c r="BM1" s="1"/>
      <c r="BN1" s="1"/>
    </row>
    <row r="2" spans="1:66" ht="38.25">
      <c r="A2" s="2">
        <v>44265.810181689812</v>
      </c>
      <c r="B2" s="3" t="s">
        <v>53</v>
      </c>
      <c r="C2" s="1" t="s">
        <v>54</v>
      </c>
      <c r="D2" s="3"/>
      <c r="E2" s="1" t="s">
        <v>53</v>
      </c>
      <c r="F2" s="1" t="s">
        <v>55</v>
      </c>
      <c r="G2" s="1"/>
      <c r="H2" s="1" t="s">
        <v>56</v>
      </c>
      <c r="I2" s="3" t="s">
        <v>57</v>
      </c>
      <c r="J2" s="1" t="s">
        <v>58</v>
      </c>
      <c r="K2" s="3"/>
      <c r="L2" s="3"/>
      <c r="M2" s="1" t="s">
        <v>59</v>
      </c>
      <c r="N2" s="1" t="s">
        <v>60</v>
      </c>
      <c r="O2" s="4">
        <v>44305</v>
      </c>
      <c r="P2" s="3" t="s">
        <v>61</v>
      </c>
      <c r="Q2" s="1" t="s">
        <v>62</v>
      </c>
      <c r="R2" s="1" t="s">
        <v>63</v>
      </c>
      <c r="S2" s="1"/>
      <c r="X2" s="3" t="s">
        <v>64</v>
      </c>
      <c r="Y2" s="1" t="s">
        <v>65</v>
      </c>
      <c r="Z2" s="3" t="s">
        <v>66</v>
      </c>
      <c r="AA2" s="3" t="s">
        <v>66</v>
      </c>
      <c r="AB2" s="3" t="s">
        <v>66</v>
      </c>
      <c r="AC2" s="1" t="s">
        <v>67</v>
      </c>
      <c r="AD2" s="1" t="s">
        <v>68</v>
      </c>
      <c r="AE2" s="3"/>
      <c r="AF2" s="1"/>
      <c r="AG2" s="3"/>
      <c r="AH2" s="3"/>
      <c r="AI2" s="3"/>
      <c r="AJ2" s="3"/>
      <c r="AK2" s="3"/>
      <c r="AL2" s="3"/>
      <c r="AM2" s="3"/>
      <c r="AN2" s="1"/>
      <c r="AO2" s="1"/>
      <c r="AP2" s="3"/>
      <c r="AQ2" s="3"/>
      <c r="AR2" s="3"/>
      <c r="AS2" s="3"/>
      <c r="AT2" s="3"/>
      <c r="AU2" s="3"/>
      <c r="AV2" s="3"/>
      <c r="AW2" s="3"/>
      <c r="AX2" s="1"/>
      <c r="AY2" s="3"/>
      <c r="AZ2" s="3"/>
      <c r="BA2" s="3"/>
      <c r="BB2" s="3"/>
      <c r="BC2" s="3"/>
      <c r="BD2" s="3"/>
      <c r="BE2" s="3"/>
      <c r="BF2" s="3"/>
      <c r="BG2" s="3"/>
      <c r="BH2" s="3"/>
    </row>
    <row r="3" spans="1:66" ht="12.75">
      <c r="A3" s="2">
        <v>44275.476209606481</v>
      </c>
      <c r="B3" s="3" t="s">
        <v>69</v>
      </c>
      <c r="C3" s="1" t="s">
        <v>70</v>
      </c>
      <c r="D3" s="3"/>
      <c r="E3" s="1" t="s">
        <v>69</v>
      </c>
      <c r="F3" s="1" t="s">
        <v>71</v>
      </c>
      <c r="G3" s="1"/>
      <c r="H3" s="1" t="s">
        <v>56</v>
      </c>
      <c r="I3" s="3" t="s">
        <v>57</v>
      </c>
      <c r="J3" s="1" t="s">
        <v>58</v>
      </c>
      <c r="K3" s="3"/>
      <c r="L3" s="3"/>
      <c r="M3" s="1" t="s">
        <v>59</v>
      </c>
      <c r="N3" s="1" t="s">
        <v>70</v>
      </c>
      <c r="O3" s="4">
        <v>44274</v>
      </c>
      <c r="P3" s="3" t="s">
        <v>72</v>
      </c>
      <c r="Q3" s="1" t="s">
        <v>73</v>
      </c>
      <c r="R3" s="1" t="s">
        <v>74</v>
      </c>
      <c r="S3" s="1"/>
      <c r="T3" s="3">
        <v>4</v>
      </c>
      <c r="U3" s="3">
        <v>4</v>
      </c>
      <c r="V3" s="3">
        <v>32</v>
      </c>
      <c r="W3" s="3">
        <v>32</v>
      </c>
      <c r="X3" s="1" t="s">
        <v>75</v>
      </c>
      <c r="Y3" s="1" t="s">
        <v>76</v>
      </c>
      <c r="Z3" s="5" t="s">
        <v>77</v>
      </c>
      <c r="AC3" s="1" t="s">
        <v>78</v>
      </c>
      <c r="AD3" s="1" t="s">
        <v>79</v>
      </c>
      <c r="AE3" s="3"/>
      <c r="AF3" s="1"/>
      <c r="AG3" s="3"/>
      <c r="AH3" s="3"/>
      <c r="AI3" s="3"/>
      <c r="AJ3" s="3"/>
      <c r="AK3" s="3"/>
      <c r="AL3" s="3"/>
      <c r="AM3" s="3"/>
      <c r="AN3" s="1"/>
      <c r="AO3" s="1"/>
      <c r="AP3" s="3"/>
      <c r="AQ3" s="3"/>
      <c r="AR3" s="3"/>
      <c r="AS3" s="3"/>
      <c r="AT3" s="3"/>
      <c r="AU3" s="3"/>
      <c r="AV3" s="3"/>
      <c r="AW3" s="3"/>
      <c r="AX3" s="1"/>
      <c r="AY3" s="3"/>
      <c r="AZ3" s="3"/>
      <c r="BA3" s="3"/>
      <c r="BB3" s="3"/>
      <c r="BC3" s="3"/>
      <c r="BD3" s="3"/>
      <c r="BE3" s="3"/>
      <c r="BF3" s="3"/>
      <c r="BG3" s="3"/>
      <c r="BH3" s="3"/>
    </row>
    <row r="4" spans="1:66" ht="38.25">
      <c r="A4" s="2">
        <v>44292.686262824078</v>
      </c>
      <c r="B4" s="3" t="s">
        <v>80</v>
      </c>
      <c r="C4" s="1" t="s">
        <v>81</v>
      </c>
      <c r="D4" s="3"/>
      <c r="E4" s="1" t="s">
        <v>82</v>
      </c>
      <c r="F4" s="1" t="s">
        <v>83</v>
      </c>
      <c r="G4" s="1" t="s">
        <v>84</v>
      </c>
      <c r="H4" s="1" t="s">
        <v>56</v>
      </c>
      <c r="I4" s="3" t="s">
        <v>57</v>
      </c>
      <c r="J4" s="1" t="s">
        <v>58</v>
      </c>
      <c r="K4" s="3"/>
      <c r="L4" s="3"/>
      <c r="M4" s="1" t="s">
        <v>85</v>
      </c>
      <c r="N4" s="1" t="s">
        <v>86</v>
      </c>
      <c r="O4" s="4">
        <v>44304</v>
      </c>
      <c r="P4" s="3" t="s">
        <v>87</v>
      </c>
      <c r="Q4" s="1" t="s">
        <v>88</v>
      </c>
      <c r="R4" s="1" t="s">
        <v>89</v>
      </c>
      <c r="S4" s="1"/>
      <c r="T4" s="3">
        <v>8</v>
      </c>
      <c r="U4" s="3">
        <v>16</v>
      </c>
      <c r="V4" s="3">
        <v>64</v>
      </c>
      <c r="W4" s="3">
        <v>192</v>
      </c>
      <c r="X4" s="1" t="s">
        <v>90</v>
      </c>
      <c r="Y4" s="1" t="s">
        <v>91</v>
      </c>
      <c r="Z4" s="5" t="s">
        <v>77</v>
      </c>
      <c r="AA4" s="5" t="s">
        <v>77</v>
      </c>
      <c r="AB4" s="5" t="s">
        <v>77</v>
      </c>
      <c r="AC4" s="1" t="s">
        <v>92</v>
      </c>
      <c r="AD4" s="1" t="s">
        <v>93</v>
      </c>
      <c r="AE4" s="3"/>
      <c r="AF4" s="1"/>
      <c r="AG4" s="3"/>
      <c r="AH4" s="3"/>
      <c r="AI4" s="3"/>
      <c r="AJ4" s="3"/>
      <c r="AK4" s="3"/>
      <c r="AL4" s="3"/>
      <c r="AM4" s="3"/>
      <c r="AN4" s="1"/>
      <c r="AO4" s="1"/>
      <c r="AP4" s="3"/>
      <c r="AQ4" s="3"/>
      <c r="AR4" s="3"/>
      <c r="AS4" s="3"/>
      <c r="AT4" s="3"/>
      <c r="AU4" s="3"/>
      <c r="AV4" s="3" t="s">
        <v>94</v>
      </c>
      <c r="AX4" s="1"/>
      <c r="AY4" s="3" t="s">
        <v>95</v>
      </c>
      <c r="AZ4" s="3"/>
      <c r="BA4" s="3" t="s">
        <v>721</v>
      </c>
      <c r="BB4" s="3"/>
      <c r="BC4" s="3"/>
      <c r="BD4" s="3"/>
      <c r="BE4" s="3"/>
      <c r="BF4" s="3"/>
      <c r="BG4" s="3"/>
      <c r="BH4" s="3"/>
    </row>
    <row r="5" spans="1:66" ht="51">
      <c r="A5" s="2">
        <v>44319.428726875005</v>
      </c>
      <c r="B5" s="3" t="s">
        <v>96</v>
      </c>
      <c r="C5" s="1" t="s">
        <v>97</v>
      </c>
      <c r="D5" s="3"/>
      <c r="E5" s="1" t="s">
        <v>96</v>
      </c>
      <c r="F5" s="1" t="s">
        <v>98</v>
      </c>
      <c r="G5" s="1"/>
      <c r="H5" s="1" t="s">
        <v>56</v>
      </c>
      <c r="I5" s="3" t="s">
        <v>57</v>
      </c>
      <c r="J5" s="1" t="s">
        <v>99</v>
      </c>
      <c r="K5" s="3"/>
      <c r="L5" s="3"/>
      <c r="M5" s="1" t="s">
        <v>85</v>
      </c>
      <c r="N5" s="1" t="s">
        <v>100</v>
      </c>
      <c r="O5" s="4">
        <v>44321</v>
      </c>
      <c r="P5" s="3" t="s">
        <v>101</v>
      </c>
      <c r="Q5" s="1" t="s">
        <v>102</v>
      </c>
      <c r="R5" s="1" t="s">
        <v>103</v>
      </c>
      <c r="S5" s="1" t="s">
        <v>104</v>
      </c>
      <c r="T5" s="3">
        <v>16</v>
      </c>
      <c r="U5" s="3">
        <v>40</v>
      </c>
      <c r="V5" s="3">
        <v>64</v>
      </c>
      <c r="W5" s="3">
        <v>1000</v>
      </c>
      <c r="X5" s="1" t="s">
        <v>105</v>
      </c>
      <c r="Y5" s="1" t="s">
        <v>91</v>
      </c>
      <c r="Z5" s="5" t="s">
        <v>77</v>
      </c>
      <c r="AB5" s="5" t="s">
        <v>106</v>
      </c>
      <c r="AC5" s="1" t="s">
        <v>107</v>
      </c>
      <c r="AD5" s="1"/>
      <c r="AE5" s="3" t="s">
        <v>108</v>
      </c>
      <c r="AF5" s="1"/>
      <c r="AG5" s="3"/>
      <c r="AH5" s="3"/>
      <c r="AI5" s="3"/>
      <c r="AJ5" s="3"/>
      <c r="AK5" s="3"/>
      <c r="AL5" s="3"/>
      <c r="AM5" s="3"/>
      <c r="AN5" s="1"/>
      <c r="AO5" s="1"/>
      <c r="AP5" s="3"/>
      <c r="AQ5" s="3"/>
      <c r="AR5" s="3"/>
      <c r="AS5" s="3"/>
      <c r="AT5" s="3"/>
      <c r="AU5" s="3"/>
      <c r="AV5" s="3"/>
      <c r="AW5" s="3" t="s">
        <v>109</v>
      </c>
      <c r="AX5" s="1"/>
      <c r="AY5" s="3" t="s">
        <v>95</v>
      </c>
      <c r="AZ5" s="3"/>
      <c r="BA5" s="3" t="s">
        <v>722</v>
      </c>
      <c r="BB5" s="3"/>
      <c r="BC5" s="3"/>
      <c r="BD5" s="3"/>
      <c r="BE5" s="3"/>
      <c r="BF5" s="3"/>
      <c r="BG5" s="3"/>
      <c r="BH5" s="3"/>
    </row>
    <row r="6" spans="1:66" ht="63.75">
      <c r="A6" s="2">
        <v>44319.67470369213</v>
      </c>
      <c r="B6" s="3" t="s">
        <v>110</v>
      </c>
      <c r="C6" s="1" t="s">
        <v>111</v>
      </c>
      <c r="D6" s="3"/>
      <c r="E6" s="1" t="s">
        <v>110</v>
      </c>
      <c r="F6" s="1" t="s">
        <v>112</v>
      </c>
      <c r="G6" s="1"/>
      <c r="H6" s="1" t="s">
        <v>56</v>
      </c>
      <c r="I6" s="3" t="s">
        <v>57</v>
      </c>
      <c r="J6" s="1" t="s">
        <v>58</v>
      </c>
      <c r="K6" s="3"/>
      <c r="L6" s="3"/>
      <c r="M6" s="1" t="s">
        <v>85</v>
      </c>
      <c r="N6" s="1" t="s">
        <v>113</v>
      </c>
      <c r="O6" s="4">
        <v>44331</v>
      </c>
      <c r="P6" s="3" t="s">
        <v>87</v>
      </c>
      <c r="Q6" s="1" t="s">
        <v>114</v>
      </c>
      <c r="R6" s="1" t="s">
        <v>115</v>
      </c>
      <c r="S6" s="1"/>
      <c r="T6" s="3">
        <v>16</v>
      </c>
      <c r="U6" s="3">
        <v>40</v>
      </c>
      <c r="V6" s="3">
        <v>32</v>
      </c>
      <c r="W6" s="3">
        <v>1000</v>
      </c>
      <c r="X6" s="1" t="s">
        <v>75</v>
      </c>
      <c r="Y6" s="1" t="s">
        <v>91</v>
      </c>
      <c r="Z6" s="5" t="s">
        <v>77</v>
      </c>
      <c r="AC6" s="1" t="s">
        <v>116</v>
      </c>
      <c r="AD6" s="1"/>
      <c r="AE6" s="3" t="s">
        <v>108</v>
      </c>
      <c r="AF6" s="1"/>
      <c r="AG6" s="3"/>
      <c r="AH6" s="3"/>
      <c r="AI6" s="3"/>
      <c r="AJ6" s="3"/>
      <c r="AK6" s="3"/>
      <c r="AL6" s="3"/>
      <c r="AM6" s="3"/>
      <c r="AN6" s="1"/>
      <c r="AO6" s="1"/>
      <c r="AP6" s="3"/>
      <c r="AQ6" s="3"/>
      <c r="AR6" s="3"/>
      <c r="AS6" s="3"/>
      <c r="AT6" s="3"/>
      <c r="AU6" s="3"/>
      <c r="AV6" s="3"/>
      <c r="AW6" s="3" t="s">
        <v>117</v>
      </c>
      <c r="AX6" s="1"/>
      <c r="AY6" s="3" t="s">
        <v>95</v>
      </c>
      <c r="AZ6" s="3"/>
      <c r="BA6" s="3" t="s">
        <v>723</v>
      </c>
      <c r="BB6" s="3"/>
      <c r="BC6" s="3"/>
      <c r="BD6" s="3"/>
      <c r="BE6" s="3"/>
      <c r="BF6" s="3"/>
      <c r="BG6" s="3"/>
      <c r="BH6" s="3"/>
    </row>
    <row r="7" spans="1:66" ht="38.25">
      <c r="A7" s="2">
        <v>44467.453279247682</v>
      </c>
      <c r="B7" s="3" t="s">
        <v>82</v>
      </c>
      <c r="C7" s="1" t="s">
        <v>118</v>
      </c>
      <c r="D7" s="3"/>
      <c r="E7" s="1" t="s">
        <v>82</v>
      </c>
      <c r="F7" s="1" t="s">
        <v>119</v>
      </c>
      <c r="G7" s="1" t="s">
        <v>84</v>
      </c>
      <c r="H7" s="1" t="s">
        <v>56</v>
      </c>
      <c r="I7" s="3" t="s">
        <v>57</v>
      </c>
      <c r="J7" s="1" t="s">
        <v>58</v>
      </c>
      <c r="K7" s="3"/>
      <c r="L7" s="3"/>
      <c r="M7" s="1" t="s">
        <v>59</v>
      </c>
      <c r="N7" s="1" t="s">
        <v>120</v>
      </c>
      <c r="O7" s="4">
        <v>44480</v>
      </c>
      <c r="P7" s="3" t="s">
        <v>121</v>
      </c>
      <c r="Q7" s="1" t="s">
        <v>122</v>
      </c>
      <c r="R7" s="1" t="s">
        <v>123</v>
      </c>
      <c r="S7" s="1"/>
      <c r="T7" s="3">
        <v>8</v>
      </c>
      <c r="U7" s="3">
        <v>8</v>
      </c>
      <c r="V7" s="3">
        <v>16</v>
      </c>
      <c r="W7" s="3">
        <v>16</v>
      </c>
      <c r="X7" s="1" t="s">
        <v>124</v>
      </c>
      <c r="Y7" s="1" t="s">
        <v>125</v>
      </c>
      <c r="Z7" s="5" t="s">
        <v>77</v>
      </c>
      <c r="AA7" s="5" t="s">
        <v>106</v>
      </c>
      <c r="AC7" s="1" t="s">
        <v>126</v>
      </c>
      <c r="AD7" s="1" t="s">
        <v>127</v>
      </c>
      <c r="AE7" s="3" t="s">
        <v>108</v>
      </c>
      <c r="AF7" s="1"/>
      <c r="AG7" s="3"/>
      <c r="AH7" s="3"/>
      <c r="AI7" s="3"/>
      <c r="AJ7" s="3"/>
      <c r="AK7" s="3"/>
      <c r="AL7" s="3"/>
      <c r="AM7" s="3"/>
      <c r="AN7" s="1"/>
      <c r="AO7" s="1"/>
      <c r="AP7" s="3"/>
      <c r="AQ7" s="3"/>
      <c r="AR7" s="3"/>
      <c r="AS7" s="3"/>
      <c r="AT7" s="3"/>
      <c r="AU7" s="3"/>
      <c r="AV7" s="3"/>
      <c r="AW7" s="3"/>
      <c r="AX7" s="1"/>
      <c r="AY7" s="3"/>
      <c r="AZ7" s="3"/>
      <c r="BA7" s="3" t="s">
        <v>724</v>
      </c>
      <c r="BB7" s="3"/>
      <c r="BC7" s="3"/>
      <c r="BD7" s="3"/>
      <c r="BE7" s="3"/>
      <c r="BF7" s="3"/>
      <c r="BG7" s="3"/>
      <c r="BH7" s="3"/>
    </row>
    <row r="8" spans="1:66" ht="76.5">
      <c r="A8" s="2">
        <v>44467.470491817134</v>
      </c>
      <c r="B8" s="3" t="s">
        <v>82</v>
      </c>
      <c r="C8" s="1" t="s">
        <v>128</v>
      </c>
      <c r="D8" s="3"/>
      <c r="E8" s="1" t="s">
        <v>82</v>
      </c>
      <c r="F8" s="1" t="s">
        <v>129</v>
      </c>
      <c r="G8" s="1" t="s">
        <v>84</v>
      </c>
      <c r="H8" s="1" t="s">
        <v>56</v>
      </c>
      <c r="I8" s="3" t="s">
        <v>57</v>
      </c>
      <c r="J8" s="1" t="s">
        <v>58</v>
      </c>
      <c r="K8" s="3"/>
      <c r="L8" s="3"/>
      <c r="M8" s="1" t="s">
        <v>85</v>
      </c>
      <c r="N8" s="1" t="s">
        <v>130</v>
      </c>
      <c r="O8" s="4">
        <v>44489</v>
      </c>
      <c r="P8" s="3" t="s">
        <v>87</v>
      </c>
      <c r="Q8" s="1" t="s">
        <v>131</v>
      </c>
      <c r="R8" s="1" t="s">
        <v>132</v>
      </c>
      <c r="S8" s="1"/>
      <c r="T8" s="3">
        <v>4</v>
      </c>
      <c r="U8" s="3">
        <v>8</v>
      </c>
      <c r="V8" s="3">
        <v>64</v>
      </c>
      <c r="W8" s="3">
        <v>192</v>
      </c>
      <c r="X8" s="1" t="s">
        <v>133</v>
      </c>
      <c r="Y8" s="1" t="s">
        <v>125</v>
      </c>
      <c r="Z8" s="5" t="s">
        <v>77</v>
      </c>
      <c r="AA8" s="5" t="s">
        <v>77</v>
      </c>
      <c r="AB8" s="5" t="s">
        <v>77</v>
      </c>
      <c r="AC8" s="1" t="s">
        <v>134</v>
      </c>
      <c r="AD8" s="1" t="s">
        <v>135</v>
      </c>
      <c r="AE8" s="3" t="s">
        <v>108</v>
      </c>
      <c r="AF8" s="1"/>
      <c r="AG8" s="3"/>
      <c r="AH8" s="3"/>
      <c r="AI8" s="3"/>
      <c r="AJ8" s="3"/>
      <c r="AK8" s="3"/>
      <c r="AL8" s="3"/>
      <c r="AM8" s="3"/>
      <c r="AN8" s="1"/>
      <c r="AO8" s="1"/>
      <c r="AP8" s="3"/>
      <c r="AQ8" s="3"/>
      <c r="AR8" s="3"/>
      <c r="AS8" s="3"/>
      <c r="AT8" s="3"/>
      <c r="AU8" s="3"/>
      <c r="AV8" s="3"/>
      <c r="AW8" s="3"/>
      <c r="AX8" s="1" t="s">
        <v>136</v>
      </c>
      <c r="AY8" s="3" t="s">
        <v>95</v>
      </c>
      <c r="AZ8" s="3"/>
      <c r="BA8" s="3" t="s">
        <v>725</v>
      </c>
      <c r="BB8" s="3"/>
      <c r="BC8" s="3"/>
      <c r="BD8" s="3"/>
      <c r="BE8" s="3"/>
      <c r="BF8" s="3"/>
      <c r="BG8" s="3"/>
      <c r="BH8" s="3"/>
    </row>
    <row r="9" spans="1:66" ht="140.25">
      <c r="A9" s="2">
        <v>44498.390571875003</v>
      </c>
      <c r="B9" s="3" t="s">
        <v>137</v>
      </c>
      <c r="C9" s="1" t="s">
        <v>138</v>
      </c>
      <c r="D9" s="3"/>
      <c r="E9" s="1" t="s">
        <v>137</v>
      </c>
      <c r="F9" s="1" t="s">
        <v>139</v>
      </c>
      <c r="G9" s="1" t="s">
        <v>140</v>
      </c>
      <c r="H9" s="1" t="s">
        <v>56</v>
      </c>
      <c r="I9" s="3" t="s">
        <v>57</v>
      </c>
      <c r="J9" s="1" t="s">
        <v>58</v>
      </c>
      <c r="K9" s="3"/>
      <c r="L9" s="3"/>
      <c r="M9" s="1" t="s">
        <v>85</v>
      </c>
      <c r="N9" s="1"/>
      <c r="O9" s="5" t="s">
        <v>141</v>
      </c>
      <c r="P9" s="3" t="s">
        <v>87</v>
      </c>
      <c r="Q9" s="1" t="s">
        <v>142</v>
      </c>
      <c r="R9" s="1" t="s">
        <v>143</v>
      </c>
      <c r="S9" s="1"/>
      <c r="T9" s="3">
        <v>16</v>
      </c>
      <c r="U9" s="3">
        <v>40</v>
      </c>
      <c r="V9" s="3">
        <v>32</v>
      </c>
      <c r="W9" s="3">
        <v>192</v>
      </c>
      <c r="X9" s="1" t="s">
        <v>144</v>
      </c>
      <c r="Y9" s="1" t="s">
        <v>91</v>
      </c>
      <c r="Z9" s="5" t="s">
        <v>77</v>
      </c>
      <c r="AA9" s="5" t="s">
        <v>77</v>
      </c>
      <c r="AC9" s="1" t="s">
        <v>107</v>
      </c>
      <c r="AD9" s="1"/>
      <c r="AE9" s="3" t="s">
        <v>108</v>
      </c>
      <c r="AF9" s="1" t="s">
        <v>145</v>
      </c>
      <c r="AG9" s="3"/>
      <c r="AH9" s="3"/>
      <c r="AI9" s="3"/>
      <c r="AJ9" s="3"/>
      <c r="AK9" s="3"/>
      <c r="AL9" s="3"/>
      <c r="AM9" s="3"/>
      <c r="AN9" s="1"/>
      <c r="AO9" s="1"/>
      <c r="AP9" s="3"/>
      <c r="AQ9" s="3"/>
      <c r="AR9" s="3"/>
      <c r="AS9" s="3"/>
      <c r="AT9" s="3"/>
      <c r="AU9" s="3"/>
      <c r="AV9" s="3"/>
      <c r="AW9" s="3" t="s">
        <v>146</v>
      </c>
      <c r="AX9" s="1"/>
      <c r="AY9" s="3" t="s">
        <v>95</v>
      </c>
      <c r="AZ9" s="3"/>
      <c r="BA9" s="3" t="s">
        <v>726</v>
      </c>
      <c r="BB9" s="3"/>
      <c r="BC9" s="3"/>
      <c r="BD9" s="3"/>
      <c r="BE9" s="3"/>
      <c r="BF9" s="3"/>
      <c r="BG9" s="3"/>
      <c r="BH9" s="3"/>
    </row>
    <row r="10" spans="1:66" ht="25.5">
      <c r="A10" s="2">
        <v>44501.734439548614</v>
      </c>
      <c r="B10" s="3" t="s">
        <v>147</v>
      </c>
      <c r="C10" s="1" t="s">
        <v>148</v>
      </c>
      <c r="D10" s="3"/>
      <c r="E10" s="1" t="s">
        <v>147</v>
      </c>
      <c r="F10" s="1" t="s">
        <v>149</v>
      </c>
      <c r="G10" s="1" t="s">
        <v>150</v>
      </c>
      <c r="H10" s="1" t="s">
        <v>56</v>
      </c>
      <c r="I10" s="3" t="s">
        <v>57</v>
      </c>
      <c r="J10" s="1" t="s">
        <v>99</v>
      </c>
      <c r="K10" s="3"/>
      <c r="L10" s="3"/>
      <c r="M10" s="1" t="s">
        <v>151</v>
      </c>
      <c r="N10" s="1" t="s">
        <v>152</v>
      </c>
      <c r="O10" s="3" t="s">
        <v>153</v>
      </c>
      <c r="P10" s="3" t="s">
        <v>154</v>
      </c>
      <c r="Q10" s="1" t="s">
        <v>155</v>
      </c>
      <c r="R10" s="1" t="s">
        <v>156</v>
      </c>
      <c r="S10" s="1" t="s">
        <v>157</v>
      </c>
      <c r="T10" s="3">
        <v>24</v>
      </c>
      <c r="U10" s="3">
        <v>24</v>
      </c>
      <c r="V10" s="3">
        <v>32</v>
      </c>
      <c r="W10" s="3">
        <v>32</v>
      </c>
      <c r="X10" s="1" t="s">
        <v>158</v>
      </c>
      <c r="Y10" s="1" t="s">
        <v>159</v>
      </c>
      <c r="Z10" s="5" t="s">
        <v>77</v>
      </c>
      <c r="AB10" s="5" t="s">
        <v>77</v>
      </c>
      <c r="AC10" s="1" t="s">
        <v>160</v>
      </c>
      <c r="AD10" s="1" t="s">
        <v>161</v>
      </c>
      <c r="AE10" s="3" t="s">
        <v>108</v>
      </c>
      <c r="AF10" s="1" t="s">
        <v>162</v>
      </c>
      <c r="AG10" s="3"/>
      <c r="AH10" s="3"/>
      <c r="AI10" s="3"/>
      <c r="AJ10" s="3"/>
      <c r="AK10" s="3"/>
      <c r="AL10" s="3"/>
      <c r="AM10" s="3"/>
      <c r="AN10" s="1"/>
      <c r="AO10" s="1"/>
      <c r="AP10" s="3"/>
      <c r="AQ10" s="3"/>
      <c r="AR10" s="3"/>
      <c r="AS10" s="3"/>
      <c r="AT10" s="3"/>
      <c r="AU10" s="3"/>
      <c r="AV10" s="3"/>
      <c r="AW10" s="3" t="s">
        <v>149</v>
      </c>
      <c r="AX10" s="1"/>
      <c r="AY10" s="3" t="s">
        <v>95</v>
      </c>
      <c r="AZ10" s="3"/>
      <c r="BA10" s="3" t="s">
        <v>727</v>
      </c>
      <c r="BB10" s="3"/>
      <c r="BC10" s="3"/>
      <c r="BD10" s="3"/>
      <c r="BE10" s="3"/>
      <c r="BF10" s="3"/>
      <c r="BG10" s="3"/>
      <c r="BH10" s="3"/>
    </row>
    <row r="11" spans="1:66" ht="25.5">
      <c r="A11" s="2">
        <v>44523.592607951388</v>
      </c>
      <c r="B11" s="3" t="s">
        <v>53</v>
      </c>
      <c r="C11" s="1" t="s">
        <v>163</v>
      </c>
      <c r="E11" s="1" t="s">
        <v>53</v>
      </c>
      <c r="F11" s="1" t="s">
        <v>164</v>
      </c>
      <c r="G11" s="1" t="s">
        <v>165</v>
      </c>
      <c r="H11" s="1" t="s">
        <v>56</v>
      </c>
      <c r="I11" s="3" t="s">
        <v>57</v>
      </c>
      <c r="J11" s="1" t="s">
        <v>58</v>
      </c>
      <c r="M11" s="1" t="s">
        <v>59</v>
      </c>
      <c r="N11" s="1" t="s">
        <v>166</v>
      </c>
      <c r="O11" s="5" t="s">
        <v>167</v>
      </c>
      <c r="P11" s="3" t="s">
        <v>61</v>
      </c>
      <c r="Q11" s="1"/>
      <c r="R11" s="1"/>
      <c r="S11" s="1"/>
      <c r="X11" s="3" t="s">
        <v>64</v>
      </c>
      <c r="Y11" s="1"/>
      <c r="AC11" s="1"/>
      <c r="AD11" s="1"/>
      <c r="AF11" s="1"/>
      <c r="AN11" s="1"/>
      <c r="AO11" s="1"/>
      <c r="AX11" s="1"/>
    </row>
    <row r="12" spans="1:66" ht="76.5">
      <c r="A12" s="2">
        <v>44530.391585370366</v>
      </c>
      <c r="B12" s="3" t="s">
        <v>96</v>
      </c>
      <c r="C12" s="1" t="s">
        <v>168</v>
      </c>
      <c r="D12" s="3"/>
      <c r="E12" s="1" t="s">
        <v>96</v>
      </c>
      <c r="F12" s="1" t="s">
        <v>169</v>
      </c>
      <c r="G12" s="1" t="s">
        <v>170</v>
      </c>
      <c r="H12" s="1" t="s">
        <v>56</v>
      </c>
      <c r="I12" s="3" t="s">
        <v>57</v>
      </c>
      <c r="J12" s="1" t="s">
        <v>99</v>
      </c>
      <c r="K12" s="3"/>
      <c r="L12" s="3"/>
      <c r="M12" s="1" t="s">
        <v>85</v>
      </c>
      <c r="N12" s="1" t="s">
        <v>171</v>
      </c>
      <c r="O12" s="5" t="s">
        <v>172</v>
      </c>
      <c r="P12" s="3" t="s">
        <v>87</v>
      </c>
      <c r="Q12" s="1" t="s">
        <v>173</v>
      </c>
      <c r="R12" s="1" t="s">
        <v>174</v>
      </c>
      <c r="S12" s="1"/>
      <c r="T12" s="3">
        <v>16</v>
      </c>
      <c r="U12" s="3">
        <v>24</v>
      </c>
      <c r="V12" s="3">
        <v>64</v>
      </c>
      <c r="W12" s="3">
        <v>192</v>
      </c>
      <c r="X12" s="1" t="s">
        <v>175</v>
      </c>
      <c r="Y12" s="1" t="s">
        <v>176</v>
      </c>
      <c r="Z12" s="5" t="s">
        <v>106</v>
      </c>
      <c r="AB12" s="5" t="s">
        <v>106</v>
      </c>
      <c r="AC12" s="1" t="s">
        <v>116</v>
      </c>
      <c r="AD12" s="1"/>
      <c r="AE12" s="3" t="s">
        <v>108</v>
      </c>
      <c r="AF12" s="1" t="s">
        <v>177</v>
      </c>
      <c r="AG12" s="3"/>
      <c r="AH12" s="3"/>
      <c r="AI12" s="3"/>
      <c r="AJ12" s="3"/>
      <c r="AK12" s="3"/>
      <c r="AL12" s="3"/>
      <c r="AM12" s="3"/>
      <c r="AN12" s="1"/>
      <c r="AO12" s="1"/>
      <c r="AP12" s="3"/>
      <c r="AQ12" s="3"/>
      <c r="AR12" s="3"/>
      <c r="AS12" s="3"/>
      <c r="AT12" s="3"/>
      <c r="AU12" s="3"/>
      <c r="AV12" s="3" t="s">
        <v>94</v>
      </c>
      <c r="AW12" s="3"/>
      <c r="AX12" s="1"/>
      <c r="AY12" s="3" t="s">
        <v>95</v>
      </c>
      <c r="AZ12" s="3"/>
      <c r="BA12" s="3" t="s">
        <v>728</v>
      </c>
      <c r="BB12" s="3"/>
      <c r="BC12" s="3"/>
      <c r="BD12" s="3"/>
      <c r="BE12" s="3"/>
      <c r="BF12" s="3"/>
      <c r="BG12" s="3"/>
      <c r="BH12" s="3"/>
    </row>
    <row r="13" spans="1:66" ht="25.5">
      <c r="A13" s="2">
        <v>44545.540815011569</v>
      </c>
      <c r="B13" s="3" t="s">
        <v>178</v>
      </c>
      <c r="C13" s="1" t="s">
        <v>179</v>
      </c>
      <c r="E13" s="1" t="s">
        <v>178</v>
      </c>
      <c r="F13" s="1" t="s">
        <v>180</v>
      </c>
      <c r="G13" s="1" t="s">
        <v>181</v>
      </c>
      <c r="H13" s="1" t="s">
        <v>56</v>
      </c>
      <c r="I13" s="3" t="s">
        <v>57</v>
      </c>
      <c r="J13" s="1" t="s">
        <v>99</v>
      </c>
      <c r="M13" s="1" t="s">
        <v>85</v>
      </c>
      <c r="N13" s="1" t="s">
        <v>182</v>
      </c>
      <c r="O13" s="5" t="s">
        <v>183</v>
      </c>
      <c r="P13" s="3" t="s">
        <v>87</v>
      </c>
      <c r="Q13" s="1" t="s">
        <v>184</v>
      </c>
      <c r="R13" s="1" t="s">
        <v>57</v>
      </c>
      <c r="S13" s="1"/>
      <c r="T13" s="3">
        <v>16</v>
      </c>
      <c r="U13" s="3">
        <v>16</v>
      </c>
      <c r="V13" s="3">
        <v>192</v>
      </c>
      <c r="W13" s="3">
        <v>192</v>
      </c>
      <c r="X13" s="1" t="s">
        <v>75</v>
      </c>
      <c r="Y13" s="1" t="s">
        <v>185</v>
      </c>
      <c r="Z13" s="5" t="s">
        <v>77</v>
      </c>
      <c r="AC13" s="1" t="s">
        <v>134</v>
      </c>
      <c r="AD13" s="1"/>
      <c r="AE13" s="3" t="s">
        <v>186</v>
      </c>
      <c r="AF13" s="1"/>
      <c r="AN13" s="1"/>
      <c r="AO13" s="1"/>
      <c r="AW13" s="3" t="s">
        <v>146</v>
      </c>
      <c r="AX13" s="1"/>
      <c r="AY13" s="3" t="s">
        <v>95</v>
      </c>
      <c r="BA13" t="s">
        <v>729</v>
      </c>
    </row>
    <row r="14" spans="1:66" ht="51">
      <c r="A14" s="2">
        <v>44552.881811956016</v>
      </c>
      <c r="B14" s="3" t="s">
        <v>187</v>
      </c>
      <c r="C14" s="1" t="s">
        <v>188</v>
      </c>
      <c r="D14" s="3"/>
      <c r="E14" s="1" t="s">
        <v>187</v>
      </c>
      <c r="F14" s="1" t="s">
        <v>189</v>
      </c>
      <c r="G14" s="1" t="s">
        <v>190</v>
      </c>
      <c r="H14" s="1" t="s">
        <v>56</v>
      </c>
      <c r="I14" s="3" t="s">
        <v>57</v>
      </c>
      <c r="J14" s="1" t="s">
        <v>58</v>
      </c>
      <c r="K14" s="3"/>
      <c r="L14" s="3"/>
      <c r="M14" s="1" t="s">
        <v>85</v>
      </c>
      <c r="N14" s="1" t="s">
        <v>191</v>
      </c>
      <c r="O14" s="3" t="s">
        <v>192</v>
      </c>
      <c r="P14" s="3" t="s">
        <v>193</v>
      </c>
      <c r="Q14" s="1" t="s">
        <v>194</v>
      </c>
      <c r="R14" s="1" t="s">
        <v>195</v>
      </c>
      <c r="S14" s="1"/>
      <c r="T14" s="3">
        <v>24</v>
      </c>
      <c r="U14" s="3">
        <v>40</v>
      </c>
      <c r="V14" s="3">
        <v>64</v>
      </c>
      <c r="W14" s="3">
        <v>192</v>
      </c>
      <c r="X14" s="1" t="s">
        <v>75</v>
      </c>
      <c r="Y14" s="1" t="s">
        <v>91</v>
      </c>
      <c r="Z14" s="5" t="s">
        <v>77</v>
      </c>
      <c r="AC14" s="1" t="s">
        <v>196</v>
      </c>
      <c r="AD14" s="1" t="s">
        <v>197</v>
      </c>
      <c r="AE14" s="3" t="s">
        <v>108</v>
      </c>
      <c r="AF14" s="1" t="s">
        <v>198</v>
      </c>
      <c r="AG14" s="3"/>
      <c r="AH14" s="3"/>
      <c r="AI14" s="3"/>
      <c r="AJ14" s="3"/>
      <c r="AK14" s="3"/>
      <c r="AL14" s="3"/>
      <c r="AM14" s="3"/>
      <c r="AN14" s="1"/>
      <c r="AO14" s="1"/>
      <c r="AP14" s="3"/>
      <c r="AQ14" s="3"/>
      <c r="AR14" s="3"/>
      <c r="AS14" s="3"/>
      <c r="AT14" s="3"/>
      <c r="AU14" s="3"/>
      <c r="AV14" s="3"/>
      <c r="AW14" s="3"/>
      <c r="AX14" s="1" t="s">
        <v>136</v>
      </c>
      <c r="AY14" s="3" t="s">
        <v>95</v>
      </c>
      <c r="AZ14" s="3"/>
      <c r="BA14" s="3" t="s">
        <v>730</v>
      </c>
      <c r="BB14" s="3"/>
      <c r="BC14" s="3"/>
      <c r="BD14" s="3"/>
      <c r="BE14" s="3"/>
      <c r="BF14" s="3"/>
      <c r="BG14" s="3"/>
      <c r="BH14" s="3"/>
    </row>
    <row r="15" spans="1:66" ht="12.75">
      <c r="A15" s="2">
        <v>44603.597488888889</v>
      </c>
      <c r="B15" s="3" t="s">
        <v>147</v>
      </c>
      <c r="C15" s="1" t="s">
        <v>199</v>
      </c>
      <c r="E15" s="1" t="s">
        <v>147</v>
      </c>
      <c r="F15" s="1" t="s">
        <v>200</v>
      </c>
      <c r="G15" s="1" t="s">
        <v>150</v>
      </c>
      <c r="H15" s="1" t="s">
        <v>56</v>
      </c>
      <c r="I15" s="3" t="s">
        <v>57</v>
      </c>
      <c r="J15" s="1" t="s">
        <v>99</v>
      </c>
      <c r="M15" s="1" t="s">
        <v>85</v>
      </c>
      <c r="N15" s="1"/>
      <c r="O15" s="5" t="s">
        <v>201</v>
      </c>
      <c r="P15" s="3" t="s">
        <v>87</v>
      </c>
      <c r="Q15" s="1" t="s">
        <v>202</v>
      </c>
      <c r="R15" s="1" t="s">
        <v>203</v>
      </c>
      <c r="S15" s="1" t="s">
        <v>204</v>
      </c>
      <c r="T15" s="3">
        <v>4</v>
      </c>
      <c r="U15" s="3">
        <v>4</v>
      </c>
      <c r="V15" s="3">
        <v>32</v>
      </c>
      <c r="W15" s="3">
        <v>64</v>
      </c>
      <c r="X15" s="1" t="s">
        <v>205</v>
      </c>
      <c r="Y15" s="1" t="s">
        <v>91</v>
      </c>
      <c r="Z15" s="5" t="s">
        <v>77</v>
      </c>
      <c r="AC15" s="1" t="s">
        <v>126</v>
      </c>
      <c r="AD15" s="1"/>
      <c r="AF15" s="1"/>
      <c r="AN15" s="1"/>
      <c r="AO15" s="1"/>
      <c r="AV15" s="3" t="s">
        <v>94</v>
      </c>
      <c r="AX15" s="1"/>
      <c r="AY15" s="3" t="s">
        <v>95</v>
      </c>
      <c r="BA15" t="s">
        <v>731</v>
      </c>
    </row>
    <row r="16" spans="1:66" ht="25.5">
      <c r="A16" s="2">
        <v>44613.741612060185</v>
      </c>
      <c r="B16" s="3" t="s">
        <v>206</v>
      </c>
      <c r="C16" s="1" t="s">
        <v>207</v>
      </c>
      <c r="E16" s="1" t="s">
        <v>206</v>
      </c>
      <c r="F16" s="1" t="s">
        <v>208</v>
      </c>
      <c r="G16" s="1" t="s">
        <v>209</v>
      </c>
      <c r="H16" s="1" t="s">
        <v>56</v>
      </c>
      <c r="I16" s="3" t="s">
        <v>57</v>
      </c>
      <c r="J16" s="1" t="s">
        <v>99</v>
      </c>
      <c r="M16" s="1" t="s">
        <v>85</v>
      </c>
      <c r="N16" s="1" t="s">
        <v>210</v>
      </c>
      <c r="O16" s="3" t="s">
        <v>211</v>
      </c>
      <c r="P16" s="3" t="s">
        <v>154</v>
      </c>
      <c r="Q16" s="1" t="s">
        <v>212</v>
      </c>
      <c r="R16" s="1" t="s">
        <v>213</v>
      </c>
      <c r="S16" s="1"/>
      <c r="X16" s="1" t="s">
        <v>214</v>
      </c>
      <c r="Y16" s="1" t="s">
        <v>215</v>
      </c>
      <c r="AB16" s="5" t="s">
        <v>77</v>
      </c>
      <c r="AC16" s="1" t="s">
        <v>126</v>
      </c>
      <c r="AD16" s="1" t="s">
        <v>216</v>
      </c>
      <c r="AE16" s="3" t="s">
        <v>217</v>
      </c>
      <c r="AF16" s="1" t="s">
        <v>218</v>
      </c>
      <c r="AJ16" s="3" t="s">
        <v>219</v>
      </c>
      <c r="AK16" s="3" t="s">
        <v>220</v>
      </c>
      <c r="AN16" s="1"/>
      <c r="AO16" s="1"/>
      <c r="AW16" s="3" t="s">
        <v>146</v>
      </c>
      <c r="AX16" s="1"/>
      <c r="AY16" s="3" t="s">
        <v>95</v>
      </c>
      <c r="BA16" s="3" t="s">
        <v>732</v>
      </c>
    </row>
    <row r="17" spans="1:60" ht="25.5">
      <c r="A17" s="2">
        <v>44613.825757129627</v>
      </c>
      <c r="B17" s="3" t="s">
        <v>221</v>
      </c>
      <c r="C17" s="1" t="s">
        <v>222</v>
      </c>
      <c r="D17" s="3"/>
      <c r="E17" s="1" t="s">
        <v>221</v>
      </c>
      <c r="F17" s="1" t="s">
        <v>223</v>
      </c>
      <c r="G17" s="1" t="s">
        <v>224</v>
      </c>
      <c r="H17" s="1" t="s">
        <v>56</v>
      </c>
      <c r="I17" s="3" t="s">
        <v>57</v>
      </c>
      <c r="J17" s="1" t="s">
        <v>99</v>
      </c>
      <c r="K17" s="3"/>
      <c r="L17" s="3"/>
      <c r="M17" s="1" t="s">
        <v>59</v>
      </c>
      <c r="N17" s="1" t="s">
        <v>225</v>
      </c>
      <c r="O17" s="3" t="s">
        <v>226</v>
      </c>
      <c r="P17" s="3" t="s">
        <v>227</v>
      </c>
      <c r="Q17" s="1" t="s">
        <v>228</v>
      </c>
      <c r="R17" s="1" t="s">
        <v>229</v>
      </c>
      <c r="S17" s="1"/>
      <c r="X17" s="3" t="s">
        <v>64</v>
      </c>
      <c r="Y17" s="1" t="s">
        <v>65</v>
      </c>
      <c r="Z17" s="3" t="s">
        <v>66</v>
      </c>
      <c r="AC17" s="1" t="s">
        <v>230</v>
      </c>
      <c r="AD17" s="1" t="s">
        <v>231</v>
      </c>
      <c r="AE17" s="3" t="s">
        <v>108</v>
      </c>
      <c r="AF17" s="1" t="s">
        <v>225</v>
      </c>
      <c r="AN17" s="1" t="s">
        <v>232</v>
      </c>
      <c r="AO17" s="1"/>
      <c r="AP17" s="3"/>
      <c r="AQ17" s="3"/>
      <c r="AR17" s="3"/>
      <c r="AS17" s="3"/>
      <c r="AT17" s="3"/>
      <c r="AU17" s="3"/>
      <c r="AV17" s="3"/>
      <c r="AW17" s="3"/>
      <c r="AX17" s="1"/>
      <c r="AY17" s="3"/>
      <c r="AZ17" s="3"/>
      <c r="BA17" s="3"/>
      <c r="BB17" s="3"/>
      <c r="BC17" s="3"/>
      <c r="BD17" s="3"/>
      <c r="BE17" s="3"/>
      <c r="BF17" s="3"/>
      <c r="BG17" s="3"/>
      <c r="BH17" s="3"/>
    </row>
    <row r="18" spans="1:60" ht="51">
      <c r="A18" s="2">
        <v>44623.473516759259</v>
      </c>
      <c r="B18" s="3" t="s">
        <v>221</v>
      </c>
      <c r="C18" s="1" t="s">
        <v>233</v>
      </c>
      <c r="E18" s="1" t="s">
        <v>221</v>
      </c>
      <c r="F18" s="1" t="s">
        <v>234</v>
      </c>
      <c r="G18" s="1" t="s">
        <v>224</v>
      </c>
      <c r="H18" s="1" t="s">
        <v>56</v>
      </c>
      <c r="I18" s="3" t="s">
        <v>57</v>
      </c>
      <c r="J18" s="1" t="s">
        <v>99</v>
      </c>
      <c r="M18" s="1" t="s">
        <v>59</v>
      </c>
      <c r="N18" s="1" t="s">
        <v>235</v>
      </c>
      <c r="O18" s="3" t="s">
        <v>236</v>
      </c>
      <c r="P18" s="3" t="s">
        <v>87</v>
      </c>
      <c r="Q18" s="1" t="s">
        <v>237</v>
      </c>
      <c r="R18" s="1" t="s">
        <v>238</v>
      </c>
      <c r="S18" s="1"/>
      <c r="X18" s="1" t="s">
        <v>239</v>
      </c>
      <c r="Y18" s="1" t="s">
        <v>240</v>
      </c>
      <c r="Z18" s="5" t="s">
        <v>77</v>
      </c>
      <c r="AA18" s="3" t="s">
        <v>66</v>
      </c>
      <c r="AC18" s="1" t="s">
        <v>241</v>
      </c>
      <c r="AD18" s="1"/>
      <c r="AE18" s="3" t="s">
        <v>108</v>
      </c>
      <c r="AF18" s="1" t="s">
        <v>235</v>
      </c>
      <c r="AI18" s="3" t="s">
        <v>219</v>
      </c>
      <c r="AK18" s="3" t="s">
        <v>220</v>
      </c>
      <c r="AN18" s="1"/>
      <c r="AO18" s="1"/>
      <c r="AX18" s="1"/>
      <c r="BA18" t="s">
        <v>733</v>
      </c>
    </row>
    <row r="19" spans="1:60" ht="38.25">
      <c r="A19" s="2">
        <v>44629.723561817125</v>
      </c>
      <c r="B19" s="3" t="s">
        <v>242</v>
      </c>
      <c r="C19" s="1" t="s">
        <v>243</v>
      </c>
      <c r="E19" s="1" t="s">
        <v>242</v>
      </c>
      <c r="F19" s="1" t="s">
        <v>244</v>
      </c>
      <c r="G19" s="1" t="s">
        <v>245</v>
      </c>
      <c r="H19" s="1" t="s">
        <v>56</v>
      </c>
      <c r="I19" s="3" t="s">
        <v>57</v>
      </c>
      <c r="J19" s="1" t="s">
        <v>99</v>
      </c>
      <c r="M19" s="1" t="s">
        <v>246</v>
      </c>
      <c r="N19" s="1" t="s">
        <v>247</v>
      </c>
      <c r="O19" s="5" t="s">
        <v>248</v>
      </c>
      <c r="P19" s="3" t="s">
        <v>87</v>
      </c>
      <c r="Q19" s="1" t="s">
        <v>249</v>
      </c>
      <c r="R19" s="1" t="s">
        <v>250</v>
      </c>
      <c r="S19" s="1" t="s">
        <v>251</v>
      </c>
      <c r="X19" s="1" t="s">
        <v>252</v>
      </c>
      <c r="Y19" s="1" t="s">
        <v>253</v>
      </c>
      <c r="Z19" s="5" t="s">
        <v>106</v>
      </c>
      <c r="AA19" s="5" t="s">
        <v>106</v>
      </c>
      <c r="AB19" s="5" t="s">
        <v>106</v>
      </c>
      <c r="AC19" s="1" t="s">
        <v>254</v>
      </c>
      <c r="AD19" s="1" t="s">
        <v>255</v>
      </c>
      <c r="AE19" s="3" t="s">
        <v>256</v>
      </c>
      <c r="AF19" s="1" t="s">
        <v>257</v>
      </c>
      <c r="AI19" s="3" t="s">
        <v>219</v>
      </c>
      <c r="AJ19" s="3" t="s">
        <v>220</v>
      </c>
      <c r="AN19" s="1"/>
      <c r="AO19" s="1"/>
      <c r="AX19" s="1"/>
      <c r="BA19" t="s">
        <v>734</v>
      </c>
    </row>
    <row r="20" spans="1:60" ht="76.5">
      <c r="A20" s="2">
        <v>44629.73377950232</v>
      </c>
      <c r="B20" s="3" t="s">
        <v>242</v>
      </c>
      <c r="C20" s="1" t="s">
        <v>258</v>
      </c>
      <c r="D20" s="3"/>
      <c r="E20" s="1" t="s">
        <v>242</v>
      </c>
      <c r="F20" s="1" t="s">
        <v>259</v>
      </c>
      <c r="G20" s="1" t="s">
        <v>245</v>
      </c>
      <c r="H20" s="1" t="s">
        <v>56</v>
      </c>
      <c r="I20" s="3" t="s">
        <v>57</v>
      </c>
      <c r="J20" s="1" t="s">
        <v>99</v>
      </c>
      <c r="K20" s="3"/>
      <c r="L20" s="3"/>
      <c r="M20" s="1" t="s">
        <v>85</v>
      </c>
      <c r="N20" s="1" t="s">
        <v>260</v>
      </c>
      <c r="O20" s="5" t="s">
        <v>248</v>
      </c>
      <c r="P20" s="3" t="s">
        <v>261</v>
      </c>
      <c r="Q20" s="1" t="s">
        <v>262</v>
      </c>
      <c r="R20" s="1" t="s">
        <v>263</v>
      </c>
      <c r="S20" s="1" t="s">
        <v>264</v>
      </c>
      <c r="X20" s="1" t="s">
        <v>252</v>
      </c>
      <c r="Y20" s="1" t="s">
        <v>265</v>
      </c>
      <c r="AA20" s="5" t="s">
        <v>77</v>
      </c>
      <c r="AB20" s="5" t="s">
        <v>77</v>
      </c>
      <c r="AC20" s="1" t="s">
        <v>266</v>
      </c>
      <c r="AD20" s="1"/>
      <c r="AE20" s="3" t="s">
        <v>256</v>
      </c>
      <c r="AF20" s="1" t="s">
        <v>267</v>
      </c>
      <c r="AI20" s="3" t="s">
        <v>219</v>
      </c>
      <c r="AJ20" s="3" t="s">
        <v>220</v>
      </c>
      <c r="AN20" s="1" t="s">
        <v>268</v>
      </c>
      <c r="AO20" s="1"/>
      <c r="AP20" s="3"/>
      <c r="AQ20" s="3"/>
      <c r="AR20" s="3"/>
      <c r="AS20" s="3"/>
      <c r="AT20" s="3"/>
      <c r="AU20" s="3"/>
      <c r="AV20" s="3"/>
      <c r="AW20" s="3"/>
      <c r="AX20" s="1"/>
      <c r="AY20" s="3"/>
      <c r="AZ20" s="3"/>
      <c r="BA20" s="3"/>
      <c r="BB20" s="3"/>
      <c r="BC20" s="3"/>
      <c r="BD20" s="3"/>
      <c r="BE20" s="3"/>
      <c r="BF20" s="3"/>
      <c r="BG20" s="3"/>
      <c r="BH20" s="3"/>
    </row>
    <row r="21" spans="1:60" ht="63.75">
      <c r="A21" s="2">
        <v>44644.58080304398</v>
      </c>
      <c r="B21" s="3" t="s">
        <v>53</v>
      </c>
      <c r="C21" s="1" t="s">
        <v>269</v>
      </c>
      <c r="E21" s="1" t="s">
        <v>53</v>
      </c>
      <c r="F21" s="1" t="s">
        <v>270</v>
      </c>
      <c r="G21" s="1" t="s">
        <v>165</v>
      </c>
      <c r="H21" s="1" t="s">
        <v>56</v>
      </c>
      <c r="I21" s="3" t="s">
        <v>57</v>
      </c>
      <c r="J21" s="1" t="s">
        <v>58</v>
      </c>
      <c r="M21" s="1" t="s">
        <v>85</v>
      </c>
      <c r="N21" s="1" t="s">
        <v>271</v>
      </c>
      <c r="O21" s="3" t="s">
        <v>272</v>
      </c>
      <c r="P21" s="3" t="s">
        <v>87</v>
      </c>
      <c r="Q21" s="1" t="s">
        <v>273</v>
      </c>
      <c r="R21" s="1" t="s">
        <v>274</v>
      </c>
      <c r="S21" s="1"/>
      <c r="X21" s="1" t="s">
        <v>275</v>
      </c>
      <c r="Y21" s="1" t="s">
        <v>76</v>
      </c>
      <c r="Z21" s="5" t="s">
        <v>77</v>
      </c>
      <c r="AC21" s="1" t="s">
        <v>276</v>
      </c>
      <c r="AD21" s="1"/>
      <c r="AE21" s="3" t="s">
        <v>108</v>
      </c>
      <c r="AF21" s="1" t="s">
        <v>277</v>
      </c>
      <c r="AJ21" s="3" t="s">
        <v>219</v>
      </c>
      <c r="AK21" s="3" t="s">
        <v>220</v>
      </c>
      <c r="AN21" s="1"/>
      <c r="AO21" s="1"/>
      <c r="AW21" s="3" t="s">
        <v>146</v>
      </c>
      <c r="AX21" s="1"/>
      <c r="AY21" s="3" t="s">
        <v>95</v>
      </c>
      <c r="BA21" t="s">
        <v>735</v>
      </c>
    </row>
    <row r="22" spans="1:60" ht="76.5">
      <c r="A22" s="2">
        <v>44650.530157511574</v>
      </c>
      <c r="B22" s="3" t="s">
        <v>278</v>
      </c>
      <c r="C22" s="1" t="s">
        <v>279</v>
      </c>
      <c r="D22" s="3"/>
      <c r="E22" s="1" t="s">
        <v>278</v>
      </c>
      <c r="F22" s="1" t="s">
        <v>280</v>
      </c>
      <c r="G22" s="1" t="s">
        <v>281</v>
      </c>
      <c r="H22" s="1" t="s">
        <v>56</v>
      </c>
      <c r="I22" s="3" t="s">
        <v>57</v>
      </c>
      <c r="J22" s="1" t="s">
        <v>99</v>
      </c>
      <c r="K22" s="3"/>
      <c r="L22" s="3"/>
      <c r="M22" s="1" t="s">
        <v>85</v>
      </c>
      <c r="N22" s="1" t="s">
        <v>282</v>
      </c>
      <c r="O22" s="5" t="s">
        <v>283</v>
      </c>
      <c r="P22" s="3" t="s">
        <v>87</v>
      </c>
      <c r="Q22" s="1" t="s">
        <v>284</v>
      </c>
      <c r="R22" s="1" t="s">
        <v>285</v>
      </c>
      <c r="S22" s="1" t="s">
        <v>286</v>
      </c>
      <c r="X22" s="1" t="s">
        <v>214</v>
      </c>
      <c r="Y22" s="1" t="s">
        <v>287</v>
      </c>
      <c r="Z22" s="5" t="s">
        <v>77</v>
      </c>
      <c r="AC22" s="1" t="s">
        <v>288</v>
      </c>
      <c r="AD22" s="1"/>
      <c r="AE22" s="3" t="s">
        <v>108</v>
      </c>
      <c r="AF22" s="1"/>
      <c r="AJ22" s="3" t="s">
        <v>219</v>
      </c>
      <c r="AN22" s="1" t="s">
        <v>286</v>
      </c>
      <c r="AO22" s="1"/>
      <c r="AP22" s="3"/>
      <c r="AQ22" s="3"/>
      <c r="AR22" s="3"/>
      <c r="AS22" s="3"/>
      <c r="AT22" s="3"/>
      <c r="AU22" s="3"/>
      <c r="AV22" s="3" t="s">
        <v>94</v>
      </c>
      <c r="AW22" s="3"/>
      <c r="AX22" s="1"/>
      <c r="AY22" s="3" t="s">
        <v>95</v>
      </c>
      <c r="AZ22" s="3"/>
      <c r="BA22" s="3" t="s">
        <v>736</v>
      </c>
      <c r="BB22" s="3"/>
      <c r="BC22" s="3"/>
      <c r="BD22" s="3"/>
      <c r="BE22" s="3"/>
      <c r="BF22" s="3"/>
      <c r="BG22" s="3"/>
      <c r="BH22" s="3"/>
    </row>
    <row r="23" spans="1:60" ht="25.5">
      <c r="A23" s="2">
        <v>44656.54327840278</v>
      </c>
      <c r="B23" s="3" t="s">
        <v>289</v>
      </c>
      <c r="C23" s="1" t="s">
        <v>290</v>
      </c>
      <c r="D23" s="3"/>
      <c r="E23" s="1" t="s">
        <v>289</v>
      </c>
      <c r="F23" s="1" t="s">
        <v>291</v>
      </c>
      <c r="G23" s="1" t="s">
        <v>292</v>
      </c>
      <c r="H23" s="1" t="s">
        <v>56</v>
      </c>
      <c r="I23" s="3" t="s">
        <v>57</v>
      </c>
      <c r="J23" s="1" t="s">
        <v>293</v>
      </c>
      <c r="K23" s="3"/>
      <c r="L23" s="3"/>
      <c r="M23" s="1" t="s">
        <v>85</v>
      </c>
      <c r="N23" s="1" t="s">
        <v>294</v>
      </c>
      <c r="O23" s="3" t="s">
        <v>295</v>
      </c>
      <c r="P23" s="3" t="s">
        <v>87</v>
      </c>
      <c r="Q23" s="1" t="s">
        <v>296</v>
      </c>
      <c r="R23" s="1" t="s">
        <v>297</v>
      </c>
      <c r="S23" s="1" t="s">
        <v>298</v>
      </c>
      <c r="X23" s="1" t="s">
        <v>299</v>
      </c>
      <c r="Y23" s="1" t="s">
        <v>125</v>
      </c>
      <c r="Z23" s="5" t="s">
        <v>106</v>
      </c>
      <c r="AC23" s="1"/>
      <c r="AD23" s="1" t="s">
        <v>300</v>
      </c>
      <c r="AE23" s="3" t="s">
        <v>217</v>
      </c>
      <c r="AF23" s="1" t="s">
        <v>301</v>
      </c>
      <c r="AN23" s="1" t="s">
        <v>302</v>
      </c>
      <c r="AO23" s="1"/>
      <c r="AP23" s="3"/>
      <c r="AQ23" s="3"/>
      <c r="AR23" s="3"/>
      <c r="AS23" s="3"/>
      <c r="AT23" s="3"/>
      <c r="AU23" s="3"/>
      <c r="AV23" s="3"/>
      <c r="AW23" s="3"/>
      <c r="AX23" s="1" t="s">
        <v>303</v>
      </c>
      <c r="AY23" s="3" t="s">
        <v>304</v>
      </c>
      <c r="AZ23" s="3"/>
      <c r="BA23" s="3" t="s">
        <v>737</v>
      </c>
      <c r="BB23" s="3"/>
      <c r="BC23" s="3"/>
      <c r="BD23" s="3"/>
      <c r="BE23" s="3"/>
      <c r="BF23" s="3"/>
      <c r="BG23" s="3"/>
      <c r="BH23" s="3"/>
    </row>
    <row r="24" spans="1:60" ht="12.75">
      <c r="A24" s="2">
        <v>44669.50615721065</v>
      </c>
      <c r="B24" s="3" t="s">
        <v>305</v>
      </c>
      <c r="C24" s="1" t="s">
        <v>306</v>
      </c>
      <c r="E24" s="1" t="s">
        <v>305</v>
      </c>
      <c r="F24" s="1" t="s">
        <v>307</v>
      </c>
      <c r="G24" s="1" t="s">
        <v>308</v>
      </c>
      <c r="H24" s="1" t="s">
        <v>309</v>
      </c>
      <c r="I24" s="3" t="s">
        <v>310</v>
      </c>
      <c r="J24" s="1"/>
      <c r="M24" s="1" t="s">
        <v>85</v>
      </c>
      <c r="N24" s="1"/>
      <c r="O24" s="5" t="s">
        <v>311</v>
      </c>
      <c r="P24" s="3" t="s">
        <v>87</v>
      </c>
      <c r="Q24" s="1" t="s">
        <v>312</v>
      </c>
      <c r="R24" s="1" t="s">
        <v>313</v>
      </c>
      <c r="S24" s="1"/>
      <c r="X24" s="1" t="s">
        <v>133</v>
      </c>
      <c r="Y24" s="1" t="s">
        <v>314</v>
      </c>
      <c r="Z24" s="5" t="s">
        <v>77</v>
      </c>
      <c r="AB24" s="5" t="s">
        <v>77</v>
      </c>
      <c r="AC24" s="1" t="s">
        <v>315</v>
      </c>
      <c r="AD24" s="1"/>
      <c r="AE24" s="3" t="s">
        <v>108</v>
      </c>
      <c r="AF24" s="1"/>
      <c r="AJ24" s="3" t="s">
        <v>219</v>
      </c>
      <c r="AK24" s="3" t="s">
        <v>220</v>
      </c>
      <c r="AN24" s="1"/>
      <c r="AO24" s="1"/>
      <c r="AV24" s="3" t="s">
        <v>94</v>
      </c>
      <c r="AW24" s="3"/>
      <c r="AX24" s="1"/>
      <c r="AY24" s="3" t="s">
        <v>95</v>
      </c>
      <c r="BA24" t="s">
        <v>738</v>
      </c>
    </row>
    <row r="25" spans="1:60" ht="51">
      <c r="A25" s="2">
        <v>44669.628972928243</v>
      </c>
      <c r="B25" s="3" t="s">
        <v>316</v>
      </c>
      <c r="C25" s="1" t="s">
        <v>317</v>
      </c>
      <c r="E25" s="1" t="s">
        <v>316</v>
      </c>
      <c r="F25" s="1" t="s">
        <v>318</v>
      </c>
      <c r="G25" s="1" t="s">
        <v>319</v>
      </c>
      <c r="H25" s="1" t="s">
        <v>56</v>
      </c>
      <c r="I25" s="3" t="s">
        <v>57</v>
      </c>
      <c r="J25" s="1" t="s">
        <v>99</v>
      </c>
      <c r="M25" s="1" t="s">
        <v>85</v>
      </c>
      <c r="N25" s="1" t="s">
        <v>320</v>
      </c>
      <c r="O25" s="3" t="s">
        <v>321</v>
      </c>
      <c r="P25" s="3" t="s">
        <v>87</v>
      </c>
      <c r="Q25" s="1" t="s">
        <v>322</v>
      </c>
      <c r="R25" s="1" t="s">
        <v>323</v>
      </c>
      <c r="S25" s="1"/>
      <c r="X25" s="1" t="s">
        <v>133</v>
      </c>
      <c r="Y25" s="1" t="s">
        <v>324</v>
      </c>
      <c r="Z25" s="5" t="s">
        <v>77</v>
      </c>
      <c r="AC25" s="1" t="s">
        <v>325</v>
      </c>
      <c r="AD25" s="1" t="s">
        <v>326</v>
      </c>
      <c r="AE25" s="3" t="s">
        <v>217</v>
      </c>
      <c r="AF25" s="1" t="s">
        <v>327</v>
      </c>
      <c r="AJ25" s="3" t="s">
        <v>219</v>
      </c>
      <c r="AK25" s="3" t="s">
        <v>219</v>
      </c>
      <c r="AL25" s="3" t="s">
        <v>220</v>
      </c>
      <c r="AN25" s="1"/>
      <c r="AO25" s="1"/>
      <c r="AW25" s="3" t="s">
        <v>146</v>
      </c>
      <c r="AX25" s="1"/>
      <c r="AY25" s="3" t="s">
        <v>95</v>
      </c>
    </row>
    <row r="26" spans="1:60" ht="12.75">
      <c r="A26" s="2">
        <v>44671.4329625463</v>
      </c>
      <c r="B26" s="3" t="s">
        <v>328</v>
      </c>
      <c r="C26" s="1" t="s">
        <v>329</v>
      </c>
      <c r="E26" s="1" t="s">
        <v>328</v>
      </c>
      <c r="F26" s="1" t="s">
        <v>330</v>
      </c>
      <c r="G26" s="1" t="s">
        <v>331</v>
      </c>
      <c r="H26" s="1" t="s">
        <v>56</v>
      </c>
      <c r="I26" s="3" t="s">
        <v>57</v>
      </c>
      <c r="J26" s="1"/>
      <c r="M26" s="1" t="s">
        <v>246</v>
      </c>
      <c r="N26" s="1"/>
      <c r="O26" s="3" t="s">
        <v>332</v>
      </c>
      <c r="P26" s="3" t="s">
        <v>333</v>
      </c>
      <c r="Q26" s="1" t="s">
        <v>333</v>
      </c>
      <c r="R26" s="1" t="s">
        <v>334</v>
      </c>
      <c r="S26" s="1"/>
      <c r="X26" s="1" t="s">
        <v>239</v>
      </c>
      <c r="Y26" s="1" t="s">
        <v>215</v>
      </c>
      <c r="AC26" s="1"/>
      <c r="AD26" s="1"/>
      <c r="AE26" s="3" t="s">
        <v>217</v>
      </c>
      <c r="AF26" s="1"/>
      <c r="AJ26" s="3" t="s">
        <v>219</v>
      </c>
      <c r="AN26" s="1"/>
      <c r="AO26" s="1"/>
      <c r="AX26" s="1"/>
    </row>
    <row r="27" spans="1:60" ht="25.5">
      <c r="A27" s="2">
        <v>44713.548779525459</v>
      </c>
      <c r="B27" s="3" t="s">
        <v>335</v>
      </c>
      <c r="C27" s="1" t="s">
        <v>336</v>
      </c>
      <c r="E27" s="1" t="s">
        <v>335</v>
      </c>
      <c r="F27" s="1" t="s">
        <v>337</v>
      </c>
      <c r="G27" s="1" t="s">
        <v>338</v>
      </c>
      <c r="H27" s="1"/>
      <c r="J27" s="1"/>
      <c r="M27" s="1" t="s">
        <v>246</v>
      </c>
      <c r="N27" s="1" t="s">
        <v>339</v>
      </c>
      <c r="O27" s="3" t="s">
        <v>340</v>
      </c>
      <c r="P27" s="3" t="s">
        <v>87</v>
      </c>
      <c r="Q27" s="1"/>
      <c r="R27" s="1" t="s">
        <v>341</v>
      </c>
      <c r="S27" s="1"/>
      <c r="X27" s="1" t="s">
        <v>133</v>
      </c>
      <c r="Y27" s="1" t="s">
        <v>215</v>
      </c>
      <c r="Z27" s="5" t="s">
        <v>77</v>
      </c>
      <c r="AB27" s="5" t="s">
        <v>77</v>
      </c>
      <c r="AC27" s="1" t="s">
        <v>342</v>
      </c>
      <c r="AD27" s="1" t="s">
        <v>343</v>
      </c>
      <c r="AE27" s="3" t="s">
        <v>108</v>
      </c>
      <c r="AF27" s="1" t="s">
        <v>344</v>
      </c>
      <c r="AK27" s="3" t="s">
        <v>219</v>
      </c>
      <c r="AM27" s="3" t="s">
        <v>220</v>
      </c>
      <c r="AN27" s="1"/>
      <c r="AO27" s="1"/>
      <c r="AX27" s="1"/>
      <c r="BA27" t="s">
        <v>739</v>
      </c>
    </row>
    <row r="28" spans="1:60" ht="25.5">
      <c r="A28" s="2">
        <v>44719.80520534722</v>
      </c>
      <c r="B28" s="3" t="s">
        <v>345</v>
      </c>
      <c r="C28" s="1" t="s">
        <v>346</v>
      </c>
      <c r="E28" s="1" t="s">
        <v>345</v>
      </c>
      <c r="F28" s="1" t="s">
        <v>347</v>
      </c>
      <c r="G28" s="1" t="s">
        <v>348</v>
      </c>
      <c r="H28" s="1" t="s">
        <v>56</v>
      </c>
      <c r="I28" s="3" t="s">
        <v>57</v>
      </c>
      <c r="J28" s="1" t="s">
        <v>349</v>
      </c>
      <c r="M28" s="1" t="s">
        <v>85</v>
      </c>
      <c r="N28" s="1" t="s">
        <v>350</v>
      </c>
      <c r="O28" s="5" t="s">
        <v>351</v>
      </c>
      <c r="P28" s="3" t="s">
        <v>352</v>
      </c>
      <c r="Q28" s="1" t="s">
        <v>353</v>
      </c>
      <c r="R28" s="1" t="s">
        <v>310</v>
      </c>
      <c r="S28" s="1"/>
      <c r="X28" s="1" t="s">
        <v>299</v>
      </c>
      <c r="Y28" s="1" t="s">
        <v>354</v>
      </c>
      <c r="Z28" s="5" t="s">
        <v>77</v>
      </c>
      <c r="AC28" s="1" t="s">
        <v>134</v>
      </c>
      <c r="AD28" s="1"/>
      <c r="AE28" s="3" t="s">
        <v>108</v>
      </c>
      <c r="AF28" s="1" t="s">
        <v>355</v>
      </c>
      <c r="AJ28" s="3" t="s">
        <v>220</v>
      </c>
      <c r="AN28" s="1"/>
      <c r="AO28" s="1"/>
      <c r="AX28" s="1" t="s">
        <v>356</v>
      </c>
      <c r="AY28" s="3" t="s">
        <v>95</v>
      </c>
      <c r="BA28" t="s">
        <v>740</v>
      </c>
    </row>
    <row r="29" spans="1:60" ht="191.25">
      <c r="A29" s="2">
        <v>44732.384843842592</v>
      </c>
      <c r="B29" s="3" t="s">
        <v>357</v>
      </c>
      <c r="C29" s="1" t="s">
        <v>358</v>
      </c>
      <c r="D29" s="3"/>
      <c r="E29" s="1" t="s">
        <v>357</v>
      </c>
      <c r="F29" s="1" t="s">
        <v>359</v>
      </c>
      <c r="G29" s="1" t="s">
        <v>360</v>
      </c>
      <c r="H29" s="1" t="s">
        <v>56</v>
      </c>
      <c r="I29" s="3" t="s">
        <v>57</v>
      </c>
      <c r="J29" s="1" t="s">
        <v>293</v>
      </c>
      <c r="K29" s="3"/>
      <c r="L29" s="3"/>
      <c r="M29" s="1" t="s">
        <v>151</v>
      </c>
      <c r="N29" s="1" t="s">
        <v>361</v>
      </c>
      <c r="O29" s="5" t="s">
        <v>362</v>
      </c>
      <c r="P29" s="3" t="s">
        <v>87</v>
      </c>
      <c r="Q29" s="1" t="s">
        <v>363</v>
      </c>
      <c r="R29" s="1" t="s">
        <v>364</v>
      </c>
      <c r="S29" s="1"/>
      <c r="X29" s="1" t="s">
        <v>299</v>
      </c>
      <c r="Y29" s="1" t="s">
        <v>215</v>
      </c>
      <c r="Z29" s="5" t="s">
        <v>77</v>
      </c>
      <c r="AB29" s="5" t="s">
        <v>77</v>
      </c>
      <c r="AC29" s="1"/>
      <c r="AD29" s="1" t="s">
        <v>365</v>
      </c>
      <c r="AE29" s="3" t="s">
        <v>256</v>
      </c>
      <c r="AF29" s="1" t="s">
        <v>366</v>
      </c>
      <c r="AN29" s="1" t="s">
        <v>367</v>
      </c>
      <c r="AO29" s="1"/>
      <c r="AP29" s="3"/>
      <c r="AQ29" s="3"/>
      <c r="AR29" s="3"/>
      <c r="AS29" s="3"/>
      <c r="AT29" s="3"/>
      <c r="AU29" s="3"/>
      <c r="AV29" s="3"/>
      <c r="AW29" s="3"/>
      <c r="AX29" s="1" t="s">
        <v>368</v>
      </c>
      <c r="AY29" s="3" t="s">
        <v>369</v>
      </c>
      <c r="AZ29" s="3"/>
      <c r="BA29" s="3" t="s">
        <v>741</v>
      </c>
      <c r="BB29" s="3"/>
      <c r="BC29" s="3"/>
      <c r="BD29" s="3"/>
      <c r="BE29" s="3"/>
      <c r="BF29" s="3"/>
      <c r="BG29" s="3"/>
      <c r="BH29" s="3"/>
    </row>
    <row r="30" spans="1:60" ht="12.75">
      <c r="A30" s="2">
        <v>44748.487874652783</v>
      </c>
      <c r="B30" s="3" t="s">
        <v>69</v>
      </c>
      <c r="C30" s="1"/>
      <c r="D30" s="3"/>
      <c r="E30" s="1" t="s">
        <v>69</v>
      </c>
      <c r="F30" s="1" t="s">
        <v>370</v>
      </c>
      <c r="G30" s="1" t="s">
        <v>140</v>
      </c>
      <c r="H30" s="1" t="s">
        <v>56</v>
      </c>
      <c r="I30" s="3" t="s">
        <v>57</v>
      </c>
      <c r="J30" s="1" t="s">
        <v>58</v>
      </c>
      <c r="K30" s="3"/>
      <c r="L30" s="3"/>
      <c r="M30" s="1" t="s">
        <v>85</v>
      </c>
      <c r="N30" s="1" t="s">
        <v>371</v>
      </c>
      <c r="O30" s="5" t="s">
        <v>372</v>
      </c>
      <c r="P30" s="3" t="s">
        <v>373</v>
      </c>
      <c r="Q30" s="1" t="s">
        <v>374</v>
      </c>
      <c r="R30" s="1" t="s">
        <v>375</v>
      </c>
      <c r="S30" s="1"/>
      <c r="X30" s="1" t="s">
        <v>299</v>
      </c>
      <c r="Y30" s="1" t="s">
        <v>125</v>
      </c>
      <c r="Z30" s="5" t="s">
        <v>77</v>
      </c>
      <c r="AA30" s="5" t="s">
        <v>77</v>
      </c>
      <c r="AC30" s="1" t="s">
        <v>126</v>
      </c>
      <c r="AD30" s="1"/>
      <c r="AE30" s="3" t="s">
        <v>108</v>
      </c>
      <c r="AF30" s="1" t="s">
        <v>376</v>
      </c>
      <c r="AK30" s="3" t="s">
        <v>219</v>
      </c>
      <c r="AN30" s="1" t="s">
        <v>377</v>
      </c>
      <c r="AO30" s="1"/>
      <c r="AP30" s="3"/>
      <c r="AQ30" s="3"/>
      <c r="AR30" s="3"/>
      <c r="AS30" s="3"/>
      <c r="AT30" s="3"/>
      <c r="AU30" s="3"/>
      <c r="AV30" s="3"/>
      <c r="AW30" s="3"/>
      <c r="AX30" s="1" t="s">
        <v>303</v>
      </c>
      <c r="AY30" s="3" t="s">
        <v>304</v>
      </c>
      <c r="AZ30" s="3"/>
      <c r="BA30" s="3" t="s">
        <v>742</v>
      </c>
      <c r="BB30" s="3"/>
      <c r="BC30" s="3"/>
      <c r="BD30" s="3"/>
      <c r="BE30" s="3"/>
      <c r="BF30" s="3"/>
      <c r="BG30" s="3"/>
      <c r="BH30" s="3"/>
    </row>
    <row r="31" spans="1:60" ht="12.75">
      <c r="A31" s="2">
        <v>44750.390834143516</v>
      </c>
      <c r="B31" s="3" t="s">
        <v>328</v>
      </c>
      <c r="C31" s="1" t="s">
        <v>378</v>
      </c>
      <c r="E31" s="1" t="s">
        <v>328</v>
      </c>
      <c r="F31" s="1" t="s">
        <v>379</v>
      </c>
      <c r="G31" s="1" t="s">
        <v>331</v>
      </c>
      <c r="H31" s="1" t="s">
        <v>56</v>
      </c>
      <c r="I31" s="3" t="s">
        <v>57</v>
      </c>
      <c r="J31" s="1"/>
      <c r="M31" s="1" t="s">
        <v>246</v>
      </c>
      <c r="N31" s="1"/>
      <c r="O31" s="5" t="s">
        <v>380</v>
      </c>
      <c r="P31" s="3" t="s">
        <v>381</v>
      </c>
      <c r="Q31" s="1"/>
      <c r="R31" s="1" t="s">
        <v>334</v>
      </c>
      <c r="S31" s="1"/>
      <c r="X31" s="1" t="s">
        <v>382</v>
      </c>
      <c r="Y31" s="1" t="s">
        <v>215</v>
      </c>
      <c r="Z31" s="5" t="s">
        <v>77</v>
      </c>
      <c r="AB31" s="5" t="s">
        <v>106</v>
      </c>
      <c r="AC31" s="1"/>
      <c r="AD31" s="1"/>
      <c r="AE31" s="3" t="s">
        <v>217</v>
      </c>
      <c r="AF31" s="1"/>
      <c r="AI31" s="3" t="s">
        <v>219</v>
      </c>
      <c r="AL31" s="3" t="s">
        <v>220</v>
      </c>
      <c r="AN31" s="1"/>
      <c r="AO31" s="1"/>
      <c r="AX31" s="1"/>
      <c r="BA31" t="s">
        <v>743</v>
      </c>
    </row>
    <row r="32" spans="1:60" ht="12.75">
      <c r="A32" s="2">
        <v>44750.392502685187</v>
      </c>
      <c r="B32" s="3" t="s">
        <v>328</v>
      </c>
      <c r="C32" s="1" t="s">
        <v>383</v>
      </c>
      <c r="E32" s="1" t="s">
        <v>328</v>
      </c>
      <c r="F32" s="1" t="s">
        <v>384</v>
      </c>
      <c r="G32" s="1" t="s">
        <v>331</v>
      </c>
      <c r="H32" s="1" t="s">
        <v>56</v>
      </c>
      <c r="I32" s="3" t="s">
        <v>57</v>
      </c>
      <c r="J32" s="1"/>
      <c r="M32" s="1" t="s">
        <v>246</v>
      </c>
      <c r="N32" s="1"/>
      <c r="O32" s="5" t="s">
        <v>380</v>
      </c>
      <c r="P32" s="3" t="s">
        <v>381</v>
      </c>
      <c r="Q32" s="1"/>
      <c r="R32" s="1" t="s">
        <v>334</v>
      </c>
      <c r="S32" s="1"/>
      <c r="X32" s="1" t="s">
        <v>382</v>
      </c>
      <c r="Y32" s="1" t="s">
        <v>215</v>
      </c>
      <c r="Z32" s="5" t="s">
        <v>77</v>
      </c>
      <c r="AB32" s="5" t="s">
        <v>106</v>
      </c>
      <c r="AC32" s="1"/>
      <c r="AD32" s="1"/>
      <c r="AE32" s="3" t="s">
        <v>217</v>
      </c>
      <c r="AF32" s="1"/>
      <c r="AI32" s="3" t="s">
        <v>219</v>
      </c>
      <c r="AK32" s="3" t="s">
        <v>220</v>
      </c>
      <c r="AN32" s="1"/>
      <c r="AO32" s="1"/>
      <c r="AX32" s="1"/>
      <c r="BA32" t="s">
        <v>744</v>
      </c>
    </row>
    <row r="33" spans="1:60" ht="38.25">
      <c r="A33" s="2">
        <v>44778.345354444449</v>
      </c>
      <c r="B33" s="3" t="s">
        <v>242</v>
      </c>
      <c r="C33" s="1" t="s">
        <v>385</v>
      </c>
      <c r="D33" s="3"/>
      <c r="E33" s="1" t="s">
        <v>242</v>
      </c>
      <c r="F33" s="1" t="s">
        <v>386</v>
      </c>
      <c r="G33" s="1" t="s">
        <v>245</v>
      </c>
      <c r="H33" s="1" t="s">
        <v>56</v>
      </c>
      <c r="I33" s="3" t="s">
        <v>57</v>
      </c>
      <c r="J33" s="1"/>
      <c r="K33" s="3"/>
      <c r="L33" s="3"/>
      <c r="M33" s="1" t="s">
        <v>246</v>
      </c>
      <c r="N33" s="1" t="s">
        <v>387</v>
      </c>
      <c r="O33" s="5" t="s">
        <v>388</v>
      </c>
      <c r="P33" s="3" t="s">
        <v>121</v>
      </c>
      <c r="Q33" s="1" t="s">
        <v>389</v>
      </c>
      <c r="R33" s="1" t="s">
        <v>390</v>
      </c>
      <c r="S33" s="1"/>
      <c r="X33" s="1" t="s">
        <v>239</v>
      </c>
      <c r="Y33" s="1" t="s">
        <v>125</v>
      </c>
      <c r="Z33" s="5" t="s">
        <v>77</v>
      </c>
      <c r="AA33" s="5" t="s">
        <v>77</v>
      </c>
      <c r="AB33" s="5" t="s">
        <v>106</v>
      </c>
      <c r="AC33" s="1" t="s">
        <v>126</v>
      </c>
      <c r="AD33" s="1" t="s">
        <v>391</v>
      </c>
      <c r="AE33" s="3" t="s">
        <v>108</v>
      </c>
      <c r="AF33" s="1" t="s">
        <v>392</v>
      </c>
      <c r="AI33" s="3" t="s">
        <v>219</v>
      </c>
      <c r="AJ33" s="3" t="s">
        <v>220</v>
      </c>
      <c r="AN33" s="1"/>
      <c r="AO33" s="1" t="s">
        <v>310</v>
      </c>
      <c r="AP33" s="3"/>
      <c r="AQ33" s="3"/>
      <c r="AR33" s="3"/>
      <c r="AS33" s="3"/>
      <c r="AT33" s="3"/>
      <c r="AU33" s="3"/>
      <c r="AV33" s="3"/>
      <c r="AW33" s="3"/>
      <c r="AX33" s="1"/>
      <c r="AY33" s="3"/>
      <c r="AZ33" s="3"/>
      <c r="BA33" s="3" t="s">
        <v>745</v>
      </c>
      <c r="BB33" s="3"/>
      <c r="BC33" s="3"/>
      <c r="BD33" s="3"/>
      <c r="BE33" s="3"/>
      <c r="BF33" s="3"/>
      <c r="BG33" s="3"/>
      <c r="BH33" s="3"/>
    </row>
    <row r="34" spans="1:60" ht="12.75">
      <c r="A34" s="2">
        <v>44789.584307604164</v>
      </c>
      <c r="B34" s="3" t="s">
        <v>393</v>
      </c>
      <c r="C34" s="1" t="s">
        <v>394</v>
      </c>
      <c r="D34" s="3"/>
      <c r="E34" s="1" t="s">
        <v>393</v>
      </c>
      <c r="F34" s="1" t="s">
        <v>395</v>
      </c>
      <c r="G34" s="1" t="s">
        <v>331</v>
      </c>
      <c r="H34" s="1" t="s">
        <v>56</v>
      </c>
      <c r="I34" s="3" t="s">
        <v>57</v>
      </c>
      <c r="J34" s="1"/>
      <c r="K34" s="3"/>
      <c r="L34" s="3"/>
      <c r="M34" s="1" t="s">
        <v>246</v>
      </c>
      <c r="N34" s="1"/>
      <c r="O34" s="3" t="s">
        <v>272</v>
      </c>
      <c r="Q34" s="1"/>
      <c r="R34" s="1" t="s">
        <v>57</v>
      </c>
      <c r="S34" s="1" t="s">
        <v>396</v>
      </c>
      <c r="X34" s="1" t="s">
        <v>382</v>
      </c>
      <c r="Y34" s="1" t="s">
        <v>215</v>
      </c>
      <c r="Z34" s="5" t="s">
        <v>77</v>
      </c>
      <c r="AA34" s="5" t="s">
        <v>77</v>
      </c>
      <c r="AB34" s="5" t="s">
        <v>77</v>
      </c>
      <c r="AC34" s="1"/>
      <c r="AD34" s="1"/>
      <c r="AE34" s="3" t="s">
        <v>108</v>
      </c>
      <c r="AF34" s="1"/>
      <c r="AN34" s="1" t="s">
        <v>397</v>
      </c>
      <c r="AO34" s="1" t="s">
        <v>310</v>
      </c>
      <c r="AP34" s="3"/>
      <c r="AQ34" s="3"/>
      <c r="AR34" s="3"/>
      <c r="AS34" s="3"/>
      <c r="AT34" s="3"/>
      <c r="AU34" s="3"/>
      <c r="AV34" s="3"/>
      <c r="AW34" s="3"/>
      <c r="AX34" s="1"/>
      <c r="AY34" s="3"/>
      <c r="AZ34" s="3"/>
      <c r="BA34" s="3" t="s">
        <v>745</v>
      </c>
      <c r="BB34" s="3"/>
      <c r="BC34" s="3"/>
      <c r="BD34" s="3"/>
      <c r="BE34" s="3"/>
      <c r="BF34" s="3"/>
      <c r="BG34" s="3"/>
      <c r="BH34" s="3"/>
    </row>
    <row r="35" spans="1:60" ht="63.75">
      <c r="A35" s="2">
        <v>44817.779757638884</v>
      </c>
      <c r="B35" s="3" t="s">
        <v>398</v>
      </c>
      <c r="C35" s="1" t="s">
        <v>399</v>
      </c>
      <c r="D35" s="3"/>
      <c r="E35" s="1" t="s">
        <v>398</v>
      </c>
      <c r="F35" s="1" t="s">
        <v>400</v>
      </c>
      <c r="G35" s="1" t="s">
        <v>401</v>
      </c>
      <c r="H35" s="1" t="s">
        <v>402</v>
      </c>
      <c r="I35" s="3" t="s">
        <v>310</v>
      </c>
      <c r="J35" s="1"/>
      <c r="K35" s="3"/>
      <c r="L35" s="3"/>
      <c r="M35" s="1" t="s">
        <v>85</v>
      </c>
      <c r="N35" s="1" t="s">
        <v>403</v>
      </c>
      <c r="O35" s="3" t="s">
        <v>404</v>
      </c>
      <c r="P35" s="3" t="s">
        <v>261</v>
      </c>
      <c r="Q35" s="1" t="s">
        <v>405</v>
      </c>
      <c r="R35" s="1" t="s">
        <v>406</v>
      </c>
      <c r="S35" s="1"/>
      <c r="X35" s="1" t="s">
        <v>407</v>
      </c>
      <c r="Y35" s="1" t="s">
        <v>408</v>
      </c>
      <c r="AA35" s="5" t="s">
        <v>77</v>
      </c>
      <c r="AB35" s="5" t="s">
        <v>77</v>
      </c>
      <c r="AC35" s="1" t="s">
        <v>409</v>
      </c>
      <c r="AD35" s="1"/>
      <c r="AE35" s="3" t="s">
        <v>108</v>
      </c>
      <c r="AF35" s="1" t="s">
        <v>410</v>
      </c>
      <c r="AN35" s="1" t="s">
        <v>411</v>
      </c>
      <c r="AO35" s="1" t="s">
        <v>412</v>
      </c>
      <c r="AP35" s="3"/>
      <c r="AQ35" s="3"/>
      <c r="AR35" s="3"/>
      <c r="AS35" s="3"/>
      <c r="AT35" s="3"/>
      <c r="AU35" s="3"/>
      <c r="AV35" s="3"/>
      <c r="AW35" s="3" t="s">
        <v>146</v>
      </c>
      <c r="AX35" s="1"/>
      <c r="AY35" s="3" t="s">
        <v>95</v>
      </c>
      <c r="AZ35" s="3"/>
      <c r="BA35" s="3" t="s">
        <v>746</v>
      </c>
      <c r="BB35" s="3"/>
      <c r="BC35" s="3"/>
      <c r="BD35" s="3"/>
      <c r="BE35" s="3"/>
      <c r="BF35" s="3"/>
      <c r="BG35" s="3"/>
      <c r="BH35" s="3"/>
    </row>
    <row r="36" spans="1:60" ht="12.75">
      <c r="A36" s="2">
        <v>44867.365954085646</v>
      </c>
      <c r="B36" s="3" t="s">
        <v>413</v>
      </c>
      <c r="C36" s="1" t="s">
        <v>414</v>
      </c>
      <c r="D36" s="3"/>
      <c r="E36" s="1" t="s">
        <v>413</v>
      </c>
      <c r="F36" s="1" t="s">
        <v>415</v>
      </c>
      <c r="G36" s="1" t="s">
        <v>331</v>
      </c>
      <c r="H36" s="1" t="s">
        <v>56</v>
      </c>
      <c r="I36" s="3" t="s">
        <v>57</v>
      </c>
      <c r="J36" s="1"/>
      <c r="K36" s="3"/>
      <c r="L36" s="3"/>
      <c r="M36" s="1" t="s">
        <v>246</v>
      </c>
      <c r="N36" s="1"/>
      <c r="O36" s="3" t="s">
        <v>416</v>
      </c>
      <c r="P36" s="3" t="s">
        <v>261</v>
      </c>
      <c r="Q36" s="1"/>
      <c r="R36" s="1" t="s">
        <v>417</v>
      </c>
      <c r="S36" s="1"/>
      <c r="X36" s="1" t="s">
        <v>382</v>
      </c>
      <c r="Y36" s="1" t="s">
        <v>215</v>
      </c>
      <c r="Z36" s="5" t="s">
        <v>77</v>
      </c>
      <c r="AA36" s="5" t="s">
        <v>77</v>
      </c>
      <c r="AB36" s="5" t="s">
        <v>77</v>
      </c>
      <c r="AC36" s="1"/>
      <c r="AD36" s="1" t="s">
        <v>418</v>
      </c>
      <c r="AE36" s="3" t="s">
        <v>256</v>
      </c>
      <c r="AF36" s="1"/>
      <c r="AI36" s="3" t="s">
        <v>219</v>
      </c>
      <c r="AN36" s="1"/>
      <c r="AO36" s="1" t="s">
        <v>310</v>
      </c>
      <c r="AP36" s="3"/>
      <c r="AQ36" s="3"/>
      <c r="AR36" s="3"/>
      <c r="AS36" s="3"/>
      <c r="AT36" s="3"/>
      <c r="AU36" s="3"/>
      <c r="AV36" s="3"/>
      <c r="AW36" s="3"/>
      <c r="AX36" s="1"/>
      <c r="AY36" s="3"/>
      <c r="AZ36" s="3"/>
      <c r="BA36" s="3"/>
      <c r="BB36" s="3"/>
      <c r="BC36" s="3"/>
      <c r="BD36" s="3"/>
      <c r="BE36" s="3"/>
      <c r="BF36" s="3"/>
      <c r="BG36" s="3"/>
      <c r="BH36" s="3"/>
    </row>
    <row r="37" spans="1:60" ht="12.75">
      <c r="A37" s="2">
        <v>44872.585620405094</v>
      </c>
      <c r="B37" s="3" t="s">
        <v>305</v>
      </c>
      <c r="C37" s="1" t="s">
        <v>306</v>
      </c>
      <c r="E37" s="1" t="s">
        <v>305</v>
      </c>
      <c r="F37" s="1" t="s">
        <v>307</v>
      </c>
      <c r="G37" s="1" t="s">
        <v>308</v>
      </c>
      <c r="H37" s="1" t="s">
        <v>309</v>
      </c>
      <c r="I37" s="3" t="s">
        <v>310</v>
      </c>
      <c r="J37" s="1"/>
      <c r="M37" s="1" t="s">
        <v>85</v>
      </c>
      <c r="N37" s="1"/>
      <c r="O37" s="3" t="s">
        <v>419</v>
      </c>
      <c r="P37" s="3" t="s">
        <v>87</v>
      </c>
      <c r="Q37" s="1" t="s">
        <v>312</v>
      </c>
      <c r="R37" s="1" t="s">
        <v>313</v>
      </c>
      <c r="S37" s="1"/>
      <c r="X37" s="1" t="s">
        <v>420</v>
      </c>
      <c r="Y37" s="1" t="s">
        <v>91</v>
      </c>
      <c r="Z37" s="5" t="s">
        <v>106</v>
      </c>
      <c r="AB37" s="5" t="s">
        <v>77</v>
      </c>
      <c r="AC37" s="1" t="s">
        <v>315</v>
      </c>
      <c r="AD37" s="1"/>
      <c r="AE37" s="3" t="s">
        <v>108</v>
      </c>
      <c r="AF37" s="1"/>
      <c r="AK37" s="3" t="s">
        <v>219</v>
      </c>
      <c r="AL37" s="3" t="s">
        <v>220</v>
      </c>
      <c r="AN37" s="1"/>
      <c r="AO37" s="1"/>
      <c r="AV37" s="3" t="s">
        <v>94</v>
      </c>
      <c r="AW37" s="3"/>
      <c r="AX37" s="1"/>
      <c r="AY37" s="3" t="s">
        <v>95</v>
      </c>
    </row>
    <row r="38" spans="1:60" ht="12.75">
      <c r="A38" s="2">
        <v>44879.622947812502</v>
      </c>
      <c r="B38" s="3" t="s">
        <v>421</v>
      </c>
      <c r="C38" s="1" t="s">
        <v>422</v>
      </c>
      <c r="D38" s="3"/>
      <c r="E38" s="1" t="s">
        <v>421</v>
      </c>
      <c r="F38" s="1" t="s">
        <v>423</v>
      </c>
      <c r="G38" s="1" t="s">
        <v>424</v>
      </c>
      <c r="H38" s="1" t="s">
        <v>56</v>
      </c>
      <c r="I38" s="3" t="s">
        <v>57</v>
      </c>
      <c r="J38" s="1" t="s">
        <v>58</v>
      </c>
      <c r="K38" s="3"/>
      <c r="L38" s="3"/>
      <c r="M38" s="1" t="s">
        <v>85</v>
      </c>
      <c r="N38" s="1" t="s">
        <v>425</v>
      </c>
      <c r="O38" s="5" t="s">
        <v>426</v>
      </c>
      <c r="P38" s="3" t="s">
        <v>87</v>
      </c>
      <c r="Q38" s="1" t="s">
        <v>427</v>
      </c>
      <c r="R38" s="1" t="s">
        <v>297</v>
      </c>
      <c r="S38" s="1"/>
      <c r="X38" s="1" t="s">
        <v>239</v>
      </c>
      <c r="Y38" s="1" t="s">
        <v>215</v>
      </c>
      <c r="Z38" s="5" t="s">
        <v>77</v>
      </c>
      <c r="AC38" s="1" t="s">
        <v>126</v>
      </c>
      <c r="AD38" s="1"/>
      <c r="AE38" s="3" t="s">
        <v>108</v>
      </c>
      <c r="AF38" s="1" t="s">
        <v>425</v>
      </c>
      <c r="AL38" s="3" t="s">
        <v>219</v>
      </c>
      <c r="AM38" s="3" t="s">
        <v>220</v>
      </c>
      <c r="AN38" s="1"/>
      <c r="AO38" s="1" t="s">
        <v>428</v>
      </c>
      <c r="AP38" s="3"/>
      <c r="AQ38" s="3"/>
      <c r="AR38" s="3"/>
      <c r="AS38" s="3"/>
      <c r="AT38" s="3"/>
      <c r="AU38" s="3"/>
      <c r="AV38" s="3"/>
      <c r="AW38" s="3"/>
      <c r="AX38" s="1" t="s">
        <v>429</v>
      </c>
      <c r="AY38" s="3" t="s">
        <v>95</v>
      </c>
      <c r="AZ38" s="3"/>
      <c r="BA38" s="3"/>
      <c r="BB38" s="3"/>
      <c r="BC38" s="3"/>
      <c r="BD38" s="3"/>
      <c r="BE38" s="3"/>
      <c r="BF38" s="3"/>
      <c r="BG38" s="3"/>
      <c r="BH38" s="3"/>
    </row>
    <row r="39" spans="1:60" ht="63.75">
      <c r="A39" s="2">
        <v>44907.457662037035</v>
      </c>
      <c r="B39" s="3" t="s">
        <v>430</v>
      </c>
      <c r="C39" s="1" t="s">
        <v>431</v>
      </c>
      <c r="D39" s="3"/>
      <c r="E39" s="1" t="s">
        <v>430</v>
      </c>
      <c r="F39" s="1" t="s">
        <v>432</v>
      </c>
      <c r="G39" s="1" t="s">
        <v>433</v>
      </c>
      <c r="H39" s="1" t="s">
        <v>56</v>
      </c>
      <c r="I39" s="3" t="s">
        <v>57</v>
      </c>
      <c r="J39" s="1" t="s">
        <v>58</v>
      </c>
      <c r="K39" s="3"/>
      <c r="L39" s="3"/>
      <c r="M39" s="1" t="s">
        <v>85</v>
      </c>
      <c r="N39" s="1" t="s">
        <v>434</v>
      </c>
      <c r="O39" s="3" t="s">
        <v>340</v>
      </c>
      <c r="P39" s="3" t="s">
        <v>101</v>
      </c>
      <c r="Q39" s="1" t="s">
        <v>435</v>
      </c>
      <c r="R39" s="1" t="s">
        <v>436</v>
      </c>
      <c r="S39" s="1"/>
      <c r="X39" s="1" t="s">
        <v>75</v>
      </c>
      <c r="Y39" s="1" t="s">
        <v>125</v>
      </c>
      <c r="Z39" s="5" t="s">
        <v>77</v>
      </c>
      <c r="AA39" s="5" t="s">
        <v>106</v>
      </c>
      <c r="AB39" s="5" t="s">
        <v>77</v>
      </c>
      <c r="AC39" s="1" t="s">
        <v>126</v>
      </c>
      <c r="AD39" s="1" t="s">
        <v>437</v>
      </c>
      <c r="AE39" s="3" t="s">
        <v>108</v>
      </c>
      <c r="AF39" s="1" t="s">
        <v>438</v>
      </c>
      <c r="AJ39" s="3" t="s">
        <v>219</v>
      </c>
      <c r="AN39" s="1"/>
      <c r="AO39" s="1" t="s">
        <v>439</v>
      </c>
      <c r="AP39" s="3"/>
      <c r="AQ39" s="3"/>
      <c r="AR39" s="3"/>
      <c r="AS39" s="3"/>
      <c r="AT39" s="3"/>
      <c r="AU39" s="3"/>
      <c r="AV39" s="3"/>
      <c r="AW39" s="3" t="s">
        <v>146</v>
      </c>
      <c r="AX39" s="1"/>
      <c r="AY39" s="3" t="s">
        <v>95</v>
      </c>
      <c r="AZ39" s="3"/>
      <c r="BA39" s="3" t="s">
        <v>747</v>
      </c>
      <c r="BB39" s="3"/>
      <c r="BC39" s="3"/>
      <c r="BD39" s="3"/>
      <c r="BE39" s="3"/>
      <c r="BF39" s="3"/>
      <c r="BG39" s="3"/>
      <c r="BH39" s="3"/>
    </row>
    <row r="40" spans="1:60" ht="12.75">
      <c r="A40" s="2">
        <v>44950.499300162039</v>
      </c>
      <c r="B40" s="3" t="s">
        <v>440</v>
      </c>
      <c r="C40" s="1" t="s">
        <v>441</v>
      </c>
      <c r="D40" s="3"/>
      <c r="E40" s="1" t="s">
        <v>440</v>
      </c>
      <c r="F40" s="1" t="s">
        <v>442</v>
      </c>
      <c r="G40" s="1" t="s">
        <v>331</v>
      </c>
      <c r="H40" s="1" t="s">
        <v>56</v>
      </c>
      <c r="I40" s="3" t="s">
        <v>57</v>
      </c>
      <c r="J40" s="1"/>
      <c r="K40" s="3"/>
      <c r="L40" s="3"/>
      <c r="M40" s="1" t="s">
        <v>246</v>
      </c>
      <c r="N40" s="1"/>
      <c r="O40" s="3" t="s">
        <v>272</v>
      </c>
      <c r="P40" s="3" t="s">
        <v>261</v>
      </c>
      <c r="Q40" s="1" t="s">
        <v>443</v>
      </c>
      <c r="R40" s="1" t="s">
        <v>334</v>
      </c>
      <c r="S40" s="1"/>
      <c r="X40" s="1" t="s">
        <v>382</v>
      </c>
      <c r="Y40" s="1" t="s">
        <v>215</v>
      </c>
      <c r="Z40" s="5" t="s">
        <v>77</v>
      </c>
      <c r="AA40" s="5" t="s">
        <v>77</v>
      </c>
      <c r="AC40" s="1"/>
      <c r="AD40" s="1"/>
      <c r="AE40" s="3" t="s">
        <v>108</v>
      </c>
      <c r="AF40" s="1"/>
      <c r="AI40" s="3" t="s">
        <v>220</v>
      </c>
      <c r="AN40" s="1"/>
      <c r="AO40" s="1" t="s">
        <v>444</v>
      </c>
      <c r="AP40" s="3"/>
      <c r="AQ40" s="3"/>
      <c r="AR40" s="3"/>
      <c r="AS40" s="3"/>
      <c r="AT40" s="3"/>
      <c r="AU40" s="3"/>
      <c r="AV40" s="3"/>
      <c r="AW40" s="3"/>
      <c r="AX40" s="1"/>
      <c r="AY40" s="3"/>
      <c r="AZ40" s="3"/>
      <c r="BA40" s="3" t="s">
        <v>748</v>
      </c>
      <c r="BB40" s="3"/>
      <c r="BC40" s="3"/>
      <c r="BD40" s="3"/>
      <c r="BE40" s="3"/>
      <c r="BF40" s="3"/>
      <c r="BG40" s="3"/>
      <c r="BH40" s="3"/>
    </row>
    <row r="41" spans="1:60" ht="12.75">
      <c r="A41" s="2">
        <v>44950.505301064812</v>
      </c>
      <c r="B41" s="3" t="s">
        <v>440</v>
      </c>
      <c r="C41" s="1" t="s">
        <v>445</v>
      </c>
      <c r="D41" s="3"/>
      <c r="E41" s="1" t="s">
        <v>440</v>
      </c>
      <c r="F41" s="1" t="s">
        <v>446</v>
      </c>
      <c r="G41" s="1" t="s">
        <v>331</v>
      </c>
      <c r="H41" s="1" t="s">
        <v>56</v>
      </c>
      <c r="I41" s="3" t="s">
        <v>57</v>
      </c>
      <c r="J41" s="1"/>
      <c r="K41" s="3"/>
      <c r="L41" s="3"/>
      <c r="M41" s="1" t="s">
        <v>246</v>
      </c>
      <c r="N41" s="1"/>
      <c r="O41" s="3" t="s">
        <v>272</v>
      </c>
      <c r="P41" s="3" t="s">
        <v>261</v>
      </c>
      <c r="Q41" s="1" t="s">
        <v>447</v>
      </c>
      <c r="R41" s="1" t="s">
        <v>334</v>
      </c>
      <c r="S41" s="1"/>
      <c r="X41" s="3" t="s">
        <v>64</v>
      </c>
      <c r="Y41" s="1" t="s">
        <v>215</v>
      </c>
      <c r="Z41" s="5" t="s">
        <v>77</v>
      </c>
      <c r="AA41" s="5" t="s">
        <v>77</v>
      </c>
      <c r="AC41" s="1"/>
      <c r="AD41" s="1"/>
      <c r="AE41" s="3" t="s">
        <v>448</v>
      </c>
      <c r="AF41" s="1"/>
      <c r="AJ41" s="3" t="s">
        <v>220</v>
      </c>
      <c r="AN41" s="1" t="s">
        <v>449</v>
      </c>
      <c r="AO41" s="1" t="s">
        <v>213</v>
      </c>
      <c r="AP41" s="3"/>
      <c r="AQ41" s="3"/>
      <c r="AR41" s="3"/>
      <c r="AS41" s="3"/>
      <c r="AT41" s="3"/>
      <c r="AU41" s="3"/>
      <c r="AV41" s="3"/>
      <c r="AW41" s="3"/>
      <c r="AX41" s="1"/>
      <c r="AY41" s="3"/>
      <c r="AZ41" s="3"/>
      <c r="BA41" s="3"/>
      <c r="BB41" s="3"/>
      <c r="BC41" s="3"/>
      <c r="BD41" s="3"/>
      <c r="BE41" s="3"/>
      <c r="BF41" s="3"/>
      <c r="BG41" s="3"/>
      <c r="BH41" s="3"/>
    </row>
    <row r="42" spans="1:60" ht="12.75">
      <c r="A42" s="2">
        <v>44950.507428206023</v>
      </c>
      <c r="B42" s="3" t="s">
        <v>450</v>
      </c>
      <c r="C42" s="1" t="s">
        <v>451</v>
      </c>
      <c r="D42" s="3"/>
      <c r="E42" s="1" t="s">
        <v>450</v>
      </c>
      <c r="F42" s="1" t="s">
        <v>452</v>
      </c>
      <c r="G42" s="1" t="s">
        <v>150</v>
      </c>
      <c r="H42" s="1" t="s">
        <v>56</v>
      </c>
      <c r="I42" s="3" t="s">
        <v>57</v>
      </c>
      <c r="J42" s="1" t="s">
        <v>99</v>
      </c>
      <c r="K42" s="3"/>
      <c r="L42" s="3"/>
      <c r="M42" s="1" t="s">
        <v>85</v>
      </c>
      <c r="N42" s="1"/>
      <c r="O42" s="3" t="s">
        <v>272</v>
      </c>
      <c r="P42" s="3" t="s">
        <v>87</v>
      </c>
      <c r="Q42" s="1"/>
      <c r="R42" s="1" t="s">
        <v>213</v>
      </c>
      <c r="S42" s="1"/>
      <c r="X42" s="1" t="s">
        <v>299</v>
      </c>
      <c r="Y42" s="1" t="s">
        <v>287</v>
      </c>
      <c r="Z42" s="5" t="s">
        <v>77</v>
      </c>
      <c r="AA42" s="5" t="s">
        <v>77</v>
      </c>
      <c r="AC42" s="1"/>
      <c r="AD42" s="1"/>
      <c r="AE42" s="3" t="s">
        <v>108</v>
      </c>
      <c r="AF42" s="1"/>
      <c r="AI42" s="3" t="s">
        <v>219</v>
      </c>
      <c r="AN42" s="1"/>
      <c r="AO42" s="1" t="s">
        <v>453</v>
      </c>
      <c r="AP42" s="3"/>
      <c r="AQ42" s="3"/>
      <c r="AR42" s="3"/>
      <c r="AS42" s="3"/>
      <c r="AT42" s="3"/>
      <c r="AU42" s="3"/>
      <c r="AV42" s="3"/>
      <c r="AW42" s="3"/>
      <c r="AX42" s="1" t="s">
        <v>454</v>
      </c>
      <c r="AY42" s="3" t="s">
        <v>95</v>
      </c>
      <c r="AZ42" s="3"/>
      <c r="BA42" s="3" t="s">
        <v>452</v>
      </c>
      <c r="BB42" s="3"/>
      <c r="BC42" s="3"/>
      <c r="BD42" s="3"/>
      <c r="BE42" s="3"/>
      <c r="BF42" s="3"/>
      <c r="BG42" s="3"/>
      <c r="BH42" s="3"/>
    </row>
    <row r="43" spans="1:60" ht="12.75">
      <c r="A43" s="2">
        <v>44952.5939515625</v>
      </c>
      <c r="B43" s="3" t="s">
        <v>440</v>
      </c>
      <c r="C43" s="1" t="s">
        <v>455</v>
      </c>
      <c r="E43" s="1" t="s">
        <v>440</v>
      </c>
      <c r="F43" s="1" t="s">
        <v>456</v>
      </c>
      <c r="G43" s="1" t="s">
        <v>331</v>
      </c>
      <c r="H43" s="1" t="s">
        <v>56</v>
      </c>
      <c r="I43" s="3" t="s">
        <v>57</v>
      </c>
      <c r="J43" s="1"/>
      <c r="M43" s="1" t="s">
        <v>246</v>
      </c>
      <c r="N43" s="1"/>
      <c r="Q43" s="1" t="s">
        <v>457</v>
      </c>
      <c r="R43" s="1" t="s">
        <v>57</v>
      </c>
      <c r="S43" s="1"/>
      <c r="X43" s="1" t="s">
        <v>382</v>
      </c>
      <c r="Y43" s="1" t="s">
        <v>458</v>
      </c>
      <c r="Z43" s="5" t="s">
        <v>77</v>
      </c>
      <c r="AA43" s="5" t="s">
        <v>77</v>
      </c>
      <c r="AB43" s="5" t="s">
        <v>77</v>
      </c>
      <c r="AC43" s="1"/>
      <c r="AD43" s="1"/>
      <c r="AE43" s="3" t="s">
        <v>108</v>
      </c>
      <c r="AF43" s="1"/>
      <c r="AH43" s="3" t="s">
        <v>219</v>
      </c>
      <c r="AN43" s="1"/>
      <c r="AO43" s="1"/>
      <c r="AX43" s="1"/>
      <c r="BA43" t="s">
        <v>749</v>
      </c>
    </row>
    <row r="44" spans="1:60" ht="12.75">
      <c r="A44" s="2">
        <v>44957.41453667824</v>
      </c>
      <c r="B44" s="3" t="s">
        <v>440</v>
      </c>
      <c r="C44" s="1" t="s">
        <v>459</v>
      </c>
      <c r="D44" s="3"/>
      <c r="E44" s="1" t="s">
        <v>440</v>
      </c>
      <c r="F44" s="1" t="s">
        <v>460</v>
      </c>
      <c r="G44" s="1" t="s">
        <v>331</v>
      </c>
      <c r="H44" s="1" t="s">
        <v>56</v>
      </c>
      <c r="I44" s="3" t="s">
        <v>57</v>
      </c>
      <c r="J44" s="1"/>
      <c r="K44" s="3"/>
      <c r="L44" s="3"/>
      <c r="M44" s="1" t="s">
        <v>246</v>
      </c>
      <c r="N44" s="1"/>
      <c r="Q44" s="1"/>
      <c r="R44" s="1" t="s">
        <v>334</v>
      </c>
      <c r="S44" s="1"/>
      <c r="X44" s="1" t="s">
        <v>382</v>
      </c>
      <c r="Y44" s="1" t="s">
        <v>215</v>
      </c>
      <c r="Z44" s="5" t="s">
        <v>77</v>
      </c>
      <c r="AA44" s="5" t="s">
        <v>77</v>
      </c>
      <c r="AB44" s="5" t="s">
        <v>77</v>
      </c>
      <c r="AC44" s="1" t="s">
        <v>126</v>
      </c>
      <c r="AD44" s="1" t="s">
        <v>461</v>
      </c>
      <c r="AE44" s="3" t="s">
        <v>448</v>
      </c>
      <c r="AF44" s="1"/>
      <c r="AH44" s="3" t="s">
        <v>219</v>
      </c>
      <c r="AI44" s="3" t="s">
        <v>219</v>
      </c>
      <c r="AN44" s="1"/>
      <c r="AO44" s="1" t="s">
        <v>213</v>
      </c>
      <c r="AP44" s="3"/>
      <c r="AQ44" s="3"/>
      <c r="AR44" s="3"/>
      <c r="AS44" s="3"/>
      <c r="AT44" s="3"/>
      <c r="AU44" s="3"/>
      <c r="AV44" s="3"/>
      <c r="AW44" s="3"/>
      <c r="AX44" s="1"/>
      <c r="AY44" s="3"/>
      <c r="AZ44" s="3"/>
      <c r="BA44" s="3"/>
      <c r="BB44" s="3"/>
      <c r="BC44" s="3"/>
      <c r="BD44" s="3"/>
      <c r="BE44" s="3"/>
      <c r="BF44" s="3"/>
      <c r="BG44" s="3"/>
      <c r="BH44" s="3"/>
    </row>
    <row r="45" spans="1:60" ht="12.75">
      <c r="A45" s="2">
        <v>44958.433700787034</v>
      </c>
      <c r="B45" s="3" t="s">
        <v>440</v>
      </c>
      <c r="C45" s="1" t="s">
        <v>462</v>
      </c>
      <c r="E45" s="1" t="s">
        <v>440</v>
      </c>
      <c r="F45" s="1" t="s">
        <v>462</v>
      </c>
      <c r="G45" s="1" t="s">
        <v>331</v>
      </c>
      <c r="H45" s="1" t="s">
        <v>56</v>
      </c>
      <c r="I45" s="3" t="s">
        <v>57</v>
      </c>
      <c r="J45" s="1"/>
      <c r="M45" s="1" t="s">
        <v>246</v>
      </c>
      <c r="N45" s="1"/>
      <c r="Q45" s="1"/>
      <c r="R45" s="1" t="s">
        <v>334</v>
      </c>
      <c r="S45" s="1"/>
      <c r="X45" s="1" t="s">
        <v>382</v>
      </c>
      <c r="Y45" s="1" t="s">
        <v>215</v>
      </c>
      <c r="Z45" s="5" t="s">
        <v>77</v>
      </c>
      <c r="AC45" s="1"/>
      <c r="AD45" s="1"/>
      <c r="AE45" s="3" t="s">
        <v>108</v>
      </c>
      <c r="AF45" s="1"/>
      <c r="AH45" s="3" t="s">
        <v>219</v>
      </c>
      <c r="AN45" s="1"/>
      <c r="AO45" s="1"/>
      <c r="AX45" s="1"/>
      <c r="BA45" t="s">
        <v>750</v>
      </c>
    </row>
    <row r="46" spans="1:60" ht="63.75">
      <c r="A46" s="2">
        <v>44995.715556863426</v>
      </c>
      <c r="B46" s="3" t="s">
        <v>463</v>
      </c>
      <c r="C46" s="1" t="s">
        <v>464</v>
      </c>
      <c r="E46" s="1" t="s">
        <v>463</v>
      </c>
      <c r="F46" s="1" t="s">
        <v>465</v>
      </c>
      <c r="G46" s="1" t="s">
        <v>170</v>
      </c>
      <c r="H46" s="1" t="s">
        <v>56</v>
      </c>
      <c r="I46" s="3" t="s">
        <v>57</v>
      </c>
      <c r="J46" s="1" t="s">
        <v>99</v>
      </c>
      <c r="M46" s="1" t="s">
        <v>85</v>
      </c>
      <c r="N46" s="1" t="s">
        <v>466</v>
      </c>
      <c r="O46" s="3" t="s">
        <v>211</v>
      </c>
      <c r="P46" s="3" t="s">
        <v>87</v>
      </c>
      <c r="Q46" s="1" t="s">
        <v>467</v>
      </c>
      <c r="R46" s="1" t="s">
        <v>468</v>
      </c>
      <c r="S46" s="1"/>
      <c r="X46" s="1" t="s">
        <v>75</v>
      </c>
      <c r="Y46" s="1" t="s">
        <v>314</v>
      </c>
      <c r="Z46" s="5" t="s">
        <v>77</v>
      </c>
      <c r="AC46" s="1" t="s">
        <v>469</v>
      </c>
      <c r="AD46" s="1"/>
      <c r="AE46" s="3" t="s">
        <v>108</v>
      </c>
      <c r="AF46" s="1" t="s">
        <v>470</v>
      </c>
      <c r="AJ46" s="3" t="s">
        <v>219</v>
      </c>
      <c r="AL46" s="3" t="s">
        <v>220</v>
      </c>
      <c r="AN46" s="1" t="s">
        <v>471</v>
      </c>
      <c r="AO46" s="1"/>
      <c r="AV46" s="3" t="s">
        <v>94</v>
      </c>
      <c r="AW46" s="3"/>
      <c r="AX46" s="1"/>
      <c r="AY46" s="3" t="s">
        <v>95</v>
      </c>
    </row>
    <row r="47" spans="1:60" ht="12.75">
      <c r="A47" s="2">
        <v>45001.351930300923</v>
      </c>
      <c r="B47" s="3" t="s">
        <v>472</v>
      </c>
      <c r="C47" s="1" t="s">
        <v>473</v>
      </c>
      <c r="E47" s="1" t="s">
        <v>472</v>
      </c>
      <c r="F47" s="1" t="s">
        <v>474</v>
      </c>
      <c r="G47" s="1" t="s">
        <v>331</v>
      </c>
      <c r="H47" s="1" t="s">
        <v>56</v>
      </c>
      <c r="I47" s="3" t="s">
        <v>57</v>
      </c>
      <c r="J47" s="1"/>
      <c r="M47" s="1" t="s">
        <v>246</v>
      </c>
      <c r="N47" s="1" t="s">
        <v>475</v>
      </c>
      <c r="O47" s="3" t="s">
        <v>332</v>
      </c>
      <c r="Q47" s="1"/>
      <c r="R47" s="1" t="s">
        <v>57</v>
      </c>
      <c r="S47" s="1"/>
      <c r="X47" s="1" t="s">
        <v>75</v>
      </c>
      <c r="Y47" s="1" t="s">
        <v>215</v>
      </c>
      <c r="Z47" s="5" t="s">
        <v>77</v>
      </c>
      <c r="AB47" s="5" t="s">
        <v>106</v>
      </c>
      <c r="AC47" s="1"/>
      <c r="AD47" s="1"/>
      <c r="AE47" s="3" t="s">
        <v>108</v>
      </c>
      <c r="AF47" s="1"/>
      <c r="AI47" s="3" t="s">
        <v>219</v>
      </c>
      <c r="AJ47" s="3" t="s">
        <v>220</v>
      </c>
      <c r="AN47" s="1"/>
      <c r="AO47" s="1"/>
      <c r="AX47" s="1"/>
    </row>
    <row r="48" spans="1:60" ht="140.25">
      <c r="A48" s="2">
        <v>45002.77747262732</v>
      </c>
      <c r="B48" s="3" t="s">
        <v>476</v>
      </c>
      <c r="C48" s="1" t="s">
        <v>477</v>
      </c>
      <c r="D48" s="3"/>
      <c r="E48" s="1" t="s">
        <v>476</v>
      </c>
      <c r="F48" s="1" t="s">
        <v>478</v>
      </c>
      <c r="G48" s="1" t="s">
        <v>479</v>
      </c>
      <c r="H48" s="1" t="s">
        <v>56</v>
      </c>
      <c r="I48" s="3" t="s">
        <v>57</v>
      </c>
      <c r="J48" s="1" t="s">
        <v>293</v>
      </c>
      <c r="K48" s="3"/>
      <c r="L48" s="3"/>
      <c r="M48" s="1" t="s">
        <v>85</v>
      </c>
      <c r="N48" s="1" t="s">
        <v>480</v>
      </c>
      <c r="O48" s="5" t="s">
        <v>481</v>
      </c>
      <c r="P48" s="3" t="s">
        <v>482</v>
      </c>
      <c r="Q48" s="1" t="s">
        <v>483</v>
      </c>
      <c r="R48" s="1" t="s">
        <v>484</v>
      </c>
      <c r="S48" s="1"/>
      <c r="X48" s="1" t="s">
        <v>75</v>
      </c>
      <c r="Y48" s="1" t="s">
        <v>485</v>
      </c>
      <c r="Z48" s="5" t="s">
        <v>77</v>
      </c>
      <c r="AB48" s="5" t="s">
        <v>77</v>
      </c>
      <c r="AC48" s="1" t="s">
        <v>486</v>
      </c>
      <c r="AD48" s="1"/>
      <c r="AE48" s="3" t="s">
        <v>108</v>
      </c>
      <c r="AF48" s="1" t="s">
        <v>487</v>
      </c>
      <c r="AK48" s="3" t="s">
        <v>219</v>
      </c>
      <c r="AL48" s="3" t="s">
        <v>220</v>
      </c>
      <c r="AN48" s="1" t="s">
        <v>488</v>
      </c>
      <c r="AO48" s="1" t="s">
        <v>489</v>
      </c>
      <c r="AP48" s="3"/>
      <c r="AQ48" s="3"/>
      <c r="AR48" s="3"/>
      <c r="AS48" s="3"/>
      <c r="AT48" s="3"/>
      <c r="AU48" s="3"/>
      <c r="AV48" s="3"/>
      <c r="AW48" s="3"/>
      <c r="AX48" s="1" t="s">
        <v>490</v>
      </c>
      <c r="AY48" s="3" t="s">
        <v>95</v>
      </c>
      <c r="AZ48" s="3"/>
      <c r="BA48" s="3" t="s">
        <v>751</v>
      </c>
      <c r="BB48" s="3"/>
      <c r="BC48" s="3"/>
      <c r="BD48" s="3"/>
      <c r="BE48" s="3"/>
      <c r="BF48" s="3"/>
      <c r="BG48" s="3"/>
      <c r="BH48" s="3"/>
    </row>
    <row r="49" spans="1:60" ht="165.75">
      <c r="A49" s="2">
        <v>45005.575242060186</v>
      </c>
      <c r="B49" s="3" t="s">
        <v>491</v>
      </c>
      <c r="C49" s="1" t="s">
        <v>492</v>
      </c>
      <c r="D49" s="3"/>
      <c r="E49" s="1" t="s">
        <v>491</v>
      </c>
      <c r="F49" s="1" t="s">
        <v>493</v>
      </c>
      <c r="G49" s="1" t="s">
        <v>494</v>
      </c>
      <c r="H49" s="1" t="s">
        <v>56</v>
      </c>
      <c r="I49" s="3" t="s">
        <v>57</v>
      </c>
      <c r="J49" s="1" t="s">
        <v>99</v>
      </c>
      <c r="K49" s="3"/>
      <c r="L49" s="3"/>
      <c r="M49" s="1" t="s">
        <v>85</v>
      </c>
      <c r="N49" s="1" t="s">
        <v>495</v>
      </c>
      <c r="O49" s="3" t="s">
        <v>496</v>
      </c>
      <c r="P49" s="3" t="s">
        <v>154</v>
      </c>
      <c r="Q49" s="1" t="s">
        <v>497</v>
      </c>
      <c r="R49" s="1"/>
      <c r="S49" s="1"/>
      <c r="X49" s="3" t="s">
        <v>64</v>
      </c>
      <c r="Y49" s="1" t="s">
        <v>215</v>
      </c>
      <c r="Z49" s="5" t="s">
        <v>77</v>
      </c>
      <c r="AC49" s="1"/>
      <c r="AD49" s="1"/>
      <c r="AE49" s="3" t="s">
        <v>108</v>
      </c>
      <c r="AF49" s="1" t="s">
        <v>498</v>
      </c>
      <c r="AN49" s="1"/>
      <c r="AO49" s="1" t="s">
        <v>499</v>
      </c>
      <c r="AP49" s="3"/>
      <c r="AQ49" s="3"/>
      <c r="AR49" s="3"/>
      <c r="AS49" s="3"/>
      <c r="AT49" s="3"/>
      <c r="AU49" s="3"/>
      <c r="AV49" s="3"/>
      <c r="AW49" s="3" t="s">
        <v>109</v>
      </c>
      <c r="AX49" s="1"/>
      <c r="AY49" s="3" t="s">
        <v>95</v>
      </c>
      <c r="AZ49" s="3"/>
      <c r="BA49" s="3" t="s">
        <v>752</v>
      </c>
      <c r="BB49" s="3"/>
      <c r="BC49" s="3"/>
      <c r="BD49" s="3"/>
      <c r="BE49" s="3"/>
      <c r="BF49" s="3"/>
      <c r="BG49" s="3"/>
      <c r="BH49" s="3"/>
    </row>
    <row r="50" spans="1:60" ht="12.75">
      <c r="A50" s="2">
        <v>45097.366532129628</v>
      </c>
      <c r="B50" s="3" t="s">
        <v>472</v>
      </c>
      <c r="C50" s="1" t="s">
        <v>500</v>
      </c>
      <c r="D50" s="3"/>
      <c r="E50" s="1" t="s">
        <v>472</v>
      </c>
      <c r="F50" s="1" t="s">
        <v>501</v>
      </c>
      <c r="G50" s="1" t="s">
        <v>331</v>
      </c>
      <c r="H50" s="1" t="s">
        <v>56</v>
      </c>
      <c r="I50" s="3" t="s">
        <v>57</v>
      </c>
      <c r="J50" s="1"/>
      <c r="K50" s="3"/>
      <c r="L50" s="3"/>
      <c r="M50" s="1" t="s">
        <v>246</v>
      </c>
      <c r="N50" s="1" t="s">
        <v>501</v>
      </c>
      <c r="Q50" s="1" t="s">
        <v>502</v>
      </c>
      <c r="R50" s="1" t="s">
        <v>57</v>
      </c>
      <c r="S50" s="1"/>
      <c r="X50" s="3" t="s">
        <v>64</v>
      </c>
      <c r="Y50" s="1" t="s">
        <v>215</v>
      </c>
      <c r="Z50" s="5" t="s">
        <v>77</v>
      </c>
      <c r="AB50" s="5" t="s">
        <v>77</v>
      </c>
      <c r="AC50" s="1"/>
      <c r="AD50" s="1"/>
      <c r="AE50" s="3" t="s">
        <v>108</v>
      </c>
      <c r="AF50" s="1" t="s">
        <v>503</v>
      </c>
      <c r="AH50" s="3" t="s">
        <v>219</v>
      </c>
      <c r="AN50" s="1"/>
      <c r="AO50" s="1" t="s">
        <v>310</v>
      </c>
      <c r="AP50" s="3"/>
      <c r="AQ50" s="3"/>
      <c r="AR50" s="3"/>
      <c r="AS50" s="3"/>
      <c r="AT50" s="3"/>
      <c r="AU50" s="3"/>
      <c r="AV50" s="3"/>
      <c r="AW50" s="3"/>
      <c r="AX50" s="1"/>
      <c r="AY50" s="3"/>
      <c r="AZ50" s="3"/>
      <c r="BA50" s="3" t="s">
        <v>501</v>
      </c>
      <c r="BB50" s="3"/>
      <c r="BC50" s="3"/>
      <c r="BD50" s="3"/>
      <c r="BE50" s="3"/>
      <c r="BF50" s="3"/>
      <c r="BG50" s="3"/>
      <c r="BH50" s="3"/>
    </row>
    <row r="51" spans="1:60" ht="12.75">
      <c r="A51" s="2">
        <v>45097.368084085647</v>
      </c>
      <c r="B51" s="3" t="s">
        <v>472</v>
      </c>
      <c r="C51" s="1" t="s">
        <v>504</v>
      </c>
      <c r="D51" s="3"/>
      <c r="E51" s="1" t="s">
        <v>472</v>
      </c>
      <c r="F51" s="33" t="s">
        <v>505</v>
      </c>
      <c r="G51" s="1" t="s">
        <v>331</v>
      </c>
      <c r="H51" s="1" t="s">
        <v>56</v>
      </c>
      <c r="I51" s="3" t="s">
        <v>57</v>
      </c>
      <c r="J51" s="1"/>
      <c r="K51" s="3"/>
      <c r="L51" s="3"/>
      <c r="M51" s="1" t="s">
        <v>246</v>
      </c>
      <c r="N51" s="1" t="s">
        <v>506</v>
      </c>
      <c r="Q51" s="1" t="s">
        <v>507</v>
      </c>
      <c r="R51" s="1" t="s">
        <v>334</v>
      </c>
      <c r="S51" s="1"/>
      <c r="X51" s="3" t="s">
        <v>64</v>
      </c>
      <c r="Y51" s="1" t="s">
        <v>215</v>
      </c>
      <c r="Z51" s="5" t="s">
        <v>77</v>
      </c>
      <c r="AB51" s="5" t="s">
        <v>77</v>
      </c>
      <c r="AC51" s="1"/>
      <c r="AD51" s="1"/>
      <c r="AF51" s="1" t="s">
        <v>505</v>
      </c>
      <c r="AH51" s="3" t="s">
        <v>219</v>
      </c>
      <c r="AN51" s="1"/>
      <c r="AO51" s="1" t="s">
        <v>213</v>
      </c>
      <c r="AP51" s="3"/>
      <c r="AQ51" s="3"/>
      <c r="AR51" s="3"/>
      <c r="AS51" s="3"/>
      <c r="AT51" s="3"/>
      <c r="AU51" s="3"/>
      <c r="AV51" s="3"/>
      <c r="AW51" s="3"/>
      <c r="AX51" s="1"/>
      <c r="AY51" s="3"/>
      <c r="AZ51" s="3"/>
      <c r="BA51" s="3" t="s">
        <v>505</v>
      </c>
      <c r="BB51" s="3"/>
      <c r="BC51" s="3"/>
      <c r="BD51" s="3"/>
      <c r="BE51" s="3"/>
      <c r="BF51" s="3"/>
      <c r="BG51" s="3"/>
      <c r="BH51" s="3"/>
    </row>
    <row r="52" spans="1:60" ht="12.75">
      <c r="A52" s="2">
        <v>45097.369133252316</v>
      </c>
      <c r="B52" s="3" t="s">
        <v>472</v>
      </c>
      <c r="C52" s="1" t="s">
        <v>508</v>
      </c>
      <c r="D52" s="3"/>
      <c r="E52" s="1" t="s">
        <v>472</v>
      </c>
      <c r="F52" s="33" t="s">
        <v>509</v>
      </c>
      <c r="G52" s="1" t="s">
        <v>331</v>
      </c>
      <c r="H52" s="1" t="s">
        <v>56</v>
      </c>
      <c r="I52" s="3" t="s">
        <v>57</v>
      </c>
      <c r="J52" s="1"/>
      <c r="K52" s="3"/>
      <c r="L52" s="3"/>
      <c r="M52" s="1" t="s">
        <v>246</v>
      </c>
      <c r="N52" s="1" t="s">
        <v>510</v>
      </c>
      <c r="Q52" s="1" t="s">
        <v>511</v>
      </c>
      <c r="R52" s="1" t="s">
        <v>310</v>
      </c>
      <c r="S52" s="1"/>
      <c r="X52" s="3" t="s">
        <v>64</v>
      </c>
      <c r="Y52" s="1" t="s">
        <v>215</v>
      </c>
      <c r="Z52" s="5" t="s">
        <v>77</v>
      </c>
      <c r="AC52" s="1"/>
      <c r="AD52" s="1"/>
      <c r="AF52" s="1" t="s">
        <v>382</v>
      </c>
      <c r="AH52" s="3" t="s">
        <v>219</v>
      </c>
      <c r="AN52" s="1"/>
      <c r="AO52" s="1" t="s">
        <v>310</v>
      </c>
      <c r="AP52" s="3"/>
      <c r="AQ52" s="3"/>
      <c r="AR52" s="3"/>
      <c r="AS52" s="3"/>
      <c r="AT52" s="3"/>
      <c r="AU52" s="3"/>
      <c r="AV52" s="3"/>
      <c r="AW52" s="3"/>
      <c r="AX52" s="1"/>
      <c r="AY52" s="3"/>
      <c r="AZ52" s="3"/>
      <c r="BA52" s="3" t="s">
        <v>509</v>
      </c>
      <c r="BB52" s="3"/>
      <c r="BC52" s="3"/>
      <c r="BD52" s="3"/>
      <c r="BE52" s="3"/>
      <c r="BF52" s="3"/>
      <c r="BG52" s="3"/>
      <c r="BH52" s="3"/>
    </row>
    <row r="53" spans="1:60" ht="12.75">
      <c r="A53" s="2">
        <v>45097.38232866898</v>
      </c>
      <c r="B53" s="3" t="s">
        <v>242</v>
      </c>
      <c r="C53" s="1" t="s">
        <v>512</v>
      </c>
      <c r="E53" s="1" t="s">
        <v>242</v>
      </c>
      <c r="F53" s="1" t="s">
        <v>512</v>
      </c>
      <c r="G53" s="1" t="s">
        <v>245</v>
      </c>
      <c r="H53" s="1" t="s">
        <v>56</v>
      </c>
      <c r="I53" s="3" t="s">
        <v>57</v>
      </c>
      <c r="J53" s="1"/>
      <c r="M53" s="1" t="s">
        <v>59</v>
      </c>
      <c r="N53" s="1" t="s">
        <v>512</v>
      </c>
      <c r="P53" s="3" t="s">
        <v>513</v>
      </c>
      <c r="Q53" s="1" t="s">
        <v>512</v>
      </c>
      <c r="R53" s="1" t="s">
        <v>57</v>
      </c>
      <c r="S53" s="1"/>
      <c r="X53" s="3" t="s">
        <v>64</v>
      </c>
      <c r="Y53" s="1" t="s">
        <v>215</v>
      </c>
      <c r="Z53" s="5" t="s">
        <v>77</v>
      </c>
      <c r="AB53" s="5" t="s">
        <v>106</v>
      </c>
      <c r="AC53" s="1"/>
      <c r="AD53" s="1"/>
      <c r="AE53" s="3" t="s">
        <v>108</v>
      </c>
      <c r="AF53" s="1" t="s">
        <v>512</v>
      </c>
      <c r="AN53" s="1" t="s">
        <v>514</v>
      </c>
      <c r="AO53" s="1"/>
      <c r="AX53" s="1"/>
      <c r="BA53" t="s">
        <v>753</v>
      </c>
    </row>
    <row r="54" spans="1:60" ht="12.75">
      <c r="A54" s="2">
        <v>45118.453670925926</v>
      </c>
      <c r="B54" s="3" t="s">
        <v>515</v>
      </c>
      <c r="C54" s="1" t="s">
        <v>516</v>
      </c>
      <c r="E54" s="1" t="s">
        <v>515</v>
      </c>
      <c r="F54" s="33" t="s">
        <v>517</v>
      </c>
      <c r="G54" s="1" t="s">
        <v>331</v>
      </c>
      <c r="H54" s="1" t="s">
        <v>56</v>
      </c>
      <c r="I54" s="3" t="s">
        <v>57</v>
      </c>
      <c r="J54" s="1"/>
      <c r="M54" s="1" t="s">
        <v>246</v>
      </c>
      <c r="N54" s="1" t="s">
        <v>518</v>
      </c>
      <c r="O54" s="3" t="s">
        <v>272</v>
      </c>
      <c r="Q54" s="1" t="s">
        <v>519</v>
      </c>
      <c r="R54" s="1" t="s">
        <v>334</v>
      </c>
      <c r="S54" s="1"/>
      <c r="X54" s="3" t="s">
        <v>64</v>
      </c>
      <c r="Y54" s="1" t="s">
        <v>215</v>
      </c>
      <c r="Z54" s="5" t="s">
        <v>106</v>
      </c>
      <c r="AC54" s="1"/>
      <c r="AD54" s="1" t="s">
        <v>520</v>
      </c>
      <c r="AE54" s="3" t="s">
        <v>108</v>
      </c>
      <c r="AF54" s="1" t="s">
        <v>518</v>
      </c>
      <c r="AI54" s="3" t="s">
        <v>219</v>
      </c>
      <c r="AN54" s="1"/>
      <c r="AO54" s="1"/>
      <c r="AX54" s="1"/>
      <c r="BA54" t="s">
        <v>517</v>
      </c>
    </row>
    <row r="55" spans="1:60" ht="12.75">
      <c r="A55" s="2">
        <v>45176.505580324076</v>
      </c>
      <c r="B55" s="3" t="s">
        <v>521</v>
      </c>
      <c r="C55" s="1" t="s">
        <v>522</v>
      </c>
      <c r="E55" s="1" t="s">
        <v>521</v>
      </c>
      <c r="F55" s="33" t="s">
        <v>523</v>
      </c>
      <c r="G55" s="1" t="s">
        <v>331</v>
      </c>
      <c r="H55" s="1" t="s">
        <v>56</v>
      </c>
      <c r="I55" s="3" t="s">
        <v>57</v>
      </c>
      <c r="J55" s="1" t="s">
        <v>99</v>
      </c>
      <c r="M55" s="1" t="s">
        <v>151</v>
      </c>
      <c r="N55" s="1" t="s">
        <v>524</v>
      </c>
      <c r="O55" s="3" t="s">
        <v>272</v>
      </c>
      <c r="P55" s="3" t="s">
        <v>261</v>
      </c>
      <c r="Q55" s="1" t="s">
        <v>525</v>
      </c>
      <c r="R55" s="1" t="s">
        <v>57</v>
      </c>
      <c r="S55" s="1"/>
      <c r="X55" s="1" t="s">
        <v>239</v>
      </c>
      <c r="Y55" s="1" t="s">
        <v>125</v>
      </c>
      <c r="Z55" s="5" t="s">
        <v>77</v>
      </c>
      <c r="AA55" s="5" t="s">
        <v>77</v>
      </c>
      <c r="AB55" s="5" t="s">
        <v>77</v>
      </c>
      <c r="AC55" s="1"/>
      <c r="AD55" s="1"/>
      <c r="AE55" s="3" t="s">
        <v>108</v>
      </c>
      <c r="AF55" s="1" t="s">
        <v>524</v>
      </c>
      <c r="AI55" s="3" t="s">
        <v>219</v>
      </c>
      <c r="AN55" s="1"/>
      <c r="AO55" s="1"/>
      <c r="AX55" s="1"/>
      <c r="BA55" t="s">
        <v>754</v>
      </c>
    </row>
    <row r="56" spans="1:60" ht="12.75">
      <c r="A56" s="2">
        <v>45210.373210555554</v>
      </c>
      <c r="B56" s="3" t="s">
        <v>526</v>
      </c>
      <c r="C56" s="1" t="s">
        <v>527</v>
      </c>
      <c r="D56" s="3"/>
      <c r="E56" s="1" t="s">
        <v>526</v>
      </c>
      <c r="F56" s="1" t="s">
        <v>528</v>
      </c>
      <c r="G56" s="1" t="s">
        <v>331</v>
      </c>
      <c r="H56" s="1" t="s">
        <v>56</v>
      </c>
      <c r="I56" s="3" t="s">
        <v>57</v>
      </c>
      <c r="J56" s="1"/>
      <c r="K56" s="3"/>
      <c r="L56" s="3"/>
      <c r="M56" s="1" t="s">
        <v>246</v>
      </c>
      <c r="N56" s="1" t="s">
        <v>527</v>
      </c>
      <c r="O56" s="3" t="s">
        <v>272</v>
      </c>
      <c r="P56" s="3" t="s">
        <v>333</v>
      </c>
      <c r="Q56" s="1" t="s">
        <v>457</v>
      </c>
      <c r="R56" s="1" t="s">
        <v>334</v>
      </c>
      <c r="S56" s="1"/>
      <c r="X56" s="3" t="s">
        <v>64</v>
      </c>
      <c r="Y56" s="1" t="s">
        <v>215</v>
      </c>
      <c r="Z56" s="5" t="s">
        <v>77</v>
      </c>
      <c r="AB56" s="5" t="s">
        <v>77</v>
      </c>
      <c r="AC56" s="1"/>
      <c r="AD56" s="1"/>
      <c r="AE56" s="3" t="s">
        <v>108</v>
      </c>
      <c r="AF56" s="1" t="s">
        <v>502</v>
      </c>
      <c r="AI56" s="3" t="s">
        <v>219</v>
      </c>
      <c r="AN56" s="1"/>
      <c r="AO56" s="1" t="s">
        <v>213</v>
      </c>
      <c r="AP56" s="3"/>
      <c r="AQ56" s="3"/>
      <c r="AR56" s="3"/>
      <c r="AS56" s="3"/>
      <c r="AT56" s="3"/>
      <c r="AU56" s="3"/>
      <c r="AV56" s="3"/>
      <c r="AW56" s="3"/>
      <c r="AX56" s="1"/>
      <c r="AY56" s="3"/>
      <c r="AZ56" s="3"/>
      <c r="BA56" s="34" t="s">
        <v>755</v>
      </c>
      <c r="BB56" s="3"/>
      <c r="BC56" s="3"/>
      <c r="BD56" s="3"/>
      <c r="BE56" s="3"/>
      <c r="BF56" s="3"/>
      <c r="BG56" s="3"/>
      <c r="BH56" s="3"/>
    </row>
    <row r="57" spans="1:60" ht="153">
      <c r="A57" s="2">
        <v>45282.64605549768</v>
      </c>
      <c r="B57" s="3" t="s">
        <v>529</v>
      </c>
      <c r="C57" s="1" t="s">
        <v>530</v>
      </c>
      <c r="D57" s="3"/>
      <c r="E57" s="1" t="s">
        <v>529</v>
      </c>
      <c r="F57" s="1" t="s">
        <v>531</v>
      </c>
      <c r="G57" s="1" t="s">
        <v>532</v>
      </c>
      <c r="H57" s="1" t="s">
        <v>56</v>
      </c>
      <c r="I57" s="3" t="s">
        <v>57</v>
      </c>
      <c r="J57" s="1" t="s">
        <v>99</v>
      </c>
      <c r="K57" s="3"/>
      <c r="L57" s="3"/>
      <c r="M57" s="1" t="s">
        <v>85</v>
      </c>
      <c r="N57" s="1" t="s">
        <v>533</v>
      </c>
      <c r="O57" s="3" t="s">
        <v>534</v>
      </c>
      <c r="P57" s="3" t="s">
        <v>261</v>
      </c>
      <c r="Q57" s="1" t="s">
        <v>535</v>
      </c>
      <c r="R57" s="1" t="s">
        <v>536</v>
      </c>
      <c r="S57" s="1" t="s">
        <v>537</v>
      </c>
      <c r="X57" s="1" t="s">
        <v>407</v>
      </c>
      <c r="Y57" s="1" t="s">
        <v>76</v>
      </c>
      <c r="Z57" s="5" t="s">
        <v>77</v>
      </c>
      <c r="AA57" s="5" t="s">
        <v>77</v>
      </c>
      <c r="AB57" s="5" t="s">
        <v>77</v>
      </c>
      <c r="AC57" s="1" t="s">
        <v>538</v>
      </c>
      <c r="AD57" s="1"/>
      <c r="AE57" s="3" t="s">
        <v>108</v>
      </c>
      <c r="AF57" s="1" t="s">
        <v>539</v>
      </c>
      <c r="AJ57" s="3" t="s">
        <v>219</v>
      </c>
      <c r="AN57" s="1"/>
      <c r="AO57" s="1" t="s">
        <v>540</v>
      </c>
      <c r="AP57" s="3"/>
      <c r="AQ57" s="3"/>
      <c r="AR57" s="3"/>
      <c r="AS57" s="3"/>
      <c r="AT57" s="3"/>
      <c r="AU57" s="3"/>
      <c r="AV57" s="3"/>
      <c r="AW57" s="3"/>
      <c r="AX57" s="1"/>
      <c r="AY57" s="3"/>
      <c r="AZ57" s="3"/>
      <c r="BA57" s="3" t="s">
        <v>756</v>
      </c>
      <c r="BB57" s="3"/>
      <c r="BC57" s="3"/>
      <c r="BD57" s="3"/>
      <c r="BE57" s="3"/>
      <c r="BF57" s="3"/>
      <c r="BG57" s="3"/>
      <c r="BH57" s="3"/>
    </row>
    <row r="58" spans="1:60" ht="12.75">
      <c r="A58" s="2">
        <v>45321.560571331021</v>
      </c>
      <c r="B58" s="3" t="s">
        <v>541</v>
      </c>
      <c r="C58" s="1" t="s">
        <v>542</v>
      </c>
      <c r="E58" s="1" t="s">
        <v>541</v>
      </c>
      <c r="F58" s="1" t="s">
        <v>542</v>
      </c>
      <c r="G58" s="1" t="s">
        <v>331</v>
      </c>
      <c r="H58" s="1" t="s">
        <v>56</v>
      </c>
      <c r="I58" s="3" t="s">
        <v>57</v>
      </c>
      <c r="J58" s="1" t="s">
        <v>99</v>
      </c>
      <c r="M58" s="1" t="s">
        <v>85</v>
      </c>
      <c r="N58" s="1" t="s">
        <v>502</v>
      </c>
      <c r="O58" s="3" t="s">
        <v>272</v>
      </c>
      <c r="P58" s="3" t="s">
        <v>261</v>
      </c>
      <c r="Q58" s="1" t="s">
        <v>543</v>
      </c>
      <c r="R58" s="1" t="s">
        <v>57</v>
      </c>
      <c r="S58" s="1"/>
      <c r="X58" s="3" t="s">
        <v>64</v>
      </c>
      <c r="Y58" s="1" t="s">
        <v>125</v>
      </c>
      <c r="Z58" s="5" t="s">
        <v>77</v>
      </c>
      <c r="AA58" s="5" t="s">
        <v>77</v>
      </c>
      <c r="AC58" s="1"/>
      <c r="AD58" s="1"/>
      <c r="AE58" s="3" t="s">
        <v>256</v>
      </c>
      <c r="AF58" s="1" t="s">
        <v>502</v>
      </c>
      <c r="AH58" s="3" t="s">
        <v>219</v>
      </c>
      <c r="AN58" s="1"/>
      <c r="AO58" s="1"/>
      <c r="AX58" s="1"/>
      <c r="BA58" t="s">
        <v>757</v>
      </c>
    </row>
    <row r="59" spans="1:60" ht="51">
      <c r="A59" s="2">
        <v>45329.505949745369</v>
      </c>
      <c r="B59" s="3" t="s">
        <v>82</v>
      </c>
      <c r="C59" s="1" t="s">
        <v>544</v>
      </c>
      <c r="D59" s="3" t="s">
        <v>545</v>
      </c>
      <c r="E59" s="1" t="s">
        <v>82</v>
      </c>
      <c r="F59" s="1" t="s">
        <v>546</v>
      </c>
      <c r="G59" s="1" t="s">
        <v>84</v>
      </c>
      <c r="H59" s="1" t="s">
        <v>56</v>
      </c>
      <c r="I59" s="3" t="s">
        <v>57</v>
      </c>
      <c r="J59" s="1" t="s">
        <v>58</v>
      </c>
      <c r="K59" s="3" t="s">
        <v>547</v>
      </c>
      <c r="L59" s="3" t="s">
        <v>548</v>
      </c>
      <c r="M59" s="1" t="s">
        <v>85</v>
      </c>
      <c r="N59" s="1" t="s">
        <v>549</v>
      </c>
      <c r="O59" s="3" t="s">
        <v>272</v>
      </c>
      <c r="P59" s="3" t="s">
        <v>87</v>
      </c>
      <c r="Q59" s="1" t="s">
        <v>550</v>
      </c>
      <c r="R59" s="1" t="s">
        <v>551</v>
      </c>
      <c r="S59" s="1" t="s">
        <v>552</v>
      </c>
      <c r="X59" s="1" t="s">
        <v>275</v>
      </c>
      <c r="Y59" s="1" t="s">
        <v>215</v>
      </c>
      <c r="Z59" s="5" t="s">
        <v>77</v>
      </c>
      <c r="AA59" s="5" t="s">
        <v>77</v>
      </c>
      <c r="AC59" s="1" t="s">
        <v>126</v>
      </c>
      <c r="AD59" s="1"/>
      <c r="AE59" s="3" t="s">
        <v>108</v>
      </c>
      <c r="AF59" s="1" t="s">
        <v>553</v>
      </c>
      <c r="AK59" s="3" t="s">
        <v>219</v>
      </c>
      <c r="AL59" s="3" t="s">
        <v>220</v>
      </c>
      <c r="AN59" s="1" t="s">
        <v>286</v>
      </c>
      <c r="AO59" s="1" t="s">
        <v>554</v>
      </c>
      <c r="AP59" s="3"/>
      <c r="AQ59" s="3"/>
      <c r="AR59" s="3"/>
      <c r="AS59" s="3"/>
      <c r="AT59" s="3"/>
      <c r="AU59" s="3"/>
      <c r="AX59" s="1" t="s">
        <v>136</v>
      </c>
      <c r="AY59" s="3" t="s">
        <v>555</v>
      </c>
      <c r="AZ59" s="3"/>
      <c r="BA59" s="3"/>
      <c r="BB59" s="3"/>
      <c r="BC59" s="3"/>
      <c r="BD59" s="3"/>
      <c r="BE59" s="3"/>
      <c r="BF59" s="3"/>
      <c r="BG59" s="3"/>
    </row>
    <row r="60" spans="1:60" ht="76.5">
      <c r="A60" s="2">
        <v>45334.466346122688</v>
      </c>
      <c r="B60" s="3" t="s">
        <v>82</v>
      </c>
      <c r="C60" s="1" t="s">
        <v>556</v>
      </c>
      <c r="D60" s="3" t="s">
        <v>557</v>
      </c>
      <c r="E60" s="1" t="s">
        <v>558</v>
      </c>
      <c r="F60" s="1" t="s">
        <v>559</v>
      </c>
      <c r="G60" s="1" t="s">
        <v>84</v>
      </c>
      <c r="H60" s="1" t="s">
        <v>56</v>
      </c>
      <c r="I60" s="3" t="s">
        <v>57</v>
      </c>
      <c r="J60" s="1" t="s">
        <v>58</v>
      </c>
      <c r="K60" s="3" t="s">
        <v>560</v>
      </c>
      <c r="L60" s="3" t="s">
        <v>561</v>
      </c>
      <c r="M60" s="1" t="s">
        <v>85</v>
      </c>
      <c r="N60" s="1" t="s">
        <v>562</v>
      </c>
      <c r="O60" s="3" t="s">
        <v>211</v>
      </c>
      <c r="P60" s="3" t="s">
        <v>261</v>
      </c>
      <c r="Q60" s="1" t="s">
        <v>563</v>
      </c>
      <c r="R60" s="1" t="s">
        <v>564</v>
      </c>
      <c r="S60" s="1" t="s">
        <v>565</v>
      </c>
      <c r="X60" s="1" t="s">
        <v>133</v>
      </c>
      <c r="Y60" s="1" t="s">
        <v>287</v>
      </c>
      <c r="Z60" s="5" t="s">
        <v>77</v>
      </c>
      <c r="AB60" s="5" t="s">
        <v>77</v>
      </c>
      <c r="AC60" s="1" t="s">
        <v>566</v>
      </c>
      <c r="AD60" s="1"/>
      <c r="AE60" s="3" t="s">
        <v>108</v>
      </c>
      <c r="AF60" s="1" t="s">
        <v>567</v>
      </c>
      <c r="AJ60" s="3" t="s">
        <v>219</v>
      </c>
      <c r="AK60" s="3" t="s">
        <v>220</v>
      </c>
      <c r="AN60" s="1"/>
      <c r="AO60" s="1" t="s">
        <v>568</v>
      </c>
      <c r="AU60" s="3" t="s">
        <v>569</v>
      </c>
      <c r="AW60" s="3" t="s">
        <v>570</v>
      </c>
      <c r="AX60" s="1"/>
      <c r="AY60" s="3" t="s">
        <v>555</v>
      </c>
    </row>
    <row r="61" spans="1:60" ht="12.75">
      <c r="A61" s="2">
        <v>45338.51024664352</v>
      </c>
      <c r="B61" s="3" t="s">
        <v>96</v>
      </c>
      <c r="C61" s="1" t="s">
        <v>571</v>
      </c>
      <c r="D61" s="3" t="s">
        <v>571</v>
      </c>
      <c r="E61" s="1" t="s">
        <v>96</v>
      </c>
      <c r="F61" s="1" t="s">
        <v>572</v>
      </c>
      <c r="G61" s="1" t="s">
        <v>170</v>
      </c>
      <c r="H61" s="1" t="s">
        <v>56</v>
      </c>
      <c r="I61" s="3" t="s">
        <v>57</v>
      </c>
      <c r="J61" s="1" t="s">
        <v>99</v>
      </c>
      <c r="M61" s="1" t="s">
        <v>85</v>
      </c>
      <c r="N61" s="1" t="s">
        <v>573</v>
      </c>
      <c r="O61" s="3" t="s">
        <v>272</v>
      </c>
      <c r="P61" s="3" t="s">
        <v>193</v>
      </c>
      <c r="Q61" s="1" t="s">
        <v>574</v>
      </c>
      <c r="R61" s="1" t="s">
        <v>575</v>
      </c>
      <c r="S61" s="1"/>
      <c r="X61" s="1" t="s">
        <v>576</v>
      </c>
      <c r="Y61" s="1" t="s">
        <v>577</v>
      </c>
      <c r="Z61" s="5" t="s">
        <v>77</v>
      </c>
      <c r="AC61" s="1" t="s">
        <v>107</v>
      </c>
      <c r="AD61" s="1"/>
      <c r="AE61" s="3" t="s">
        <v>108</v>
      </c>
      <c r="AF61" s="1" t="s">
        <v>573</v>
      </c>
      <c r="AH61" s="3" t="s">
        <v>219</v>
      </c>
      <c r="AI61" s="3" t="s">
        <v>220</v>
      </c>
      <c r="AN61" s="1"/>
      <c r="AO61" s="1"/>
      <c r="AU61" s="3" t="s">
        <v>578</v>
      </c>
      <c r="AX61" s="1"/>
      <c r="BA61" s="34" t="s">
        <v>758</v>
      </c>
    </row>
    <row r="62" spans="1:60" ht="12.75">
      <c r="A62" s="2">
        <v>45349.359740381944</v>
      </c>
      <c r="B62" s="3" t="s">
        <v>328</v>
      </c>
      <c r="C62" s="1" t="s">
        <v>579</v>
      </c>
      <c r="D62" s="3" t="s">
        <v>580</v>
      </c>
      <c r="E62" s="1" t="s">
        <v>328</v>
      </c>
      <c r="F62" s="33" t="s">
        <v>580</v>
      </c>
      <c r="G62" s="1" t="s">
        <v>331</v>
      </c>
      <c r="H62" s="1" t="s">
        <v>56</v>
      </c>
      <c r="I62" s="3" t="s">
        <v>57</v>
      </c>
      <c r="J62" s="1"/>
      <c r="L62" s="3" t="s">
        <v>417</v>
      </c>
      <c r="M62" s="1" t="s">
        <v>246</v>
      </c>
      <c r="N62" s="1" t="s">
        <v>581</v>
      </c>
      <c r="O62" s="3" t="s">
        <v>582</v>
      </c>
      <c r="P62" s="3" t="s">
        <v>369</v>
      </c>
      <c r="Q62" s="1" t="s">
        <v>583</v>
      </c>
      <c r="R62" s="1" t="s">
        <v>334</v>
      </c>
      <c r="S62" s="1"/>
      <c r="X62" s="1" t="s">
        <v>382</v>
      </c>
      <c r="Y62" s="1" t="s">
        <v>215</v>
      </c>
      <c r="Z62" s="5" t="s">
        <v>77</v>
      </c>
      <c r="AA62" s="5" t="s">
        <v>77</v>
      </c>
      <c r="AC62" s="1"/>
      <c r="AD62" s="1"/>
      <c r="AE62" s="3" t="s">
        <v>256</v>
      </c>
      <c r="AF62" s="1" t="s">
        <v>581</v>
      </c>
      <c r="AH62" s="3" t="s">
        <v>219</v>
      </c>
      <c r="AN62" s="1"/>
      <c r="AO62" s="1"/>
      <c r="AS62" s="3" t="s">
        <v>57</v>
      </c>
      <c r="AT62" s="3" t="s">
        <v>57</v>
      </c>
      <c r="AX62" s="1"/>
      <c r="AY62" s="3" t="s">
        <v>584</v>
      </c>
      <c r="BA62" t="s">
        <v>580</v>
      </c>
    </row>
    <row r="63" spans="1:60" ht="12.75">
      <c r="A63" s="2">
        <v>45363.44688920139</v>
      </c>
      <c r="B63" s="3" t="s">
        <v>242</v>
      </c>
      <c r="C63" s="3" t="s">
        <v>585</v>
      </c>
      <c r="D63" s="3" t="s">
        <v>586</v>
      </c>
      <c r="E63" s="3" t="s">
        <v>587</v>
      </c>
      <c r="F63" s="1" t="s">
        <v>588</v>
      </c>
      <c r="G63" s="3" t="s">
        <v>245</v>
      </c>
      <c r="H63" s="3" t="s">
        <v>56</v>
      </c>
      <c r="I63" s="3" t="s">
        <v>57</v>
      </c>
      <c r="J63" s="3" t="s">
        <v>589</v>
      </c>
      <c r="K63" s="3" t="s">
        <v>590</v>
      </c>
      <c r="L63" s="3" t="s">
        <v>591</v>
      </c>
      <c r="M63" s="3" t="s">
        <v>151</v>
      </c>
      <c r="N63" s="3" t="s">
        <v>592</v>
      </c>
      <c r="O63" s="3" t="s">
        <v>332</v>
      </c>
      <c r="P63" s="3" t="s">
        <v>352</v>
      </c>
      <c r="Q63" s="3" t="s">
        <v>593</v>
      </c>
      <c r="R63" s="3" t="s">
        <v>57</v>
      </c>
      <c r="X63" s="3" t="s">
        <v>64</v>
      </c>
      <c r="Y63" s="3" t="s">
        <v>594</v>
      </c>
      <c r="Z63" s="5" t="s">
        <v>77</v>
      </c>
      <c r="AA63" s="5" t="s">
        <v>77</v>
      </c>
      <c r="AB63" s="5" t="s">
        <v>77</v>
      </c>
      <c r="AC63" s="3" t="s">
        <v>134</v>
      </c>
      <c r="AE63" s="3" t="s">
        <v>108</v>
      </c>
      <c r="AF63" s="3" t="s">
        <v>595</v>
      </c>
      <c r="AH63" s="3" t="s">
        <v>219</v>
      </c>
      <c r="AI63" s="3" t="s">
        <v>220</v>
      </c>
      <c r="AO63" s="3" t="s">
        <v>310</v>
      </c>
      <c r="AR63" s="3" t="s">
        <v>310</v>
      </c>
      <c r="AS63" s="3" t="s">
        <v>310</v>
      </c>
      <c r="AT63" s="3" t="s">
        <v>57</v>
      </c>
      <c r="AX63" s="1"/>
      <c r="AZ63" s="3" t="s">
        <v>596</v>
      </c>
    </row>
    <row r="64" spans="1:60" ht="12.75">
      <c r="A64" s="2">
        <v>45420.400327928241</v>
      </c>
      <c r="B64" s="3" t="s">
        <v>597</v>
      </c>
      <c r="C64" s="3" t="s">
        <v>598</v>
      </c>
      <c r="D64" s="3" t="s">
        <v>599</v>
      </c>
      <c r="E64" s="3" t="s">
        <v>600</v>
      </c>
      <c r="F64" s="3" t="s">
        <v>601</v>
      </c>
      <c r="G64" s="3" t="s">
        <v>602</v>
      </c>
      <c r="H64" s="3" t="s">
        <v>603</v>
      </c>
      <c r="I64" s="3" t="s">
        <v>57</v>
      </c>
      <c r="J64" s="3" t="s">
        <v>604</v>
      </c>
      <c r="K64" s="3" t="s">
        <v>605</v>
      </c>
      <c r="L64" s="3" t="s">
        <v>606</v>
      </c>
      <c r="M64" s="3" t="s">
        <v>85</v>
      </c>
      <c r="N64" s="3" t="s">
        <v>607</v>
      </c>
      <c r="O64" s="3" t="s">
        <v>608</v>
      </c>
      <c r="P64" s="3" t="s">
        <v>609</v>
      </c>
      <c r="Q64" s="3" t="s">
        <v>610</v>
      </c>
      <c r="R64" s="3" t="s">
        <v>611</v>
      </c>
      <c r="S64" s="3" t="s">
        <v>612</v>
      </c>
      <c r="X64" s="3" t="s">
        <v>613</v>
      </c>
      <c r="Y64" s="3" t="s">
        <v>215</v>
      </c>
      <c r="Z64" s="5" t="s">
        <v>77</v>
      </c>
      <c r="AC64" s="3" t="s">
        <v>614</v>
      </c>
      <c r="AD64" s="3" t="s">
        <v>333</v>
      </c>
      <c r="AF64" s="3" t="s">
        <v>615</v>
      </c>
      <c r="AI64" s="3" t="s">
        <v>219</v>
      </c>
      <c r="AJ64" s="3" t="s">
        <v>220</v>
      </c>
      <c r="AN64" s="3" t="s">
        <v>333</v>
      </c>
      <c r="AO64" s="3" t="s">
        <v>333</v>
      </c>
      <c r="AR64" s="3" t="s">
        <v>57</v>
      </c>
      <c r="AS64" s="3" t="s">
        <v>310</v>
      </c>
      <c r="AT64" s="3" t="s">
        <v>57</v>
      </c>
      <c r="AU64" s="3" t="s">
        <v>616</v>
      </c>
      <c r="AV64" s="3" t="s">
        <v>617</v>
      </c>
      <c r="AW64" s="3" t="s">
        <v>618</v>
      </c>
      <c r="AY64" s="3" t="s">
        <v>584</v>
      </c>
      <c r="AZ64" s="3" t="s">
        <v>605</v>
      </c>
      <c r="BA64" s="34" t="s">
        <v>759</v>
      </c>
    </row>
    <row r="65" spans="1:53" ht="12.75">
      <c r="A65" s="2">
        <v>45454.459811446759</v>
      </c>
      <c r="B65" s="3" t="s">
        <v>472</v>
      </c>
      <c r="C65" s="3" t="s">
        <v>619</v>
      </c>
      <c r="D65" s="3" t="s">
        <v>619</v>
      </c>
      <c r="E65" s="3" t="s">
        <v>620</v>
      </c>
      <c r="F65" s="3" t="s">
        <v>621</v>
      </c>
      <c r="G65" s="3" t="s">
        <v>331</v>
      </c>
      <c r="H65" s="3" t="s">
        <v>622</v>
      </c>
      <c r="I65" s="3" t="s">
        <v>57</v>
      </c>
      <c r="L65" s="3" t="s">
        <v>623</v>
      </c>
      <c r="M65" s="3" t="s">
        <v>246</v>
      </c>
      <c r="N65" s="3" t="s">
        <v>619</v>
      </c>
      <c r="Q65" s="3" t="s">
        <v>624</v>
      </c>
      <c r="R65" s="3" t="s">
        <v>334</v>
      </c>
      <c r="Y65" s="3" t="s">
        <v>125</v>
      </c>
      <c r="Z65" s="5" t="s">
        <v>77</v>
      </c>
      <c r="AA65" s="5" t="s">
        <v>77</v>
      </c>
      <c r="AB65" s="5" t="s">
        <v>77</v>
      </c>
      <c r="AE65" s="3" t="s">
        <v>108</v>
      </c>
      <c r="AF65" s="3" t="s">
        <v>619</v>
      </c>
      <c r="AI65" s="3" t="s">
        <v>219</v>
      </c>
      <c r="BA65" t="s">
        <v>621</v>
      </c>
    </row>
    <row r="66" spans="1:53" ht="12.75">
      <c r="A66" s="2">
        <v>45455.650983206018</v>
      </c>
      <c r="B66" s="3" t="s">
        <v>625</v>
      </c>
      <c r="C66" s="3" t="s">
        <v>626</v>
      </c>
      <c r="D66" s="3" t="s">
        <v>627</v>
      </c>
      <c r="E66" s="3" t="s">
        <v>628</v>
      </c>
      <c r="F66" s="3" t="s">
        <v>627</v>
      </c>
      <c r="G66" s="3" t="s">
        <v>629</v>
      </c>
      <c r="H66" s="3" t="s">
        <v>630</v>
      </c>
      <c r="I66" s="3" t="s">
        <v>57</v>
      </c>
      <c r="J66" s="3" t="s">
        <v>631</v>
      </c>
      <c r="K66" s="3" t="s">
        <v>632</v>
      </c>
      <c r="L66" s="3" t="s">
        <v>633</v>
      </c>
      <c r="M66" s="3" t="s">
        <v>85</v>
      </c>
      <c r="N66" s="3" t="s">
        <v>634</v>
      </c>
      <c r="O66" s="5" t="s">
        <v>635</v>
      </c>
      <c r="P66" s="3" t="s">
        <v>636</v>
      </c>
      <c r="Q66" s="3" t="s">
        <v>637</v>
      </c>
      <c r="R66" s="3" t="s">
        <v>638</v>
      </c>
      <c r="S66" s="3" t="s">
        <v>639</v>
      </c>
      <c r="X66" s="3" t="s">
        <v>640</v>
      </c>
      <c r="Y66" s="3" t="s">
        <v>314</v>
      </c>
      <c r="Z66" s="5" t="s">
        <v>77</v>
      </c>
      <c r="AB66" s="5" t="s">
        <v>77</v>
      </c>
      <c r="AC66" s="3" t="s">
        <v>134</v>
      </c>
      <c r="AE66" s="3" t="s">
        <v>108</v>
      </c>
      <c r="AF66" s="3" t="s">
        <v>641</v>
      </c>
      <c r="AK66" s="3" t="s">
        <v>219</v>
      </c>
      <c r="AL66" s="3" t="s">
        <v>220</v>
      </c>
      <c r="AN66" s="3" t="s">
        <v>310</v>
      </c>
      <c r="AO66" s="3" t="s">
        <v>310</v>
      </c>
      <c r="AU66" s="3" t="s">
        <v>642</v>
      </c>
      <c r="AV66" s="3" t="s">
        <v>643</v>
      </c>
      <c r="AW66" s="3" t="s">
        <v>644</v>
      </c>
      <c r="AY66" s="3" t="s">
        <v>645</v>
      </c>
      <c r="BA66" s="34" t="s">
        <v>762</v>
      </c>
    </row>
    <row r="67" spans="1:53" ht="12.75">
      <c r="A67" s="2">
        <v>45478.582501203702</v>
      </c>
      <c r="B67" s="3" t="s">
        <v>646</v>
      </c>
      <c r="C67" s="3" t="s">
        <v>647</v>
      </c>
      <c r="D67" s="3" t="s">
        <v>648</v>
      </c>
      <c r="E67" s="3" t="s">
        <v>649</v>
      </c>
      <c r="F67" s="3" t="s">
        <v>650</v>
      </c>
      <c r="G67" s="3" t="s">
        <v>651</v>
      </c>
      <c r="H67" s="3" t="s">
        <v>56</v>
      </c>
      <c r="I67" s="3" t="s">
        <v>57</v>
      </c>
      <c r="L67" s="3" t="s">
        <v>652</v>
      </c>
      <c r="M67" s="3" t="s">
        <v>246</v>
      </c>
      <c r="N67" s="3" t="s">
        <v>653</v>
      </c>
      <c r="O67" s="3" t="s">
        <v>654</v>
      </c>
      <c r="P67" s="3" t="s">
        <v>655</v>
      </c>
      <c r="Q67" s="3" t="s">
        <v>656</v>
      </c>
      <c r="R67" s="3" t="s">
        <v>657</v>
      </c>
      <c r="X67" s="3" t="s">
        <v>658</v>
      </c>
      <c r="Y67" s="3" t="s">
        <v>125</v>
      </c>
      <c r="Z67" s="5" t="s">
        <v>77</v>
      </c>
      <c r="AB67" s="5" t="s">
        <v>77</v>
      </c>
      <c r="AC67" s="3" t="s">
        <v>134</v>
      </c>
      <c r="AE67" s="3" t="s">
        <v>108</v>
      </c>
      <c r="AF67" s="3" t="s">
        <v>653</v>
      </c>
      <c r="AN67" s="3" t="s">
        <v>659</v>
      </c>
      <c r="AR67" s="3" t="s">
        <v>57</v>
      </c>
      <c r="AS67" s="3" t="s">
        <v>310</v>
      </c>
      <c r="AT67" s="3" t="s">
        <v>57</v>
      </c>
      <c r="AZ67" s="3" t="s">
        <v>660</v>
      </c>
      <c r="BA67" t="s">
        <v>760</v>
      </c>
    </row>
    <row r="68" spans="1:53" ht="12.75">
      <c r="A68" s="2">
        <v>45587.46881017361</v>
      </c>
      <c r="B68" s="3" t="s">
        <v>69</v>
      </c>
      <c r="C68" s="3" t="s">
        <v>661</v>
      </c>
      <c r="D68" s="3" t="s">
        <v>662</v>
      </c>
      <c r="E68" s="3" t="s">
        <v>663</v>
      </c>
      <c r="F68" s="3" t="s">
        <v>664</v>
      </c>
      <c r="G68" s="3" t="s">
        <v>665</v>
      </c>
      <c r="H68" s="3" t="s">
        <v>56</v>
      </c>
      <c r="I68" s="3" t="s">
        <v>57</v>
      </c>
      <c r="K68" s="3" t="s">
        <v>666</v>
      </c>
      <c r="L68" s="3" t="s">
        <v>568</v>
      </c>
      <c r="M68" s="3" t="s">
        <v>151</v>
      </c>
      <c r="N68" s="3" t="s">
        <v>667</v>
      </c>
      <c r="O68" s="3" t="s">
        <v>668</v>
      </c>
      <c r="P68" s="3" t="s">
        <v>669</v>
      </c>
      <c r="Q68" s="3" t="s">
        <v>670</v>
      </c>
      <c r="R68" s="3" t="s">
        <v>671</v>
      </c>
      <c r="X68" s="3" t="s">
        <v>672</v>
      </c>
      <c r="Y68" s="3" t="s">
        <v>125</v>
      </c>
      <c r="Z68" s="5" t="s">
        <v>77</v>
      </c>
      <c r="AC68" s="3" t="s">
        <v>92</v>
      </c>
      <c r="AE68" s="3" t="s">
        <v>108</v>
      </c>
      <c r="AF68" s="3" t="s">
        <v>673</v>
      </c>
      <c r="AL68" s="3" t="s">
        <v>219</v>
      </c>
      <c r="AM68" s="3" t="s">
        <v>220</v>
      </c>
      <c r="AN68" s="3" t="s">
        <v>674</v>
      </c>
      <c r="AR68" s="3" t="s">
        <v>57</v>
      </c>
      <c r="AS68" s="3" t="s">
        <v>310</v>
      </c>
      <c r="AT68" s="3" t="s">
        <v>57</v>
      </c>
      <c r="AU68" s="3" t="s">
        <v>675</v>
      </c>
      <c r="AW68" s="3" t="s">
        <v>117</v>
      </c>
      <c r="AY68" s="3" t="s">
        <v>555</v>
      </c>
      <c r="AZ68" s="3" t="s">
        <v>676</v>
      </c>
      <c r="BA68" t="s">
        <v>761</v>
      </c>
    </row>
    <row r="69" spans="1:53" ht="12.75">
      <c r="C69" s="1"/>
      <c r="E69" s="1"/>
      <c r="F69" s="1"/>
      <c r="G69" s="1"/>
      <c r="H69" s="1"/>
      <c r="J69" s="1"/>
      <c r="M69" s="1"/>
      <c r="N69" s="1"/>
      <c r="Q69" s="1"/>
      <c r="R69" s="1"/>
      <c r="S69" s="1"/>
      <c r="X69" s="1"/>
      <c r="Y69" s="1"/>
      <c r="AC69" s="1"/>
      <c r="AD69" s="1"/>
      <c r="AF69" s="1"/>
      <c r="AN69" s="1"/>
      <c r="AO69" s="1"/>
      <c r="AX69" s="1"/>
    </row>
    <row r="70" spans="1:53" ht="12.75">
      <c r="C70" s="1"/>
      <c r="E70" s="1"/>
      <c r="F70" s="1"/>
      <c r="G70" s="1"/>
      <c r="H70" s="1"/>
      <c r="J70" s="1"/>
      <c r="M70" s="1"/>
      <c r="N70" s="1"/>
      <c r="Q70" s="1"/>
      <c r="R70" s="1"/>
      <c r="S70" s="1"/>
      <c r="X70" s="1"/>
      <c r="Y70" s="1"/>
      <c r="AC70" s="1"/>
      <c r="AD70" s="1"/>
      <c r="AF70" s="1"/>
      <c r="AN70" s="1"/>
      <c r="AO70" s="1"/>
      <c r="AX70" s="1"/>
    </row>
    <row r="71" spans="1:53" ht="12.75">
      <c r="C71" s="1"/>
      <c r="E71" s="1"/>
      <c r="F71" s="1"/>
      <c r="G71" s="1"/>
      <c r="H71" s="1"/>
      <c r="J71" s="1"/>
      <c r="M71" s="1"/>
      <c r="N71" s="1"/>
      <c r="Q71" s="1"/>
      <c r="R71" s="1"/>
      <c r="S71" s="1"/>
      <c r="X71" s="1"/>
      <c r="Y71" s="1"/>
      <c r="AC71" s="1"/>
      <c r="AD71" s="1"/>
      <c r="AF71" s="1"/>
      <c r="AN71" s="1"/>
      <c r="AO71" s="1"/>
      <c r="AX71" s="1"/>
    </row>
    <row r="72" spans="1:53" ht="12.75">
      <c r="C72" s="1"/>
      <c r="E72" s="1"/>
      <c r="F72" s="1"/>
      <c r="G72" s="1"/>
      <c r="H72" s="1"/>
      <c r="J72" s="1"/>
      <c r="M72" s="1"/>
      <c r="N72" s="1"/>
      <c r="Q72" s="1"/>
      <c r="R72" s="1"/>
      <c r="S72" s="1"/>
      <c r="X72" s="1"/>
      <c r="Y72" s="1"/>
      <c r="AC72" s="1"/>
      <c r="AD72" s="1"/>
      <c r="AF72" s="1"/>
      <c r="AN72" s="1"/>
      <c r="AO72" s="1"/>
      <c r="AX72" s="1"/>
    </row>
    <row r="73" spans="1:53" ht="12.75">
      <c r="C73" s="1"/>
      <c r="E73" s="1"/>
      <c r="F73" s="1"/>
      <c r="G73" s="1"/>
      <c r="H73" s="1"/>
      <c r="J73" s="1"/>
      <c r="M73" s="1"/>
      <c r="N73" s="1"/>
      <c r="Q73" s="1"/>
      <c r="R73" s="1"/>
      <c r="S73" s="1"/>
      <c r="X73" s="1"/>
      <c r="Y73" s="1"/>
      <c r="AC73" s="1"/>
      <c r="AD73" s="1"/>
      <c r="AF73" s="1"/>
      <c r="AN73" s="1"/>
      <c r="AO73" s="1"/>
      <c r="AX73" s="1"/>
    </row>
    <row r="74" spans="1:53" ht="12.75">
      <c r="C74" s="1"/>
      <c r="E74" s="1"/>
      <c r="F74" s="1"/>
      <c r="G74" s="1"/>
      <c r="H74" s="1"/>
      <c r="J74" s="1"/>
      <c r="M74" s="1"/>
      <c r="N74" s="1"/>
      <c r="Q74" s="1"/>
      <c r="R74" s="1"/>
      <c r="S74" s="1"/>
      <c r="X74" s="1"/>
      <c r="Y74" s="1"/>
      <c r="AC74" s="1"/>
      <c r="AD74" s="1"/>
      <c r="AF74" s="1"/>
      <c r="AN74" s="1"/>
      <c r="AO74" s="1"/>
      <c r="AX74" s="1"/>
    </row>
    <row r="75" spans="1:53" ht="12.75">
      <c r="C75" s="1"/>
      <c r="E75" s="1"/>
      <c r="F75" s="1"/>
      <c r="G75" s="1"/>
      <c r="H75" s="1"/>
      <c r="J75" s="1"/>
      <c r="M75" s="1"/>
      <c r="N75" s="1"/>
      <c r="Q75" s="1"/>
      <c r="R75" s="1"/>
      <c r="S75" s="1"/>
      <c r="X75" s="1"/>
      <c r="Y75" s="1"/>
      <c r="AC75" s="1"/>
      <c r="AD75" s="1"/>
      <c r="AF75" s="1"/>
      <c r="AN75" s="1"/>
      <c r="AO75" s="1"/>
      <c r="AX75" s="1"/>
    </row>
    <row r="76" spans="1:53" ht="12.75">
      <c r="C76" s="1"/>
      <c r="E76" s="1"/>
      <c r="F76" s="1"/>
      <c r="G76" s="1"/>
      <c r="H76" s="1"/>
      <c r="J76" s="1"/>
      <c r="M76" s="1"/>
      <c r="N76" s="1"/>
      <c r="Q76" s="1"/>
      <c r="R76" s="1"/>
      <c r="S76" s="1"/>
      <c r="X76" s="1"/>
      <c r="Y76" s="1"/>
      <c r="AC76" s="1"/>
      <c r="AD76" s="1"/>
      <c r="AF76" s="1"/>
      <c r="AN76" s="1"/>
      <c r="AO76" s="1"/>
      <c r="AX76" s="1"/>
    </row>
    <row r="77" spans="1:53" ht="12.75">
      <c r="C77" s="1"/>
      <c r="E77" s="1"/>
      <c r="F77" s="1"/>
      <c r="G77" s="1"/>
      <c r="H77" s="1"/>
      <c r="J77" s="1"/>
      <c r="M77" s="1"/>
      <c r="N77" s="1"/>
      <c r="Q77" s="1"/>
      <c r="R77" s="1"/>
      <c r="S77" s="1"/>
      <c r="X77" s="1"/>
      <c r="Y77" s="1"/>
      <c r="AC77" s="1"/>
      <c r="AD77" s="1"/>
      <c r="AF77" s="1"/>
      <c r="AN77" s="1"/>
      <c r="AO77" s="1"/>
      <c r="AX77" s="1"/>
    </row>
    <row r="78" spans="1:53" ht="12.75">
      <c r="C78" s="1"/>
      <c r="E78" s="1"/>
      <c r="F78" s="1"/>
      <c r="G78" s="1"/>
      <c r="H78" s="1"/>
      <c r="J78" s="1"/>
      <c r="M78" s="1"/>
      <c r="N78" s="1"/>
      <c r="Q78" s="1"/>
      <c r="R78" s="1"/>
      <c r="S78" s="1"/>
      <c r="X78" s="1"/>
      <c r="Y78" s="1"/>
      <c r="AC78" s="1"/>
      <c r="AD78" s="1"/>
      <c r="AF78" s="1"/>
      <c r="AN78" s="1"/>
      <c r="AO78" s="1"/>
      <c r="AX78" s="1"/>
    </row>
    <row r="79" spans="1:53" ht="12.75">
      <c r="C79" s="1"/>
      <c r="E79" s="1"/>
      <c r="F79" s="1"/>
      <c r="G79" s="1"/>
      <c r="H79" s="1"/>
      <c r="J79" s="1"/>
      <c r="M79" s="1"/>
      <c r="N79" s="1"/>
      <c r="Q79" s="1"/>
      <c r="R79" s="1"/>
      <c r="S79" s="1"/>
      <c r="X79" s="1"/>
      <c r="Y79" s="1"/>
      <c r="AC79" s="1"/>
      <c r="AD79" s="1"/>
      <c r="AF79" s="1"/>
      <c r="AN79" s="1"/>
      <c r="AO79" s="1"/>
      <c r="AX79" s="1"/>
    </row>
    <row r="80" spans="1:53" ht="12.75">
      <c r="C80" s="1"/>
      <c r="E80" s="1"/>
      <c r="F80" s="1"/>
      <c r="G80" s="1"/>
      <c r="H80" s="1"/>
      <c r="J80" s="1"/>
      <c r="M80" s="1"/>
      <c r="N80" s="1"/>
      <c r="Q80" s="1"/>
      <c r="R80" s="1"/>
      <c r="S80" s="1"/>
      <c r="X80" s="1"/>
      <c r="Y80" s="1"/>
      <c r="AC80" s="1"/>
      <c r="AD80" s="1"/>
      <c r="AF80" s="1"/>
      <c r="AN80" s="1"/>
      <c r="AO80" s="1"/>
      <c r="AX80" s="1"/>
    </row>
    <row r="81" spans="3:50" ht="12.75">
      <c r="C81" s="1"/>
      <c r="E81" s="1"/>
      <c r="F81" s="1"/>
      <c r="G81" s="1"/>
      <c r="H81" s="1"/>
      <c r="J81" s="1"/>
      <c r="M81" s="1"/>
      <c r="N81" s="1"/>
      <c r="Q81" s="1"/>
      <c r="R81" s="1"/>
      <c r="S81" s="1"/>
      <c r="X81" s="1"/>
      <c r="Y81" s="1"/>
      <c r="AC81" s="1"/>
      <c r="AD81" s="1"/>
      <c r="AF81" s="1"/>
      <c r="AN81" s="1"/>
      <c r="AO81" s="1"/>
      <c r="AX81" s="1"/>
    </row>
    <row r="82" spans="3:50" ht="12.75">
      <c r="C82" s="1"/>
      <c r="E82" s="1"/>
      <c r="F82" s="1"/>
      <c r="G82" s="1"/>
      <c r="H82" s="1"/>
      <c r="J82" s="1"/>
      <c r="M82" s="1"/>
      <c r="N82" s="1"/>
      <c r="Q82" s="1"/>
      <c r="R82" s="1"/>
      <c r="S82" s="1"/>
      <c r="X82" s="1"/>
      <c r="Y82" s="1"/>
      <c r="AC82" s="1"/>
      <c r="AD82" s="1"/>
      <c r="AF82" s="1"/>
      <c r="AN82" s="1"/>
      <c r="AO82" s="1"/>
      <c r="AX82" s="1"/>
    </row>
    <row r="83" spans="3:50" ht="12.75">
      <c r="C83" s="1"/>
      <c r="E83" s="1"/>
      <c r="F83" s="1"/>
      <c r="G83" s="1"/>
      <c r="H83" s="1"/>
      <c r="J83" s="1"/>
      <c r="M83" s="1"/>
      <c r="N83" s="1"/>
      <c r="Q83" s="1"/>
      <c r="R83" s="1"/>
      <c r="S83" s="1"/>
      <c r="X83" s="1"/>
      <c r="Y83" s="1"/>
      <c r="AC83" s="1"/>
      <c r="AD83" s="1"/>
      <c r="AF83" s="1"/>
      <c r="AN83" s="1"/>
      <c r="AO83" s="1"/>
      <c r="AX83" s="1"/>
    </row>
    <row r="84" spans="3:50" ht="12.75">
      <c r="C84" s="1"/>
      <c r="E84" s="1"/>
      <c r="F84" s="1"/>
      <c r="G84" s="1"/>
      <c r="H84" s="1"/>
      <c r="J84" s="1"/>
      <c r="M84" s="1"/>
      <c r="N84" s="1"/>
      <c r="Q84" s="1"/>
      <c r="R84" s="1"/>
      <c r="S84" s="1"/>
      <c r="X84" s="1"/>
      <c r="Y84" s="1"/>
      <c r="AC84" s="1"/>
      <c r="AD84" s="1"/>
      <c r="AF84" s="1"/>
      <c r="AN84" s="1"/>
      <c r="AO84" s="1"/>
      <c r="AX84" s="1"/>
    </row>
    <row r="85" spans="3:50" ht="12.75">
      <c r="C85" s="1"/>
      <c r="E85" s="1"/>
      <c r="F85" s="1"/>
      <c r="G85" s="1"/>
      <c r="H85" s="1"/>
      <c r="J85" s="1"/>
      <c r="M85" s="1"/>
      <c r="N85" s="1"/>
      <c r="Q85" s="1"/>
      <c r="R85" s="1"/>
      <c r="S85" s="1"/>
      <c r="X85" s="1"/>
      <c r="Y85" s="1"/>
      <c r="AC85" s="1"/>
      <c r="AD85" s="1"/>
      <c r="AF85" s="1"/>
      <c r="AN85" s="1"/>
      <c r="AO85" s="1"/>
      <c r="AX85" s="1"/>
    </row>
    <row r="86" spans="3:50" ht="12.75">
      <c r="C86" s="1"/>
      <c r="E86" s="1"/>
      <c r="F86" s="1"/>
      <c r="G86" s="1"/>
      <c r="H86" s="1"/>
      <c r="J86" s="1"/>
      <c r="M86" s="1"/>
      <c r="N86" s="1"/>
      <c r="Q86" s="1"/>
      <c r="R86" s="1"/>
      <c r="S86" s="1"/>
      <c r="X86" s="1"/>
      <c r="Y86" s="1"/>
      <c r="AC86" s="1"/>
      <c r="AD86" s="1"/>
      <c r="AF86" s="1"/>
      <c r="AN86" s="1"/>
      <c r="AO86" s="1"/>
      <c r="AX86" s="1"/>
    </row>
    <row r="87" spans="3:50" ht="12.75">
      <c r="C87" s="1"/>
      <c r="E87" s="1"/>
      <c r="F87" s="1"/>
      <c r="G87" s="1"/>
      <c r="H87" s="1"/>
      <c r="J87" s="1"/>
      <c r="M87" s="1"/>
      <c r="N87" s="1"/>
      <c r="Q87" s="1"/>
      <c r="R87" s="1"/>
      <c r="S87" s="1"/>
      <c r="X87" s="1"/>
      <c r="Y87" s="1"/>
      <c r="AC87" s="1"/>
      <c r="AD87" s="1"/>
      <c r="AF87" s="1"/>
      <c r="AN87" s="1"/>
      <c r="AO87" s="1"/>
      <c r="AX87" s="1"/>
    </row>
    <row r="88" spans="3:50" ht="12.75">
      <c r="C88" s="1"/>
      <c r="E88" s="1"/>
      <c r="F88" s="1"/>
      <c r="G88" s="1"/>
      <c r="H88" s="1"/>
      <c r="J88" s="1"/>
      <c r="M88" s="1"/>
      <c r="N88" s="1"/>
      <c r="Q88" s="1"/>
      <c r="R88" s="1"/>
      <c r="S88" s="1"/>
      <c r="X88" s="1"/>
      <c r="Y88" s="1"/>
      <c r="AC88" s="1"/>
      <c r="AD88" s="1"/>
      <c r="AF88" s="1"/>
      <c r="AN88" s="1"/>
      <c r="AO88" s="1"/>
      <c r="AX88" s="1"/>
    </row>
    <row r="89" spans="3:50" ht="12.75">
      <c r="C89" s="1"/>
      <c r="E89" s="1"/>
      <c r="F89" s="1"/>
      <c r="G89" s="1"/>
      <c r="H89" s="1"/>
      <c r="J89" s="1"/>
      <c r="M89" s="1"/>
      <c r="N89" s="1"/>
      <c r="Q89" s="1"/>
      <c r="R89" s="1"/>
      <c r="S89" s="1"/>
      <c r="X89" s="1"/>
      <c r="Y89" s="1"/>
      <c r="AC89" s="1"/>
      <c r="AD89" s="1"/>
      <c r="AF89" s="1"/>
      <c r="AN89" s="1"/>
      <c r="AO89" s="1"/>
      <c r="AX89" s="1"/>
    </row>
    <row r="90" spans="3:50" ht="12.75">
      <c r="C90" s="1"/>
      <c r="E90" s="1"/>
      <c r="F90" s="1"/>
      <c r="G90" s="1"/>
      <c r="H90" s="1"/>
      <c r="J90" s="1"/>
      <c r="M90" s="1"/>
      <c r="N90" s="1"/>
      <c r="Q90" s="1"/>
      <c r="R90" s="1"/>
      <c r="S90" s="1"/>
      <c r="X90" s="1"/>
      <c r="Y90" s="1"/>
      <c r="AC90" s="1"/>
      <c r="AD90" s="1"/>
      <c r="AF90" s="1"/>
      <c r="AN90" s="1"/>
      <c r="AO90" s="1"/>
      <c r="AX90" s="1"/>
    </row>
    <row r="91" spans="3:50" ht="12.75">
      <c r="C91" s="1"/>
      <c r="E91" s="1"/>
      <c r="F91" s="1"/>
      <c r="G91" s="1"/>
      <c r="H91" s="1"/>
      <c r="J91" s="1"/>
      <c r="M91" s="1"/>
      <c r="N91" s="1"/>
      <c r="Q91" s="1"/>
      <c r="R91" s="1"/>
      <c r="S91" s="1"/>
      <c r="X91" s="1"/>
      <c r="Y91" s="1"/>
      <c r="AC91" s="1"/>
      <c r="AD91" s="1"/>
      <c r="AF91" s="1"/>
      <c r="AN91" s="1"/>
      <c r="AO91" s="1"/>
      <c r="AX91" s="1"/>
    </row>
    <row r="92" spans="3:50" ht="12.75">
      <c r="C92" s="1"/>
      <c r="E92" s="1"/>
      <c r="F92" s="1"/>
      <c r="G92" s="1"/>
      <c r="H92" s="1"/>
      <c r="J92" s="1"/>
      <c r="M92" s="1"/>
      <c r="N92" s="1"/>
      <c r="Q92" s="1"/>
      <c r="R92" s="1"/>
      <c r="S92" s="1"/>
      <c r="X92" s="1"/>
      <c r="Y92" s="1"/>
      <c r="AC92" s="1"/>
      <c r="AD92" s="1"/>
      <c r="AF92" s="1"/>
      <c r="AN92" s="1"/>
      <c r="AO92" s="1"/>
      <c r="AX92" s="1"/>
    </row>
    <row r="93" spans="3:50" ht="12.75">
      <c r="C93" s="1"/>
      <c r="E93" s="1"/>
      <c r="F93" s="1"/>
      <c r="G93" s="1"/>
      <c r="H93" s="1"/>
      <c r="J93" s="1"/>
      <c r="M93" s="1"/>
      <c r="N93" s="1"/>
      <c r="Q93" s="1"/>
      <c r="R93" s="1"/>
      <c r="S93" s="1"/>
      <c r="X93" s="1"/>
      <c r="Y93" s="1"/>
      <c r="AC93" s="1"/>
      <c r="AD93" s="1"/>
      <c r="AF93" s="1"/>
      <c r="AN93" s="1"/>
      <c r="AO93" s="1"/>
      <c r="AX93" s="1"/>
    </row>
    <row r="94" spans="3:50" ht="12.75">
      <c r="C94" s="1"/>
      <c r="E94" s="1"/>
      <c r="F94" s="1"/>
      <c r="G94" s="1"/>
      <c r="H94" s="1"/>
      <c r="J94" s="1"/>
      <c r="M94" s="1"/>
      <c r="N94" s="1"/>
      <c r="Q94" s="1"/>
      <c r="R94" s="1"/>
      <c r="S94" s="1"/>
      <c r="X94" s="1"/>
      <c r="Y94" s="1"/>
      <c r="AC94" s="1"/>
      <c r="AD94" s="1"/>
      <c r="AF94" s="1"/>
      <c r="AN94" s="1"/>
      <c r="AO94" s="1"/>
      <c r="AX94" s="1"/>
    </row>
    <row r="95" spans="3:50" ht="12.75">
      <c r="C95" s="1"/>
      <c r="E95" s="1"/>
      <c r="F95" s="1"/>
      <c r="G95" s="1"/>
      <c r="H95" s="1"/>
      <c r="J95" s="1"/>
      <c r="M95" s="1"/>
      <c r="N95" s="1"/>
      <c r="Q95" s="1"/>
      <c r="R95" s="1"/>
      <c r="S95" s="1"/>
      <c r="X95" s="1"/>
      <c r="Y95" s="1"/>
      <c r="AC95" s="1"/>
      <c r="AD95" s="1"/>
      <c r="AF95" s="1"/>
      <c r="AN95" s="1"/>
      <c r="AO95" s="1"/>
      <c r="AX95" s="1"/>
    </row>
    <row r="96" spans="3:50" ht="12.75">
      <c r="C96" s="1"/>
      <c r="E96" s="1"/>
      <c r="F96" s="1"/>
      <c r="G96" s="1"/>
      <c r="H96" s="1"/>
      <c r="J96" s="1"/>
      <c r="M96" s="1"/>
      <c r="N96" s="1"/>
      <c r="Q96" s="1"/>
      <c r="R96" s="1"/>
      <c r="S96" s="1"/>
      <c r="X96" s="1"/>
      <c r="Y96" s="1"/>
      <c r="AC96" s="1"/>
      <c r="AD96" s="1"/>
      <c r="AF96" s="1"/>
      <c r="AN96" s="1"/>
      <c r="AO96" s="1"/>
      <c r="AX96" s="1"/>
    </row>
    <row r="97" spans="3:50" ht="12.75">
      <c r="C97" s="1"/>
      <c r="E97" s="1"/>
      <c r="F97" s="1"/>
      <c r="G97" s="1"/>
      <c r="H97" s="1"/>
      <c r="J97" s="1"/>
      <c r="M97" s="1"/>
      <c r="N97" s="1"/>
      <c r="Q97" s="1"/>
      <c r="R97" s="1"/>
      <c r="S97" s="1"/>
      <c r="X97" s="1"/>
      <c r="Y97" s="1"/>
      <c r="AC97" s="1"/>
      <c r="AD97" s="1"/>
      <c r="AF97" s="1"/>
      <c r="AN97" s="1"/>
      <c r="AO97" s="1"/>
      <c r="AX97" s="1"/>
    </row>
    <row r="98" spans="3:50" ht="12.75">
      <c r="C98" s="1"/>
      <c r="E98" s="1"/>
      <c r="F98" s="1"/>
      <c r="G98" s="1"/>
      <c r="H98" s="1"/>
      <c r="J98" s="1"/>
      <c r="M98" s="1"/>
      <c r="N98" s="1"/>
      <c r="Q98" s="1"/>
      <c r="R98" s="1"/>
      <c r="S98" s="1"/>
      <c r="X98" s="1"/>
      <c r="Y98" s="1"/>
      <c r="AC98" s="1"/>
      <c r="AD98" s="1"/>
      <c r="AF98" s="1"/>
      <c r="AN98" s="1"/>
      <c r="AO98" s="1"/>
      <c r="AX98" s="1"/>
    </row>
    <row r="99" spans="3:50" ht="12.75">
      <c r="C99" s="1"/>
      <c r="E99" s="1"/>
      <c r="F99" s="1"/>
      <c r="G99" s="1"/>
      <c r="H99" s="1"/>
      <c r="J99" s="1"/>
      <c r="M99" s="1"/>
      <c r="N99" s="1"/>
      <c r="Q99" s="1"/>
      <c r="R99" s="1"/>
      <c r="S99" s="1"/>
      <c r="X99" s="1"/>
      <c r="Y99" s="1"/>
      <c r="AC99" s="1"/>
      <c r="AD99" s="1"/>
      <c r="AF99" s="1"/>
      <c r="AN99" s="1"/>
      <c r="AO99" s="1"/>
      <c r="AX99" s="1"/>
    </row>
    <row r="100" spans="3:50" ht="12.75">
      <c r="C100" s="1"/>
      <c r="E100" s="1"/>
      <c r="F100" s="1"/>
      <c r="G100" s="1"/>
      <c r="H100" s="1"/>
      <c r="J100" s="1"/>
      <c r="M100" s="1"/>
      <c r="N100" s="1"/>
      <c r="Q100" s="1"/>
      <c r="R100" s="1"/>
      <c r="S100" s="1"/>
      <c r="X100" s="1"/>
      <c r="Y100" s="1"/>
      <c r="AC100" s="1"/>
      <c r="AD100" s="1"/>
      <c r="AF100" s="1"/>
      <c r="AN100" s="1"/>
      <c r="AO100" s="1"/>
      <c r="AX100" s="1"/>
    </row>
    <row r="101" spans="3:50" ht="12.75">
      <c r="C101" s="1"/>
      <c r="E101" s="1"/>
      <c r="F101" s="1"/>
      <c r="G101" s="1"/>
      <c r="H101" s="1"/>
      <c r="J101" s="1"/>
      <c r="M101" s="1"/>
      <c r="N101" s="1"/>
      <c r="Q101" s="1"/>
      <c r="R101" s="1"/>
      <c r="S101" s="1"/>
      <c r="X101" s="1"/>
      <c r="Y101" s="1"/>
      <c r="AC101" s="1"/>
      <c r="AD101" s="1"/>
      <c r="AF101" s="1"/>
      <c r="AN101" s="1"/>
      <c r="AO101" s="1"/>
      <c r="AX101" s="1"/>
    </row>
    <row r="102" spans="3:50" ht="12.75">
      <c r="C102" s="1"/>
      <c r="E102" s="1"/>
      <c r="F102" s="1"/>
      <c r="G102" s="1"/>
      <c r="H102" s="1"/>
      <c r="J102" s="1"/>
      <c r="M102" s="1"/>
      <c r="N102" s="1"/>
      <c r="Q102" s="1"/>
      <c r="R102" s="1"/>
      <c r="S102" s="1"/>
      <c r="X102" s="1"/>
      <c r="Y102" s="1"/>
      <c r="AC102" s="1"/>
      <c r="AD102" s="1"/>
      <c r="AF102" s="1"/>
      <c r="AN102" s="1"/>
      <c r="AO102" s="1"/>
      <c r="AX102" s="1"/>
    </row>
    <row r="103" spans="3:50" ht="12.75">
      <c r="C103" s="1"/>
      <c r="E103" s="1"/>
      <c r="F103" s="1"/>
      <c r="G103" s="1"/>
      <c r="H103" s="1"/>
      <c r="J103" s="1"/>
      <c r="M103" s="1"/>
      <c r="N103" s="1"/>
      <c r="Q103" s="1"/>
      <c r="R103" s="1"/>
      <c r="S103" s="1"/>
      <c r="X103" s="1"/>
      <c r="Y103" s="1"/>
      <c r="AC103" s="1"/>
      <c r="AD103" s="1"/>
      <c r="AF103" s="1"/>
      <c r="AN103" s="1"/>
      <c r="AO103" s="1"/>
      <c r="AX103" s="1"/>
    </row>
    <row r="104" spans="3:50" ht="12.75">
      <c r="C104" s="1"/>
      <c r="E104" s="1"/>
      <c r="F104" s="1"/>
      <c r="G104" s="1"/>
      <c r="H104" s="1"/>
      <c r="J104" s="1"/>
      <c r="M104" s="1"/>
      <c r="N104" s="1"/>
      <c r="Q104" s="1"/>
      <c r="R104" s="1"/>
      <c r="S104" s="1"/>
      <c r="X104" s="1"/>
      <c r="Y104" s="1"/>
      <c r="AC104" s="1"/>
      <c r="AD104" s="1"/>
      <c r="AF104" s="1"/>
      <c r="AN104" s="1"/>
      <c r="AO104" s="1"/>
      <c r="AX104" s="1"/>
    </row>
    <row r="105" spans="3:50" ht="12.75">
      <c r="C105" s="1"/>
      <c r="E105" s="1"/>
      <c r="F105" s="1"/>
      <c r="G105" s="1"/>
      <c r="H105" s="1"/>
      <c r="J105" s="1"/>
      <c r="M105" s="1"/>
      <c r="N105" s="1"/>
      <c r="Q105" s="1"/>
      <c r="R105" s="1"/>
      <c r="S105" s="1"/>
      <c r="X105" s="1"/>
      <c r="Y105" s="1"/>
      <c r="AC105" s="1"/>
      <c r="AD105" s="1"/>
      <c r="AF105" s="1"/>
      <c r="AN105" s="1"/>
      <c r="AO105" s="1"/>
      <c r="AX105" s="1"/>
    </row>
    <row r="106" spans="3:50" ht="12.75">
      <c r="C106" s="1"/>
      <c r="E106" s="1"/>
      <c r="F106" s="1"/>
      <c r="G106" s="1"/>
      <c r="H106" s="1"/>
      <c r="J106" s="1"/>
      <c r="M106" s="1"/>
      <c r="N106" s="1"/>
      <c r="Q106" s="1"/>
      <c r="R106" s="1"/>
      <c r="S106" s="1"/>
      <c r="X106" s="1"/>
      <c r="Y106" s="1"/>
      <c r="AC106" s="1"/>
      <c r="AD106" s="1"/>
      <c r="AF106" s="1"/>
      <c r="AN106" s="1"/>
      <c r="AO106" s="1"/>
      <c r="AX106" s="1"/>
    </row>
    <row r="107" spans="3:50" ht="12.75">
      <c r="C107" s="1"/>
      <c r="E107" s="1"/>
      <c r="F107" s="1"/>
      <c r="G107" s="1"/>
      <c r="H107" s="1"/>
      <c r="J107" s="1"/>
      <c r="M107" s="1"/>
      <c r="N107" s="1"/>
      <c r="Q107" s="1"/>
      <c r="R107" s="1"/>
      <c r="S107" s="1"/>
      <c r="X107" s="1"/>
      <c r="Y107" s="1"/>
      <c r="AC107" s="1"/>
      <c r="AD107" s="1"/>
      <c r="AF107" s="1"/>
      <c r="AN107" s="1"/>
      <c r="AO107" s="1"/>
      <c r="AX107" s="1"/>
    </row>
    <row r="108" spans="3:50" ht="12.75">
      <c r="C108" s="1"/>
      <c r="E108" s="1"/>
      <c r="F108" s="1"/>
      <c r="G108" s="1"/>
      <c r="H108" s="1"/>
      <c r="J108" s="1"/>
      <c r="M108" s="1"/>
      <c r="N108" s="1"/>
      <c r="Q108" s="1"/>
      <c r="R108" s="1"/>
      <c r="S108" s="1"/>
      <c r="X108" s="1"/>
      <c r="Y108" s="1"/>
      <c r="AC108" s="1"/>
      <c r="AD108" s="1"/>
      <c r="AF108" s="1"/>
      <c r="AN108" s="1"/>
      <c r="AO108" s="1"/>
      <c r="AX108" s="1"/>
    </row>
    <row r="109" spans="3:50" ht="12.75">
      <c r="C109" s="1"/>
      <c r="E109" s="1"/>
      <c r="F109" s="1"/>
      <c r="G109" s="1"/>
      <c r="H109" s="1"/>
      <c r="J109" s="1"/>
      <c r="M109" s="1"/>
      <c r="N109" s="1"/>
      <c r="Q109" s="1"/>
      <c r="R109" s="1"/>
      <c r="S109" s="1"/>
      <c r="X109" s="1"/>
      <c r="Y109" s="1"/>
      <c r="AC109" s="1"/>
      <c r="AD109" s="1"/>
      <c r="AF109" s="1"/>
      <c r="AN109" s="1"/>
      <c r="AO109" s="1"/>
      <c r="AX109" s="1"/>
    </row>
    <row r="110" spans="3:50" ht="12.75">
      <c r="C110" s="1"/>
      <c r="E110" s="1"/>
      <c r="F110" s="1"/>
      <c r="G110" s="1"/>
      <c r="H110" s="1"/>
      <c r="J110" s="1"/>
      <c r="M110" s="1"/>
      <c r="N110" s="1"/>
      <c r="Q110" s="1"/>
      <c r="R110" s="1"/>
      <c r="S110" s="1"/>
      <c r="X110" s="1"/>
      <c r="Y110" s="1"/>
      <c r="AC110" s="1"/>
      <c r="AD110" s="1"/>
      <c r="AF110" s="1"/>
      <c r="AN110" s="1"/>
      <c r="AO110" s="1"/>
      <c r="AX110" s="1"/>
    </row>
    <row r="111" spans="3:50" ht="12.75">
      <c r="C111" s="1"/>
      <c r="E111" s="1"/>
      <c r="F111" s="1"/>
      <c r="G111" s="1"/>
      <c r="H111" s="1"/>
      <c r="J111" s="1"/>
      <c r="M111" s="1"/>
      <c r="N111" s="1"/>
      <c r="Q111" s="1"/>
      <c r="R111" s="1"/>
      <c r="S111" s="1"/>
      <c r="X111" s="1"/>
      <c r="Y111" s="1"/>
      <c r="AC111" s="1"/>
      <c r="AD111" s="1"/>
      <c r="AF111" s="1"/>
      <c r="AN111" s="1"/>
      <c r="AO111" s="1"/>
      <c r="AX111" s="1"/>
    </row>
    <row r="112" spans="3:50" ht="12.75">
      <c r="C112" s="1"/>
      <c r="E112" s="1"/>
      <c r="F112" s="1"/>
      <c r="G112" s="1"/>
      <c r="H112" s="1"/>
      <c r="J112" s="1"/>
      <c r="M112" s="1"/>
      <c r="N112" s="1"/>
      <c r="Q112" s="1"/>
      <c r="R112" s="1"/>
      <c r="S112" s="1"/>
      <c r="X112" s="1"/>
      <c r="Y112" s="1"/>
      <c r="AC112" s="1"/>
      <c r="AD112" s="1"/>
      <c r="AF112" s="1"/>
      <c r="AN112" s="1"/>
      <c r="AO112" s="1"/>
      <c r="AX112" s="1"/>
    </row>
    <row r="113" spans="3:50" ht="12.75">
      <c r="C113" s="1"/>
      <c r="E113" s="1"/>
      <c r="F113" s="1"/>
      <c r="G113" s="1"/>
      <c r="H113" s="1"/>
      <c r="J113" s="1"/>
      <c r="M113" s="1"/>
      <c r="N113" s="1"/>
      <c r="Q113" s="1"/>
      <c r="R113" s="1"/>
      <c r="S113" s="1"/>
      <c r="X113" s="1"/>
      <c r="Y113" s="1"/>
      <c r="AC113" s="1"/>
      <c r="AD113" s="1"/>
      <c r="AF113" s="1"/>
      <c r="AN113" s="1"/>
      <c r="AO113" s="1"/>
      <c r="AX113" s="1"/>
    </row>
    <row r="114" spans="3:50" ht="12.75">
      <c r="C114" s="1"/>
      <c r="E114" s="1"/>
      <c r="F114" s="1"/>
      <c r="G114" s="1"/>
      <c r="H114" s="1"/>
      <c r="J114" s="1"/>
      <c r="M114" s="1"/>
      <c r="N114" s="1"/>
      <c r="Q114" s="1"/>
      <c r="R114" s="1"/>
      <c r="S114" s="1"/>
      <c r="X114" s="1"/>
      <c r="Y114" s="1"/>
      <c r="AC114" s="1"/>
      <c r="AD114" s="1"/>
      <c r="AF114" s="1"/>
      <c r="AN114" s="1"/>
      <c r="AO114" s="1"/>
      <c r="AX114" s="1"/>
    </row>
    <row r="115" spans="3:50" ht="12.75">
      <c r="C115" s="1"/>
      <c r="E115" s="1"/>
      <c r="F115" s="1"/>
      <c r="G115" s="1"/>
      <c r="H115" s="1"/>
      <c r="J115" s="1"/>
      <c r="M115" s="1"/>
      <c r="N115" s="1"/>
      <c r="Q115" s="1"/>
      <c r="R115" s="1"/>
      <c r="S115" s="1"/>
      <c r="X115" s="1"/>
      <c r="Y115" s="1"/>
      <c r="AC115" s="1"/>
      <c r="AD115" s="1"/>
      <c r="AF115" s="1"/>
      <c r="AN115" s="1"/>
      <c r="AO115" s="1"/>
      <c r="AX115" s="1"/>
    </row>
    <row r="116" spans="3:50" ht="12.75">
      <c r="C116" s="1"/>
      <c r="E116" s="1"/>
      <c r="F116" s="1"/>
      <c r="G116" s="1"/>
      <c r="H116" s="1"/>
      <c r="J116" s="1"/>
      <c r="M116" s="1"/>
      <c r="N116" s="1"/>
      <c r="Q116" s="1"/>
      <c r="R116" s="1"/>
      <c r="S116" s="1"/>
      <c r="X116" s="1"/>
      <c r="Y116" s="1"/>
      <c r="AC116" s="1"/>
      <c r="AD116" s="1"/>
      <c r="AF116" s="1"/>
      <c r="AN116" s="1"/>
      <c r="AO116" s="1"/>
      <c r="AX116" s="1"/>
    </row>
    <row r="117" spans="3:50" ht="12.75">
      <c r="C117" s="1"/>
      <c r="E117" s="1"/>
      <c r="F117" s="1"/>
      <c r="G117" s="1"/>
      <c r="H117" s="1"/>
      <c r="J117" s="1"/>
      <c r="M117" s="1"/>
      <c r="N117" s="1"/>
      <c r="Q117" s="1"/>
      <c r="R117" s="1"/>
      <c r="S117" s="1"/>
      <c r="X117" s="1"/>
      <c r="Y117" s="1"/>
      <c r="AC117" s="1"/>
      <c r="AD117" s="1"/>
      <c r="AF117" s="1"/>
      <c r="AN117" s="1"/>
      <c r="AO117" s="1"/>
      <c r="AX117" s="1"/>
    </row>
    <row r="118" spans="3:50" ht="12.75">
      <c r="C118" s="1"/>
      <c r="E118" s="1"/>
      <c r="F118" s="1"/>
      <c r="G118" s="1"/>
      <c r="H118" s="1"/>
      <c r="J118" s="1"/>
      <c r="M118" s="1"/>
      <c r="N118" s="1"/>
      <c r="Q118" s="1"/>
      <c r="R118" s="1"/>
      <c r="S118" s="1"/>
      <c r="X118" s="1"/>
      <c r="Y118" s="1"/>
      <c r="AC118" s="1"/>
      <c r="AD118" s="1"/>
      <c r="AF118" s="1"/>
      <c r="AN118" s="1"/>
      <c r="AO118" s="1"/>
      <c r="AX118" s="1"/>
    </row>
    <row r="119" spans="3:50" ht="12.75">
      <c r="C119" s="1"/>
      <c r="E119" s="1"/>
      <c r="F119" s="1"/>
      <c r="G119" s="1"/>
      <c r="H119" s="1"/>
      <c r="J119" s="1"/>
      <c r="M119" s="1"/>
      <c r="N119" s="1"/>
      <c r="Q119" s="1"/>
      <c r="R119" s="1"/>
      <c r="S119" s="1"/>
      <c r="X119" s="1"/>
      <c r="Y119" s="1"/>
      <c r="AC119" s="1"/>
      <c r="AD119" s="1"/>
      <c r="AF119" s="1"/>
      <c r="AN119" s="1"/>
      <c r="AO119" s="1"/>
      <c r="AX119" s="1"/>
    </row>
    <row r="120" spans="3:50" ht="12.75">
      <c r="C120" s="1"/>
      <c r="E120" s="1"/>
      <c r="F120" s="1"/>
      <c r="G120" s="1"/>
      <c r="H120" s="1"/>
      <c r="J120" s="1"/>
      <c r="M120" s="1"/>
      <c r="N120" s="1"/>
      <c r="Q120" s="1"/>
      <c r="R120" s="1"/>
      <c r="S120" s="1"/>
      <c r="X120" s="1"/>
      <c r="Y120" s="1"/>
      <c r="AC120" s="1"/>
      <c r="AD120" s="1"/>
      <c r="AF120" s="1"/>
      <c r="AN120" s="1"/>
      <c r="AO120" s="1"/>
      <c r="AX120" s="1"/>
    </row>
    <row r="121" spans="3:50" ht="12.75">
      <c r="C121" s="1"/>
      <c r="E121" s="1"/>
      <c r="F121" s="1"/>
      <c r="G121" s="1"/>
      <c r="H121" s="1"/>
      <c r="J121" s="1"/>
      <c r="M121" s="1"/>
      <c r="N121" s="1"/>
      <c r="Q121" s="1"/>
      <c r="R121" s="1"/>
      <c r="S121" s="1"/>
      <c r="X121" s="1"/>
      <c r="Y121" s="1"/>
      <c r="AC121" s="1"/>
      <c r="AD121" s="1"/>
      <c r="AF121" s="1"/>
      <c r="AN121" s="1"/>
      <c r="AO121" s="1"/>
      <c r="AX121" s="1"/>
    </row>
    <row r="122" spans="3:50" ht="12.75">
      <c r="C122" s="1"/>
      <c r="E122" s="1"/>
      <c r="F122" s="1"/>
      <c r="G122" s="1"/>
      <c r="H122" s="1"/>
      <c r="J122" s="1"/>
      <c r="M122" s="1"/>
      <c r="N122" s="1"/>
      <c r="Q122" s="1"/>
      <c r="R122" s="1"/>
      <c r="S122" s="1"/>
      <c r="X122" s="1"/>
      <c r="Y122" s="1"/>
      <c r="AC122" s="1"/>
      <c r="AD122" s="1"/>
      <c r="AF122" s="1"/>
      <c r="AN122" s="1"/>
      <c r="AO122" s="1"/>
      <c r="AX122" s="1"/>
    </row>
    <row r="123" spans="3:50" ht="12.75">
      <c r="C123" s="1"/>
      <c r="E123" s="1"/>
      <c r="F123" s="1"/>
      <c r="G123" s="1"/>
      <c r="H123" s="1"/>
      <c r="J123" s="1"/>
      <c r="M123" s="1"/>
      <c r="N123" s="1"/>
      <c r="Q123" s="1"/>
      <c r="R123" s="1"/>
      <c r="S123" s="1"/>
      <c r="X123" s="1"/>
      <c r="Y123" s="1"/>
      <c r="AC123" s="1"/>
      <c r="AD123" s="1"/>
      <c r="AF123" s="1"/>
      <c r="AN123" s="1"/>
      <c r="AO123" s="1"/>
      <c r="AX123" s="1"/>
    </row>
    <row r="124" spans="3:50" ht="12.75">
      <c r="C124" s="1"/>
      <c r="E124" s="1"/>
      <c r="F124" s="1"/>
      <c r="G124" s="1"/>
      <c r="H124" s="1"/>
      <c r="J124" s="1"/>
      <c r="M124" s="1"/>
      <c r="N124" s="1"/>
      <c r="Q124" s="1"/>
      <c r="R124" s="1"/>
      <c r="S124" s="1"/>
      <c r="X124" s="1"/>
      <c r="Y124" s="1"/>
      <c r="AC124" s="1"/>
      <c r="AD124" s="1"/>
      <c r="AF124" s="1"/>
      <c r="AN124" s="1"/>
      <c r="AO124" s="1"/>
      <c r="AX124" s="1"/>
    </row>
    <row r="125" spans="3:50" ht="12.75">
      <c r="C125" s="1"/>
      <c r="E125" s="1"/>
      <c r="F125" s="1"/>
      <c r="G125" s="1"/>
      <c r="H125" s="1"/>
      <c r="J125" s="1"/>
      <c r="M125" s="1"/>
      <c r="N125" s="1"/>
      <c r="Q125" s="1"/>
      <c r="R125" s="1"/>
      <c r="S125" s="1"/>
      <c r="X125" s="1"/>
      <c r="Y125" s="1"/>
      <c r="AC125" s="1"/>
      <c r="AD125" s="1"/>
      <c r="AF125" s="1"/>
      <c r="AN125" s="1"/>
      <c r="AO125" s="1"/>
      <c r="AX125" s="1"/>
    </row>
    <row r="126" spans="3:50" ht="12.75">
      <c r="C126" s="1"/>
      <c r="E126" s="1"/>
      <c r="F126" s="1"/>
      <c r="G126" s="1"/>
      <c r="H126" s="1"/>
      <c r="J126" s="1"/>
      <c r="M126" s="1"/>
      <c r="N126" s="1"/>
      <c r="Q126" s="1"/>
      <c r="R126" s="1"/>
      <c r="S126" s="1"/>
      <c r="X126" s="1"/>
      <c r="Y126" s="1"/>
      <c r="AC126" s="1"/>
      <c r="AD126" s="1"/>
      <c r="AF126" s="1"/>
      <c r="AN126" s="1"/>
      <c r="AO126" s="1"/>
      <c r="AX126" s="1"/>
    </row>
    <row r="127" spans="3:50" ht="12.75">
      <c r="C127" s="1"/>
      <c r="E127" s="1"/>
      <c r="F127" s="1"/>
      <c r="G127" s="1"/>
      <c r="H127" s="1"/>
      <c r="J127" s="1"/>
      <c r="M127" s="1"/>
      <c r="N127" s="1"/>
      <c r="Q127" s="1"/>
      <c r="R127" s="1"/>
      <c r="S127" s="1"/>
      <c r="X127" s="1"/>
      <c r="Y127" s="1"/>
      <c r="AC127" s="1"/>
      <c r="AD127" s="1"/>
      <c r="AF127" s="1"/>
      <c r="AN127" s="1"/>
      <c r="AO127" s="1"/>
      <c r="AX127" s="1"/>
    </row>
    <row r="128" spans="3:50" ht="12.75">
      <c r="C128" s="1"/>
      <c r="E128" s="1"/>
      <c r="F128" s="1"/>
      <c r="G128" s="1"/>
      <c r="H128" s="1"/>
      <c r="J128" s="1"/>
      <c r="M128" s="1"/>
      <c r="N128" s="1"/>
      <c r="Q128" s="1"/>
      <c r="R128" s="1"/>
      <c r="S128" s="1"/>
      <c r="X128" s="1"/>
      <c r="Y128" s="1"/>
      <c r="AC128" s="1"/>
      <c r="AD128" s="1"/>
      <c r="AF128" s="1"/>
      <c r="AN128" s="1"/>
      <c r="AO128" s="1"/>
      <c r="AX128" s="1"/>
    </row>
    <row r="129" spans="3:50" ht="12.75">
      <c r="C129" s="1"/>
      <c r="E129" s="1"/>
      <c r="F129" s="1"/>
      <c r="G129" s="1"/>
      <c r="H129" s="1"/>
      <c r="J129" s="1"/>
      <c r="M129" s="1"/>
      <c r="N129" s="1"/>
      <c r="Q129" s="1"/>
      <c r="R129" s="1"/>
      <c r="S129" s="1"/>
      <c r="X129" s="1"/>
      <c r="Y129" s="1"/>
      <c r="AC129" s="1"/>
      <c r="AD129" s="1"/>
      <c r="AF129" s="1"/>
      <c r="AN129" s="1"/>
      <c r="AO129" s="1"/>
      <c r="AX129" s="1"/>
    </row>
    <row r="130" spans="3:50" ht="12.75">
      <c r="C130" s="1"/>
      <c r="E130" s="1"/>
      <c r="F130" s="1"/>
      <c r="G130" s="1"/>
      <c r="H130" s="1"/>
      <c r="J130" s="1"/>
      <c r="M130" s="1"/>
      <c r="N130" s="1"/>
      <c r="Q130" s="1"/>
      <c r="R130" s="1"/>
      <c r="S130" s="1"/>
      <c r="X130" s="1"/>
      <c r="Y130" s="1"/>
      <c r="AC130" s="1"/>
      <c r="AD130" s="1"/>
      <c r="AF130" s="1"/>
      <c r="AN130" s="1"/>
      <c r="AO130" s="1"/>
      <c r="AX130" s="1"/>
    </row>
    <row r="131" spans="3:50" ht="12.75">
      <c r="C131" s="1"/>
      <c r="E131" s="1"/>
      <c r="F131" s="1"/>
      <c r="G131" s="1"/>
      <c r="H131" s="1"/>
      <c r="J131" s="1"/>
      <c r="M131" s="1"/>
      <c r="N131" s="1"/>
      <c r="Q131" s="1"/>
      <c r="R131" s="1"/>
      <c r="S131" s="1"/>
      <c r="X131" s="1"/>
      <c r="Y131" s="1"/>
      <c r="AC131" s="1"/>
      <c r="AD131" s="1"/>
      <c r="AF131" s="1"/>
      <c r="AN131" s="1"/>
      <c r="AO131" s="1"/>
      <c r="AX131" s="1"/>
    </row>
    <row r="132" spans="3:50" ht="12.75">
      <c r="C132" s="1"/>
      <c r="E132" s="1"/>
      <c r="F132" s="1"/>
      <c r="G132" s="1"/>
      <c r="H132" s="1"/>
      <c r="J132" s="1"/>
      <c r="M132" s="1"/>
      <c r="N132" s="1"/>
      <c r="Q132" s="1"/>
      <c r="R132" s="1"/>
      <c r="S132" s="1"/>
      <c r="X132" s="1"/>
      <c r="Y132" s="1"/>
      <c r="AC132" s="1"/>
      <c r="AD132" s="1"/>
      <c r="AF132" s="1"/>
      <c r="AN132" s="1"/>
      <c r="AO132" s="1"/>
      <c r="AX132" s="1"/>
    </row>
    <row r="133" spans="3:50" ht="12.75">
      <c r="C133" s="1"/>
      <c r="E133" s="1"/>
      <c r="F133" s="1"/>
      <c r="G133" s="1"/>
      <c r="H133" s="1"/>
      <c r="J133" s="1"/>
      <c r="M133" s="1"/>
      <c r="N133" s="1"/>
      <c r="Q133" s="1"/>
      <c r="R133" s="1"/>
      <c r="S133" s="1"/>
      <c r="X133" s="1"/>
      <c r="Y133" s="1"/>
      <c r="AC133" s="1"/>
      <c r="AD133" s="1"/>
      <c r="AF133" s="1"/>
      <c r="AN133" s="1"/>
      <c r="AO133" s="1"/>
      <c r="AX133" s="1"/>
    </row>
    <row r="134" spans="3:50" ht="12.75">
      <c r="C134" s="1"/>
      <c r="E134" s="1"/>
      <c r="F134" s="1"/>
      <c r="G134" s="1"/>
      <c r="H134" s="1"/>
      <c r="J134" s="1"/>
      <c r="M134" s="1"/>
      <c r="N134" s="1"/>
      <c r="Q134" s="1"/>
      <c r="R134" s="1"/>
      <c r="S134" s="1"/>
      <c r="X134" s="1"/>
      <c r="Y134" s="1"/>
      <c r="AC134" s="1"/>
      <c r="AD134" s="1"/>
      <c r="AF134" s="1"/>
      <c r="AN134" s="1"/>
      <c r="AO134" s="1"/>
      <c r="AX134" s="1"/>
    </row>
    <row r="135" spans="3:50" ht="12.75">
      <c r="C135" s="1"/>
      <c r="E135" s="1"/>
      <c r="F135" s="1"/>
      <c r="G135" s="1"/>
      <c r="H135" s="1"/>
      <c r="J135" s="1"/>
      <c r="M135" s="1"/>
      <c r="N135" s="1"/>
      <c r="Q135" s="1"/>
      <c r="R135" s="1"/>
      <c r="S135" s="1"/>
      <c r="X135" s="1"/>
      <c r="Y135" s="1"/>
      <c r="AC135" s="1"/>
      <c r="AD135" s="1"/>
      <c r="AF135" s="1"/>
      <c r="AN135" s="1"/>
      <c r="AO135" s="1"/>
      <c r="AX135" s="1"/>
    </row>
    <row r="136" spans="3:50" ht="12.75">
      <c r="C136" s="1"/>
      <c r="E136" s="1"/>
      <c r="F136" s="1"/>
      <c r="G136" s="1"/>
      <c r="H136" s="1"/>
      <c r="J136" s="1"/>
      <c r="M136" s="1"/>
      <c r="N136" s="1"/>
      <c r="Q136" s="1"/>
      <c r="R136" s="1"/>
      <c r="S136" s="1"/>
      <c r="X136" s="1"/>
      <c r="Y136" s="1"/>
      <c r="AC136" s="1"/>
      <c r="AD136" s="1"/>
      <c r="AF136" s="1"/>
      <c r="AN136" s="1"/>
      <c r="AO136" s="1"/>
      <c r="AX136" s="1"/>
    </row>
    <row r="137" spans="3:50" ht="12.75">
      <c r="C137" s="1"/>
      <c r="E137" s="1"/>
      <c r="F137" s="1"/>
      <c r="G137" s="1"/>
      <c r="H137" s="1"/>
      <c r="J137" s="1"/>
      <c r="M137" s="1"/>
      <c r="N137" s="1"/>
      <c r="Q137" s="1"/>
      <c r="R137" s="1"/>
      <c r="S137" s="1"/>
      <c r="X137" s="1"/>
      <c r="Y137" s="1"/>
      <c r="AC137" s="1"/>
      <c r="AD137" s="1"/>
      <c r="AF137" s="1"/>
      <c r="AN137" s="1"/>
      <c r="AO137" s="1"/>
      <c r="AX137" s="1"/>
    </row>
    <row r="138" spans="3:50" ht="12.75">
      <c r="C138" s="1"/>
      <c r="E138" s="1"/>
      <c r="F138" s="1"/>
      <c r="G138" s="1"/>
      <c r="H138" s="1"/>
      <c r="J138" s="1"/>
      <c r="M138" s="1"/>
      <c r="N138" s="1"/>
      <c r="Q138" s="1"/>
      <c r="R138" s="1"/>
      <c r="S138" s="1"/>
      <c r="X138" s="1"/>
      <c r="Y138" s="1"/>
      <c r="AC138" s="1"/>
      <c r="AD138" s="1"/>
      <c r="AF138" s="1"/>
      <c r="AN138" s="1"/>
      <c r="AO138" s="1"/>
      <c r="AX138" s="1"/>
    </row>
    <row r="139" spans="3:50" ht="12.75">
      <c r="C139" s="1"/>
      <c r="E139" s="1"/>
      <c r="F139" s="1"/>
      <c r="G139" s="1"/>
      <c r="H139" s="1"/>
      <c r="J139" s="1"/>
      <c r="M139" s="1"/>
      <c r="N139" s="1"/>
      <c r="Q139" s="1"/>
      <c r="R139" s="1"/>
      <c r="S139" s="1"/>
      <c r="X139" s="1"/>
      <c r="Y139" s="1"/>
      <c r="AC139" s="1"/>
      <c r="AD139" s="1"/>
      <c r="AF139" s="1"/>
      <c r="AN139" s="1"/>
      <c r="AO139" s="1"/>
      <c r="AX139" s="1"/>
    </row>
    <row r="140" spans="3:50" ht="12.75">
      <c r="C140" s="1"/>
      <c r="E140" s="1"/>
      <c r="F140" s="1"/>
      <c r="G140" s="1"/>
      <c r="H140" s="1"/>
      <c r="J140" s="1"/>
      <c r="M140" s="1"/>
      <c r="N140" s="1"/>
      <c r="Q140" s="1"/>
      <c r="R140" s="1"/>
      <c r="S140" s="1"/>
      <c r="X140" s="1"/>
      <c r="Y140" s="1"/>
      <c r="AC140" s="1"/>
      <c r="AD140" s="1"/>
      <c r="AF140" s="1"/>
      <c r="AN140" s="1"/>
      <c r="AO140" s="1"/>
      <c r="AX140" s="1"/>
    </row>
    <row r="141" spans="3:50" ht="12.75">
      <c r="C141" s="1"/>
      <c r="E141" s="1"/>
      <c r="F141" s="1"/>
      <c r="G141" s="1"/>
      <c r="H141" s="1"/>
      <c r="J141" s="1"/>
      <c r="M141" s="1"/>
      <c r="N141" s="1"/>
      <c r="Q141" s="1"/>
      <c r="R141" s="1"/>
      <c r="S141" s="1"/>
      <c r="X141" s="1"/>
      <c r="Y141" s="1"/>
      <c r="AC141" s="1"/>
      <c r="AD141" s="1"/>
      <c r="AF141" s="1"/>
      <c r="AN141" s="1"/>
      <c r="AO141" s="1"/>
      <c r="AX141" s="1"/>
    </row>
    <row r="142" spans="3:50" ht="12.75">
      <c r="C142" s="1"/>
      <c r="E142" s="1"/>
      <c r="F142" s="1"/>
      <c r="G142" s="1"/>
      <c r="H142" s="1"/>
      <c r="J142" s="1"/>
      <c r="M142" s="1"/>
      <c r="N142" s="1"/>
      <c r="Q142" s="1"/>
      <c r="R142" s="1"/>
      <c r="S142" s="1"/>
      <c r="X142" s="1"/>
      <c r="Y142" s="1"/>
      <c r="AC142" s="1"/>
      <c r="AD142" s="1"/>
      <c r="AF142" s="1"/>
      <c r="AN142" s="1"/>
      <c r="AO142" s="1"/>
      <c r="AX142" s="1"/>
    </row>
    <row r="143" spans="3:50" ht="12.75">
      <c r="C143" s="1"/>
      <c r="E143" s="1"/>
      <c r="F143" s="1"/>
      <c r="G143" s="1"/>
      <c r="H143" s="1"/>
      <c r="J143" s="1"/>
      <c r="M143" s="1"/>
      <c r="N143" s="1"/>
      <c r="Q143" s="1"/>
      <c r="R143" s="1"/>
      <c r="S143" s="1"/>
      <c r="X143" s="1"/>
      <c r="Y143" s="1"/>
      <c r="AC143" s="1"/>
      <c r="AD143" s="1"/>
      <c r="AF143" s="1"/>
      <c r="AN143" s="1"/>
      <c r="AO143" s="1"/>
      <c r="AX143" s="1"/>
    </row>
    <row r="144" spans="3:50" ht="12.75">
      <c r="C144" s="1"/>
      <c r="E144" s="1"/>
      <c r="F144" s="1"/>
      <c r="G144" s="1"/>
      <c r="H144" s="1"/>
      <c r="J144" s="1"/>
      <c r="M144" s="1"/>
      <c r="N144" s="1"/>
      <c r="Q144" s="1"/>
      <c r="R144" s="1"/>
      <c r="S144" s="1"/>
      <c r="X144" s="1"/>
      <c r="Y144" s="1"/>
      <c r="AC144" s="1"/>
      <c r="AD144" s="1"/>
      <c r="AF144" s="1"/>
      <c r="AN144" s="1"/>
      <c r="AO144" s="1"/>
      <c r="AX144" s="1"/>
    </row>
    <row r="145" spans="3:50" ht="12.75">
      <c r="C145" s="1"/>
      <c r="E145" s="1"/>
      <c r="F145" s="1"/>
      <c r="G145" s="1"/>
      <c r="H145" s="1"/>
      <c r="J145" s="1"/>
      <c r="M145" s="1"/>
      <c r="N145" s="1"/>
      <c r="Q145" s="1"/>
      <c r="R145" s="1"/>
      <c r="S145" s="1"/>
      <c r="X145" s="1"/>
      <c r="Y145" s="1"/>
      <c r="AC145" s="1"/>
      <c r="AD145" s="1"/>
      <c r="AF145" s="1"/>
      <c r="AN145" s="1"/>
      <c r="AO145" s="1"/>
      <c r="AX145" s="1"/>
    </row>
    <row r="146" spans="3:50" ht="12.75">
      <c r="C146" s="1"/>
      <c r="E146" s="1"/>
      <c r="F146" s="1"/>
      <c r="G146" s="1"/>
      <c r="H146" s="1"/>
      <c r="J146" s="1"/>
      <c r="M146" s="1"/>
      <c r="N146" s="1"/>
      <c r="Q146" s="1"/>
      <c r="R146" s="1"/>
      <c r="S146" s="1"/>
      <c r="X146" s="1"/>
      <c r="Y146" s="1"/>
      <c r="AC146" s="1"/>
      <c r="AD146" s="1"/>
      <c r="AF146" s="1"/>
      <c r="AN146" s="1"/>
      <c r="AO146" s="1"/>
      <c r="AX146" s="1"/>
    </row>
    <row r="147" spans="3:50" ht="12.75">
      <c r="C147" s="1"/>
      <c r="E147" s="1"/>
      <c r="F147" s="1"/>
      <c r="G147" s="1"/>
      <c r="H147" s="1"/>
      <c r="J147" s="1"/>
      <c r="M147" s="1"/>
      <c r="N147" s="1"/>
      <c r="Q147" s="1"/>
      <c r="R147" s="1"/>
      <c r="S147" s="1"/>
      <c r="X147" s="1"/>
      <c r="Y147" s="1"/>
      <c r="AC147" s="1"/>
      <c r="AD147" s="1"/>
      <c r="AF147" s="1"/>
      <c r="AN147" s="1"/>
      <c r="AO147" s="1"/>
      <c r="AX147" s="1"/>
    </row>
    <row r="148" spans="3:50" ht="12.75">
      <c r="C148" s="1"/>
      <c r="E148" s="1"/>
      <c r="F148" s="1"/>
      <c r="G148" s="1"/>
      <c r="H148" s="1"/>
      <c r="J148" s="1"/>
      <c r="M148" s="1"/>
      <c r="N148" s="1"/>
      <c r="Q148" s="1"/>
      <c r="R148" s="1"/>
      <c r="S148" s="1"/>
      <c r="X148" s="1"/>
      <c r="Y148" s="1"/>
      <c r="AC148" s="1"/>
      <c r="AD148" s="1"/>
      <c r="AF148" s="1"/>
      <c r="AN148" s="1"/>
      <c r="AO148" s="1"/>
      <c r="AX148" s="1"/>
    </row>
    <row r="149" spans="3:50" ht="12.75">
      <c r="C149" s="1"/>
      <c r="E149" s="1"/>
      <c r="F149" s="1"/>
      <c r="G149" s="1"/>
      <c r="H149" s="1"/>
      <c r="J149" s="1"/>
      <c r="M149" s="1"/>
      <c r="N149" s="1"/>
      <c r="Q149" s="1"/>
      <c r="R149" s="1"/>
      <c r="S149" s="1"/>
      <c r="X149" s="1"/>
      <c r="Y149" s="1"/>
      <c r="AC149" s="1"/>
      <c r="AD149" s="1"/>
      <c r="AF149" s="1"/>
      <c r="AN149" s="1"/>
      <c r="AO149" s="1"/>
      <c r="AX149" s="1"/>
    </row>
    <row r="150" spans="3:50" ht="12.75">
      <c r="C150" s="1"/>
      <c r="E150" s="1"/>
      <c r="F150" s="1"/>
      <c r="G150" s="1"/>
      <c r="H150" s="1"/>
      <c r="J150" s="1"/>
      <c r="M150" s="1"/>
      <c r="N150" s="1"/>
      <c r="Q150" s="1"/>
      <c r="R150" s="1"/>
      <c r="S150" s="1"/>
      <c r="X150" s="1"/>
      <c r="Y150" s="1"/>
      <c r="AC150" s="1"/>
      <c r="AD150" s="1"/>
      <c r="AF150" s="1"/>
      <c r="AN150" s="1"/>
      <c r="AO150" s="1"/>
      <c r="AX150" s="1"/>
    </row>
    <row r="151" spans="3:50" ht="12.75">
      <c r="C151" s="1"/>
      <c r="E151" s="1"/>
      <c r="F151" s="1"/>
      <c r="G151" s="1"/>
      <c r="H151" s="1"/>
      <c r="J151" s="1"/>
      <c r="M151" s="1"/>
      <c r="N151" s="1"/>
      <c r="Q151" s="1"/>
      <c r="R151" s="1"/>
      <c r="S151" s="1"/>
      <c r="X151" s="1"/>
      <c r="Y151" s="1"/>
      <c r="AC151" s="1"/>
      <c r="AD151" s="1"/>
      <c r="AF151" s="1"/>
      <c r="AN151" s="1"/>
      <c r="AO151" s="1"/>
      <c r="AX151" s="1"/>
    </row>
    <row r="152" spans="3:50" ht="12.75">
      <c r="C152" s="1"/>
      <c r="E152" s="1"/>
      <c r="F152" s="1"/>
      <c r="G152" s="1"/>
      <c r="H152" s="1"/>
      <c r="J152" s="1"/>
      <c r="M152" s="1"/>
      <c r="N152" s="1"/>
      <c r="Q152" s="1"/>
      <c r="R152" s="1"/>
      <c r="S152" s="1"/>
      <c r="X152" s="1"/>
      <c r="Y152" s="1"/>
      <c r="AC152" s="1"/>
      <c r="AD152" s="1"/>
      <c r="AF152" s="1"/>
      <c r="AN152" s="1"/>
      <c r="AO152" s="1"/>
      <c r="AX152" s="1"/>
    </row>
    <row r="153" spans="3:50" ht="12.75">
      <c r="C153" s="1"/>
      <c r="E153" s="1"/>
      <c r="F153" s="1"/>
      <c r="G153" s="1"/>
      <c r="H153" s="1"/>
      <c r="J153" s="1"/>
      <c r="M153" s="1"/>
      <c r="N153" s="1"/>
      <c r="Q153" s="1"/>
      <c r="R153" s="1"/>
      <c r="S153" s="1"/>
      <c r="X153" s="1"/>
      <c r="Y153" s="1"/>
      <c r="AC153" s="1"/>
      <c r="AD153" s="1"/>
      <c r="AF153" s="1"/>
      <c r="AN153" s="1"/>
      <c r="AO153" s="1"/>
      <c r="AX153" s="1"/>
    </row>
    <row r="154" spans="3:50" ht="12.75">
      <c r="C154" s="1"/>
      <c r="E154" s="1"/>
      <c r="F154" s="1"/>
      <c r="G154" s="1"/>
      <c r="H154" s="1"/>
      <c r="J154" s="1"/>
      <c r="M154" s="1"/>
      <c r="N154" s="1"/>
      <c r="Q154" s="1"/>
      <c r="R154" s="1"/>
      <c r="S154" s="1"/>
      <c r="X154" s="1"/>
      <c r="Y154" s="1"/>
      <c r="AC154" s="1"/>
      <c r="AD154" s="1"/>
      <c r="AF154" s="1"/>
      <c r="AN154" s="1"/>
      <c r="AO154" s="1"/>
      <c r="AX154" s="1"/>
    </row>
    <row r="155" spans="3:50" ht="12.75">
      <c r="C155" s="1"/>
      <c r="E155" s="1"/>
      <c r="F155" s="1"/>
      <c r="G155" s="1"/>
      <c r="H155" s="1"/>
      <c r="J155" s="1"/>
      <c r="M155" s="1"/>
      <c r="N155" s="1"/>
      <c r="Q155" s="1"/>
      <c r="R155" s="1"/>
      <c r="S155" s="1"/>
      <c r="X155" s="1"/>
      <c r="Y155" s="1"/>
      <c r="AC155" s="1"/>
      <c r="AD155" s="1"/>
      <c r="AF155" s="1"/>
      <c r="AN155" s="1"/>
      <c r="AO155" s="1"/>
      <c r="AX155" s="1"/>
    </row>
    <row r="156" spans="3:50" ht="12.75">
      <c r="C156" s="1"/>
      <c r="E156" s="1"/>
      <c r="F156" s="1"/>
      <c r="G156" s="1"/>
      <c r="H156" s="1"/>
      <c r="J156" s="1"/>
      <c r="M156" s="1"/>
      <c r="N156" s="1"/>
      <c r="Q156" s="1"/>
      <c r="R156" s="1"/>
      <c r="S156" s="1"/>
      <c r="X156" s="1"/>
      <c r="Y156" s="1"/>
      <c r="AC156" s="1"/>
      <c r="AD156" s="1"/>
      <c r="AF156" s="1"/>
      <c r="AN156" s="1"/>
      <c r="AO156" s="1"/>
      <c r="AX156" s="1"/>
    </row>
    <row r="157" spans="3:50" ht="12.75">
      <c r="C157" s="1"/>
      <c r="E157" s="1"/>
      <c r="F157" s="1"/>
      <c r="G157" s="1"/>
      <c r="H157" s="1"/>
      <c r="J157" s="1"/>
      <c r="M157" s="1"/>
      <c r="N157" s="1"/>
      <c r="Q157" s="1"/>
      <c r="R157" s="1"/>
      <c r="S157" s="1"/>
      <c r="X157" s="1"/>
      <c r="Y157" s="1"/>
      <c r="AC157" s="1"/>
      <c r="AD157" s="1"/>
      <c r="AF157" s="1"/>
      <c r="AN157" s="1"/>
      <c r="AO157" s="1"/>
      <c r="AX157" s="1"/>
    </row>
    <row r="158" spans="3:50" ht="12.75">
      <c r="C158" s="1"/>
      <c r="E158" s="1"/>
      <c r="F158" s="1"/>
      <c r="G158" s="1"/>
      <c r="H158" s="1"/>
      <c r="J158" s="1"/>
      <c r="M158" s="1"/>
      <c r="N158" s="1"/>
      <c r="Q158" s="1"/>
      <c r="R158" s="1"/>
      <c r="S158" s="1"/>
      <c r="X158" s="1"/>
      <c r="Y158" s="1"/>
      <c r="AC158" s="1"/>
      <c r="AD158" s="1"/>
      <c r="AF158" s="1"/>
      <c r="AN158" s="1"/>
      <c r="AO158" s="1"/>
      <c r="AX158" s="1"/>
    </row>
    <row r="159" spans="3:50" ht="12.75">
      <c r="C159" s="1"/>
      <c r="E159" s="1"/>
      <c r="F159" s="1"/>
      <c r="G159" s="1"/>
      <c r="H159" s="1"/>
      <c r="J159" s="1"/>
      <c r="M159" s="1"/>
      <c r="N159" s="1"/>
      <c r="Q159" s="1"/>
      <c r="R159" s="1"/>
      <c r="S159" s="1"/>
      <c r="X159" s="1"/>
      <c r="Y159" s="1"/>
      <c r="AC159" s="1"/>
      <c r="AD159" s="1"/>
      <c r="AF159" s="1"/>
      <c r="AN159" s="1"/>
      <c r="AO159" s="1"/>
      <c r="AX159" s="1"/>
    </row>
    <row r="160" spans="3:50" ht="12.75">
      <c r="C160" s="1"/>
      <c r="E160" s="1"/>
      <c r="F160" s="1"/>
      <c r="G160" s="1"/>
      <c r="H160" s="1"/>
      <c r="J160" s="1"/>
      <c r="M160" s="1"/>
      <c r="N160" s="1"/>
      <c r="Q160" s="1"/>
      <c r="R160" s="1"/>
      <c r="S160" s="1"/>
      <c r="X160" s="1"/>
      <c r="Y160" s="1"/>
      <c r="AC160" s="1"/>
      <c r="AD160" s="1"/>
      <c r="AF160" s="1"/>
      <c r="AN160" s="1"/>
      <c r="AO160" s="1"/>
      <c r="AX160" s="1"/>
    </row>
    <row r="161" spans="3:50" ht="12.75">
      <c r="C161" s="1"/>
      <c r="E161" s="1"/>
      <c r="F161" s="1"/>
      <c r="G161" s="1"/>
      <c r="H161" s="1"/>
      <c r="J161" s="1"/>
      <c r="M161" s="1"/>
      <c r="N161" s="1"/>
      <c r="Q161" s="1"/>
      <c r="R161" s="1"/>
      <c r="S161" s="1"/>
      <c r="X161" s="1"/>
      <c r="Y161" s="1"/>
      <c r="AC161" s="1"/>
      <c r="AD161" s="1"/>
      <c r="AF161" s="1"/>
      <c r="AN161" s="1"/>
      <c r="AO161" s="1"/>
      <c r="AX161" s="1"/>
    </row>
    <row r="162" spans="3:50" ht="12.75">
      <c r="C162" s="1"/>
      <c r="E162" s="1"/>
      <c r="F162" s="1"/>
      <c r="G162" s="1"/>
      <c r="H162" s="1"/>
      <c r="J162" s="1"/>
      <c r="M162" s="1"/>
      <c r="N162" s="1"/>
      <c r="Q162" s="1"/>
      <c r="R162" s="1"/>
      <c r="S162" s="1"/>
      <c r="X162" s="1"/>
      <c r="Y162" s="1"/>
      <c r="AC162" s="1"/>
      <c r="AD162" s="1"/>
      <c r="AF162" s="1"/>
      <c r="AN162" s="1"/>
      <c r="AO162" s="1"/>
      <c r="AX162" s="1"/>
    </row>
    <row r="163" spans="3:50" ht="12.75">
      <c r="C163" s="1"/>
      <c r="E163" s="1"/>
      <c r="F163" s="1"/>
      <c r="G163" s="1"/>
      <c r="H163" s="1"/>
      <c r="J163" s="1"/>
      <c r="M163" s="1"/>
      <c r="N163" s="1"/>
      <c r="Q163" s="1"/>
      <c r="R163" s="1"/>
      <c r="S163" s="1"/>
      <c r="X163" s="1"/>
      <c r="Y163" s="1"/>
      <c r="AC163" s="1"/>
      <c r="AD163" s="1"/>
      <c r="AF163" s="1"/>
      <c r="AN163" s="1"/>
      <c r="AO163" s="1"/>
      <c r="AX163" s="1"/>
    </row>
    <row r="164" spans="3:50" ht="12.75">
      <c r="C164" s="1"/>
      <c r="E164" s="1"/>
      <c r="F164" s="1"/>
      <c r="G164" s="1"/>
      <c r="H164" s="1"/>
      <c r="J164" s="1"/>
      <c r="M164" s="1"/>
      <c r="N164" s="1"/>
      <c r="Q164" s="1"/>
      <c r="R164" s="1"/>
      <c r="S164" s="1"/>
      <c r="X164" s="1"/>
      <c r="Y164" s="1"/>
      <c r="AC164" s="1"/>
      <c r="AD164" s="1"/>
      <c r="AF164" s="1"/>
      <c r="AN164" s="1"/>
      <c r="AO164" s="1"/>
      <c r="AX164" s="1"/>
    </row>
    <row r="165" spans="3:50" ht="12.75">
      <c r="C165" s="1"/>
      <c r="E165" s="1"/>
      <c r="F165" s="1"/>
      <c r="G165" s="1"/>
      <c r="H165" s="1"/>
      <c r="J165" s="1"/>
      <c r="M165" s="1"/>
      <c r="N165" s="1"/>
      <c r="Q165" s="1"/>
      <c r="R165" s="1"/>
      <c r="S165" s="1"/>
      <c r="X165" s="1"/>
      <c r="Y165" s="1"/>
      <c r="AC165" s="1"/>
      <c r="AD165" s="1"/>
      <c r="AF165" s="1"/>
      <c r="AN165" s="1"/>
      <c r="AO165" s="1"/>
      <c r="AX165" s="1"/>
    </row>
    <row r="166" spans="3:50" ht="12.75">
      <c r="C166" s="1"/>
      <c r="E166" s="1"/>
      <c r="F166" s="1"/>
      <c r="G166" s="1"/>
      <c r="H166" s="1"/>
      <c r="J166" s="1"/>
      <c r="M166" s="1"/>
      <c r="N166" s="1"/>
      <c r="Q166" s="1"/>
      <c r="R166" s="1"/>
      <c r="S166" s="1"/>
      <c r="X166" s="1"/>
      <c r="Y166" s="1"/>
      <c r="AC166" s="1"/>
      <c r="AD166" s="1"/>
      <c r="AF166" s="1"/>
      <c r="AN166" s="1"/>
      <c r="AO166" s="1"/>
      <c r="AX166" s="1"/>
    </row>
    <row r="167" spans="3:50" ht="12.75">
      <c r="C167" s="1"/>
      <c r="E167" s="1"/>
      <c r="F167" s="1"/>
      <c r="G167" s="1"/>
      <c r="H167" s="1"/>
      <c r="J167" s="1"/>
      <c r="M167" s="1"/>
      <c r="N167" s="1"/>
      <c r="Q167" s="1"/>
      <c r="R167" s="1"/>
      <c r="S167" s="1"/>
      <c r="X167" s="1"/>
      <c r="Y167" s="1"/>
      <c r="AC167" s="1"/>
      <c r="AD167" s="1"/>
      <c r="AF167" s="1"/>
      <c r="AN167" s="1"/>
      <c r="AO167" s="1"/>
      <c r="AX167" s="1"/>
    </row>
    <row r="168" spans="3:50" ht="12.75">
      <c r="C168" s="1"/>
      <c r="E168" s="1"/>
      <c r="F168" s="1"/>
      <c r="G168" s="1"/>
      <c r="H168" s="1"/>
      <c r="J168" s="1"/>
      <c r="M168" s="1"/>
      <c r="N168" s="1"/>
      <c r="Q168" s="1"/>
      <c r="R168" s="1"/>
      <c r="S168" s="1"/>
      <c r="X168" s="1"/>
      <c r="Y168" s="1"/>
      <c r="AC168" s="1"/>
      <c r="AD168" s="1"/>
      <c r="AF168" s="1"/>
      <c r="AN168" s="1"/>
      <c r="AO168" s="1"/>
      <c r="AX168" s="1"/>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R1013"/>
  <sheetViews>
    <sheetView showGridLines="0" workbookViewId="0"/>
  </sheetViews>
  <sheetFormatPr baseColWidth="10" defaultColWidth="12.5703125" defaultRowHeight="15.75" customHeight="1"/>
  <cols>
    <col min="1" max="1" width="33.42578125" customWidth="1"/>
    <col min="2" max="2" width="19.7109375" customWidth="1"/>
    <col min="3" max="3" width="12.85546875" customWidth="1"/>
    <col min="4" max="4" width="10.140625" customWidth="1"/>
    <col min="5" max="5" width="9.42578125" customWidth="1"/>
    <col min="6" max="6" width="18" customWidth="1"/>
    <col min="7" max="7" width="35.140625" customWidth="1"/>
    <col min="8" max="8" width="11.28515625" customWidth="1"/>
    <col min="10" max="10" width="6.7109375" customWidth="1"/>
    <col min="11" max="11" width="35.5703125" customWidth="1"/>
    <col min="14" max="14" width="18.28515625" customWidth="1"/>
    <col min="15" max="15" width="27.5703125" customWidth="1"/>
    <col min="16" max="16" width="14.28515625" customWidth="1"/>
    <col min="17" max="17" width="24.7109375" customWidth="1"/>
  </cols>
  <sheetData>
    <row r="1" spans="1:18" ht="15.75" customHeight="1">
      <c r="A1" s="1"/>
      <c r="K1" s="26" t="s">
        <v>7</v>
      </c>
      <c r="L1" s="27" t="s">
        <v>677</v>
      </c>
      <c r="N1" s="6"/>
      <c r="O1" s="7"/>
      <c r="P1" s="7"/>
      <c r="Q1" s="7"/>
      <c r="R1" s="3"/>
    </row>
    <row r="2" spans="1:18" ht="15.75" customHeight="1">
      <c r="A2" s="8" t="s">
        <v>12</v>
      </c>
      <c r="B2" s="9"/>
      <c r="G2" s="10" t="s">
        <v>50</v>
      </c>
      <c r="H2" s="11"/>
      <c r="K2" s="28" t="s">
        <v>56</v>
      </c>
      <c r="L2" s="35">
        <v>57</v>
      </c>
      <c r="N2" s="7" t="s">
        <v>47</v>
      </c>
      <c r="O2" s="12" t="s">
        <v>678</v>
      </c>
      <c r="P2" s="13"/>
      <c r="Q2" s="14" t="s">
        <v>679</v>
      </c>
      <c r="R2" s="15"/>
    </row>
    <row r="3" spans="1:18" ht="15.75" customHeight="1">
      <c r="A3" s="16" t="s">
        <v>59</v>
      </c>
      <c r="B3" s="9" t="e">
        <f ca="1">COUNTIF(INDIRECT("Form responses 1!"&amp;"M2:M"),"*Schools*")</f>
        <v>#REF!</v>
      </c>
      <c r="G3" s="17" t="s">
        <v>555</v>
      </c>
      <c r="H3" s="18" t="e">
        <f ca="1">COUNTIF(INDIRECT("Form responses 1!"&amp;"AS2:AS"),"*Granted*")</f>
        <v>#REF!</v>
      </c>
      <c r="K3" s="29" t="s">
        <v>309</v>
      </c>
      <c r="L3" s="36">
        <v>2</v>
      </c>
      <c r="N3" s="7"/>
      <c r="O3" s="12">
        <v>0</v>
      </c>
      <c r="P3" s="13"/>
      <c r="Q3" s="15" t="s">
        <v>643</v>
      </c>
      <c r="R3" s="11" t="e">
        <f ca="1">COUNTIFS(INDIRECT("Form responses 1!"&amp;"AV2:AV"),"*ASKAP*",INDIRECT("Form responses 1!"&amp;"M2:M"),"*Research*")</f>
        <v>#REF!</v>
      </c>
    </row>
    <row r="4" spans="1:18" ht="15.75" customHeight="1">
      <c r="A4" s="16" t="s">
        <v>246</v>
      </c>
      <c r="B4" s="9" t="e">
        <f ca="1">COUNTIF(INDIRECT("Form responses 1!"&amp;"M2:M"),"*Development")</f>
        <v>#REF!</v>
      </c>
      <c r="G4" s="17" t="s">
        <v>584</v>
      </c>
      <c r="H4" s="18" t="e">
        <f ca="1">COUNTIF(INDIRECT("Form responses 1!"&amp;"AS2:AS"),"*Archive*")</f>
        <v>#REF!</v>
      </c>
      <c r="K4" s="29" t="s">
        <v>402</v>
      </c>
      <c r="L4" s="36">
        <v>1</v>
      </c>
      <c r="N4" s="7" t="s">
        <v>643</v>
      </c>
      <c r="O4" s="12">
        <v>1</v>
      </c>
      <c r="P4" s="13"/>
      <c r="Q4" s="15" t="s">
        <v>617</v>
      </c>
      <c r="R4" s="11" t="e">
        <f ca="1">COUNTIFS(INDIRECT("Form responses 1!"&amp;"AV2:AV"),"*MeerKAT*",INDIRECT("Form responses 1!"&amp;"M2:M"),"*Research*")</f>
        <v>#REF!</v>
      </c>
    </row>
    <row r="5" spans="1:18" ht="15.75" customHeight="1">
      <c r="A5" s="16" t="s">
        <v>85</v>
      </c>
      <c r="B5" s="9" t="e">
        <f ca="1">COUNTIF(INDIRECT("Form responses 1!"&amp;"M2:M"),"*Research*")</f>
        <v>#REF!</v>
      </c>
      <c r="G5" s="17" t="s">
        <v>680</v>
      </c>
      <c r="H5" s="18" t="e">
        <f ca="1">COUNTIF(INDIRECT("Form responses 1!"&amp;"AS2:AS"),"*Simulation*")</f>
        <v>#REF!</v>
      </c>
      <c r="K5" s="29" t="s">
        <v>717</v>
      </c>
      <c r="L5" s="36"/>
      <c r="N5" s="7" t="s">
        <v>94</v>
      </c>
      <c r="O5" s="7">
        <v>8</v>
      </c>
      <c r="P5" s="19"/>
      <c r="Q5" s="9" t="s">
        <v>681</v>
      </c>
      <c r="R5" s="11" t="e">
        <f ca="1">COUNTIFS(INDIRECT("Form responses 1!"&amp;"AV2:AV"),"*MWA*",INDIRECT("Form responses 1!"&amp;"M2:M"),"*Research*")</f>
        <v>#REF!</v>
      </c>
    </row>
    <row r="6" spans="1:18" ht="14.25">
      <c r="A6" s="16" t="s">
        <v>682</v>
      </c>
      <c r="B6" s="9" t="e">
        <f ca="1">SUM(B3:B5)</f>
        <v>#REF!</v>
      </c>
      <c r="G6" s="11" t="s">
        <v>683</v>
      </c>
      <c r="H6" s="11" t="e">
        <f ca="1">SUM(H3:H5)</f>
        <v>#REF!</v>
      </c>
      <c r="K6" s="30" t="s">
        <v>718</v>
      </c>
      <c r="L6" s="37">
        <v>60</v>
      </c>
      <c r="N6" s="7" t="s">
        <v>684</v>
      </c>
      <c r="O6" s="12">
        <v>9</v>
      </c>
      <c r="P6" s="13"/>
      <c r="Q6" s="15" t="s">
        <v>685</v>
      </c>
      <c r="R6" s="11" t="e">
        <f ca="1">COUNTIFS(INDIRECT("Form responses 1!"&amp;"AV2:AV"),"*ERA*",INDIRECT("Form responses 1!"&amp;"M2:M"),"*Research*")</f>
        <v>#REF!</v>
      </c>
    </row>
    <row r="7" spans="1:18" ht="14.25">
      <c r="A7" s="19"/>
      <c r="B7" s="19"/>
      <c r="K7" s="1"/>
      <c r="N7" s="7" t="e">
        <v>#REF!</v>
      </c>
      <c r="O7" s="12"/>
      <c r="P7" s="13"/>
      <c r="Q7" s="13"/>
      <c r="R7" s="13"/>
    </row>
    <row r="8" spans="1:18" ht="15.75" customHeight="1">
      <c r="A8" s="20" t="s">
        <v>686</v>
      </c>
      <c r="B8" s="16" t="s">
        <v>59</v>
      </c>
      <c r="C8" s="16" t="s">
        <v>246</v>
      </c>
      <c r="D8" s="16" t="s">
        <v>85</v>
      </c>
      <c r="E8" s="11" t="s">
        <v>683</v>
      </c>
      <c r="G8" s="21" t="s">
        <v>687</v>
      </c>
      <c r="H8" s="11" t="s">
        <v>688</v>
      </c>
      <c r="I8" s="11" t="s">
        <v>689</v>
      </c>
      <c r="K8" s="1"/>
      <c r="N8" s="7"/>
      <c r="O8" s="12"/>
      <c r="P8" s="13"/>
      <c r="Q8" s="14" t="s">
        <v>690</v>
      </c>
      <c r="R8" s="15"/>
    </row>
    <row r="9" spans="1:18" ht="14.25">
      <c r="A9" s="16" t="s">
        <v>373</v>
      </c>
      <c r="B9" s="15" t="e">
        <f ca="1">COUNTIFS(INDIRECT("Form responses 1!"&amp;"P2:P"),"*Unknown*",INDIRECT("Form responses 1!"&amp;"M2:M"),"*Schools*")</f>
        <v>#REF!</v>
      </c>
      <c r="C9" s="15" t="e">
        <f ca="1">COUNTIFS(INDIRECT("Form responses 1!"&amp;"P2:P"),"*Unknown*",INDIRECT("Form responses 1!"&amp;"M2:M"),"*Development*")</f>
        <v>#REF!</v>
      </c>
      <c r="D9" s="15" t="e">
        <f ca="1">COUNTIFS(INDIRECT("Form responses 1!"&amp;"P2:P"),"*Unknown*",INDIRECT("Form responses 1!"&amp;"M2:M"),"*Research*")</f>
        <v>#REF!</v>
      </c>
      <c r="E9" s="15" t="e">
        <f ca="1">COUNTIF(INDIRECT("Form responses 1!"&amp;"P2:P"),"*Unknown*")</f>
        <v>#REF!</v>
      </c>
      <c r="G9" s="22" t="s">
        <v>691</v>
      </c>
      <c r="H9" s="11" t="e">
        <f ca="1">COUNTIF(INDIRECT("Form responses 1!"&amp;"AH16:AH"),"*Normal*")+COUNTIF(INDIRECT("Form responses 1!"&amp;"T2:T15"),"2")</f>
        <v>#REF!</v>
      </c>
      <c r="I9" s="11" t="e">
        <f ca="1">COUNTIF(INDIRECT("Form responses 1!"&amp;"AH16:AH"),"*Max*")+COUNTIF(INDIRECT("Form responses 1!"&amp;"U2:U15"),"2")</f>
        <v>#REF!</v>
      </c>
      <c r="K9" s="1"/>
      <c r="N9" s="7"/>
      <c r="O9" s="12"/>
      <c r="P9" s="13"/>
      <c r="Q9" s="15" t="s">
        <v>149</v>
      </c>
      <c r="R9" s="11" t="e">
        <f ca="1">COUNTIFS(INDIRECT("Form responses 1!"&amp;"AW2:AW"),"*Apertif*",INDIRECT("Form responses 1!"&amp;"M2:M"),"*Research*")</f>
        <v>#REF!</v>
      </c>
    </row>
    <row r="10" spans="1:18" ht="14.25">
      <c r="A10" s="16" t="s">
        <v>692</v>
      </c>
      <c r="B10" s="15" t="e">
        <f ca="1">COUNTIFS(INDIRECT("Form responses 1!"&amp;"P2:P"),"*days*",INDIRECT("Form responses 1!"&amp;"M2:M"),"*Schools*")</f>
        <v>#REF!</v>
      </c>
      <c r="C10" s="15" t="e">
        <f ca="1">COUNTIFS(INDIRECT("Form responses 1!"&amp;"P2:P"),"*days*",INDIRECT("Form responses 1!"&amp;"M2:M"),"*Development*")</f>
        <v>#REF!</v>
      </c>
      <c r="D10" s="15" t="e">
        <f ca="1">COUNTIFS(INDIRECT("Form responses 1!"&amp;"P2:P"),"*days*",INDIRECT("Form responses 1!"&amp;"M2:M"),"*Research*")</f>
        <v>#REF!</v>
      </c>
      <c r="E10" s="11" t="e">
        <f ca="1">COUNTIFS(INDIRECT("Form responses 1!"&amp;"P2:P"),"*days*")</f>
        <v>#REF!</v>
      </c>
      <c r="G10" s="22" t="s">
        <v>693</v>
      </c>
      <c r="H10" s="11" t="e">
        <f ca="1">COUNTIF(INDIRECT("Form responses 1!"&amp;"AI16:AI"),"*Normal*")+COUNTIF(INDIRECT("Form responses 1!"&amp;"T2:T15"),"4")</f>
        <v>#REF!</v>
      </c>
      <c r="I10" s="11" t="e">
        <f ca="1">COUNTIF(INDIRECT("Form responses 1!"&amp;"AI16:AI"),"*Max*")+COUNTIF(INDIRECT("Form responses 1!"&amp;"U2:U15"),"4")</f>
        <v>#REF!</v>
      </c>
      <c r="K10" s="1"/>
      <c r="N10" s="7"/>
      <c r="O10" s="12"/>
      <c r="P10" s="13"/>
      <c r="Q10" s="15" t="s">
        <v>109</v>
      </c>
      <c r="R10" s="11" t="e">
        <f ca="1">COUNTIFS(INDIRECT("Form responses 1!"&amp;"AW2:AW"),"*e-Merlin*",INDIRECT("Form responses 1!"&amp;"M2:M"),"*Research*")</f>
        <v>#REF!</v>
      </c>
    </row>
    <row r="11" spans="1:18" ht="14.25">
      <c r="A11" s="16" t="s">
        <v>352</v>
      </c>
      <c r="B11" s="15" t="e">
        <f ca="1">COUNTIFS(INDIRECT("Form responses 1!"&amp;"P2:P"),"*4 months*",INDIRECT("Form responses 1!"&amp;"M2:M"),"*Schools*")</f>
        <v>#REF!</v>
      </c>
      <c r="C11" s="15" t="e">
        <f ca="1">COUNTIFS(INDIRECT("Form responses 1!"&amp;"P2:P"),"*4 months*",INDIRECT("Form responses 1!"&amp;"M2:M"),"*Development*")</f>
        <v>#REF!</v>
      </c>
      <c r="D11" s="15" t="e">
        <f ca="1">COUNTIFS(INDIRECT("Form responses 1!"&amp;"P2:P"),"*4 months*",INDIRECT("Form responses 1!"&amp;"M2:M"),"*Research*")</f>
        <v>#REF!</v>
      </c>
      <c r="E11" s="15" t="e">
        <f ca="1">COUNTIFS(INDIRECT("Form responses 1!"&amp;"P2:P"),"*4 months*")</f>
        <v>#REF!</v>
      </c>
      <c r="G11" s="22" t="s">
        <v>694</v>
      </c>
      <c r="H11" s="11" t="e">
        <f ca="1">COUNTIF(INDIRECT("Form responses 1!"&amp;"AJ16:AJ"),"*Normal*")+COUNTIF(INDIRECT("Form responses 1!"&amp;"T2:T15"),"8")</f>
        <v>#REF!</v>
      </c>
      <c r="I11" s="11" t="e">
        <f ca="1">COUNTIF(INDIRECT("Form responses 1!"&amp;"AJ16:AJ"),"*Max*")+COUNTIF(INDIRECT("Form responses 1!"&amp;"U2:U15"),"8")</f>
        <v>#REF!</v>
      </c>
      <c r="K11" s="1"/>
      <c r="N11" s="7"/>
      <c r="O11" s="12"/>
      <c r="P11" s="13"/>
      <c r="Q11" s="9" t="s">
        <v>117</v>
      </c>
      <c r="R11" s="11" t="e">
        <f ca="1">COUNTIFS(INDIRECT("Form responses 1!"&amp;"AW2:AW"),"*LOFAR*",INDIRECT("Form responses 1!"&amp;"M2:M"),"*Research*")</f>
        <v>#REF!</v>
      </c>
    </row>
    <row r="12" spans="1:18" ht="14.25">
      <c r="A12" s="16" t="s">
        <v>193</v>
      </c>
      <c r="B12" s="15" t="e">
        <f ca="1">COUNTIFS(INDIRECT("Form responses 1!"&amp;"P2:P"),"*5 months*",INDIRECT("Form responses 1!"&amp;"M2:M"),"*Schools*")</f>
        <v>#REF!</v>
      </c>
      <c r="C12" s="15" t="e">
        <f ca="1">COUNTIFS(INDIRECT("Form responses 1!"&amp;"P2:P"),"*5 months*",INDIRECT("Form responses 1!"&amp;"M2:M"),"*Development*")</f>
        <v>#REF!</v>
      </c>
      <c r="D12" s="15" t="e">
        <f ca="1">COUNTIFS(INDIRECT("Form responses 1!"&amp;"P2:P"),"*5 months*",INDIRECT("Form responses 1!"&amp;"M2:M"),"*Research*")</f>
        <v>#REF!</v>
      </c>
      <c r="E12" s="15" t="e">
        <f ca="1">COUNTIFS(INDIRECT("Form responses 1!"&amp;"P2:P"),"*5 months*")</f>
        <v>#REF!</v>
      </c>
      <c r="G12" s="22" t="s">
        <v>695</v>
      </c>
      <c r="H12" s="11" t="e">
        <f ca="1">COUNTIF(INDIRECT("Form responses 1!"&amp;"AK16:AK"),"*Normal*")+COUNTIF(INDIRECT("Form responses 1!"&amp;"T2:T15"),"16")</f>
        <v>#REF!</v>
      </c>
      <c r="I12" s="11" t="e">
        <f ca="1">COUNTIF(INDIRECT("Form responses 1!"&amp;"AK16:AK"),"*Max*")+COUNTIF(INDIRECT("Form responses 1!"&amp;"U2:U15"),"16")</f>
        <v>#REF!</v>
      </c>
      <c r="K12" s="1"/>
      <c r="N12" s="19"/>
      <c r="O12" s="7"/>
      <c r="Q12" s="15" t="s">
        <v>146</v>
      </c>
      <c r="R12" s="11" t="e">
        <f ca="1">COUNTIFS(INDIRECT("Form responses 1!"&amp;"AW2:AW"),"*VLA*",INDIRECT("Form responses 1!"&amp;"M2:M"),"*Research*")</f>
        <v>#REF!</v>
      </c>
    </row>
    <row r="13" spans="1:18" ht="14.25">
      <c r="A13" s="16" t="s">
        <v>87</v>
      </c>
      <c r="B13" s="15" t="e">
        <f ca="1">COUNTIFS(INDIRECT("Form responses 1!"&amp;"P2:P"),"*6 months*",INDIRECT("Form responses 1!"&amp;"M2:M"),"*Schools*")</f>
        <v>#REF!</v>
      </c>
      <c r="C13" s="15" t="e">
        <f ca="1">COUNTIFS(INDIRECT("Form responses 1!"&amp;"P2:P"),"*6 months*",INDIRECT("Form responses 1!"&amp;"M2:M"),"*Development*")</f>
        <v>#REF!</v>
      </c>
      <c r="D13" s="15" t="e">
        <f ca="1">COUNTIFS(INDIRECT("Form responses 1!"&amp;"P2:P"),"*6 months*",INDIRECT("Form responses 1!"&amp;"M2:M"),"*Research*")</f>
        <v>#REF!</v>
      </c>
      <c r="E13" s="15" t="e">
        <f ca="1">COUNTIFS(INDIRECT("Form responses 1!"&amp;"P2:P"),"*6 months*")</f>
        <v>#REF!</v>
      </c>
      <c r="G13" s="22" t="s">
        <v>696</v>
      </c>
      <c r="H13" s="11" t="e">
        <f ca="1">COUNTIF(INDIRECT("Form responses 1!"&amp;"AL16:AL"),"*Normal*")+COUNTIF(INDIRECT("Form responses 1!"&amp;"T2:T15"),"24")</f>
        <v>#REF!</v>
      </c>
      <c r="I13" s="11" t="e">
        <f ca="1">COUNTIF(INDIRECT("Form responses 1!"&amp;"AL16:AL"),"*Max*")+COUNTIF(INDIRECT("Form responses 1!"&amp;"U2:U15"),"24")</f>
        <v>#REF!</v>
      </c>
      <c r="K13" s="1"/>
      <c r="N13" s="23"/>
      <c r="O13" s="7"/>
      <c r="Q13" s="11" t="s">
        <v>697</v>
      </c>
      <c r="R13" s="11" t="e">
        <f ca="1">COUNTIFS(INDIRECT("Form responses 1!"&amp;"AW2:AW"),"*ATCA*",INDIRECT("Form responses 1!"&amp;"M2:M"),"*Research*")</f>
        <v>#REF!</v>
      </c>
    </row>
    <row r="14" spans="1:18" ht="14.25">
      <c r="A14" s="16" t="s">
        <v>261</v>
      </c>
      <c r="B14" s="15" t="e">
        <f ca="1">COUNTIFS(INDIRECT("Form responses 1!"&amp;"P2:P"),"*1 year*",INDIRECT("Form responses 1!"&amp;"M2:M"),"*Schools*")</f>
        <v>#REF!</v>
      </c>
      <c r="C14" s="15" t="e">
        <f ca="1">COUNTIFS(INDIRECT("Form responses 1!"&amp;"P2:P"),"*1 year*",INDIRECT("Form responses 1!"&amp;"M2:M"),"*Development*")</f>
        <v>#REF!</v>
      </c>
      <c r="D14" s="15" t="e">
        <f ca="1">COUNTIFS(INDIRECT("Form responses 1!"&amp;"P2:P"),"*1 year*",INDIRECT("Form responses 1!"&amp;"M2:M"),"*Research*")</f>
        <v>#REF!</v>
      </c>
      <c r="E14" s="15" t="e">
        <f ca="1">COUNTIFS(INDIRECT("Form responses 1!"&amp;"P2:P"),"*1 year*")</f>
        <v>#REF!</v>
      </c>
      <c r="G14" s="22" t="s">
        <v>698</v>
      </c>
      <c r="H14" s="11" t="e">
        <f ca="1">COUNTIF(INDIRECT("Form responses 1!"&amp;"AM16:AM"),"*Normal*")+COUNTIF(INDIRECT("Form responses 1!"&amp;"T2:T15"),"40")</f>
        <v>#REF!</v>
      </c>
      <c r="I14" s="11" t="e">
        <f ca="1">COUNTIF(INDIRECT("Form responses 1!"&amp;"AM16:AM"),"*Max*")+COUNTIF(INDIRECT("Form responses 1!"&amp;"U2:U15"),"40")</f>
        <v>#REF!</v>
      </c>
      <c r="K14" s="26" t="s">
        <v>8</v>
      </c>
      <c r="L14" s="27" t="s">
        <v>699</v>
      </c>
      <c r="N14" s="23"/>
      <c r="O14" s="7"/>
    </row>
    <row r="15" spans="1:18" ht="14.25">
      <c r="A15" s="16" t="s">
        <v>101</v>
      </c>
      <c r="B15" s="15" t="e">
        <f ca="1">COUNTIFS(INDIRECT("Form responses 1!"&amp;"P2:P"),"*2 years*",INDIRECT("Form responses 1!"&amp;"M2:M"),"*Schools*")</f>
        <v>#REF!</v>
      </c>
      <c r="C15" s="15" t="e">
        <f ca="1">COUNTIFS(INDIRECT("Form responses 1!"&amp;"P2:P"),"*2 years*",INDIRECT("Form responses 1!"&amp;"M2:M"),"*Development*")</f>
        <v>#REF!</v>
      </c>
      <c r="D15" s="15" t="e">
        <f ca="1">COUNTIFS(INDIRECT("Form responses 1!"&amp;"P2:P"),"*2 years*",INDIRECT("Form responses 1!"&amp;"M2:M"),"*Research*")</f>
        <v>#REF!</v>
      </c>
      <c r="E15" s="15" t="e">
        <f ca="1">COUNTIFS(INDIRECT("Form responses 1!"&amp;"P2:P"),"*2 years*")</f>
        <v>#REF!</v>
      </c>
      <c r="G15" s="11" t="s">
        <v>683</v>
      </c>
      <c r="H15" s="11" t="e">
        <f ca="1">SUM(H9:H14)</f>
        <v>#REF!</v>
      </c>
      <c r="I15" s="11" t="e">
        <f ca="1">SUM(I9:I14)</f>
        <v>#REF!</v>
      </c>
      <c r="K15" s="28" t="s">
        <v>310</v>
      </c>
      <c r="L15" s="35">
        <v>3</v>
      </c>
      <c r="N15" s="24"/>
      <c r="O15" s="7"/>
    </row>
    <row r="16" spans="1:18" ht="15.75" customHeight="1">
      <c r="A16" s="16" t="s">
        <v>154</v>
      </c>
      <c r="B16" s="15" t="e">
        <f ca="1">COUNTIFS(INDIRECT("Form responses 1!"&amp;"P2:P"),"*3 years*",INDIRECT("Form responses 1!"&amp;"M2:M"),"*Schools*")</f>
        <v>#REF!</v>
      </c>
      <c r="C16" s="15" t="e">
        <f ca="1">COUNTIFS(INDIRECT("Form responses 1!"&amp;"P2:P"),"*3 years*",INDIRECT("Form responses 1!"&amp;"M2:M"),"*Development*")</f>
        <v>#REF!</v>
      </c>
      <c r="D16" s="15" t="e">
        <f ca="1">COUNTIFS(INDIRECT("Form responses 1!"&amp;"P2:P"),"*3 years*",INDIRECT("Form responses 1!"&amp;"M2:M"),"*Research*")</f>
        <v>#REF!</v>
      </c>
      <c r="E16" s="15" t="e">
        <f ca="1">COUNTIFS(INDIRECT("Form responses 1!"&amp;"P2:P"),"*3 years*")</f>
        <v>#REF!</v>
      </c>
      <c r="K16" s="29" t="s">
        <v>57</v>
      </c>
      <c r="L16" s="36">
        <v>57</v>
      </c>
      <c r="N16" s="19" t="s">
        <v>49</v>
      </c>
      <c r="O16" s="7" t="s">
        <v>700</v>
      </c>
      <c r="Q16" s="14" t="s">
        <v>701</v>
      </c>
      <c r="R16" s="15"/>
    </row>
    <row r="17" spans="1:18" ht="14.25">
      <c r="A17" s="16" t="s">
        <v>482</v>
      </c>
      <c r="B17" s="15" t="e">
        <f ca="1">COUNTIFS(INDIRECT("Form responses 1!"&amp;"P2:P"),"*4 years*",INDIRECT("Form responses 1!"&amp;"M2:M"),"*Schools*")</f>
        <v>#REF!</v>
      </c>
      <c r="C17" s="15" t="e">
        <f ca="1">COUNTIFS(INDIRECT("Form responses 1!"&amp;"P2:P"),"*4 years*",INDIRECT("Form responses 1!"&amp;"M2:M"),"*Development*")</f>
        <v>#REF!</v>
      </c>
      <c r="D17" s="15" t="e">
        <f ca="1">COUNTIFS(INDIRECT("Form responses 1!"&amp;"P2:P"),"*4 years*",INDIRECT("Form responses 1!"&amp;"M2:M"),"*Research*")</f>
        <v>#REF!</v>
      </c>
      <c r="E17" s="15" t="e">
        <f ca="1">COUNTIFS(INDIRECT("Form responses 1!"&amp;"P2:P"),"*4 years*")</f>
        <v>#REF!</v>
      </c>
      <c r="K17" s="29" t="s">
        <v>717</v>
      </c>
      <c r="L17" s="36"/>
      <c r="N17" s="19"/>
      <c r="O17" s="7">
        <v>0</v>
      </c>
      <c r="Q17" s="15" t="s">
        <v>136</v>
      </c>
      <c r="R17" s="11" t="e">
        <f ca="1">COUNTIFS(INDIRECT("Form responses 1!"&amp;"AX2:AX"),"*ALMA*",INDIRECT("Form responses 1!"&amp;"M2:M"),"*Research*")</f>
        <v>#REF!</v>
      </c>
    </row>
    <row r="18" spans="1:18" ht="14.25">
      <c r="A18" s="16" t="s">
        <v>381</v>
      </c>
      <c r="B18" s="15" t="e">
        <f ca="1">COUNTIFS(INDIRECT("Form responses 1!"&amp;"P2:P"),"*Permanent*",INDIRECT("Form responses 1!"&amp;"M2:M"),"*Schools*")</f>
        <v>#REF!</v>
      </c>
      <c r="C18" s="15" t="e">
        <f ca="1">COUNTIFS(INDIRECT("Form responses 1!"&amp;"P2:P"),"*Permanent*",INDIRECT("Form responses 1!"&amp;"M2:M"),"*Development*")</f>
        <v>#REF!</v>
      </c>
      <c r="D18" s="15" t="e">
        <f ca="1">COUNTIFS(INDIRECT("Form responses 1!"&amp;"P2:P"),"*Permanent*",INDIRECT("Form responses 1!"&amp;"M2:M"),"*Research*")</f>
        <v>#REF!</v>
      </c>
      <c r="E18" s="15" t="e">
        <f ca="1">COUNTIFS(INDIRECT("Form responses 1!"&amp;"P2:P"),"*Permanent*")</f>
        <v>#REF!</v>
      </c>
      <c r="K18" s="30" t="s">
        <v>718</v>
      </c>
      <c r="L18" s="37">
        <v>60</v>
      </c>
      <c r="N18" s="19" t="s">
        <v>136</v>
      </c>
      <c r="O18" s="7">
        <v>3</v>
      </c>
      <c r="Q18" s="22" t="s">
        <v>702</v>
      </c>
      <c r="R18" s="11" t="e">
        <f ca="1">COUNTIFS(INDIRECT("Form responses 1!"&amp;"AX2:AX"),"*Calar*",INDIRECT("Form responses 1!"&amp;"M2:M"),"*Research*")</f>
        <v>#REF!</v>
      </c>
    </row>
    <row r="19" spans="1:18" ht="14.25">
      <c r="A19" s="16" t="s">
        <v>682</v>
      </c>
      <c r="B19" s="9" t="e">
        <f ca="1">SUM(B9:B17)</f>
        <v>#REF!</v>
      </c>
      <c r="C19" s="9" t="e">
        <f ca="1">SUM(C9:C17)</f>
        <v>#REF!</v>
      </c>
      <c r="D19" s="9" t="e">
        <f ca="1">SUM(D9:D17)</f>
        <v>#REF!</v>
      </c>
      <c r="E19" s="11" t="e">
        <f ca="1">SUM(B19:D19)</f>
        <v>#REF!</v>
      </c>
      <c r="K19" s="1"/>
      <c r="N19" s="19" t="s">
        <v>356</v>
      </c>
      <c r="O19" s="7">
        <v>1</v>
      </c>
      <c r="Q19" s="9" t="s">
        <v>303</v>
      </c>
      <c r="R19" s="11" t="e">
        <f ca="1">COUNTIFS(INDIRECT("Form responses 1!"&amp;"AX2:AX"),"*Other*",INDIRECT("Form responses 1!"&amp;"M2:M"),"*Research*")</f>
        <v>#REF!</v>
      </c>
    </row>
    <row r="20" spans="1:18" ht="14.25">
      <c r="K20" s="1"/>
      <c r="N20" s="19" t="s">
        <v>303</v>
      </c>
      <c r="O20" s="7">
        <v>2</v>
      </c>
      <c r="Q20" s="15" t="s">
        <v>368</v>
      </c>
      <c r="R20" s="11" t="e">
        <f ca="1">COUNTIFS(INDIRECT("Form responses 1!"&amp;"AX2:AX"),"*SOHO*",INDIRECT("Form responses 1!"&amp;"M2:M"),"*Research*")</f>
        <v>#REF!</v>
      </c>
    </row>
    <row r="21" spans="1:18" ht="15.75" customHeight="1">
      <c r="A21" s="20" t="s">
        <v>703</v>
      </c>
      <c r="B21" s="16" t="s">
        <v>59</v>
      </c>
      <c r="C21" s="16" t="s">
        <v>246</v>
      </c>
      <c r="D21" s="16" t="s">
        <v>85</v>
      </c>
      <c r="E21" s="11" t="s">
        <v>683</v>
      </c>
      <c r="K21" s="1"/>
      <c r="N21" s="19" t="s">
        <v>368</v>
      </c>
      <c r="O21" s="7">
        <v>1</v>
      </c>
      <c r="Q21" s="11" t="s">
        <v>490</v>
      </c>
      <c r="R21" s="11" t="e">
        <f ca="1">COUNTIFS(INDIRECT("Form responses 1!"&amp;"AX2:AX"),"*Venus*",INDIRECT("Form responses 1!"&amp;"M2:M"),"*Research*")</f>
        <v>#REF!</v>
      </c>
    </row>
    <row r="22" spans="1:18" ht="14.25">
      <c r="A22" s="16" t="s">
        <v>64</v>
      </c>
      <c r="B22" s="15" t="e">
        <f ca="1">COUNTIFS(INDIRECT("Form responses 1!"&amp;"X2:X"),"*Unspecified*",INDIRECT("Form responses 1!"&amp;"M2:M"),"*Schools*")</f>
        <v>#REF!</v>
      </c>
      <c r="C22" s="15" t="e">
        <f ca="1">COUNTIFS(INDIRECT("Form responses 1!"&amp;"X2:X"),"*Unspecified*",INDIRECT("Form responses 1!"&amp;"M2:M"),"*Development*")</f>
        <v>#REF!</v>
      </c>
      <c r="D22" s="15" t="e">
        <f ca="1">COUNTIFS(INDIRECT("Form responses 1!"&amp;"X2:X"),"*Unspecified*",INDIRECT("Form responses 1!"&amp;"M2:M"),"*Research*")</f>
        <v>#REF!</v>
      </c>
      <c r="E22" s="15" t="e">
        <f ca="1">COUNTIF(INDIRECT("Form responses 1!"&amp;"X2:X"),"*Unspecified*")</f>
        <v>#REF!</v>
      </c>
      <c r="K22" s="1"/>
      <c r="N22" s="19" t="s">
        <v>490</v>
      </c>
      <c r="O22" s="7">
        <v>1</v>
      </c>
      <c r="Q22" s="11" t="s">
        <v>429</v>
      </c>
      <c r="R22" s="11" t="e">
        <f ca="1">COUNTIFS(INDIRECT("Form responses 1!"&amp;"AX2:AX"),"*VLBA*",INDIRECT("Form responses 1!"&amp;"M2:M"),"*Research*")</f>
        <v>#REF!</v>
      </c>
    </row>
    <row r="23" spans="1:18" ht="14.25">
      <c r="A23" s="16" t="s">
        <v>382</v>
      </c>
      <c r="B23" s="15" t="e">
        <f ca="1">COUNTIFS(INDIRECT("Form responses 1!"&amp;"X2:X"),"*None*",INDIRECT("Form responses 1!"&amp;"M2:M"),"*Schools*")</f>
        <v>#REF!</v>
      </c>
      <c r="C23" s="15" t="e">
        <f ca="1">COUNTIFS(INDIRECT("Form responses 1!"&amp;"X2:X"),"*None*",INDIRECT("Form responses 1!"&amp;"M2:M"),"*Development*")</f>
        <v>#REF!</v>
      </c>
      <c r="D23" s="15" t="e">
        <f ca="1">COUNTIFS(INDIRECT("Form responses 1!"&amp;"X2:X"),"*None*",INDIRECT("Form responses 1!"&amp;"M2:M"),"*Research*")</f>
        <v>#REF!</v>
      </c>
      <c r="E23" s="15" t="e">
        <f ca="1">COUNTIF(INDIRECT("Form responses 1!"&amp;"X2:X"),"*None*")</f>
        <v>#REF!</v>
      </c>
      <c r="K23" s="1"/>
      <c r="N23" s="19" t="s">
        <v>429</v>
      </c>
      <c r="O23" s="7">
        <v>1</v>
      </c>
      <c r="Q23" s="11" t="s">
        <v>454</v>
      </c>
      <c r="R23" s="11" t="e">
        <f ca="1">COUNTIFS(INDIRECT("Form responses 1!"&amp;"AX2:AX"),"*WEAVE*",INDIRECT("Form responses 1!"&amp;"M2:M"),"*Research*")</f>
        <v>#REF!</v>
      </c>
    </row>
    <row r="24" spans="1:18" ht="14.25">
      <c r="A24" s="16" t="s">
        <v>704</v>
      </c>
      <c r="B24" s="15" t="e">
        <f ca="1">COUNTIFS(INDIRECT("Form responses 1!"&amp;"X2:X"),"*GB*",INDIRECT("Form responses 1!"&amp;"M2:M"),"*Schools*")</f>
        <v>#REF!</v>
      </c>
      <c r="C24" s="15" t="e">
        <f ca="1">COUNTIFS(INDIRECT("Form responses 1!"&amp;"X2:X"),"*GB*",INDIRECT("Form responses 1!"&amp;"M2:M"),"*Development*")</f>
        <v>#REF!</v>
      </c>
      <c r="D24" s="15" t="e">
        <f ca="1">COUNTIFS(INDIRECT("Form responses 1!"&amp;"X2:X"),"*GB*",INDIRECT("Form responses 1!"&amp;"M2:M"),"*Research*")</f>
        <v>#REF!</v>
      </c>
      <c r="E24" s="15" t="e">
        <f ca="1">COUNTIF(INDIRECT("Form responses 1!"&amp;"X2:X"),"*GB*")</f>
        <v>#REF!</v>
      </c>
      <c r="K24" s="1"/>
      <c r="N24" s="19" t="s">
        <v>454</v>
      </c>
      <c r="O24" s="7">
        <v>1</v>
      </c>
    </row>
    <row r="25" spans="1:18" ht="14.25">
      <c r="A25" s="16" t="s">
        <v>705</v>
      </c>
      <c r="B25" s="15" t="e">
        <f ca="1">COUNTIFS(INDIRECT("Form responses 1!"&amp;"X2:X"),"1TB*",INDIRECT("Form responses 1!"&amp;"M2:M"),"*Schools*")+COUNTIFS(INDIRECT("Form responses 1!"&amp;"X2:X"),"2TB*",INDIRECT("Form responses 1!"&amp;"M2:M"),"*Schools*")+COUNTIFS(INDIRECT("Form responses 1!"&amp;"X2:X"),"4TB",INDIRECT("Form responses 1!"&amp;"M2:M"),"*Schools*")+COUNTIFS(INDIRECT("Form responses 1!"&amp;"X2:X"),"5TB",INDIRECT("Form responses 1!"&amp;"M2:M"),"*Schools*")+COUNTIFS(INDIRECT("Form responses 1!"&amp;"M2:M"),"7TB*",INDIRECT("Form responses 1!"&amp;"M2:M"),"*Schools*")+COUNTIFS(INDIRECT("Form responses 1!"&amp;"X2:X"),"8TB*",INDIRECT("Form responses 1!"&amp;"M2:M"),"*Schools*")+COUNTIFS(INDIRECT("Form responses 1!"&amp;"X2:X"),"10TB*",INDIRECT("Form responses 1!"&amp;"M2:M"),"*Schools*")</f>
        <v>#REF!</v>
      </c>
      <c r="C25" s="15" t="e">
        <f ca="1">COUNTIFS(INDIRECT("Form responses 1!"&amp;"X2:X"),"1TB*",INDIRECT("Form responses 1!"&amp;"M2:M"),"*Development*")+COUNTIFS(INDIRECT("Form responses 1!"&amp;"X2:X"),"2TB*",INDIRECT("Form responses 1!"&amp;"M2:M"),"*Development*")+COUNTIFS(INDIRECT("Form responses 1!"&amp;"X2:X"),"4TB",INDIRECT("Form responses 1!"&amp;"M2:M"),"*Development*")+COUNTIFS(INDIRECT("Form responses 1!"&amp;"X2:X"),"5TB",INDIRECT("Form responses 1!"&amp;"M2:M"),"*Development*")+COUNTIFS(INDIRECT("Form responses 1!"&amp;"X2:X"),"7TB*",INDIRECT("Form responses 1!"&amp;"M2:M"),"*Development*")+COUNTIFS(INDIRECT("Form responses 1!"&amp;"X2:X"),"8TB*",INDIRECT("Form responses 1!"&amp;"M2:M"),"*Development*")+COUNTIFS(INDIRECT("Form responses 1!"&amp;"X2:X"),"10TB*",INDIRECT("Form responses 1!"&amp;"M2:M"),"*Development*")</f>
        <v>#REF!</v>
      </c>
      <c r="D25" s="15" t="e">
        <f ca="1">COUNTIFS(INDIRECT("Form responses 1!"&amp;"X2:X"),"1TB*",INDIRECT("Form responses 1!"&amp;"M2:M"),"*Research*")+COUNTIFS(INDIRECT("Form responses 1!"&amp;"X2:X"),"2TB*",INDIRECT("Form responses 1!"&amp;"M2:M"),"*Research*")+COUNTIFS(INDIRECT("Form responses 1!"&amp;"X2:X"),"4TB",INDIRECT("Form responses 1!"&amp;"M2:M"),"*Research*")+COUNTIFS(INDIRECT("Form responses 1!"&amp;"X2:X"),"5TB",INDIRECT("Form responses 1!"&amp;"M2:M"),"*Research*")+COUNTIFS(INDIRECT("Form responses 1!"&amp;"X2:X"),"7TB*",INDIRECT("Form responses 1!"&amp;"M2:M"),"*Research*")+COUNTIFS(INDIRECT("Form responses 1!"&amp;"X2:X"),"8TB*",INDIRECT("Form responses 1!"&amp;"M2:M"),"*Research*")+COUNTIFS(INDIRECT("Form responses 1!"&amp;"X2:X"),"10TB*",INDIRECT("Form responses 1!"&amp;"M2:M"),"*Research*")</f>
        <v>#REF!</v>
      </c>
      <c r="E25" s="15" t="e">
        <f ca="1">COUNTIF(INDIRECT("Form responses 1!"&amp;"X2:X"),"*Unknown*")</f>
        <v>#REF!</v>
      </c>
      <c r="K25" s="1"/>
      <c r="N25" s="3" t="s">
        <v>684</v>
      </c>
      <c r="O25" s="1">
        <v>10</v>
      </c>
    </row>
    <row r="26" spans="1:18" ht="14.25">
      <c r="A26" s="16" t="s">
        <v>706</v>
      </c>
      <c r="B26" s="15" t="e">
        <f ca="1">COUNTIFS(INDIRECT("Form responses 1!"&amp;"X2:X"),"10TB*",INDIRECT("Form responses 1!"&amp;"M2:M"),"*Schools*")+COUNTIFS(INDIRECT("Form responses 1!"&amp;"X2:X"),"15TB*",INDIRECT("Form responses 1!"&amp;"M2:M"),"*Schools*")+COUNTIFS(INDIRECT("Form responses 1!"&amp;"X2:X"),"40TB*",INDIRECT("Form responses 1!"&amp;"M2:M"),"*Schools*")+COUNTIFS(INDIRECT("Form responses 1!"&amp;"X2:X"),"50TB*",INDIRECT("Form responses 1!"&amp;"M2:M"),"*Schools*")</f>
        <v>#REF!</v>
      </c>
      <c r="C26" s="15" t="e">
        <f ca="1">COUNTIFS(INDIRECT("Form responses 1!"&amp;"X2:X"),"10TB*",INDIRECT("Form responses 1!"&amp;"M2:M"),"*Development*")+COUNTIFS(INDIRECT("Form responses 1!"&amp;"X2:X"),"15TB*",INDIRECT("Form responses 1!"&amp;"M2:M"),"*Development*")+COUNTIFS(INDIRECT("Form responses 1!"&amp;"X2:X"),"4OTB*",INDIRECT("Form responses 1!"&amp;"M2:M"),"*Development*")+COUNTIFS(INDIRECT("Form responses 1!"&amp;"X2:X"),"5OTB*",INDIRECT("Form responses 1!"&amp;"M2:M"),"*Development*")</f>
        <v>#REF!</v>
      </c>
      <c r="D26" s="15" t="e">
        <f ca="1">COUNTIFS(INDIRECT("Form responses 1!"&amp;"X2:X"),"10TB*",INDIRECT("Form responses 1!"&amp;"M2:M"),"*Research*")+COUNTIFS(INDIRECT("Form responses 1!"&amp;"X2:X"),"15TB*",INDIRECT("Form responses 1!"&amp;"M2:M"),"*Research*")+COUNTIFS(INDIRECT("Form responses 1!"&amp;"X2:X"),"40TB*",INDIRECT("Form responses 1!"&amp;"M2:M"),"*Research*")+COUNTIFS(INDIRECT("Form responses 1!"&amp;"X2:X"),"50TB*",INDIRECT("Form responses 1!"&amp;"M2:M"),"*Research*")</f>
        <v>#REF!</v>
      </c>
      <c r="E26" s="15" t="e">
        <f ca="1">COUNTIF(INDIRECT("Form responses 1!"&amp;"X2:X"),"10TB*")+COUNTIF(INDIRECT("Form responses 1!"&amp;"X2:X"),"15TB*")+COUNTIF(INDIRECT("Form responses 1!"&amp;"X2:X"),"40TB*")+COUNTIF(INDIRECT("Form responses 1!"&amp;"X2:X"),"50TB*")</f>
        <v>#REF!</v>
      </c>
      <c r="K26" s="1"/>
    </row>
    <row r="27" spans="1:18" ht="14.25">
      <c r="A27" s="16" t="s">
        <v>707</v>
      </c>
      <c r="B27" s="15" t="e">
        <f ca="1">COUNTIFS(INDIRECT("Form responses 1!"&amp;"X2:X"),"*00TB*",INDIRECT("Form responses 1!"&amp;"M2:M"),"*Schools*")</f>
        <v>#REF!</v>
      </c>
      <c r="C27" s="15" t="e">
        <f ca="1">COUNTIFS(INDIRECT("Form responses 1!"&amp;"X2:X"),"*OOTB*",INDIRECT("Form responses 1!"&amp;"M2:M"),"*Development*")</f>
        <v>#REF!</v>
      </c>
      <c r="D27" s="15" t="e">
        <f ca="1">COUNTIFS(INDIRECT("Form responses 1!"&amp;"X2:X"),"*00TB*",INDIRECT("Form responses 1!"&amp;"M2:M"),"*Research*")</f>
        <v>#REF!</v>
      </c>
      <c r="E27" s="15" t="e">
        <f ca="1">COUNTIF(INDIRECT("Form responses 1!"&amp;"X2:X"),"*00TB*")</f>
        <v>#REF!</v>
      </c>
      <c r="K27" s="1"/>
    </row>
    <row r="28" spans="1:18" ht="14.25">
      <c r="A28" s="16" t="s">
        <v>682</v>
      </c>
      <c r="B28" s="9" t="e">
        <f ca="1">SUM(B15:B23)</f>
        <v>#REF!</v>
      </c>
      <c r="C28" s="9" t="e">
        <f ca="1">SUM(C15:C23)</f>
        <v>#REF!</v>
      </c>
      <c r="D28" s="9" t="e">
        <f ca="1">SUM(D15:D23)</f>
        <v>#REF!</v>
      </c>
      <c r="E28" s="11" t="e">
        <f ca="1">SUM(B28:D28)</f>
        <v>#REF!</v>
      </c>
      <c r="K28" s="1"/>
    </row>
    <row r="29" spans="1:18" ht="12.75">
      <c r="K29" s="1"/>
    </row>
    <row r="30" spans="1:18" ht="12.75">
      <c r="K30" s="26" t="s">
        <v>11</v>
      </c>
      <c r="L30" s="27" t="s">
        <v>708</v>
      </c>
    </row>
    <row r="31" spans="1:18" ht="12.75">
      <c r="A31" s="26" t="s">
        <v>23</v>
      </c>
      <c r="B31" s="27" t="s">
        <v>709</v>
      </c>
      <c r="K31" s="28" t="s">
        <v>548</v>
      </c>
      <c r="L31" s="35">
        <v>1</v>
      </c>
    </row>
    <row r="32" spans="1:18" ht="12.75">
      <c r="A32" s="28" t="s">
        <v>239</v>
      </c>
      <c r="B32" s="35">
        <v>5</v>
      </c>
      <c r="K32" s="29" t="s">
        <v>417</v>
      </c>
      <c r="L32" s="36">
        <v>1</v>
      </c>
    </row>
    <row r="33" spans="1:15" ht="12.75">
      <c r="A33" s="29" t="s">
        <v>75</v>
      </c>
      <c r="B33" s="36">
        <v>9</v>
      </c>
      <c r="D33" s="1"/>
      <c r="E33" s="1"/>
      <c r="F33" s="1"/>
      <c r="K33" s="29" t="s">
        <v>561</v>
      </c>
      <c r="L33" s="36">
        <v>1</v>
      </c>
    </row>
    <row r="34" spans="1:15" ht="12.75">
      <c r="A34" s="29" t="s">
        <v>214</v>
      </c>
      <c r="B34" s="36">
        <v>2</v>
      </c>
      <c r="D34" s="1"/>
      <c r="E34" s="1"/>
      <c r="F34" s="1"/>
      <c r="K34" s="29" t="s">
        <v>717</v>
      </c>
      <c r="L34" s="36"/>
      <c r="O34" s="1"/>
    </row>
    <row r="35" spans="1:15" ht="57">
      <c r="A35" s="29" t="s">
        <v>133</v>
      </c>
      <c r="B35" s="36">
        <v>5</v>
      </c>
      <c r="D35" s="1"/>
      <c r="E35" s="1"/>
      <c r="F35" s="1"/>
      <c r="K35" s="30" t="s">
        <v>718</v>
      </c>
      <c r="L35" s="37">
        <v>3</v>
      </c>
      <c r="N35" s="25" t="s">
        <v>50</v>
      </c>
      <c r="O35" s="1" t="s">
        <v>710</v>
      </c>
    </row>
    <row r="36" spans="1:15" ht="12.75">
      <c r="A36" s="29" t="s">
        <v>124</v>
      </c>
      <c r="B36" s="36">
        <v>1</v>
      </c>
      <c r="D36" s="1"/>
      <c r="E36" s="1"/>
      <c r="F36" s="1"/>
      <c r="K36" s="32" t="s">
        <v>7</v>
      </c>
      <c r="L36" s="31" t="s">
        <v>56</v>
      </c>
      <c r="N36" s="3"/>
      <c r="O36" s="1">
        <v>0</v>
      </c>
    </row>
    <row r="37" spans="1:15" ht="12.75">
      <c r="A37" s="29" t="s">
        <v>175</v>
      </c>
      <c r="B37" s="36">
        <v>1</v>
      </c>
      <c r="D37" s="1"/>
      <c r="E37" s="1"/>
      <c r="F37" s="1"/>
      <c r="K37" s="32" t="s">
        <v>12</v>
      </c>
      <c r="L37" s="31" t="s">
        <v>719</v>
      </c>
      <c r="N37" s="3" t="s">
        <v>304</v>
      </c>
      <c r="O37" s="1">
        <v>2</v>
      </c>
    </row>
    <row r="38" spans="1:15" ht="12.75">
      <c r="A38" s="29" t="s">
        <v>205</v>
      </c>
      <c r="B38" s="36">
        <v>1</v>
      </c>
      <c r="D38" s="1"/>
      <c r="E38" s="1"/>
      <c r="F38" s="1"/>
      <c r="K38" s="1"/>
      <c r="N38" s="3" t="s">
        <v>584</v>
      </c>
      <c r="O38" s="1">
        <v>2</v>
      </c>
    </row>
    <row r="39" spans="1:15" ht="12.75">
      <c r="A39" s="29" t="s">
        <v>275</v>
      </c>
      <c r="B39" s="36">
        <v>2</v>
      </c>
      <c r="D39" s="1"/>
      <c r="E39" s="1"/>
      <c r="F39" s="1"/>
      <c r="K39" s="26" t="s">
        <v>9</v>
      </c>
      <c r="L39" s="27" t="s">
        <v>711</v>
      </c>
      <c r="N39" s="3" t="s">
        <v>95</v>
      </c>
      <c r="O39" s="1">
        <v>24</v>
      </c>
    </row>
    <row r="40" spans="1:15" ht="12.75">
      <c r="A40" s="29" t="s">
        <v>105</v>
      </c>
      <c r="B40" s="36">
        <v>1</v>
      </c>
      <c r="D40" s="1"/>
      <c r="E40" s="1"/>
      <c r="F40" s="1"/>
      <c r="K40" s="28" t="s">
        <v>99</v>
      </c>
      <c r="L40" s="35">
        <v>16</v>
      </c>
      <c r="N40" s="3" t="s">
        <v>555</v>
      </c>
      <c r="O40" s="1">
        <v>3</v>
      </c>
    </row>
    <row r="41" spans="1:15" ht="12.75">
      <c r="A41" s="29" t="s">
        <v>90</v>
      </c>
      <c r="B41" s="36">
        <v>1</v>
      </c>
      <c r="D41" s="1"/>
      <c r="E41" s="1"/>
      <c r="F41" s="1"/>
      <c r="K41" s="29" t="s">
        <v>349</v>
      </c>
      <c r="L41" s="36">
        <v>1</v>
      </c>
      <c r="N41" s="3" t="s">
        <v>645</v>
      </c>
      <c r="O41" s="1">
        <v>1</v>
      </c>
    </row>
    <row r="42" spans="1:15" ht="12.75">
      <c r="A42" s="29" t="s">
        <v>299</v>
      </c>
      <c r="B42" s="36">
        <v>5</v>
      </c>
      <c r="D42" s="1"/>
      <c r="E42" s="1"/>
      <c r="F42" s="1"/>
      <c r="K42" s="29" t="s">
        <v>58</v>
      </c>
      <c r="L42" s="36">
        <v>11</v>
      </c>
      <c r="N42" s="3" t="s">
        <v>369</v>
      </c>
      <c r="O42" s="1">
        <v>1</v>
      </c>
    </row>
    <row r="43" spans="1:15" ht="12.75">
      <c r="A43" s="29" t="s">
        <v>576</v>
      </c>
      <c r="B43" s="36">
        <v>1</v>
      </c>
      <c r="D43" s="1"/>
      <c r="E43" s="1"/>
      <c r="F43" s="1"/>
      <c r="K43" s="29" t="s">
        <v>293</v>
      </c>
      <c r="L43" s="36">
        <v>3</v>
      </c>
      <c r="N43" s="3" t="s">
        <v>684</v>
      </c>
      <c r="O43" s="1">
        <v>33</v>
      </c>
    </row>
    <row r="44" spans="1:15" ht="12.75">
      <c r="A44" s="29" t="s">
        <v>252</v>
      </c>
      <c r="B44" s="36">
        <v>2</v>
      </c>
      <c r="D44" s="1"/>
      <c r="E44" s="1"/>
      <c r="F44" s="1"/>
      <c r="K44" s="30" t="s">
        <v>718</v>
      </c>
      <c r="L44" s="37">
        <v>31</v>
      </c>
      <c r="O44" s="1"/>
    </row>
    <row r="45" spans="1:15" ht="12.75">
      <c r="A45" s="29" t="s">
        <v>158</v>
      </c>
      <c r="B45" s="36">
        <v>1</v>
      </c>
      <c r="D45" s="1"/>
      <c r="E45" s="1"/>
      <c r="F45" s="1"/>
      <c r="K45" s="1"/>
      <c r="O45" s="1"/>
    </row>
    <row r="46" spans="1:15" ht="12.75">
      <c r="A46" s="29" t="s">
        <v>144</v>
      </c>
      <c r="B46" s="36">
        <v>1</v>
      </c>
      <c r="D46" s="1"/>
      <c r="E46" s="1"/>
      <c r="F46" s="1"/>
      <c r="K46" s="1"/>
      <c r="O46" s="1"/>
    </row>
    <row r="47" spans="1:15" ht="12.75">
      <c r="A47" s="29" t="s">
        <v>407</v>
      </c>
      <c r="B47" s="36">
        <v>2</v>
      </c>
      <c r="D47" s="1"/>
      <c r="E47" s="1"/>
      <c r="F47" s="1"/>
      <c r="K47" s="1"/>
      <c r="O47" s="1"/>
    </row>
    <row r="48" spans="1:15" ht="12.75">
      <c r="A48" s="29" t="s">
        <v>382</v>
      </c>
      <c r="B48" s="36">
        <v>9</v>
      </c>
      <c r="D48" s="1"/>
      <c r="E48" s="1"/>
      <c r="F48" s="1"/>
      <c r="K48" s="1"/>
      <c r="O48" s="1"/>
    </row>
    <row r="49" spans="1:15" ht="12.75">
      <c r="A49" s="29" t="s">
        <v>64</v>
      </c>
      <c r="B49" s="36">
        <v>12</v>
      </c>
      <c r="D49" s="1"/>
      <c r="E49" s="1"/>
      <c r="F49" s="1"/>
      <c r="K49" s="1"/>
      <c r="O49" s="1"/>
    </row>
    <row r="50" spans="1:15" ht="12.75">
      <c r="A50" s="30" t="s">
        <v>718</v>
      </c>
      <c r="B50" s="37">
        <v>61</v>
      </c>
      <c r="D50" s="1"/>
      <c r="E50" s="1"/>
      <c r="F50" s="1"/>
      <c r="K50" s="1"/>
      <c r="O50" s="1"/>
    </row>
    <row r="51" spans="1:15" ht="12.75">
      <c r="A51" s="1"/>
      <c r="D51" s="1"/>
      <c r="E51" s="1"/>
      <c r="F51" s="1"/>
      <c r="K51" s="1"/>
      <c r="O51" s="1"/>
    </row>
    <row r="52" spans="1:15" ht="12.75">
      <c r="A52" s="1"/>
      <c r="D52" s="1"/>
      <c r="E52" s="1"/>
      <c r="F52" s="1"/>
      <c r="K52" s="1"/>
      <c r="O52" s="1"/>
    </row>
    <row r="53" spans="1:15" ht="12.75">
      <c r="F53" s="1"/>
      <c r="K53" s="1"/>
      <c r="O53" s="1"/>
    </row>
    <row r="54" spans="1:15" ht="12.75">
      <c r="F54" s="1"/>
      <c r="K54" s="1"/>
      <c r="O54" s="1"/>
    </row>
    <row r="55" spans="1:15" ht="12.75">
      <c r="F55" s="1"/>
      <c r="K55" s="1"/>
      <c r="O55" s="1"/>
    </row>
    <row r="56" spans="1:15" ht="12.75">
      <c r="F56" s="1"/>
      <c r="K56" s="1"/>
      <c r="O56" s="1"/>
    </row>
    <row r="57" spans="1:15" ht="12.75">
      <c r="F57" s="1"/>
      <c r="K57" s="1"/>
      <c r="O57" s="1"/>
    </row>
    <row r="58" spans="1:15" ht="12.75">
      <c r="F58" s="1"/>
      <c r="K58" s="1"/>
      <c r="O58" s="1"/>
    </row>
    <row r="59" spans="1:15" ht="12.75">
      <c r="F59" s="1"/>
      <c r="K59" s="1"/>
      <c r="O59" s="1"/>
    </row>
    <row r="60" spans="1:15" ht="12.75">
      <c r="F60" s="1"/>
      <c r="K60" s="1"/>
      <c r="O60" s="1"/>
    </row>
    <row r="61" spans="1:15" ht="12.75">
      <c r="F61" s="1"/>
      <c r="K61" s="1"/>
      <c r="O61" s="1"/>
    </row>
    <row r="62" spans="1:15" ht="12.75">
      <c r="F62" s="1"/>
      <c r="K62" s="1"/>
      <c r="O62" s="1"/>
    </row>
    <row r="63" spans="1:15" ht="12.75">
      <c r="F63" s="1"/>
      <c r="K63" s="1"/>
      <c r="O63" s="1"/>
    </row>
    <row r="64" spans="1:15" ht="12.75">
      <c r="F64" s="1"/>
      <c r="K64" s="1"/>
      <c r="O64" s="1"/>
    </row>
    <row r="65" spans="1:15" ht="12.75">
      <c r="A65" s="1"/>
      <c r="D65" s="1"/>
      <c r="E65" s="1"/>
      <c r="F65" s="1"/>
      <c r="K65" s="1"/>
      <c r="O65" s="1"/>
    </row>
    <row r="66" spans="1:15" ht="12.75">
      <c r="A66" s="1"/>
      <c r="D66" s="1"/>
      <c r="E66" s="1"/>
      <c r="F66" s="1"/>
      <c r="K66" s="1"/>
      <c r="O66" s="1"/>
    </row>
    <row r="67" spans="1:15" ht="12.75">
      <c r="A67" s="1"/>
      <c r="D67" s="1"/>
      <c r="E67" s="1"/>
      <c r="F67" s="1"/>
      <c r="K67" s="1"/>
      <c r="O67" s="1"/>
    </row>
    <row r="68" spans="1:15" ht="12.75">
      <c r="A68" s="1"/>
      <c r="D68" s="1"/>
      <c r="E68" s="1"/>
      <c r="F68" s="1"/>
      <c r="K68" s="1"/>
      <c r="O68" s="1"/>
    </row>
    <row r="69" spans="1:15" ht="12.75">
      <c r="A69" s="1"/>
      <c r="D69" s="1"/>
      <c r="E69" s="1"/>
      <c r="F69" s="1"/>
      <c r="K69" s="1"/>
      <c r="O69" s="1"/>
    </row>
    <row r="70" spans="1:15" ht="12.75">
      <c r="A70" s="1"/>
      <c r="D70" s="1"/>
      <c r="E70" s="1"/>
      <c r="F70" s="1"/>
      <c r="K70" s="1"/>
      <c r="O70" s="1"/>
    </row>
    <row r="71" spans="1:15" ht="12.75">
      <c r="A71" s="1"/>
      <c r="D71" s="1"/>
      <c r="E71" s="1"/>
      <c r="F71" s="1"/>
      <c r="K71" s="1"/>
      <c r="O71" s="1"/>
    </row>
    <row r="72" spans="1:15" ht="12.75">
      <c r="A72" s="1"/>
      <c r="D72" s="1"/>
      <c r="E72" s="1"/>
      <c r="F72" s="1"/>
      <c r="K72" s="1"/>
      <c r="O72" s="1"/>
    </row>
    <row r="73" spans="1:15" ht="12.75">
      <c r="A73" s="1"/>
      <c r="D73" s="1"/>
      <c r="E73" s="1"/>
      <c r="F73" s="1"/>
      <c r="K73" s="1"/>
      <c r="O73" s="1"/>
    </row>
    <row r="74" spans="1:15" ht="12.75">
      <c r="A74" s="1"/>
      <c r="D74" s="1"/>
      <c r="E74" s="1"/>
      <c r="F74" s="1"/>
      <c r="K74" s="1"/>
      <c r="O74" s="1"/>
    </row>
    <row r="75" spans="1:15" ht="12.75">
      <c r="A75" s="1"/>
      <c r="D75" s="1"/>
      <c r="E75" s="1"/>
      <c r="F75" s="1"/>
      <c r="K75" s="1"/>
      <c r="O75" s="1"/>
    </row>
    <row r="76" spans="1:15" ht="12.75">
      <c r="A76" s="1"/>
      <c r="D76" s="1"/>
      <c r="E76" s="1"/>
      <c r="F76" s="1"/>
      <c r="K76" s="1"/>
      <c r="O76" s="1"/>
    </row>
    <row r="77" spans="1:15" ht="12.75">
      <c r="A77" s="1"/>
      <c r="D77" s="1"/>
      <c r="E77" s="1"/>
      <c r="F77" s="1"/>
      <c r="K77" s="1"/>
      <c r="O77" s="1"/>
    </row>
    <row r="78" spans="1:15" ht="12.75">
      <c r="A78" s="1"/>
      <c r="D78" s="1"/>
      <c r="E78" s="1"/>
      <c r="F78" s="1"/>
      <c r="K78" s="1"/>
      <c r="O78" s="1"/>
    </row>
    <row r="79" spans="1:15" ht="12.75">
      <c r="A79" s="1"/>
      <c r="D79" s="1"/>
      <c r="E79" s="1"/>
      <c r="F79" s="1"/>
      <c r="K79" s="1"/>
      <c r="O79" s="1"/>
    </row>
    <row r="80" spans="1:15" ht="12.75">
      <c r="A80" s="1"/>
      <c r="D80" s="1"/>
      <c r="E80" s="1"/>
      <c r="F80" s="1"/>
      <c r="K80" s="1"/>
      <c r="O80" s="1"/>
    </row>
    <row r="81" spans="1:15" ht="12.75">
      <c r="A81" s="1"/>
      <c r="D81" s="1"/>
      <c r="E81" s="1"/>
      <c r="F81" s="1"/>
      <c r="K81" s="1"/>
      <c r="O81" s="1"/>
    </row>
    <row r="82" spans="1:15" ht="12.75">
      <c r="A82" s="1"/>
      <c r="D82" s="1"/>
      <c r="E82" s="1"/>
      <c r="F82" s="1"/>
      <c r="K82" s="1"/>
      <c r="O82" s="1"/>
    </row>
    <row r="83" spans="1:15" ht="12.75">
      <c r="A83" s="1"/>
      <c r="D83" s="1"/>
      <c r="E83" s="1"/>
      <c r="F83" s="1"/>
      <c r="K83" s="1"/>
      <c r="O83" s="1"/>
    </row>
    <row r="84" spans="1:15" ht="12.75">
      <c r="A84" s="1"/>
      <c r="D84" s="1"/>
      <c r="E84" s="1"/>
      <c r="F84" s="1"/>
      <c r="K84" s="1"/>
      <c r="O84" s="1"/>
    </row>
    <row r="85" spans="1:15" ht="12.75">
      <c r="A85" s="1"/>
      <c r="D85" s="1"/>
      <c r="E85" s="1"/>
      <c r="F85" s="1"/>
      <c r="K85" s="1"/>
      <c r="O85" s="1"/>
    </row>
    <row r="86" spans="1:15" ht="12.75">
      <c r="A86" s="1"/>
      <c r="D86" s="1"/>
      <c r="E86" s="1"/>
      <c r="F86" s="1"/>
      <c r="K86" s="1"/>
      <c r="O86" s="1"/>
    </row>
    <row r="87" spans="1:15" ht="12.75">
      <c r="A87" s="1"/>
      <c r="D87" s="1"/>
      <c r="E87" s="1"/>
      <c r="F87" s="1"/>
      <c r="K87" s="1"/>
      <c r="O87" s="1"/>
    </row>
    <row r="88" spans="1:15" ht="12.75">
      <c r="A88" s="1"/>
      <c r="D88" s="1"/>
      <c r="E88" s="1"/>
      <c r="F88" s="1"/>
      <c r="K88" s="1"/>
      <c r="O88" s="1"/>
    </row>
    <row r="89" spans="1:15" ht="12.75">
      <c r="A89" s="1"/>
      <c r="D89" s="1"/>
      <c r="E89" s="1"/>
      <c r="F89" s="1"/>
      <c r="K89" s="1"/>
      <c r="O89" s="1"/>
    </row>
    <row r="90" spans="1:15" ht="12.75">
      <c r="A90" s="1"/>
      <c r="D90" s="1"/>
      <c r="E90" s="1"/>
      <c r="F90" s="1"/>
      <c r="K90" s="1"/>
      <c r="O90" s="1"/>
    </row>
    <row r="91" spans="1:15" ht="12.75">
      <c r="A91" s="1"/>
      <c r="D91" s="1"/>
      <c r="E91" s="1"/>
      <c r="F91" s="1"/>
      <c r="K91" s="1"/>
      <c r="O91" s="1"/>
    </row>
    <row r="92" spans="1:15" ht="12.75">
      <c r="A92" s="1"/>
      <c r="D92" s="1"/>
      <c r="E92" s="1"/>
      <c r="F92" s="1"/>
      <c r="K92" s="1"/>
      <c r="O92" s="1"/>
    </row>
    <row r="93" spans="1:15" ht="12.75">
      <c r="A93" s="1"/>
      <c r="D93" s="1"/>
      <c r="E93" s="1"/>
      <c r="F93" s="1"/>
      <c r="K93" s="1"/>
      <c r="O93" s="1"/>
    </row>
    <row r="94" spans="1:15" ht="12.75">
      <c r="A94" s="1"/>
      <c r="D94" s="1"/>
      <c r="E94" s="1"/>
      <c r="F94" s="1"/>
      <c r="K94" s="1"/>
      <c r="O94" s="1"/>
    </row>
    <row r="95" spans="1:15" ht="12.75">
      <c r="A95" s="1"/>
      <c r="D95" s="1"/>
      <c r="E95" s="1"/>
      <c r="F95" s="1"/>
      <c r="K95" s="1"/>
      <c r="O95" s="1"/>
    </row>
    <row r="96" spans="1:15" ht="12.75">
      <c r="A96" s="1"/>
      <c r="D96" s="1"/>
      <c r="E96" s="1"/>
      <c r="F96" s="1"/>
      <c r="K96" s="1"/>
      <c r="O96" s="1"/>
    </row>
    <row r="97" spans="1:15" ht="12.75">
      <c r="A97" s="1"/>
      <c r="D97" s="1"/>
      <c r="E97" s="1"/>
      <c r="F97" s="1"/>
      <c r="K97" s="1"/>
      <c r="O97" s="1"/>
    </row>
    <row r="98" spans="1:15" ht="12.75">
      <c r="A98" s="1"/>
      <c r="D98" s="1"/>
      <c r="E98" s="1"/>
      <c r="F98" s="1"/>
      <c r="K98" s="1"/>
      <c r="O98" s="1"/>
    </row>
    <row r="99" spans="1:15" ht="12.75">
      <c r="A99" s="1"/>
      <c r="D99" s="1"/>
      <c r="E99" s="1"/>
      <c r="F99" s="1"/>
      <c r="K99" s="1"/>
      <c r="O99" s="1"/>
    </row>
    <row r="100" spans="1:15" ht="12.75">
      <c r="A100" s="1"/>
      <c r="D100" s="1"/>
      <c r="E100" s="1"/>
      <c r="F100" s="1"/>
      <c r="K100" s="1"/>
      <c r="O100" s="1"/>
    </row>
    <row r="101" spans="1:15" ht="12.75">
      <c r="A101" s="1"/>
      <c r="D101" s="1"/>
      <c r="E101" s="1"/>
      <c r="F101" s="1"/>
      <c r="K101" s="1"/>
      <c r="O101" s="1"/>
    </row>
    <row r="102" spans="1:15" ht="12.75">
      <c r="A102" s="1"/>
      <c r="D102" s="1"/>
      <c r="E102" s="1"/>
      <c r="F102" s="1"/>
      <c r="K102" s="1"/>
      <c r="O102" s="1"/>
    </row>
    <row r="103" spans="1:15" ht="12.75">
      <c r="A103" s="1"/>
      <c r="D103" s="1"/>
      <c r="E103" s="1"/>
      <c r="F103" s="1"/>
      <c r="K103" s="1"/>
      <c r="O103" s="1"/>
    </row>
    <row r="104" spans="1:15" ht="12.75">
      <c r="A104" s="1"/>
      <c r="D104" s="1"/>
      <c r="E104" s="1"/>
      <c r="F104" s="1"/>
      <c r="K104" s="1"/>
      <c r="O104" s="1"/>
    </row>
    <row r="105" spans="1:15" ht="12.75">
      <c r="A105" s="1"/>
      <c r="D105" s="1"/>
      <c r="E105" s="1"/>
      <c r="F105" s="1"/>
      <c r="K105" s="1"/>
      <c r="O105" s="1"/>
    </row>
    <row r="106" spans="1:15" ht="12.75">
      <c r="A106" s="1"/>
      <c r="D106" s="1"/>
      <c r="E106" s="1"/>
      <c r="F106" s="1"/>
      <c r="K106" s="1"/>
      <c r="O106" s="1"/>
    </row>
    <row r="107" spans="1:15" ht="12.75">
      <c r="A107" s="1"/>
      <c r="D107" s="1"/>
      <c r="E107" s="1"/>
      <c r="F107" s="1"/>
      <c r="K107" s="1"/>
      <c r="O107" s="1"/>
    </row>
    <row r="108" spans="1:15" ht="12.75">
      <c r="A108" s="1"/>
      <c r="D108" s="1"/>
      <c r="E108" s="1"/>
      <c r="F108" s="1"/>
      <c r="K108" s="1"/>
      <c r="O108" s="1"/>
    </row>
    <row r="109" spans="1:15" ht="12.75">
      <c r="A109" s="1"/>
      <c r="D109" s="1"/>
      <c r="E109" s="1"/>
      <c r="F109" s="1"/>
      <c r="K109" s="1"/>
      <c r="O109" s="1"/>
    </row>
    <row r="110" spans="1:15" ht="12.75">
      <c r="A110" s="1"/>
      <c r="D110" s="1"/>
      <c r="E110" s="1"/>
      <c r="F110" s="1"/>
      <c r="K110" s="1"/>
      <c r="O110" s="1"/>
    </row>
    <row r="111" spans="1:15" ht="12.75">
      <c r="A111" s="1"/>
      <c r="D111" s="1"/>
      <c r="E111" s="1"/>
      <c r="F111" s="1"/>
      <c r="K111" s="1"/>
      <c r="O111" s="1"/>
    </row>
    <row r="112" spans="1:15" ht="12.75">
      <c r="A112" s="1"/>
      <c r="D112" s="1"/>
      <c r="E112" s="1"/>
      <c r="F112" s="1"/>
      <c r="K112" s="1"/>
      <c r="O112" s="1"/>
    </row>
    <row r="113" spans="1:15" ht="12.75">
      <c r="A113" s="1"/>
      <c r="D113" s="1"/>
      <c r="E113" s="1"/>
      <c r="F113" s="1"/>
      <c r="K113" s="1"/>
      <c r="O113" s="1"/>
    </row>
    <row r="114" spans="1:15" ht="12.75">
      <c r="A114" s="1"/>
      <c r="D114" s="1"/>
      <c r="E114" s="1"/>
      <c r="F114" s="1"/>
      <c r="K114" s="1"/>
      <c r="O114" s="1"/>
    </row>
    <row r="115" spans="1:15" ht="12.75">
      <c r="A115" s="1"/>
      <c r="D115" s="1"/>
      <c r="E115" s="1"/>
      <c r="F115" s="1"/>
      <c r="K115" s="1"/>
      <c r="O115" s="1"/>
    </row>
    <row r="116" spans="1:15" ht="12.75">
      <c r="A116" s="1"/>
      <c r="D116" s="1"/>
      <c r="E116" s="1"/>
      <c r="F116" s="1"/>
      <c r="K116" s="1"/>
      <c r="O116" s="1"/>
    </row>
    <row r="117" spans="1:15" ht="12.75">
      <c r="A117" s="1"/>
      <c r="D117" s="1"/>
      <c r="E117" s="1"/>
      <c r="F117" s="1"/>
      <c r="K117" s="1"/>
      <c r="O117" s="1"/>
    </row>
    <row r="118" spans="1:15" ht="12.75">
      <c r="A118" s="1"/>
      <c r="D118" s="1"/>
      <c r="E118" s="1"/>
      <c r="F118" s="1"/>
      <c r="K118" s="1"/>
      <c r="O118" s="1"/>
    </row>
    <row r="119" spans="1:15" ht="12.75">
      <c r="A119" s="1"/>
      <c r="D119" s="1"/>
      <c r="E119" s="1"/>
      <c r="F119" s="1"/>
      <c r="K119" s="1"/>
      <c r="O119" s="1"/>
    </row>
    <row r="120" spans="1:15" ht="12.75">
      <c r="A120" s="1"/>
      <c r="D120" s="1"/>
      <c r="E120" s="1"/>
      <c r="F120" s="1"/>
      <c r="K120" s="1"/>
      <c r="O120" s="1"/>
    </row>
    <row r="121" spans="1:15" ht="12.75">
      <c r="A121" s="1"/>
      <c r="D121" s="1"/>
      <c r="E121" s="1"/>
      <c r="F121" s="1"/>
      <c r="K121" s="1"/>
      <c r="O121" s="1"/>
    </row>
    <row r="122" spans="1:15" ht="12.75">
      <c r="A122" s="1"/>
      <c r="D122" s="1"/>
      <c r="E122" s="1"/>
      <c r="F122" s="1"/>
      <c r="K122" s="1"/>
      <c r="O122" s="1"/>
    </row>
    <row r="123" spans="1:15" ht="12.75">
      <c r="A123" s="1"/>
      <c r="D123" s="1"/>
      <c r="E123" s="1"/>
      <c r="F123" s="1"/>
      <c r="K123" s="1"/>
      <c r="O123" s="1"/>
    </row>
    <row r="124" spans="1:15" ht="12.75">
      <c r="A124" s="1"/>
      <c r="D124" s="1"/>
      <c r="E124" s="1"/>
      <c r="F124" s="1"/>
      <c r="K124" s="1"/>
      <c r="O124" s="1"/>
    </row>
    <row r="125" spans="1:15" ht="12.75">
      <c r="A125" s="1"/>
      <c r="D125" s="1"/>
      <c r="E125" s="1"/>
      <c r="F125" s="1"/>
      <c r="K125" s="1"/>
      <c r="O125" s="1"/>
    </row>
    <row r="126" spans="1:15" ht="12.75">
      <c r="A126" s="1"/>
      <c r="D126" s="1"/>
      <c r="E126" s="1"/>
      <c r="F126" s="1"/>
      <c r="K126" s="1"/>
      <c r="O126" s="1"/>
    </row>
    <row r="127" spans="1:15" ht="12.75">
      <c r="A127" s="1"/>
      <c r="D127" s="1"/>
      <c r="E127" s="1"/>
      <c r="F127" s="1"/>
      <c r="K127" s="1"/>
      <c r="O127" s="1"/>
    </row>
    <row r="128" spans="1:15" ht="12.75">
      <c r="A128" s="1"/>
      <c r="D128" s="1"/>
      <c r="E128" s="1"/>
      <c r="F128" s="1"/>
      <c r="K128" s="1"/>
      <c r="O128" s="1"/>
    </row>
    <row r="129" spans="1:15" ht="12.75">
      <c r="A129" s="1"/>
      <c r="D129" s="1"/>
      <c r="E129" s="1"/>
      <c r="F129" s="1"/>
      <c r="K129" s="1"/>
      <c r="O129" s="1"/>
    </row>
    <row r="130" spans="1:15" ht="12.75">
      <c r="A130" s="1"/>
      <c r="D130" s="1"/>
      <c r="E130" s="1"/>
      <c r="F130" s="1"/>
      <c r="K130" s="1"/>
      <c r="O130" s="1"/>
    </row>
    <row r="131" spans="1:15" ht="12.75">
      <c r="A131" s="1"/>
      <c r="D131" s="1"/>
      <c r="E131" s="1"/>
      <c r="F131" s="1"/>
      <c r="K131" s="1"/>
      <c r="O131" s="1"/>
    </row>
    <row r="132" spans="1:15" ht="12.75">
      <c r="A132" s="1"/>
      <c r="D132" s="1"/>
      <c r="E132" s="1"/>
      <c r="F132" s="1"/>
      <c r="K132" s="1"/>
      <c r="O132" s="1"/>
    </row>
    <row r="133" spans="1:15" ht="12.75">
      <c r="A133" s="1"/>
      <c r="D133" s="1"/>
      <c r="E133" s="1"/>
      <c r="F133" s="1"/>
      <c r="K133" s="1"/>
      <c r="O133" s="1"/>
    </row>
    <row r="134" spans="1:15" ht="12.75">
      <c r="A134" s="1"/>
      <c r="D134" s="1"/>
      <c r="E134" s="1"/>
      <c r="F134" s="1"/>
      <c r="K134" s="1"/>
      <c r="O134" s="1"/>
    </row>
    <row r="135" spans="1:15" ht="12.75">
      <c r="A135" s="1"/>
      <c r="D135" s="1"/>
      <c r="E135" s="1"/>
      <c r="F135" s="1"/>
      <c r="K135" s="1"/>
      <c r="O135" s="1"/>
    </row>
    <row r="136" spans="1:15" ht="12.75">
      <c r="A136" s="1"/>
      <c r="D136" s="1"/>
      <c r="E136" s="1"/>
      <c r="F136" s="1"/>
      <c r="K136" s="1"/>
      <c r="O136" s="1"/>
    </row>
    <row r="137" spans="1:15" ht="12.75">
      <c r="A137" s="1"/>
      <c r="D137" s="1"/>
      <c r="E137" s="1"/>
      <c r="F137" s="1"/>
      <c r="K137" s="1"/>
      <c r="O137" s="1"/>
    </row>
    <row r="138" spans="1:15" ht="12.75">
      <c r="A138" s="1"/>
      <c r="D138" s="1"/>
      <c r="E138" s="1"/>
      <c r="F138" s="1"/>
      <c r="K138" s="1"/>
      <c r="O138" s="1"/>
    </row>
    <row r="139" spans="1:15" ht="12.75">
      <c r="A139" s="1"/>
      <c r="D139" s="1"/>
      <c r="E139" s="1"/>
      <c r="F139" s="1"/>
      <c r="K139" s="1"/>
      <c r="O139" s="1"/>
    </row>
    <row r="140" spans="1:15" ht="12.75">
      <c r="A140" s="1"/>
      <c r="D140" s="1"/>
      <c r="E140" s="1"/>
      <c r="F140" s="1"/>
      <c r="K140" s="1"/>
      <c r="O140" s="1"/>
    </row>
    <row r="141" spans="1:15" ht="12.75">
      <c r="A141" s="1"/>
      <c r="D141" s="1"/>
      <c r="E141" s="1"/>
      <c r="F141" s="1"/>
      <c r="K141" s="1"/>
      <c r="O141" s="1"/>
    </row>
    <row r="142" spans="1:15" ht="12.75">
      <c r="A142" s="1"/>
      <c r="D142" s="1"/>
      <c r="E142" s="1"/>
      <c r="F142" s="1"/>
      <c r="K142" s="1"/>
      <c r="O142" s="1"/>
    </row>
    <row r="143" spans="1:15" ht="12.75">
      <c r="A143" s="1"/>
      <c r="D143" s="1"/>
      <c r="E143" s="1"/>
      <c r="F143" s="1"/>
      <c r="K143" s="1"/>
      <c r="O143" s="1"/>
    </row>
    <row r="144" spans="1:15" ht="12.75">
      <c r="A144" s="1"/>
      <c r="D144" s="1"/>
      <c r="E144" s="1"/>
      <c r="F144" s="1"/>
      <c r="K144" s="1"/>
      <c r="O144" s="1"/>
    </row>
    <row r="145" spans="1:15" ht="12.75">
      <c r="A145" s="1"/>
      <c r="D145" s="1"/>
      <c r="E145" s="1"/>
      <c r="F145" s="1"/>
      <c r="K145" s="1"/>
      <c r="O145" s="1"/>
    </row>
    <row r="146" spans="1:15" ht="12.75">
      <c r="A146" s="1"/>
      <c r="D146" s="1"/>
      <c r="E146" s="1"/>
      <c r="F146" s="1"/>
      <c r="K146" s="1"/>
      <c r="O146" s="1"/>
    </row>
    <row r="147" spans="1:15" ht="12.75">
      <c r="A147" s="1"/>
      <c r="D147" s="1"/>
      <c r="E147" s="1"/>
      <c r="F147" s="1"/>
      <c r="K147" s="1"/>
      <c r="O147" s="1"/>
    </row>
    <row r="148" spans="1:15" ht="12.75">
      <c r="A148" s="1"/>
      <c r="D148" s="1"/>
      <c r="E148" s="1"/>
      <c r="F148" s="1"/>
      <c r="K148" s="1"/>
      <c r="O148" s="1"/>
    </row>
    <row r="149" spans="1:15" ht="12.75">
      <c r="A149" s="1"/>
      <c r="D149" s="1"/>
      <c r="E149" s="1"/>
      <c r="F149" s="1"/>
      <c r="K149" s="1"/>
      <c r="O149" s="1"/>
    </row>
    <row r="150" spans="1:15" ht="12.75">
      <c r="A150" s="1"/>
      <c r="D150" s="1"/>
      <c r="E150" s="1"/>
      <c r="F150" s="1"/>
      <c r="K150" s="1"/>
      <c r="O150" s="1"/>
    </row>
    <row r="151" spans="1:15" ht="12.75">
      <c r="A151" s="1"/>
      <c r="D151" s="1"/>
      <c r="E151" s="1"/>
      <c r="F151" s="1"/>
      <c r="K151" s="1"/>
      <c r="O151" s="1"/>
    </row>
    <row r="152" spans="1:15" ht="12.75">
      <c r="A152" s="1"/>
      <c r="D152" s="1"/>
      <c r="E152" s="1"/>
      <c r="F152" s="1"/>
      <c r="K152" s="1"/>
      <c r="O152" s="1"/>
    </row>
    <row r="153" spans="1:15" ht="12.75">
      <c r="A153" s="1"/>
      <c r="D153" s="1"/>
      <c r="E153" s="1"/>
      <c r="F153" s="1"/>
      <c r="K153" s="1"/>
      <c r="O153" s="1"/>
    </row>
    <row r="154" spans="1:15" ht="12.75">
      <c r="A154" s="1"/>
      <c r="D154" s="1"/>
      <c r="E154" s="1"/>
      <c r="F154" s="1"/>
      <c r="K154" s="1"/>
      <c r="O154" s="1"/>
    </row>
    <row r="155" spans="1:15" ht="12.75">
      <c r="A155" s="1"/>
      <c r="D155" s="1"/>
      <c r="E155" s="1"/>
      <c r="F155" s="1"/>
      <c r="K155" s="1"/>
      <c r="O155" s="1"/>
    </row>
    <row r="156" spans="1:15" ht="12.75">
      <c r="A156" s="1"/>
      <c r="D156" s="1"/>
      <c r="E156" s="1"/>
      <c r="F156" s="1"/>
      <c r="K156" s="1"/>
      <c r="O156" s="1"/>
    </row>
    <row r="157" spans="1:15" ht="12.75">
      <c r="A157" s="1"/>
      <c r="D157" s="1"/>
      <c r="E157" s="1"/>
      <c r="F157" s="1"/>
      <c r="K157" s="1"/>
      <c r="O157" s="1"/>
    </row>
    <row r="158" spans="1:15" ht="12.75">
      <c r="A158" s="1"/>
      <c r="D158" s="1"/>
      <c r="E158" s="1"/>
      <c r="F158" s="1"/>
      <c r="K158" s="1"/>
      <c r="O158" s="1"/>
    </row>
    <row r="159" spans="1:15" ht="12.75">
      <c r="A159" s="1"/>
      <c r="D159" s="1"/>
      <c r="E159" s="1"/>
      <c r="F159" s="1"/>
      <c r="K159" s="1"/>
      <c r="O159" s="1"/>
    </row>
    <row r="160" spans="1:15" ht="12.75">
      <c r="A160" s="1"/>
      <c r="D160" s="1"/>
      <c r="E160" s="1"/>
      <c r="F160" s="1"/>
      <c r="K160" s="1"/>
      <c r="O160" s="1"/>
    </row>
    <row r="161" spans="1:15" ht="12.75">
      <c r="A161" s="1"/>
      <c r="D161" s="1"/>
      <c r="E161" s="1"/>
      <c r="F161" s="1"/>
      <c r="K161" s="1"/>
      <c r="O161" s="1"/>
    </row>
    <row r="162" spans="1:15" ht="12.75">
      <c r="A162" s="1"/>
      <c r="D162" s="1"/>
      <c r="E162" s="1"/>
      <c r="F162" s="1"/>
      <c r="K162" s="1"/>
      <c r="O162" s="1"/>
    </row>
    <row r="163" spans="1:15" ht="12.75">
      <c r="A163" s="1"/>
      <c r="D163" s="1"/>
      <c r="E163" s="1"/>
      <c r="F163" s="1"/>
      <c r="K163" s="1"/>
      <c r="O163" s="1"/>
    </row>
    <row r="164" spans="1:15" ht="12.75">
      <c r="A164" s="1"/>
      <c r="D164" s="1"/>
      <c r="E164" s="1"/>
      <c r="F164" s="1"/>
      <c r="K164" s="1"/>
      <c r="O164" s="1"/>
    </row>
    <row r="165" spans="1:15" ht="12.75">
      <c r="A165" s="1"/>
      <c r="D165" s="1"/>
      <c r="E165" s="1"/>
      <c r="F165" s="1"/>
      <c r="K165" s="1"/>
      <c r="O165" s="1"/>
    </row>
    <row r="166" spans="1:15" ht="12.75">
      <c r="A166" s="1"/>
      <c r="D166" s="1"/>
      <c r="E166" s="1"/>
      <c r="F166" s="1"/>
      <c r="K166" s="1"/>
      <c r="O166" s="1"/>
    </row>
    <row r="167" spans="1:15" ht="12.75">
      <c r="A167" s="1"/>
      <c r="D167" s="1"/>
      <c r="E167" s="1"/>
      <c r="F167" s="1"/>
      <c r="K167" s="1"/>
      <c r="O167" s="1"/>
    </row>
    <row r="168" spans="1:15" ht="12.75">
      <c r="A168" s="1"/>
      <c r="D168" s="1"/>
      <c r="E168" s="1"/>
      <c r="F168" s="1"/>
      <c r="K168" s="1"/>
      <c r="O168" s="1"/>
    </row>
    <row r="169" spans="1:15" ht="12.75">
      <c r="A169" s="1"/>
      <c r="D169" s="1"/>
      <c r="E169" s="1"/>
      <c r="F169" s="1"/>
      <c r="K169" s="1"/>
      <c r="O169" s="1"/>
    </row>
    <row r="170" spans="1:15" ht="12.75">
      <c r="A170" s="1"/>
      <c r="D170" s="1"/>
      <c r="E170" s="1"/>
      <c r="F170" s="1"/>
      <c r="K170" s="1"/>
      <c r="O170" s="1"/>
    </row>
    <row r="171" spans="1:15" ht="12.75">
      <c r="A171" s="1"/>
      <c r="D171" s="1"/>
      <c r="E171" s="1"/>
      <c r="F171" s="1"/>
      <c r="K171" s="1"/>
      <c r="O171" s="1"/>
    </row>
    <row r="172" spans="1:15" ht="12.75">
      <c r="A172" s="1"/>
      <c r="D172" s="1"/>
      <c r="E172" s="1"/>
      <c r="F172" s="1"/>
      <c r="K172" s="1"/>
      <c r="O172" s="1"/>
    </row>
    <row r="173" spans="1:15" ht="12.75">
      <c r="A173" s="1"/>
      <c r="D173" s="1"/>
      <c r="E173" s="1"/>
      <c r="F173" s="1"/>
      <c r="K173" s="1"/>
      <c r="O173" s="1"/>
    </row>
    <row r="174" spans="1:15" ht="12.75">
      <c r="A174" s="1"/>
      <c r="D174" s="1"/>
      <c r="E174" s="1"/>
      <c r="F174" s="1"/>
      <c r="K174" s="1"/>
      <c r="O174" s="1"/>
    </row>
    <row r="175" spans="1:15" ht="12.75">
      <c r="A175" s="1"/>
      <c r="D175" s="1"/>
      <c r="E175" s="1"/>
      <c r="F175" s="1"/>
      <c r="K175" s="1"/>
      <c r="O175" s="1"/>
    </row>
    <row r="176" spans="1:15" ht="12.75">
      <c r="A176" s="1"/>
      <c r="D176" s="1"/>
      <c r="E176" s="1"/>
      <c r="F176" s="1"/>
      <c r="K176" s="1"/>
      <c r="O176" s="1"/>
    </row>
    <row r="177" spans="1:15" ht="12.75">
      <c r="A177" s="1"/>
      <c r="D177" s="1"/>
      <c r="E177" s="1"/>
      <c r="F177" s="1"/>
      <c r="K177" s="1"/>
      <c r="O177" s="1"/>
    </row>
    <row r="178" spans="1:15" ht="12.75">
      <c r="A178" s="1"/>
      <c r="D178" s="1"/>
      <c r="E178" s="1"/>
      <c r="F178" s="1"/>
      <c r="K178" s="1"/>
      <c r="O178" s="1"/>
    </row>
    <row r="179" spans="1:15" ht="12.75">
      <c r="A179" s="1"/>
      <c r="D179" s="1"/>
      <c r="E179" s="1"/>
      <c r="F179" s="1"/>
      <c r="K179" s="1"/>
      <c r="O179" s="1"/>
    </row>
    <row r="180" spans="1:15" ht="12.75">
      <c r="A180" s="1"/>
      <c r="D180" s="1"/>
      <c r="E180" s="1"/>
      <c r="F180" s="1"/>
      <c r="K180" s="1"/>
      <c r="O180" s="1"/>
    </row>
    <row r="181" spans="1:15" ht="12.75">
      <c r="A181" s="1"/>
      <c r="D181" s="1"/>
      <c r="E181" s="1"/>
      <c r="F181" s="1"/>
      <c r="K181" s="1"/>
      <c r="O181" s="1"/>
    </row>
    <row r="182" spans="1:15" ht="12.75">
      <c r="A182" s="1"/>
      <c r="D182" s="1"/>
      <c r="E182" s="1"/>
      <c r="F182" s="1"/>
      <c r="K182" s="1"/>
      <c r="O182" s="1"/>
    </row>
    <row r="183" spans="1:15" ht="12.75">
      <c r="A183" s="1"/>
      <c r="D183" s="1"/>
      <c r="E183" s="1"/>
      <c r="F183" s="1"/>
      <c r="K183" s="1"/>
      <c r="O183" s="1"/>
    </row>
    <row r="184" spans="1:15" ht="12.75">
      <c r="A184" s="1"/>
      <c r="D184" s="1"/>
      <c r="E184" s="1"/>
      <c r="F184" s="1"/>
      <c r="K184" s="1"/>
      <c r="O184" s="1"/>
    </row>
    <row r="185" spans="1:15" ht="12.75">
      <c r="A185" s="1"/>
      <c r="D185" s="1"/>
      <c r="E185" s="1"/>
      <c r="F185" s="1"/>
      <c r="K185" s="1"/>
      <c r="O185" s="1"/>
    </row>
    <row r="186" spans="1:15" ht="12.75">
      <c r="A186" s="1"/>
      <c r="D186" s="1"/>
      <c r="E186" s="1"/>
      <c r="F186" s="1"/>
      <c r="K186" s="1"/>
      <c r="O186" s="1"/>
    </row>
    <row r="187" spans="1:15" ht="12.75">
      <c r="A187" s="1"/>
      <c r="D187" s="1"/>
      <c r="E187" s="1"/>
      <c r="F187" s="1"/>
      <c r="K187" s="1"/>
      <c r="O187" s="1"/>
    </row>
    <row r="188" spans="1:15" ht="12.75">
      <c r="A188" s="1"/>
      <c r="D188" s="1"/>
      <c r="E188" s="1"/>
      <c r="F188" s="1"/>
      <c r="K188" s="1"/>
      <c r="O188" s="1"/>
    </row>
    <row r="189" spans="1:15" ht="12.75">
      <c r="A189" s="1"/>
      <c r="D189" s="1"/>
      <c r="E189" s="1"/>
      <c r="F189" s="1"/>
      <c r="K189" s="1"/>
      <c r="O189" s="1"/>
    </row>
    <row r="190" spans="1:15" ht="12.75">
      <c r="A190" s="1"/>
      <c r="D190" s="1"/>
      <c r="E190" s="1"/>
      <c r="F190" s="1"/>
      <c r="K190" s="1"/>
      <c r="O190" s="1"/>
    </row>
    <row r="191" spans="1:15" ht="12.75">
      <c r="A191" s="1"/>
      <c r="D191" s="1"/>
      <c r="E191" s="1"/>
      <c r="F191" s="1"/>
      <c r="K191" s="1"/>
      <c r="O191" s="1"/>
    </row>
    <row r="192" spans="1:15" ht="12.75">
      <c r="A192" s="1"/>
      <c r="D192" s="1"/>
      <c r="E192" s="1"/>
      <c r="F192" s="1"/>
      <c r="K192" s="1"/>
      <c r="O192" s="1"/>
    </row>
    <row r="193" spans="1:15" ht="12.75">
      <c r="A193" s="1"/>
      <c r="D193" s="1"/>
      <c r="E193" s="1"/>
      <c r="F193" s="1"/>
      <c r="K193" s="1"/>
      <c r="O193" s="1"/>
    </row>
    <row r="194" spans="1:15" ht="12.75">
      <c r="A194" s="1"/>
      <c r="D194" s="1"/>
      <c r="E194" s="1"/>
      <c r="F194" s="1"/>
      <c r="K194" s="1"/>
      <c r="O194" s="1"/>
    </row>
    <row r="195" spans="1:15" ht="12.75">
      <c r="A195" s="1"/>
      <c r="D195" s="1"/>
      <c r="E195" s="1"/>
      <c r="F195" s="1"/>
      <c r="K195" s="1"/>
      <c r="O195" s="1"/>
    </row>
    <row r="196" spans="1:15" ht="12.75">
      <c r="A196" s="1"/>
      <c r="D196" s="1"/>
      <c r="E196" s="1"/>
      <c r="F196" s="1"/>
      <c r="K196" s="1"/>
      <c r="O196" s="1"/>
    </row>
    <row r="197" spans="1:15" ht="12.75">
      <c r="A197" s="1"/>
      <c r="D197" s="1"/>
      <c r="E197" s="1"/>
      <c r="F197" s="1"/>
      <c r="K197" s="1"/>
      <c r="O197" s="1"/>
    </row>
    <row r="198" spans="1:15" ht="12.75">
      <c r="A198" s="1"/>
      <c r="D198" s="1"/>
      <c r="E198" s="1"/>
      <c r="F198" s="1"/>
      <c r="K198" s="1"/>
      <c r="O198" s="1"/>
    </row>
    <row r="199" spans="1:15" ht="12.75">
      <c r="A199" s="1"/>
      <c r="D199" s="1"/>
      <c r="E199" s="1"/>
      <c r="F199" s="1"/>
      <c r="K199" s="1"/>
      <c r="O199" s="1"/>
    </row>
    <row r="200" spans="1:15" ht="12.75">
      <c r="A200" s="1"/>
      <c r="D200" s="1"/>
      <c r="E200" s="1"/>
      <c r="F200" s="1"/>
      <c r="K200" s="1"/>
      <c r="O200" s="1"/>
    </row>
    <row r="201" spans="1:15" ht="12.75">
      <c r="A201" s="1"/>
      <c r="D201" s="1"/>
      <c r="E201" s="1"/>
      <c r="F201" s="1"/>
      <c r="K201" s="1"/>
      <c r="O201" s="1"/>
    </row>
    <row r="202" spans="1:15" ht="12.75">
      <c r="A202" s="1"/>
      <c r="D202" s="1"/>
      <c r="E202" s="1"/>
      <c r="F202" s="1"/>
      <c r="K202" s="1"/>
      <c r="O202" s="1"/>
    </row>
    <row r="203" spans="1:15" ht="12.75">
      <c r="A203" s="1"/>
      <c r="D203" s="1"/>
      <c r="E203" s="1"/>
      <c r="F203" s="1"/>
      <c r="K203" s="1"/>
      <c r="O203" s="1"/>
    </row>
    <row r="204" spans="1:15" ht="12.75">
      <c r="A204" s="1"/>
      <c r="D204" s="1"/>
      <c r="E204" s="1"/>
      <c r="F204" s="1"/>
      <c r="K204" s="1"/>
      <c r="O204" s="1"/>
    </row>
    <row r="205" spans="1:15" ht="12.75">
      <c r="A205" s="1"/>
      <c r="D205" s="1"/>
      <c r="E205" s="1"/>
      <c r="F205" s="1"/>
      <c r="K205" s="1"/>
      <c r="O205" s="1"/>
    </row>
    <row r="206" spans="1:15" ht="12.75">
      <c r="A206" s="1"/>
      <c r="D206" s="1"/>
      <c r="E206" s="1"/>
      <c r="F206" s="1"/>
      <c r="K206" s="1"/>
      <c r="O206" s="1"/>
    </row>
    <row r="207" spans="1:15" ht="12.75">
      <c r="A207" s="1"/>
      <c r="D207" s="1"/>
      <c r="E207" s="1"/>
      <c r="F207" s="1"/>
      <c r="K207" s="1"/>
      <c r="O207" s="1"/>
    </row>
    <row r="208" spans="1:15" ht="12.75">
      <c r="A208" s="1"/>
      <c r="D208" s="1"/>
      <c r="E208" s="1"/>
      <c r="F208" s="1"/>
      <c r="K208" s="1"/>
      <c r="O208" s="1"/>
    </row>
    <row r="209" spans="1:15" ht="12.75">
      <c r="A209" s="1"/>
      <c r="D209" s="1"/>
      <c r="E209" s="1"/>
      <c r="F209" s="1"/>
      <c r="K209" s="1"/>
      <c r="O209" s="1"/>
    </row>
    <row r="210" spans="1:15" ht="12.75">
      <c r="A210" s="1"/>
      <c r="D210" s="1"/>
      <c r="E210" s="1"/>
      <c r="F210" s="1"/>
      <c r="K210" s="1"/>
      <c r="O210" s="1"/>
    </row>
    <row r="211" spans="1:15" ht="12.75">
      <c r="A211" s="1"/>
      <c r="D211" s="1"/>
      <c r="E211" s="1"/>
      <c r="F211" s="1"/>
      <c r="K211" s="1"/>
      <c r="O211" s="1"/>
    </row>
    <row r="212" spans="1:15" ht="12.75">
      <c r="A212" s="1"/>
      <c r="D212" s="1"/>
      <c r="E212" s="1"/>
      <c r="F212" s="1"/>
      <c r="K212" s="1"/>
      <c r="O212" s="1"/>
    </row>
    <row r="213" spans="1:15" ht="12.75">
      <c r="A213" s="1"/>
      <c r="D213" s="1"/>
      <c r="E213" s="1"/>
      <c r="F213" s="1"/>
      <c r="K213" s="1"/>
      <c r="O213" s="1"/>
    </row>
    <row r="214" spans="1:15" ht="12.75">
      <c r="A214" s="1"/>
      <c r="D214" s="1"/>
      <c r="E214" s="1"/>
      <c r="F214" s="1"/>
      <c r="K214" s="1"/>
      <c r="O214" s="1"/>
    </row>
    <row r="215" spans="1:15" ht="12.75">
      <c r="A215" s="1"/>
      <c r="D215" s="1"/>
      <c r="E215" s="1"/>
      <c r="F215" s="1"/>
      <c r="K215" s="1"/>
      <c r="O215" s="1"/>
    </row>
    <row r="216" spans="1:15" ht="12.75">
      <c r="A216" s="1"/>
      <c r="D216" s="1"/>
      <c r="E216" s="1"/>
      <c r="F216" s="1"/>
      <c r="K216" s="1"/>
      <c r="O216" s="1"/>
    </row>
    <row r="217" spans="1:15" ht="12.75">
      <c r="A217" s="1"/>
      <c r="D217" s="1"/>
      <c r="E217" s="1"/>
      <c r="F217" s="1"/>
      <c r="K217" s="1"/>
      <c r="O217" s="1"/>
    </row>
    <row r="218" spans="1:15" ht="12.75">
      <c r="A218" s="1"/>
      <c r="D218" s="1"/>
      <c r="E218" s="1"/>
      <c r="F218" s="1"/>
      <c r="K218" s="1"/>
      <c r="O218" s="1"/>
    </row>
    <row r="219" spans="1:15" ht="12.75">
      <c r="A219" s="1"/>
      <c r="D219" s="1"/>
      <c r="E219" s="1"/>
      <c r="F219" s="1"/>
      <c r="K219" s="1"/>
      <c r="O219" s="1"/>
    </row>
    <row r="220" spans="1:15" ht="12.75">
      <c r="A220" s="1"/>
      <c r="D220" s="1"/>
      <c r="E220" s="1"/>
      <c r="F220" s="1"/>
      <c r="K220" s="1"/>
      <c r="O220" s="1"/>
    </row>
    <row r="221" spans="1:15" ht="12.75">
      <c r="A221" s="1"/>
      <c r="D221" s="1"/>
      <c r="E221" s="1"/>
      <c r="F221" s="1"/>
      <c r="K221" s="1"/>
      <c r="O221" s="1"/>
    </row>
    <row r="222" spans="1:15" ht="12.75">
      <c r="A222" s="1"/>
      <c r="D222" s="1"/>
      <c r="E222" s="1"/>
      <c r="F222" s="1"/>
      <c r="K222" s="1"/>
      <c r="O222" s="1"/>
    </row>
    <row r="223" spans="1:15" ht="12.75">
      <c r="A223" s="1"/>
      <c r="D223" s="1"/>
      <c r="E223" s="1"/>
      <c r="F223" s="1"/>
      <c r="K223" s="1"/>
      <c r="O223" s="1"/>
    </row>
    <row r="224" spans="1:15" ht="12.75">
      <c r="A224" s="1"/>
      <c r="D224" s="1"/>
      <c r="E224" s="1"/>
      <c r="F224" s="1"/>
      <c r="K224" s="1"/>
      <c r="O224" s="1"/>
    </row>
    <row r="225" spans="1:15" ht="12.75">
      <c r="A225" s="1"/>
      <c r="D225" s="1"/>
      <c r="E225" s="1"/>
      <c r="F225" s="1"/>
      <c r="K225" s="1"/>
      <c r="O225" s="1"/>
    </row>
    <row r="226" spans="1:15" ht="12.75">
      <c r="A226" s="1"/>
      <c r="D226" s="1"/>
      <c r="E226" s="1"/>
      <c r="F226" s="1"/>
      <c r="K226" s="1"/>
      <c r="O226" s="1"/>
    </row>
    <row r="227" spans="1:15" ht="12.75">
      <c r="A227" s="1"/>
      <c r="D227" s="1"/>
      <c r="E227" s="1"/>
      <c r="F227" s="1"/>
      <c r="K227" s="1"/>
      <c r="O227" s="1"/>
    </row>
    <row r="228" spans="1:15" ht="12.75">
      <c r="A228" s="1"/>
      <c r="D228" s="1"/>
      <c r="E228" s="1"/>
      <c r="F228" s="1"/>
      <c r="K228" s="1"/>
      <c r="O228" s="1"/>
    </row>
    <row r="229" spans="1:15" ht="12.75">
      <c r="A229" s="1"/>
      <c r="D229" s="1"/>
      <c r="E229" s="1"/>
      <c r="F229" s="1"/>
      <c r="K229" s="1"/>
      <c r="O229" s="1"/>
    </row>
    <row r="230" spans="1:15" ht="12.75">
      <c r="A230" s="1"/>
      <c r="D230" s="1"/>
      <c r="E230" s="1"/>
      <c r="F230" s="1"/>
      <c r="K230" s="1"/>
      <c r="O230" s="1"/>
    </row>
    <row r="231" spans="1:15" ht="12.75">
      <c r="A231" s="1"/>
      <c r="D231" s="1"/>
      <c r="E231" s="1"/>
      <c r="F231" s="1"/>
      <c r="K231" s="1"/>
      <c r="O231" s="1"/>
    </row>
    <row r="232" spans="1:15" ht="12.75">
      <c r="A232" s="1"/>
      <c r="D232" s="1"/>
      <c r="E232" s="1"/>
      <c r="F232" s="1"/>
      <c r="K232" s="1"/>
      <c r="O232" s="1"/>
    </row>
    <row r="233" spans="1:15" ht="12.75">
      <c r="A233" s="1"/>
      <c r="D233" s="1"/>
      <c r="E233" s="1"/>
      <c r="F233" s="1"/>
      <c r="K233" s="1"/>
      <c r="O233" s="1"/>
    </row>
    <row r="234" spans="1:15" ht="12.75">
      <c r="A234" s="1"/>
      <c r="D234" s="1"/>
      <c r="E234" s="1"/>
      <c r="F234" s="1"/>
      <c r="K234" s="1"/>
      <c r="O234" s="1"/>
    </row>
    <row r="235" spans="1:15" ht="12.75">
      <c r="A235" s="1"/>
      <c r="D235" s="1"/>
      <c r="E235" s="1"/>
      <c r="F235" s="1"/>
      <c r="K235" s="1"/>
      <c r="O235" s="1"/>
    </row>
    <row r="236" spans="1:15" ht="12.75">
      <c r="A236" s="1"/>
      <c r="D236" s="1"/>
      <c r="E236" s="1"/>
      <c r="F236" s="1"/>
      <c r="K236" s="1"/>
      <c r="O236" s="1"/>
    </row>
    <row r="237" spans="1:15" ht="12.75">
      <c r="A237" s="1"/>
      <c r="D237" s="1"/>
      <c r="E237" s="1"/>
      <c r="F237" s="1"/>
      <c r="K237" s="1"/>
      <c r="O237" s="1"/>
    </row>
    <row r="238" spans="1:15" ht="12.75">
      <c r="A238" s="1"/>
      <c r="D238" s="1"/>
      <c r="E238" s="1"/>
      <c r="F238" s="1"/>
      <c r="K238" s="1"/>
      <c r="O238" s="1"/>
    </row>
    <row r="239" spans="1:15" ht="12.75">
      <c r="A239" s="1"/>
      <c r="D239" s="1"/>
      <c r="E239" s="1"/>
      <c r="F239" s="1"/>
      <c r="K239" s="1"/>
      <c r="O239" s="1"/>
    </row>
    <row r="240" spans="1:15" ht="12.75">
      <c r="A240" s="1"/>
      <c r="D240" s="1"/>
      <c r="E240" s="1"/>
      <c r="F240" s="1"/>
      <c r="K240" s="1"/>
      <c r="O240" s="1"/>
    </row>
    <row r="241" spans="1:15" ht="12.75">
      <c r="A241" s="1"/>
      <c r="D241" s="1"/>
      <c r="E241" s="1"/>
      <c r="F241" s="1"/>
      <c r="K241" s="1"/>
      <c r="O241" s="1"/>
    </row>
    <row r="242" spans="1:15" ht="12.75">
      <c r="A242" s="1"/>
      <c r="D242" s="1"/>
      <c r="E242" s="1"/>
      <c r="F242" s="1"/>
      <c r="K242" s="1"/>
      <c r="O242" s="1"/>
    </row>
    <row r="243" spans="1:15" ht="12.75">
      <c r="A243" s="1"/>
      <c r="D243" s="1"/>
      <c r="E243" s="1"/>
      <c r="F243" s="1"/>
      <c r="K243" s="1"/>
      <c r="O243" s="1"/>
    </row>
    <row r="244" spans="1:15" ht="12.75">
      <c r="A244" s="1"/>
      <c r="D244" s="1"/>
      <c r="E244" s="1"/>
      <c r="F244" s="1"/>
      <c r="K244" s="1"/>
      <c r="O244" s="1"/>
    </row>
    <row r="245" spans="1:15" ht="12.75">
      <c r="A245" s="1"/>
      <c r="D245" s="1"/>
      <c r="E245" s="1"/>
      <c r="F245" s="1"/>
      <c r="K245" s="1"/>
      <c r="O245" s="1"/>
    </row>
    <row r="246" spans="1:15" ht="12.75">
      <c r="A246" s="1"/>
      <c r="D246" s="1"/>
      <c r="E246" s="1"/>
      <c r="F246" s="1"/>
      <c r="K246" s="1"/>
      <c r="O246" s="1"/>
    </row>
    <row r="247" spans="1:15" ht="12.75">
      <c r="A247" s="1"/>
      <c r="D247" s="1"/>
      <c r="E247" s="1"/>
      <c r="F247" s="1"/>
      <c r="K247" s="1"/>
      <c r="O247" s="1"/>
    </row>
    <row r="248" spans="1:15" ht="12.75">
      <c r="A248" s="1"/>
      <c r="D248" s="1"/>
      <c r="E248" s="1"/>
      <c r="F248" s="1"/>
      <c r="K248" s="1"/>
      <c r="O248" s="1"/>
    </row>
    <row r="249" spans="1:15" ht="12.75">
      <c r="A249" s="1"/>
      <c r="D249" s="1"/>
      <c r="E249" s="1"/>
      <c r="F249" s="1"/>
      <c r="K249" s="1"/>
      <c r="O249" s="1"/>
    </row>
    <row r="250" spans="1:15" ht="12.75">
      <c r="A250" s="1"/>
      <c r="D250" s="1"/>
      <c r="E250" s="1"/>
      <c r="F250" s="1"/>
      <c r="K250" s="1"/>
      <c r="O250" s="1"/>
    </row>
    <row r="251" spans="1:15" ht="12.75">
      <c r="A251" s="1"/>
      <c r="D251" s="1"/>
      <c r="E251" s="1"/>
      <c r="F251" s="1"/>
      <c r="K251" s="1"/>
      <c r="O251" s="1"/>
    </row>
    <row r="252" spans="1:15" ht="12.75">
      <c r="A252" s="1"/>
      <c r="D252" s="1"/>
      <c r="E252" s="1"/>
      <c r="F252" s="1"/>
      <c r="K252" s="1"/>
      <c r="O252" s="1"/>
    </row>
    <row r="253" spans="1:15" ht="12.75">
      <c r="A253" s="1"/>
      <c r="D253" s="1"/>
      <c r="E253" s="1"/>
      <c r="F253" s="1"/>
      <c r="K253" s="1"/>
      <c r="O253" s="1"/>
    </row>
    <row r="254" spans="1:15" ht="12.75">
      <c r="A254" s="1"/>
      <c r="D254" s="1"/>
      <c r="E254" s="1"/>
      <c r="F254" s="1"/>
      <c r="K254" s="1"/>
      <c r="O254" s="1"/>
    </row>
    <row r="255" spans="1:15" ht="12.75">
      <c r="A255" s="1"/>
      <c r="D255" s="1"/>
      <c r="E255" s="1"/>
      <c r="F255" s="1"/>
      <c r="K255" s="1"/>
      <c r="O255" s="1"/>
    </row>
    <row r="256" spans="1:15" ht="12.75">
      <c r="A256" s="1"/>
      <c r="D256" s="1"/>
      <c r="E256" s="1"/>
      <c r="F256" s="1"/>
      <c r="K256" s="1"/>
      <c r="O256" s="1"/>
    </row>
    <row r="257" spans="1:15" ht="12.75">
      <c r="A257" s="1"/>
      <c r="D257" s="1"/>
      <c r="E257" s="1"/>
      <c r="F257" s="1"/>
      <c r="K257" s="1"/>
      <c r="O257" s="1"/>
    </row>
    <row r="258" spans="1:15" ht="12.75">
      <c r="A258" s="1"/>
      <c r="D258" s="1"/>
      <c r="E258" s="1"/>
      <c r="F258" s="1"/>
      <c r="K258" s="1"/>
      <c r="O258" s="1"/>
    </row>
    <row r="259" spans="1:15" ht="12.75">
      <c r="A259" s="1"/>
      <c r="D259" s="1"/>
      <c r="E259" s="1"/>
      <c r="F259" s="1"/>
      <c r="K259" s="1"/>
      <c r="O259" s="1"/>
    </row>
    <row r="260" spans="1:15" ht="12.75">
      <c r="A260" s="1"/>
      <c r="D260" s="1"/>
      <c r="E260" s="1"/>
      <c r="F260" s="1"/>
      <c r="K260" s="1"/>
      <c r="O260" s="1"/>
    </row>
    <row r="261" spans="1:15" ht="12.75">
      <c r="A261" s="1"/>
      <c r="D261" s="1"/>
      <c r="E261" s="1"/>
      <c r="F261" s="1"/>
      <c r="K261" s="1"/>
      <c r="O261" s="1"/>
    </row>
    <row r="262" spans="1:15" ht="12.75">
      <c r="A262" s="1"/>
      <c r="D262" s="1"/>
      <c r="E262" s="1"/>
      <c r="F262" s="1"/>
      <c r="K262" s="1"/>
      <c r="O262" s="1"/>
    </row>
    <row r="263" spans="1:15" ht="12.75">
      <c r="A263" s="1"/>
      <c r="D263" s="1"/>
      <c r="E263" s="1"/>
      <c r="F263" s="1"/>
      <c r="K263" s="1"/>
      <c r="O263" s="1"/>
    </row>
    <row r="264" spans="1:15" ht="12.75">
      <c r="A264" s="1"/>
      <c r="D264" s="1"/>
      <c r="E264" s="1"/>
      <c r="F264" s="1"/>
      <c r="K264" s="1"/>
      <c r="O264" s="1"/>
    </row>
    <row r="265" spans="1:15" ht="12.75">
      <c r="A265" s="1"/>
      <c r="D265" s="1"/>
      <c r="E265" s="1"/>
      <c r="F265" s="1"/>
      <c r="K265" s="1"/>
      <c r="O265" s="1"/>
    </row>
    <row r="266" spans="1:15" ht="12.75">
      <c r="A266" s="1"/>
      <c r="D266" s="1"/>
      <c r="E266" s="1"/>
      <c r="F266" s="1"/>
      <c r="K266" s="1"/>
      <c r="O266" s="1"/>
    </row>
    <row r="267" spans="1:15" ht="12.75">
      <c r="A267" s="1"/>
      <c r="D267" s="1"/>
      <c r="E267" s="1"/>
      <c r="F267" s="1"/>
      <c r="K267" s="1"/>
      <c r="O267" s="1"/>
    </row>
    <row r="268" spans="1:15" ht="12.75">
      <c r="A268" s="1"/>
      <c r="D268" s="1"/>
      <c r="E268" s="1"/>
      <c r="F268" s="1"/>
      <c r="K268" s="1"/>
      <c r="O268" s="1"/>
    </row>
    <row r="269" spans="1:15" ht="12.75">
      <c r="A269" s="1"/>
      <c r="D269" s="1"/>
      <c r="E269" s="1"/>
      <c r="F269" s="1"/>
      <c r="K269" s="1"/>
      <c r="O269" s="1"/>
    </row>
    <row r="270" spans="1:15" ht="12.75">
      <c r="A270" s="1"/>
      <c r="D270" s="1"/>
      <c r="E270" s="1"/>
      <c r="F270" s="1"/>
      <c r="K270" s="1"/>
      <c r="O270" s="1"/>
    </row>
    <row r="271" spans="1:15" ht="12.75">
      <c r="A271" s="1"/>
      <c r="D271" s="1"/>
      <c r="E271" s="1"/>
      <c r="F271" s="1"/>
      <c r="K271" s="1"/>
      <c r="O271" s="1"/>
    </row>
    <row r="272" spans="1:15" ht="12.75">
      <c r="A272" s="1"/>
      <c r="D272" s="1"/>
      <c r="E272" s="1"/>
      <c r="F272" s="1"/>
      <c r="K272" s="1"/>
      <c r="O272" s="1"/>
    </row>
    <row r="273" spans="1:15" ht="12.75">
      <c r="A273" s="1"/>
      <c r="D273" s="1"/>
      <c r="E273" s="1"/>
      <c r="F273" s="1"/>
      <c r="K273" s="1"/>
      <c r="O273" s="1"/>
    </row>
    <row r="274" spans="1:15" ht="12.75">
      <c r="A274" s="1"/>
      <c r="D274" s="1"/>
      <c r="E274" s="1"/>
      <c r="F274" s="1"/>
      <c r="K274" s="1"/>
      <c r="O274" s="1"/>
    </row>
    <row r="275" spans="1:15" ht="12.75">
      <c r="A275" s="1"/>
      <c r="D275" s="1"/>
      <c r="E275" s="1"/>
      <c r="F275" s="1"/>
      <c r="K275" s="1"/>
      <c r="O275" s="1"/>
    </row>
    <row r="276" spans="1:15" ht="12.75">
      <c r="A276" s="1"/>
      <c r="D276" s="1"/>
      <c r="E276" s="1"/>
      <c r="F276" s="1"/>
      <c r="K276" s="1"/>
      <c r="O276" s="1"/>
    </row>
    <row r="277" spans="1:15" ht="12.75">
      <c r="A277" s="1"/>
      <c r="D277" s="1"/>
      <c r="E277" s="1"/>
      <c r="F277" s="1"/>
      <c r="K277" s="1"/>
      <c r="O277" s="1"/>
    </row>
    <row r="278" spans="1:15" ht="12.75">
      <c r="A278" s="1"/>
      <c r="D278" s="1"/>
      <c r="E278" s="1"/>
      <c r="F278" s="1"/>
      <c r="K278" s="1"/>
      <c r="O278" s="1"/>
    </row>
    <row r="279" spans="1:15" ht="12.75">
      <c r="A279" s="1"/>
      <c r="D279" s="1"/>
      <c r="E279" s="1"/>
      <c r="F279" s="1"/>
      <c r="K279" s="1"/>
      <c r="O279" s="1"/>
    </row>
    <row r="280" spans="1:15" ht="12.75">
      <c r="A280" s="1"/>
      <c r="D280" s="1"/>
      <c r="E280" s="1"/>
      <c r="F280" s="1"/>
      <c r="K280" s="1"/>
      <c r="O280" s="1"/>
    </row>
    <row r="281" spans="1:15" ht="12.75">
      <c r="A281" s="1"/>
      <c r="D281" s="1"/>
      <c r="E281" s="1"/>
      <c r="F281" s="1"/>
      <c r="K281" s="1"/>
      <c r="O281" s="1"/>
    </row>
    <row r="282" spans="1:15" ht="12.75">
      <c r="A282" s="1"/>
      <c r="D282" s="1"/>
      <c r="E282" s="1"/>
      <c r="F282" s="1"/>
      <c r="K282" s="1"/>
      <c r="O282" s="1"/>
    </row>
    <row r="283" spans="1:15" ht="12.75">
      <c r="A283" s="1"/>
      <c r="D283" s="1"/>
      <c r="E283" s="1"/>
      <c r="F283" s="1"/>
      <c r="K283" s="1"/>
      <c r="O283" s="1"/>
    </row>
    <row r="284" spans="1:15" ht="12.75">
      <c r="A284" s="1"/>
      <c r="D284" s="1"/>
      <c r="E284" s="1"/>
      <c r="F284" s="1"/>
      <c r="K284" s="1"/>
      <c r="O284" s="1"/>
    </row>
    <row r="285" spans="1:15" ht="12.75">
      <c r="A285" s="1"/>
      <c r="D285" s="1"/>
      <c r="E285" s="1"/>
      <c r="F285" s="1"/>
      <c r="K285" s="1"/>
      <c r="O285" s="1"/>
    </row>
    <row r="286" spans="1:15" ht="12.75">
      <c r="A286" s="1"/>
      <c r="D286" s="1"/>
      <c r="E286" s="1"/>
      <c r="F286" s="1"/>
      <c r="K286" s="1"/>
      <c r="O286" s="1"/>
    </row>
    <row r="287" spans="1:15" ht="12.75">
      <c r="A287" s="1"/>
      <c r="D287" s="1"/>
      <c r="E287" s="1"/>
      <c r="F287" s="1"/>
      <c r="K287" s="1"/>
      <c r="O287" s="1"/>
    </row>
    <row r="288" spans="1:15" ht="12.75">
      <c r="A288" s="1"/>
      <c r="D288" s="1"/>
      <c r="E288" s="1"/>
      <c r="F288" s="1"/>
      <c r="K288" s="1"/>
      <c r="O288" s="1"/>
    </row>
    <row r="289" spans="1:15" ht="12.75">
      <c r="A289" s="1"/>
      <c r="D289" s="1"/>
      <c r="E289" s="1"/>
      <c r="F289" s="1"/>
      <c r="K289" s="1"/>
      <c r="O289" s="1"/>
    </row>
    <row r="290" spans="1:15" ht="12.75">
      <c r="A290" s="1"/>
      <c r="D290" s="1"/>
      <c r="E290" s="1"/>
      <c r="F290" s="1"/>
      <c r="K290" s="1"/>
      <c r="O290" s="1"/>
    </row>
    <row r="291" spans="1:15" ht="12.75">
      <c r="A291" s="1"/>
      <c r="D291" s="1"/>
      <c r="E291" s="1"/>
      <c r="F291" s="1"/>
      <c r="K291" s="1"/>
      <c r="O291" s="1"/>
    </row>
    <row r="292" spans="1:15" ht="12.75">
      <c r="A292" s="1"/>
      <c r="D292" s="1"/>
      <c r="E292" s="1"/>
      <c r="F292" s="1"/>
      <c r="K292" s="1"/>
      <c r="O292" s="1"/>
    </row>
    <row r="293" spans="1:15" ht="12.75">
      <c r="A293" s="1"/>
      <c r="D293" s="1"/>
      <c r="E293" s="1"/>
      <c r="F293" s="1"/>
      <c r="K293" s="1"/>
      <c r="O293" s="1"/>
    </row>
    <row r="294" spans="1:15" ht="12.75">
      <c r="A294" s="1"/>
      <c r="D294" s="1"/>
      <c r="E294" s="1"/>
      <c r="F294" s="1"/>
      <c r="K294" s="1"/>
      <c r="O294" s="1"/>
    </row>
    <row r="295" spans="1:15" ht="12.75">
      <c r="A295" s="1"/>
      <c r="D295" s="1"/>
      <c r="E295" s="1"/>
      <c r="F295" s="1"/>
      <c r="K295" s="1"/>
      <c r="O295" s="1"/>
    </row>
    <row r="296" spans="1:15" ht="12.75">
      <c r="A296" s="1"/>
      <c r="D296" s="1"/>
      <c r="E296" s="1"/>
      <c r="F296" s="1"/>
      <c r="K296" s="1"/>
      <c r="O296" s="1"/>
    </row>
    <row r="297" spans="1:15" ht="12.75">
      <c r="A297" s="1"/>
      <c r="D297" s="1"/>
      <c r="E297" s="1"/>
      <c r="F297" s="1"/>
      <c r="K297" s="1"/>
      <c r="O297" s="1"/>
    </row>
    <row r="298" spans="1:15" ht="12.75">
      <c r="A298" s="1"/>
      <c r="D298" s="1"/>
      <c r="E298" s="1"/>
      <c r="F298" s="1"/>
      <c r="K298" s="1"/>
      <c r="O298" s="1"/>
    </row>
    <row r="299" spans="1:15" ht="12.75">
      <c r="A299" s="1"/>
      <c r="D299" s="1"/>
      <c r="E299" s="1"/>
      <c r="F299" s="1"/>
      <c r="K299" s="1"/>
      <c r="O299" s="1"/>
    </row>
    <row r="300" spans="1:15" ht="12.75">
      <c r="A300" s="1"/>
      <c r="D300" s="1"/>
      <c r="E300" s="1"/>
      <c r="F300" s="1"/>
      <c r="K300" s="1"/>
      <c r="O300" s="1"/>
    </row>
    <row r="301" spans="1:15" ht="12.75">
      <c r="A301" s="1"/>
      <c r="D301" s="1"/>
      <c r="E301" s="1"/>
      <c r="F301" s="1"/>
      <c r="K301" s="1"/>
      <c r="O301" s="1"/>
    </row>
    <row r="302" spans="1:15" ht="12.75">
      <c r="A302" s="1"/>
      <c r="D302" s="1"/>
      <c r="E302" s="1"/>
      <c r="F302" s="1"/>
      <c r="K302" s="1"/>
      <c r="O302" s="1"/>
    </row>
    <row r="303" spans="1:15" ht="12.75">
      <c r="A303" s="1"/>
      <c r="D303" s="1"/>
      <c r="E303" s="1"/>
      <c r="F303" s="1"/>
      <c r="K303" s="1"/>
      <c r="O303" s="1"/>
    </row>
    <row r="304" spans="1:15" ht="12.75">
      <c r="A304" s="1"/>
      <c r="D304" s="1"/>
      <c r="E304" s="1"/>
      <c r="F304" s="1"/>
      <c r="K304" s="1"/>
      <c r="O304" s="1"/>
    </row>
    <row r="305" spans="1:15" ht="12.75">
      <c r="A305" s="1"/>
      <c r="D305" s="1"/>
      <c r="E305" s="1"/>
      <c r="F305" s="1"/>
      <c r="K305" s="1"/>
      <c r="O305" s="1"/>
    </row>
    <row r="306" spans="1:15" ht="12.75">
      <c r="A306" s="1"/>
      <c r="D306" s="1"/>
      <c r="E306" s="1"/>
      <c r="F306" s="1"/>
      <c r="K306" s="1"/>
      <c r="O306" s="1"/>
    </row>
    <row r="307" spans="1:15" ht="12.75">
      <c r="A307" s="1"/>
      <c r="D307" s="1"/>
      <c r="E307" s="1"/>
      <c r="F307" s="1"/>
      <c r="K307" s="1"/>
      <c r="O307" s="1"/>
    </row>
    <row r="308" spans="1:15" ht="12.75">
      <c r="A308" s="1"/>
      <c r="D308" s="1"/>
      <c r="E308" s="1"/>
      <c r="F308" s="1"/>
      <c r="K308" s="1"/>
      <c r="O308" s="1"/>
    </row>
    <row r="309" spans="1:15" ht="12.75">
      <c r="A309" s="1"/>
      <c r="D309" s="1"/>
      <c r="E309" s="1"/>
      <c r="F309" s="1"/>
      <c r="K309" s="1"/>
      <c r="O309" s="1"/>
    </row>
    <row r="310" spans="1:15" ht="12.75">
      <c r="A310" s="1"/>
      <c r="D310" s="1"/>
      <c r="E310" s="1"/>
      <c r="F310" s="1"/>
      <c r="K310" s="1"/>
      <c r="O310" s="1"/>
    </row>
    <row r="311" spans="1:15" ht="12.75">
      <c r="A311" s="1"/>
      <c r="D311" s="1"/>
      <c r="E311" s="1"/>
      <c r="F311" s="1"/>
      <c r="K311" s="1"/>
      <c r="O311" s="1"/>
    </row>
    <row r="312" spans="1:15" ht="12.75">
      <c r="A312" s="1"/>
      <c r="D312" s="1"/>
      <c r="E312" s="1"/>
      <c r="F312" s="1"/>
      <c r="K312" s="1"/>
      <c r="O312" s="1"/>
    </row>
    <row r="313" spans="1:15" ht="12.75">
      <c r="A313" s="1"/>
      <c r="D313" s="1"/>
      <c r="E313" s="1"/>
      <c r="F313" s="1"/>
      <c r="K313" s="1"/>
      <c r="O313" s="1"/>
    </row>
    <row r="314" spans="1:15" ht="12.75">
      <c r="A314" s="1"/>
      <c r="D314" s="1"/>
      <c r="E314" s="1"/>
      <c r="F314" s="1"/>
      <c r="K314" s="1"/>
      <c r="O314" s="1"/>
    </row>
    <row r="315" spans="1:15" ht="12.75">
      <c r="A315" s="1"/>
      <c r="D315" s="1"/>
      <c r="E315" s="1"/>
      <c r="F315" s="1"/>
      <c r="K315" s="1"/>
      <c r="O315" s="1"/>
    </row>
    <row r="316" spans="1:15" ht="12.75">
      <c r="A316" s="1"/>
      <c r="D316" s="1"/>
      <c r="E316" s="1"/>
      <c r="F316" s="1"/>
      <c r="K316" s="1"/>
      <c r="O316" s="1"/>
    </row>
    <row r="317" spans="1:15" ht="12.75">
      <c r="A317" s="1"/>
      <c r="D317" s="1"/>
      <c r="E317" s="1"/>
      <c r="F317" s="1"/>
      <c r="K317" s="1"/>
      <c r="O317" s="1"/>
    </row>
    <row r="318" spans="1:15" ht="12.75">
      <c r="A318" s="1"/>
      <c r="D318" s="1"/>
      <c r="E318" s="1"/>
      <c r="F318" s="1"/>
      <c r="K318" s="1"/>
      <c r="O318" s="1"/>
    </row>
    <row r="319" spans="1:15" ht="12.75">
      <c r="A319" s="1"/>
      <c r="D319" s="1"/>
      <c r="E319" s="1"/>
      <c r="F319" s="1"/>
      <c r="K319" s="1"/>
      <c r="O319" s="1"/>
    </row>
    <row r="320" spans="1:15" ht="12.75">
      <c r="A320" s="1"/>
      <c r="D320" s="1"/>
      <c r="E320" s="1"/>
      <c r="F320" s="1"/>
      <c r="K320" s="1"/>
      <c r="O320" s="1"/>
    </row>
    <row r="321" spans="1:15" ht="12.75">
      <c r="A321" s="1"/>
      <c r="D321" s="1"/>
      <c r="E321" s="1"/>
      <c r="F321" s="1"/>
      <c r="K321" s="1"/>
      <c r="O321" s="1"/>
    </row>
    <row r="322" spans="1:15" ht="12.75">
      <c r="A322" s="1"/>
      <c r="D322" s="1"/>
      <c r="E322" s="1"/>
      <c r="F322" s="1"/>
      <c r="K322" s="1"/>
      <c r="O322" s="1"/>
    </row>
    <row r="323" spans="1:15" ht="12.75">
      <c r="A323" s="1"/>
      <c r="D323" s="1"/>
      <c r="E323" s="1"/>
      <c r="F323" s="1"/>
      <c r="K323" s="1"/>
      <c r="O323" s="1"/>
    </row>
    <row r="324" spans="1:15" ht="12.75">
      <c r="A324" s="1"/>
      <c r="D324" s="1"/>
      <c r="E324" s="1"/>
      <c r="F324" s="1"/>
      <c r="K324" s="1"/>
      <c r="O324" s="1"/>
    </row>
    <row r="325" spans="1:15" ht="12.75">
      <c r="A325" s="1"/>
      <c r="D325" s="1"/>
      <c r="E325" s="1"/>
      <c r="F325" s="1"/>
      <c r="K325" s="1"/>
      <c r="O325" s="1"/>
    </row>
    <row r="326" spans="1:15" ht="12.75">
      <c r="A326" s="1"/>
      <c r="D326" s="1"/>
      <c r="E326" s="1"/>
      <c r="F326" s="1"/>
      <c r="K326" s="1"/>
      <c r="O326" s="1"/>
    </row>
    <row r="327" spans="1:15" ht="12.75">
      <c r="A327" s="1"/>
      <c r="D327" s="1"/>
      <c r="E327" s="1"/>
      <c r="F327" s="1"/>
      <c r="K327" s="1"/>
      <c r="O327" s="1"/>
    </row>
    <row r="328" spans="1:15" ht="12.75">
      <c r="A328" s="1"/>
      <c r="D328" s="1"/>
      <c r="E328" s="1"/>
      <c r="F328" s="1"/>
      <c r="K328" s="1"/>
      <c r="O328" s="1"/>
    </row>
    <row r="329" spans="1:15" ht="12.75">
      <c r="A329" s="1"/>
      <c r="D329" s="1"/>
      <c r="E329" s="1"/>
      <c r="F329" s="1"/>
      <c r="K329" s="1"/>
      <c r="O329" s="1"/>
    </row>
    <row r="330" spans="1:15" ht="12.75">
      <c r="A330" s="1"/>
      <c r="D330" s="1"/>
      <c r="E330" s="1"/>
      <c r="F330" s="1"/>
      <c r="K330" s="1"/>
      <c r="O330" s="1"/>
    </row>
    <row r="331" spans="1:15" ht="12.75">
      <c r="A331" s="1"/>
      <c r="D331" s="1"/>
      <c r="E331" s="1"/>
      <c r="F331" s="1"/>
      <c r="K331" s="1"/>
      <c r="O331" s="1"/>
    </row>
    <row r="332" spans="1:15" ht="12.75">
      <c r="A332" s="1"/>
      <c r="D332" s="1"/>
      <c r="E332" s="1"/>
      <c r="F332" s="1"/>
      <c r="K332" s="1"/>
      <c r="O332" s="1"/>
    </row>
    <row r="333" spans="1:15" ht="12.75">
      <c r="A333" s="1"/>
      <c r="D333" s="1"/>
      <c r="E333" s="1"/>
      <c r="F333" s="1"/>
      <c r="K333" s="1"/>
      <c r="O333" s="1"/>
    </row>
    <row r="334" spans="1:15" ht="12.75">
      <c r="A334" s="1"/>
      <c r="D334" s="1"/>
      <c r="E334" s="1"/>
      <c r="F334" s="1"/>
      <c r="K334" s="1"/>
      <c r="O334" s="1"/>
    </row>
    <row r="335" spans="1:15" ht="12.75">
      <c r="A335" s="1"/>
      <c r="D335" s="1"/>
      <c r="E335" s="1"/>
      <c r="F335" s="1"/>
      <c r="K335" s="1"/>
      <c r="O335" s="1"/>
    </row>
    <row r="336" spans="1:15" ht="12.75">
      <c r="A336" s="1"/>
      <c r="D336" s="1"/>
      <c r="E336" s="1"/>
      <c r="F336" s="1"/>
      <c r="K336" s="1"/>
      <c r="O336" s="1"/>
    </row>
    <row r="337" spans="1:15" ht="12.75">
      <c r="A337" s="1"/>
      <c r="D337" s="1"/>
      <c r="E337" s="1"/>
      <c r="F337" s="1"/>
      <c r="K337" s="1"/>
      <c r="O337" s="1"/>
    </row>
    <row r="338" spans="1:15" ht="12.75">
      <c r="A338" s="1"/>
      <c r="D338" s="1"/>
      <c r="E338" s="1"/>
      <c r="F338" s="1"/>
      <c r="K338" s="1"/>
      <c r="O338" s="1"/>
    </row>
    <row r="339" spans="1:15" ht="12.75">
      <c r="A339" s="1"/>
      <c r="D339" s="1"/>
      <c r="E339" s="1"/>
      <c r="F339" s="1"/>
      <c r="K339" s="1"/>
      <c r="O339" s="1"/>
    </row>
    <row r="340" spans="1:15" ht="12.75">
      <c r="A340" s="1"/>
      <c r="D340" s="1"/>
      <c r="E340" s="1"/>
      <c r="F340" s="1"/>
      <c r="K340" s="1"/>
      <c r="O340" s="1"/>
    </row>
    <row r="341" spans="1:15" ht="12.75">
      <c r="A341" s="1"/>
      <c r="D341" s="1"/>
      <c r="E341" s="1"/>
      <c r="F341" s="1"/>
      <c r="K341" s="1"/>
      <c r="O341" s="1"/>
    </row>
    <row r="342" spans="1:15" ht="12.75">
      <c r="A342" s="1"/>
      <c r="D342" s="1"/>
      <c r="E342" s="1"/>
      <c r="F342" s="1"/>
      <c r="K342" s="1"/>
      <c r="O342" s="1"/>
    </row>
    <row r="343" spans="1:15" ht="12.75">
      <c r="A343" s="1"/>
      <c r="D343" s="1"/>
      <c r="E343" s="1"/>
      <c r="F343" s="1"/>
      <c r="K343" s="1"/>
      <c r="O343" s="1"/>
    </row>
    <row r="344" spans="1:15" ht="12.75">
      <c r="A344" s="1"/>
      <c r="D344" s="1"/>
      <c r="E344" s="1"/>
      <c r="F344" s="1"/>
      <c r="K344" s="1"/>
      <c r="O344" s="1"/>
    </row>
    <row r="345" spans="1:15" ht="12.75">
      <c r="A345" s="1"/>
      <c r="D345" s="1"/>
      <c r="E345" s="1"/>
      <c r="F345" s="1"/>
      <c r="K345" s="1"/>
      <c r="O345" s="1"/>
    </row>
    <row r="346" spans="1:15" ht="12.75">
      <c r="A346" s="1"/>
      <c r="D346" s="1"/>
      <c r="E346" s="1"/>
      <c r="F346" s="1"/>
      <c r="K346" s="1"/>
      <c r="O346" s="1"/>
    </row>
    <row r="347" spans="1:15" ht="12.75">
      <c r="A347" s="1"/>
      <c r="D347" s="1"/>
      <c r="E347" s="1"/>
      <c r="F347" s="1"/>
      <c r="K347" s="1"/>
      <c r="O347" s="1"/>
    </row>
    <row r="348" spans="1:15" ht="12.75">
      <c r="A348" s="1"/>
      <c r="D348" s="1"/>
      <c r="E348" s="1"/>
      <c r="F348" s="1"/>
      <c r="K348" s="1"/>
      <c r="O348" s="1"/>
    </row>
    <row r="349" spans="1:15" ht="12.75">
      <c r="A349" s="1"/>
      <c r="D349" s="1"/>
      <c r="E349" s="1"/>
      <c r="F349" s="1"/>
      <c r="K349" s="1"/>
      <c r="O349" s="1"/>
    </row>
    <row r="350" spans="1:15" ht="12.75">
      <c r="A350" s="1"/>
      <c r="D350" s="1"/>
      <c r="E350" s="1"/>
      <c r="F350" s="1"/>
      <c r="K350" s="1"/>
      <c r="O350" s="1"/>
    </row>
    <row r="351" spans="1:15" ht="12.75">
      <c r="A351" s="1"/>
      <c r="D351" s="1"/>
      <c r="E351" s="1"/>
      <c r="F351" s="1"/>
      <c r="K351" s="1"/>
      <c r="O351" s="1"/>
    </row>
    <row r="352" spans="1:15" ht="12.75">
      <c r="A352" s="1"/>
      <c r="D352" s="1"/>
      <c r="E352" s="1"/>
      <c r="F352" s="1"/>
      <c r="K352" s="1"/>
      <c r="O352" s="1"/>
    </row>
    <row r="353" spans="1:15" ht="12.75">
      <c r="A353" s="1"/>
      <c r="D353" s="1"/>
      <c r="E353" s="1"/>
      <c r="F353" s="1"/>
      <c r="K353" s="1"/>
      <c r="O353" s="1"/>
    </row>
    <row r="354" spans="1:15" ht="12.75">
      <c r="A354" s="1"/>
      <c r="D354" s="1"/>
      <c r="E354" s="1"/>
      <c r="F354" s="1"/>
      <c r="K354" s="1"/>
      <c r="O354" s="1"/>
    </row>
    <row r="355" spans="1:15" ht="12.75">
      <c r="A355" s="1"/>
      <c r="D355" s="1"/>
      <c r="E355" s="1"/>
      <c r="F355" s="1"/>
      <c r="K355" s="1"/>
      <c r="O355" s="1"/>
    </row>
    <row r="356" spans="1:15" ht="12.75">
      <c r="A356" s="1"/>
      <c r="D356" s="1"/>
      <c r="E356" s="1"/>
      <c r="F356" s="1"/>
      <c r="K356" s="1"/>
      <c r="O356" s="1"/>
    </row>
    <row r="357" spans="1:15" ht="12.75">
      <c r="A357" s="1"/>
      <c r="D357" s="1"/>
      <c r="E357" s="1"/>
      <c r="F357" s="1"/>
      <c r="K357" s="1"/>
      <c r="O357" s="1"/>
    </row>
    <row r="358" spans="1:15" ht="12.75">
      <c r="A358" s="1"/>
      <c r="D358" s="1"/>
      <c r="E358" s="1"/>
      <c r="F358" s="1"/>
      <c r="K358" s="1"/>
      <c r="O358" s="1"/>
    </row>
    <row r="359" spans="1:15" ht="12.75">
      <c r="A359" s="1"/>
      <c r="D359" s="1"/>
      <c r="E359" s="1"/>
      <c r="F359" s="1"/>
      <c r="K359" s="1"/>
      <c r="O359" s="1"/>
    </row>
    <row r="360" spans="1:15" ht="12.75">
      <c r="A360" s="1"/>
      <c r="D360" s="1"/>
      <c r="E360" s="1"/>
      <c r="F360" s="1"/>
      <c r="K360" s="1"/>
      <c r="O360" s="1"/>
    </row>
    <row r="361" spans="1:15" ht="12.75">
      <c r="A361" s="1"/>
      <c r="D361" s="1"/>
      <c r="E361" s="1"/>
      <c r="F361" s="1"/>
      <c r="K361" s="1"/>
      <c r="O361" s="1"/>
    </row>
    <row r="362" spans="1:15" ht="12.75">
      <c r="A362" s="1"/>
      <c r="D362" s="1"/>
      <c r="E362" s="1"/>
      <c r="F362" s="1"/>
      <c r="K362" s="1"/>
      <c r="O362" s="1"/>
    </row>
    <row r="363" spans="1:15" ht="12.75">
      <c r="A363" s="1"/>
      <c r="D363" s="1"/>
      <c r="E363" s="1"/>
      <c r="F363" s="1"/>
      <c r="K363" s="1"/>
      <c r="O363" s="1"/>
    </row>
    <row r="364" spans="1:15" ht="12.75">
      <c r="A364" s="1"/>
      <c r="D364" s="1"/>
      <c r="E364" s="1"/>
      <c r="F364" s="1"/>
      <c r="K364" s="1"/>
      <c r="O364" s="1"/>
    </row>
    <row r="365" spans="1:15" ht="12.75">
      <c r="A365" s="1"/>
      <c r="D365" s="1"/>
      <c r="E365" s="1"/>
      <c r="F365" s="1"/>
      <c r="K365" s="1"/>
      <c r="O365" s="1"/>
    </row>
    <row r="366" spans="1:15" ht="12.75">
      <c r="A366" s="1"/>
      <c r="D366" s="1"/>
      <c r="E366" s="1"/>
      <c r="F366" s="1"/>
      <c r="K366" s="1"/>
      <c r="O366" s="1"/>
    </row>
    <row r="367" spans="1:15" ht="12.75">
      <c r="A367" s="1"/>
      <c r="D367" s="1"/>
      <c r="E367" s="1"/>
      <c r="F367" s="1"/>
      <c r="K367" s="1"/>
      <c r="O367" s="1"/>
    </row>
    <row r="368" spans="1:15" ht="12.75">
      <c r="A368" s="1"/>
      <c r="D368" s="1"/>
      <c r="E368" s="1"/>
      <c r="F368" s="1"/>
      <c r="K368" s="1"/>
      <c r="O368" s="1"/>
    </row>
    <row r="369" spans="1:15" ht="12.75">
      <c r="A369" s="1"/>
      <c r="D369" s="1"/>
      <c r="E369" s="1"/>
      <c r="F369" s="1"/>
      <c r="K369" s="1"/>
      <c r="O369" s="1"/>
    </row>
    <row r="370" spans="1:15" ht="12.75">
      <c r="A370" s="1"/>
      <c r="D370" s="1"/>
      <c r="E370" s="1"/>
      <c r="F370" s="1"/>
      <c r="K370" s="1"/>
      <c r="O370" s="1"/>
    </row>
    <row r="371" spans="1:15" ht="12.75">
      <c r="A371" s="1"/>
      <c r="D371" s="1"/>
      <c r="E371" s="1"/>
      <c r="F371" s="1"/>
      <c r="K371" s="1"/>
      <c r="O371" s="1"/>
    </row>
    <row r="372" spans="1:15" ht="12.75">
      <c r="A372" s="1"/>
      <c r="D372" s="1"/>
      <c r="E372" s="1"/>
      <c r="F372" s="1"/>
      <c r="K372" s="1"/>
      <c r="O372" s="1"/>
    </row>
    <row r="373" spans="1:15" ht="12.75">
      <c r="A373" s="1"/>
      <c r="D373" s="1"/>
      <c r="E373" s="1"/>
      <c r="F373" s="1"/>
      <c r="K373" s="1"/>
      <c r="O373" s="1"/>
    </row>
    <row r="374" spans="1:15" ht="12.75">
      <c r="A374" s="1"/>
      <c r="D374" s="1"/>
      <c r="E374" s="1"/>
      <c r="F374" s="1"/>
      <c r="K374" s="1"/>
      <c r="O374" s="1"/>
    </row>
    <row r="375" spans="1:15" ht="12.75">
      <c r="A375" s="1"/>
      <c r="D375" s="1"/>
      <c r="E375" s="1"/>
      <c r="F375" s="1"/>
      <c r="K375" s="1"/>
      <c r="O375" s="1"/>
    </row>
    <row r="376" spans="1:15" ht="12.75">
      <c r="A376" s="1"/>
      <c r="D376" s="1"/>
      <c r="E376" s="1"/>
      <c r="F376" s="1"/>
      <c r="K376" s="1"/>
      <c r="O376" s="1"/>
    </row>
    <row r="377" spans="1:15" ht="12.75">
      <c r="A377" s="1"/>
      <c r="D377" s="1"/>
      <c r="E377" s="1"/>
      <c r="F377" s="1"/>
      <c r="K377" s="1"/>
      <c r="O377" s="1"/>
    </row>
    <row r="378" spans="1:15" ht="12.75">
      <c r="A378" s="1"/>
      <c r="D378" s="1"/>
      <c r="E378" s="1"/>
      <c r="F378" s="1"/>
      <c r="K378" s="1"/>
      <c r="O378" s="1"/>
    </row>
    <row r="379" spans="1:15" ht="12.75">
      <c r="A379" s="1"/>
      <c r="D379" s="1"/>
      <c r="E379" s="1"/>
      <c r="F379" s="1"/>
      <c r="K379" s="1"/>
      <c r="O379" s="1"/>
    </row>
    <row r="380" spans="1:15" ht="12.75">
      <c r="A380" s="1"/>
      <c r="D380" s="1"/>
      <c r="E380" s="1"/>
      <c r="F380" s="1"/>
      <c r="K380" s="1"/>
      <c r="O380" s="1"/>
    </row>
    <row r="381" spans="1:15" ht="12.75">
      <c r="A381" s="1"/>
      <c r="D381" s="1"/>
      <c r="E381" s="1"/>
      <c r="F381" s="1"/>
      <c r="K381" s="1"/>
      <c r="O381" s="1"/>
    </row>
    <row r="382" spans="1:15" ht="12.75">
      <c r="A382" s="1"/>
      <c r="D382" s="1"/>
      <c r="E382" s="1"/>
      <c r="F382" s="1"/>
      <c r="K382" s="1"/>
      <c r="O382" s="1"/>
    </row>
    <row r="383" spans="1:15" ht="12.75">
      <c r="A383" s="1"/>
      <c r="D383" s="1"/>
      <c r="E383" s="1"/>
      <c r="F383" s="1"/>
      <c r="K383" s="1"/>
      <c r="O383" s="1"/>
    </row>
    <row r="384" spans="1:15" ht="12.75">
      <c r="A384" s="1"/>
      <c r="D384" s="1"/>
      <c r="E384" s="1"/>
      <c r="F384" s="1"/>
      <c r="K384" s="1"/>
      <c r="O384" s="1"/>
    </row>
    <row r="385" spans="1:15" ht="12.75">
      <c r="A385" s="1"/>
      <c r="D385" s="1"/>
      <c r="E385" s="1"/>
      <c r="F385" s="1"/>
      <c r="K385" s="1"/>
      <c r="O385" s="1"/>
    </row>
    <row r="386" spans="1:15" ht="12.75">
      <c r="A386" s="1"/>
      <c r="D386" s="1"/>
      <c r="E386" s="1"/>
      <c r="F386" s="1"/>
      <c r="K386" s="1"/>
      <c r="O386" s="1"/>
    </row>
    <row r="387" spans="1:15" ht="12.75">
      <c r="A387" s="1"/>
      <c r="D387" s="1"/>
      <c r="E387" s="1"/>
      <c r="F387" s="1"/>
      <c r="K387" s="1"/>
      <c r="O387" s="1"/>
    </row>
    <row r="388" spans="1:15" ht="12.75">
      <c r="A388" s="1"/>
      <c r="D388" s="1"/>
      <c r="E388" s="1"/>
      <c r="F388" s="1"/>
      <c r="K388" s="1"/>
      <c r="O388" s="1"/>
    </row>
    <row r="389" spans="1:15" ht="12.75">
      <c r="A389" s="1"/>
      <c r="D389" s="1"/>
      <c r="E389" s="1"/>
      <c r="F389" s="1"/>
      <c r="K389" s="1"/>
      <c r="O389" s="1"/>
    </row>
    <row r="390" spans="1:15" ht="12.75">
      <c r="A390" s="1"/>
      <c r="D390" s="1"/>
      <c r="E390" s="1"/>
      <c r="F390" s="1"/>
      <c r="K390" s="1"/>
      <c r="O390" s="1"/>
    </row>
    <row r="391" spans="1:15" ht="12.75">
      <c r="A391" s="1"/>
      <c r="D391" s="1"/>
      <c r="E391" s="1"/>
      <c r="F391" s="1"/>
      <c r="K391" s="1"/>
      <c r="O391" s="1"/>
    </row>
    <row r="392" spans="1:15" ht="12.75">
      <c r="A392" s="1"/>
      <c r="D392" s="1"/>
      <c r="E392" s="1"/>
      <c r="F392" s="1"/>
      <c r="K392" s="1"/>
      <c r="O392" s="1"/>
    </row>
    <row r="393" spans="1:15" ht="12.75">
      <c r="A393" s="1"/>
      <c r="D393" s="1"/>
      <c r="E393" s="1"/>
      <c r="F393" s="1"/>
      <c r="K393" s="1"/>
      <c r="O393" s="1"/>
    </row>
    <row r="394" spans="1:15" ht="12.75">
      <c r="A394" s="1"/>
      <c r="D394" s="1"/>
      <c r="E394" s="1"/>
      <c r="F394" s="1"/>
      <c r="K394" s="1"/>
      <c r="O394" s="1"/>
    </row>
    <row r="395" spans="1:15" ht="12.75">
      <c r="A395" s="1"/>
      <c r="D395" s="1"/>
      <c r="E395" s="1"/>
      <c r="F395" s="1"/>
      <c r="K395" s="1"/>
      <c r="O395" s="1"/>
    </row>
    <row r="396" spans="1:15" ht="12.75">
      <c r="A396" s="1"/>
      <c r="D396" s="1"/>
      <c r="E396" s="1"/>
      <c r="F396" s="1"/>
      <c r="K396" s="1"/>
      <c r="O396" s="1"/>
    </row>
    <row r="397" spans="1:15" ht="12.75">
      <c r="A397" s="1"/>
      <c r="D397" s="1"/>
      <c r="E397" s="1"/>
      <c r="F397" s="1"/>
      <c r="K397" s="1"/>
      <c r="O397" s="1"/>
    </row>
    <row r="398" spans="1:15" ht="12.75">
      <c r="A398" s="1"/>
      <c r="D398" s="1"/>
      <c r="E398" s="1"/>
      <c r="F398" s="1"/>
      <c r="K398" s="1"/>
      <c r="O398" s="1"/>
    </row>
    <row r="399" spans="1:15" ht="12.75">
      <c r="A399" s="1"/>
      <c r="D399" s="1"/>
      <c r="E399" s="1"/>
      <c r="F399" s="1"/>
      <c r="K399" s="1"/>
      <c r="O399" s="1"/>
    </row>
    <row r="400" spans="1:15" ht="12.75">
      <c r="A400" s="1"/>
      <c r="D400" s="1"/>
      <c r="E400" s="1"/>
      <c r="F400" s="1"/>
      <c r="K400" s="1"/>
      <c r="O400" s="1"/>
    </row>
    <row r="401" spans="1:15" ht="12.75">
      <c r="A401" s="1"/>
      <c r="D401" s="1"/>
      <c r="E401" s="1"/>
      <c r="F401" s="1"/>
      <c r="K401" s="1"/>
      <c r="O401" s="1"/>
    </row>
    <row r="402" spans="1:15" ht="12.75">
      <c r="A402" s="1"/>
      <c r="D402" s="1"/>
      <c r="E402" s="1"/>
      <c r="F402" s="1"/>
      <c r="K402" s="1"/>
      <c r="O402" s="1"/>
    </row>
    <row r="403" spans="1:15" ht="12.75">
      <c r="A403" s="1"/>
      <c r="D403" s="1"/>
      <c r="E403" s="1"/>
      <c r="F403" s="1"/>
      <c r="K403" s="1"/>
      <c r="O403" s="1"/>
    </row>
    <row r="404" spans="1:15" ht="12.75">
      <c r="A404" s="1"/>
      <c r="D404" s="1"/>
      <c r="E404" s="1"/>
      <c r="F404" s="1"/>
      <c r="K404" s="1"/>
      <c r="O404" s="1"/>
    </row>
    <row r="405" spans="1:15" ht="12.75">
      <c r="A405" s="1"/>
      <c r="D405" s="1"/>
      <c r="E405" s="1"/>
      <c r="F405" s="1"/>
      <c r="K405" s="1"/>
      <c r="O405" s="1"/>
    </row>
    <row r="406" spans="1:15" ht="12.75">
      <c r="A406" s="1"/>
      <c r="D406" s="1"/>
      <c r="E406" s="1"/>
      <c r="F406" s="1"/>
      <c r="K406" s="1"/>
      <c r="O406" s="1"/>
    </row>
    <row r="407" spans="1:15" ht="12.75">
      <c r="A407" s="1"/>
      <c r="D407" s="1"/>
      <c r="E407" s="1"/>
      <c r="F407" s="1"/>
      <c r="K407" s="1"/>
      <c r="O407" s="1"/>
    </row>
    <row r="408" spans="1:15" ht="12.75">
      <c r="A408" s="1"/>
      <c r="D408" s="1"/>
      <c r="E408" s="1"/>
      <c r="F408" s="1"/>
      <c r="K408" s="1"/>
      <c r="O408" s="1"/>
    </row>
    <row r="409" spans="1:15" ht="12.75">
      <c r="A409" s="1"/>
      <c r="D409" s="1"/>
      <c r="E409" s="1"/>
      <c r="F409" s="1"/>
      <c r="K409" s="1"/>
      <c r="O409" s="1"/>
    </row>
    <row r="410" spans="1:15" ht="12.75">
      <c r="A410" s="1"/>
      <c r="D410" s="1"/>
      <c r="E410" s="1"/>
      <c r="F410" s="1"/>
      <c r="K410" s="1"/>
      <c r="O410" s="1"/>
    </row>
    <row r="411" spans="1:15" ht="12.75">
      <c r="A411" s="1"/>
      <c r="D411" s="1"/>
      <c r="E411" s="1"/>
      <c r="F411" s="1"/>
      <c r="K411" s="1"/>
      <c r="O411" s="1"/>
    </row>
    <row r="412" spans="1:15" ht="12.75">
      <c r="A412" s="1"/>
      <c r="D412" s="1"/>
      <c r="E412" s="1"/>
      <c r="F412" s="1"/>
      <c r="K412" s="1"/>
      <c r="O412" s="1"/>
    </row>
    <row r="413" spans="1:15" ht="12.75">
      <c r="A413" s="1"/>
      <c r="D413" s="1"/>
      <c r="E413" s="1"/>
      <c r="F413" s="1"/>
      <c r="K413" s="1"/>
      <c r="O413" s="1"/>
    </row>
    <row r="414" spans="1:15" ht="12.75">
      <c r="A414" s="1"/>
      <c r="D414" s="1"/>
      <c r="E414" s="1"/>
      <c r="F414" s="1"/>
      <c r="K414" s="1"/>
      <c r="O414" s="1"/>
    </row>
    <row r="415" spans="1:15" ht="12.75">
      <c r="A415" s="1"/>
      <c r="D415" s="1"/>
      <c r="E415" s="1"/>
      <c r="F415" s="1"/>
      <c r="K415" s="1"/>
      <c r="O415" s="1"/>
    </row>
    <row r="416" spans="1:15" ht="12.75">
      <c r="A416" s="1"/>
      <c r="D416" s="1"/>
      <c r="E416" s="1"/>
      <c r="F416" s="1"/>
      <c r="K416" s="1"/>
      <c r="O416" s="1"/>
    </row>
    <row r="417" spans="1:15" ht="12.75">
      <c r="A417" s="1"/>
      <c r="D417" s="1"/>
      <c r="E417" s="1"/>
      <c r="F417" s="1"/>
      <c r="K417" s="1"/>
      <c r="O417" s="1"/>
    </row>
    <row r="418" spans="1:15" ht="12.75">
      <c r="A418" s="1"/>
      <c r="D418" s="1"/>
      <c r="E418" s="1"/>
      <c r="F418" s="1"/>
      <c r="K418" s="1"/>
      <c r="O418" s="1"/>
    </row>
    <row r="419" spans="1:15" ht="12.75">
      <c r="A419" s="1"/>
      <c r="D419" s="1"/>
      <c r="E419" s="1"/>
      <c r="F419" s="1"/>
      <c r="K419" s="1"/>
      <c r="O419" s="1"/>
    </row>
    <row r="420" spans="1:15" ht="12.75">
      <c r="A420" s="1"/>
      <c r="D420" s="1"/>
      <c r="E420" s="1"/>
      <c r="F420" s="1"/>
      <c r="K420" s="1"/>
      <c r="O420" s="1"/>
    </row>
    <row r="421" spans="1:15" ht="12.75">
      <c r="A421" s="1"/>
      <c r="D421" s="1"/>
      <c r="E421" s="1"/>
      <c r="F421" s="1"/>
      <c r="K421" s="1"/>
      <c r="O421" s="1"/>
    </row>
    <row r="422" spans="1:15" ht="12.75">
      <c r="A422" s="1"/>
      <c r="D422" s="1"/>
      <c r="E422" s="1"/>
      <c r="F422" s="1"/>
      <c r="K422" s="1"/>
      <c r="O422" s="1"/>
    </row>
    <row r="423" spans="1:15" ht="12.75">
      <c r="A423" s="1"/>
      <c r="D423" s="1"/>
      <c r="E423" s="1"/>
      <c r="F423" s="1"/>
      <c r="K423" s="1"/>
      <c r="O423" s="1"/>
    </row>
    <row r="424" spans="1:15" ht="12.75">
      <c r="A424" s="1"/>
      <c r="D424" s="1"/>
      <c r="E424" s="1"/>
      <c r="F424" s="1"/>
      <c r="K424" s="1"/>
      <c r="O424" s="1"/>
    </row>
    <row r="425" spans="1:15" ht="12.75">
      <c r="A425" s="1"/>
      <c r="D425" s="1"/>
      <c r="E425" s="1"/>
      <c r="F425" s="1"/>
      <c r="K425" s="1"/>
      <c r="O425" s="1"/>
    </row>
    <row r="426" spans="1:15" ht="12.75">
      <c r="A426" s="1"/>
      <c r="D426" s="1"/>
      <c r="E426" s="1"/>
      <c r="F426" s="1"/>
      <c r="K426" s="1"/>
      <c r="O426" s="1"/>
    </row>
    <row r="427" spans="1:15" ht="12.75">
      <c r="A427" s="1"/>
      <c r="D427" s="1"/>
      <c r="E427" s="1"/>
      <c r="F427" s="1"/>
      <c r="K427" s="1"/>
      <c r="O427" s="1"/>
    </row>
    <row r="428" spans="1:15" ht="12.75">
      <c r="A428" s="1"/>
      <c r="D428" s="1"/>
      <c r="E428" s="1"/>
      <c r="F428" s="1"/>
      <c r="K428" s="1"/>
      <c r="O428" s="1"/>
    </row>
    <row r="429" spans="1:15" ht="12.75">
      <c r="A429" s="1"/>
      <c r="D429" s="1"/>
      <c r="E429" s="1"/>
      <c r="F429" s="1"/>
      <c r="K429" s="1"/>
      <c r="O429" s="1"/>
    </row>
    <row r="430" spans="1:15" ht="12.75">
      <c r="A430" s="1"/>
      <c r="D430" s="1"/>
      <c r="E430" s="1"/>
      <c r="F430" s="1"/>
      <c r="K430" s="1"/>
      <c r="O430" s="1"/>
    </row>
    <row r="431" spans="1:15" ht="12.75">
      <c r="A431" s="1"/>
      <c r="D431" s="1"/>
      <c r="E431" s="1"/>
      <c r="F431" s="1"/>
      <c r="K431" s="1"/>
      <c r="O431" s="1"/>
    </row>
    <row r="432" spans="1:15" ht="12.75">
      <c r="A432" s="1"/>
      <c r="D432" s="1"/>
      <c r="E432" s="1"/>
      <c r="F432" s="1"/>
      <c r="K432" s="1"/>
      <c r="O432" s="1"/>
    </row>
    <row r="433" spans="1:15" ht="12.75">
      <c r="A433" s="1"/>
      <c r="D433" s="1"/>
      <c r="E433" s="1"/>
      <c r="F433" s="1"/>
      <c r="K433" s="1"/>
      <c r="O433" s="1"/>
    </row>
    <row r="434" spans="1:15" ht="12.75">
      <c r="A434" s="1"/>
      <c r="D434" s="1"/>
      <c r="E434" s="1"/>
      <c r="F434" s="1"/>
      <c r="K434" s="1"/>
      <c r="O434" s="1"/>
    </row>
    <row r="435" spans="1:15" ht="12.75">
      <c r="A435" s="1"/>
      <c r="D435" s="1"/>
      <c r="E435" s="1"/>
      <c r="F435" s="1"/>
      <c r="K435" s="1"/>
      <c r="O435" s="1"/>
    </row>
    <row r="436" spans="1:15" ht="12.75">
      <c r="A436" s="1"/>
      <c r="D436" s="1"/>
      <c r="E436" s="1"/>
      <c r="F436" s="1"/>
      <c r="K436" s="1"/>
      <c r="O436" s="1"/>
    </row>
    <row r="437" spans="1:15" ht="12.75">
      <c r="A437" s="1"/>
      <c r="D437" s="1"/>
      <c r="E437" s="1"/>
      <c r="F437" s="1"/>
      <c r="K437" s="1"/>
      <c r="O437" s="1"/>
    </row>
    <row r="438" spans="1:15" ht="12.75">
      <c r="A438" s="1"/>
      <c r="D438" s="1"/>
      <c r="E438" s="1"/>
      <c r="F438" s="1"/>
      <c r="K438" s="1"/>
      <c r="O438" s="1"/>
    </row>
    <row r="439" spans="1:15" ht="12.75">
      <c r="A439" s="1"/>
      <c r="D439" s="1"/>
      <c r="E439" s="1"/>
      <c r="F439" s="1"/>
      <c r="K439" s="1"/>
      <c r="O439" s="1"/>
    </row>
    <row r="440" spans="1:15" ht="12.75">
      <c r="A440" s="1"/>
      <c r="D440" s="1"/>
      <c r="E440" s="1"/>
      <c r="F440" s="1"/>
      <c r="K440" s="1"/>
      <c r="O440" s="1"/>
    </row>
    <row r="441" spans="1:15" ht="12.75">
      <c r="A441" s="1"/>
      <c r="D441" s="1"/>
      <c r="E441" s="1"/>
      <c r="F441" s="1"/>
      <c r="K441" s="1"/>
      <c r="O441" s="1"/>
    </row>
    <row r="442" spans="1:15" ht="12.75">
      <c r="A442" s="1"/>
      <c r="D442" s="1"/>
      <c r="E442" s="1"/>
      <c r="F442" s="1"/>
      <c r="K442" s="1"/>
      <c r="O442" s="1"/>
    </row>
    <row r="443" spans="1:15" ht="12.75">
      <c r="A443" s="1"/>
      <c r="D443" s="1"/>
      <c r="E443" s="1"/>
      <c r="F443" s="1"/>
      <c r="K443" s="1"/>
      <c r="O443" s="1"/>
    </row>
    <row r="444" spans="1:15" ht="12.75">
      <c r="A444" s="1"/>
      <c r="D444" s="1"/>
      <c r="E444" s="1"/>
      <c r="F444" s="1"/>
      <c r="K444" s="1"/>
      <c r="O444" s="1"/>
    </row>
    <row r="445" spans="1:15" ht="12.75">
      <c r="A445" s="1"/>
      <c r="D445" s="1"/>
      <c r="E445" s="1"/>
      <c r="F445" s="1"/>
      <c r="K445" s="1"/>
      <c r="O445" s="1"/>
    </row>
    <row r="446" spans="1:15" ht="12.75">
      <c r="A446" s="1"/>
      <c r="D446" s="1"/>
      <c r="E446" s="1"/>
      <c r="F446" s="1"/>
      <c r="K446" s="1"/>
      <c r="O446" s="1"/>
    </row>
    <row r="447" spans="1:15" ht="12.75">
      <c r="A447" s="1"/>
      <c r="D447" s="1"/>
      <c r="E447" s="1"/>
      <c r="F447" s="1"/>
      <c r="K447" s="1"/>
      <c r="O447" s="1"/>
    </row>
    <row r="448" spans="1:15" ht="12.75">
      <c r="A448" s="1"/>
      <c r="D448" s="1"/>
      <c r="E448" s="1"/>
      <c r="F448" s="1"/>
      <c r="K448" s="1"/>
      <c r="O448" s="1"/>
    </row>
    <row r="449" spans="1:15" ht="12.75">
      <c r="A449" s="1"/>
      <c r="D449" s="1"/>
      <c r="E449" s="1"/>
      <c r="F449" s="1"/>
      <c r="K449" s="1"/>
      <c r="O449" s="1"/>
    </row>
    <row r="450" spans="1:15" ht="12.75">
      <c r="A450" s="1"/>
      <c r="D450" s="1"/>
      <c r="E450" s="1"/>
      <c r="F450" s="1"/>
      <c r="K450" s="1"/>
      <c r="O450" s="1"/>
    </row>
    <row r="451" spans="1:15" ht="12.75">
      <c r="A451" s="1"/>
      <c r="D451" s="1"/>
      <c r="E451" s="1"/>
      <c r="F451" s="1"/>
      <c r="K451" s="1"/>
      <c r="O451" s="1"/>
    </row>
    <row r="452" spans="1:15" ht="12.75">
      <c r="A452" s="1"/>
      <c r="D452" s="1"/>
      <c r="E452" s="1"/>
      <c r="F452" s="1"/>
      <c r="K452" s="1"/>
      <c r="O452" s="1"/>
    </row>
    <row r="453" spans="1:15" ht="12.75">
      <c r="A453" s="1"/>
      <c r="D453" s="1"/>
      <c r="E453" s="1"/>
      <c r="F453" s="1"/>
      <c r="K453" s="1"/>
      <c r="O453" s="1"/>
    </row>
    <row r="454" spans="1:15" ht="12.75">
      <c r="A454" s="1"/>
      <c r="D454" s="1"/>
      <c r="E454" s="1"/>
      <c r="F454" s="1"/>
      <c r="K454" s="1"/>
      <c r="O454" s="1"/>
    </row>
    <row r="455" spans="1:15" ht="12.75">
      <c r="A455" s="1"/>
      <c r="D455" s="1"/>
      <c r="E455" s="1"/>
      <c r="F455" s="1"/>
      <c r="K455" s="1"/>
      <c r="O455" s="1"/>
    </row>
    <row r="456" spans="1:15" ht="12.75">
      <c r="A456" s="1"/>
      <c r="D456" s="1"/>
      <c r="E456" s="1"/>
      <c r="F456" s="1"/>
      <c r="K456" s="1"/>
      <c r="O456" s="1"/>
    </row>
    <row r="457" spans="1:15" ht="12.75">
      <c r="A457" s="1"/>
      <c r="D457" s="1"/>
      <c r="E457" s="1"/>
      <c r="F457" s="1"/>
      <c r="K457" s="1"/>
      <c r="O457" s="1"/>
    </row>
    <row r="458" spans="1:15" ht="12.75">
      <c r="A458" s="1"/>
      <c r="D458" s="1"/>
      <c r="E458" s="1"/>
      <c r="F458" s="1"/>
      <c r="K458" s="1"/>
      <c r="O458" s="1"/>
    </row>
    <row r="459" spans="1:15" ht="12.75">
      <c r="A459" s="1"/>
      <c r="D459" s="1"/>
      <c r="E459" s="1"/>
      <c r="F459" s="1"/>
      <c r="K459" s="1"/>
      <c r="O459" s="1"/>
    </row>
    <row r="460" spans="1:15" ht="12.75">
      <c r="A460" s="1"/>
      <c r="D460" s="1"/>
      <c r="E460" s="1"/>
      <c r="F460" s="1"/>
      <c r="K460" s="1"/>
      <c r="O460" s="1"/>
    </row>
    <row r="461" spans="1:15" ht="12.75">
      <c r="A461" s="1"/>
      <c r="D461" s="1"/>
      <c r="E461" s="1"/>
      <c r="F461" s="1"/>
      <c r="K461" s="1"/>
      <c r="O461" s="1"/>
    </row>
    <row r="462" spans="1:15" ht="12.75">
      <c r="A462" s="1"/>
      <c r="D462" s="1"/>
      <c r="E462" s="1"/>
      <c r="F462" s="1"/>
      <c r="K462" s="1"/>
      <c r="O462" s="1"/>
    </row>
    <row r="463" spans="1:15" ht="12.75">
      <c r="A463" s="1"/>
      <c r="D463" s="1"/>
      <c r="E463" s="1"/>
      <c r="F463" s="1"/>
      <c r="K463" s="1"/>
      <c r="O463" s="1"/>
    </row>
    <row r="464" spans="1:15" ht="12.75">
      <c r="A464" s="1"/>
      <c r="D464" s="1"/>
      <c r="E464" s="1"/>
      <c r="F464" s="1"/>
      <c r="K464" s="1"/>
      <c r="O464" s="1"/>
    </row>
    <row r="465" spans="1:15" ht="12.75">
      <c r="A465" s="1"/>
      <c r="D465" s="1"/>
      <c r="E465" s="1"/>
      <c r="F465" s="1"/>
      <c r="K465" s="1"/>
      <c r="O465" s="1"/>
    </row>
    <row r="466" spans="1:15" ht="12.75">
      <c r="A466" s="1"/>
      <c r="D466" s="1"/>
      <c r="E466" s="1"/>
      <c r="F466" s="1"/>
      <c r="K466" s="1"/>
      <c r="O466" s="1"/>
    </row>
    <row r="467" spans="1:15" ht="12.75">
      <c r="A467" s="1"/>
      <c r="D467" s="1"/>
      <c r="E467" s="1"/>
      <c r="F467" s="1"/>
      <c r="K467" s="1"/>
      <c r="O467" s="1"/>
    </row>
    <row r="468" spans="1:15" ht="12.75">
      <c r="A468" s="1"/>
      <c r="D468" s="1"/>
      <c r="E468" s="1"/>
      <c r="F468" s="1"/>
      <c r="K468" s="1"/>
      <c r="O468" s="1"/>
    </row>
    <row r="469" spans="1:15" ht="12.75">
      <c r="A469" s="1"/>
      <c r="D469" s="1"/>
      <c r="E469" s="1"/>
      <c r="F469" s="1"/>
      <c r="K469" s="1"/>
      <c r="O469" s="1"/>
    </row>
    <row r="470" spans="1:15" ht="12.75">
      <c r="A470" s="1"/>
      <c r="D470" s="1"/>
      <c r="E470" s="1"/>
      <c r="F470" s="1"/>
      <c r="K470" s="1"/>
      <c r="O470" s="1"/>
    </row>
    <row r="471" spans="1:15" ht="12.75">
      <c r="A471" s="1"/>
      <c r="D471" s="1"/>
      <c r="E471" s="1"/>
      <c r="F471" s="1"/>
      <c r="K471" s="1"/>
      <c r="O471" s="1"/>
    </row>
    <row r="472" spans="1:15" ht="12.75">
      <c r="A472" s="1"/>
      <c r="D472" s="1"/>
      <c r="E472" s="1"/>
      <c r="F472" s="1"/>
      <c r="K472" s="1"/>
      <c r="O472" s="1"/>
    </row>
    <row r="473" spans="1:15" ht="12.75">
      <c r="A473" s="1"/>
      <c r="D473" s="1"/>
      <c r="E473" s="1"/>
      <c r="F473" s="1"/>
      <c r="K473" s="1"/>
      <c r="O473" s="1"/>
    </row>
    <row r="474" spans="1:15" ht="12.75">
      <c r="A474" s="1"/>
      <c r="D474" s="1"/>
      <c r="E474" s="1"/>
      <c r="F474" s="1"/>
      <c r="K474" s="1"/>
      <c r="O474" s="1"/>
    </row>
    <row r="475" spans="1:15" ht="12.75">
      <c r="A475" s="1"/>
      <c r="D475" s="1"/>
      <c r="E475" s="1"/>
      <c r="F475" s="1"/>
      <c r="K475" s="1"/>
      <c r="O475" s="1"/>
    </row>
    <row r="476" spans="1:15" ht="12.75">
      <c r="A476" s="1"/>
      <c r="D476" s="1"/>
      <c r="E476" s="1"/>
      <c r="F476" s="1"/>
      <c r="K476" s="1"/>
      <c r="O476" s="1"/>
    </row>
    <row r="477" spans="1:15" ht="12.75">
      <c r="A477" s="1"/>
      <c r="D477" s="1"/>
      <c r="E477" s="1"/>
      <c r="F477" s="1"/>
      <c r="K477" s="1"/>
      <c r="O477" s="1"/>
    </row>
    <row r="478" spans="1:15" ht="12.75">
      <c r="A478" s="1"/>
      <c r="D478" s="1"/>
      <c r="E478" s="1"/>
      <c r="F478" s="1"/>
      <c r="K478" s="1"/>
      <c r="O478" s="1"/>
    </row>
    <row r="479" spans="1:15" ht="12.75">
      <c r="A479" s="1"/>
      <c r="D479" s="1"/>
      <c r="E479" s="1"/>
      <c r="F479" s="1"/>
      <c r="K479" s="1"/>
      <c r="O479" s="1"/>
    </row>
    <row r="480" spans="1:15" ht="12.75">
      <c r="A480" s="1"/>
      <c r="D480" s="1"/>
      <c r="E480" s="1"/>
      <c r="F480" s="1"/>
      <c r="K480" s="1"/>
      <c r="O480" s="1"/>
    </row>
    <row r="481" spans="1:15" ht="12.75">
      <c r="A481" s="1"/>
      <c r="D481" s="1"/>
      <c r="E481" s="1"/>
      <c r="F481" s="1"/>
      <c r="K481" s="1"/>
      <c r="O481" s="1"/>
    </row>
    <row r="482" spans="1:15" ht="12.75">
      <c r="A482" s="1"/>
      <c r="D482" s="1"/>
      <c r="E482" s="1"/>
      <c r="F482" s="1"/>
      <c r="K482" s="1"/>
      <c r="O482" s="1"/>
    </row>
    <row r="483" spans="1:15" ht="12.75">
      <c r="A483" s="1"/>
      <c r="D483" s="1"/>
      <c r="E483" s="1"/>
      <c r="F483" s="1"/>
      <c r="K483" s="1"/>
      <c r="O483" s="1"/>
    </row>
    <row r="484" spans="1:15" ht="12.75">
      <c r="A484" s="1"/>
      <c r="D484" s="1"/>
      <c r="E484" s="1"/>
      <c r="F484" s="1"/>
      <c r="K484" s="1"/>
      <c r="O484" s="1"/>
    </row>
    <row r="485" spans="1:15" ht="12.75">
      <c r="A485" s="1"/>
      <c r="D485" s="1"/>
      <c r="E485" s="1"/>
      <c r="F485" s="1"/>
      <c r="K485" s="1"/>
      <c r="O485" s="1"/>
    </row>
    <row r="486" spans="1:15" ht="12.75">
      <c r="A486" s="1"/>
      <c r="D486" s="1"/>
      <c r="E486" s="1"/>
      <c r="F486" s="1"/>
      <c r="K486" s="1"/>
      <c r="O486" s="1"/>
    </row>
    <row r="487" spans="1:15" ht="12.75">
      <c r="A487" s="1"/>
      <c r="D487" s="1"/>
      <c r="E487" s="1"/>
      <c r="F487" s="1"/>
      <c r="K487" s="1"/>
      <c r="O487" s="1"/>
    </row>
    <row r="488" spans="1:15" ht="12.75">
      <c r="A488" s="1"/>
      <c r="D488" s="1"/>
      <c r="E488" s="1"/>
      <c r="F488" s="1"/>
      <c r="K488" s="1"/>
      <c r="O488" s="1"/>
    </row>
    <row r="489" spans="1:15" ht="12.75">
      <c r="A489" s="1"/>
      <c r="D489" s="1"/>
      <c r="E489" s="1"/>
      <c r="F489" s="1"/>
      <c r="K489" s="1"/>
      <c r="O489" s="1"/>
    </row>
    <row r="490" spans="1:15" ht="12.75">
      <c r="A490" s="1"/>
      <c r="D490" s="1"/>
      <c r="E490" s="1"/>
      <c r="F490" s="1"/>
      <c r="K490" s="1"/>
      <c r="O490" s="1"/>
    </row>
    <row r="491" spans="1:15" ht="12.75">
      <c r="A491" s="1"/>
      <c r="D491" s="1"/>
      <c r="E491" s="1"/>
      <c r="F491" s="1"/>
      <c r="K491" s="1"/>
      <c r="O491" s="1"/>
    </row>
    <row r="492" spans="1:15" ht="12.75">
      <c r="A492" s="1"/>
      <c r="D492" s="1"/>
      <c r="E492" s="1"/>
      <c r="F492" s="1"/>
      <c r="K492" s="1"/>
      <c r="O492" s="1"/>
    </row>
    <row r="493" spans="1:15" ht="12.75">
      <c r="A493" s="1"/>
      <c r="D493" s="1"/>
      <c r="E493" s="1"/>
      <c r="F493" s="1"/>
      <c r="K493" s="1"/>
      <c r="O493" s="1"/>
    </row>
    <row r="494" spans="1:15" ht="12.75">
      <c r="A494" s="1"/>
      <c r="D494" s="1"/>
      <c r="E494" s="1"/>
      <c r="F494" s="1"/>
      <c r="K494" s="1"/>
      <c r="O494" s="1"/>
    </row>
    <row r="495" spans="1:15" ht="12.75">
      <c r="A495" s="1"/>
      <c r="D495" s="1"/>
      <c r="E495" s="1"/>
      <c r="F495" s="1"/>
      <c r="K495" s="1"/>
      <c r="O495" s="1"/>
    </row>
    <row r="496" spans="1:15" ht="12.75">
      <c r="A496" s="1"/>
      <c r="D496" s="1"/>
      <c r="E496" s="1"/>
      <c r="F496" s="1"/>
      <c r="K496" s="1"/>
      <c r="O496" s="1"/>
    </row>
    <row r="497" spans="1:15" ht="12.75">
      <c r="A497" s="1"/>
      <c r="D497" s="1"/>
      <c r="E497" s="1"/>
      <c r="F497" s="1"/>
      <c r="K497" s="1"/>
      <c r="O497" s="1"/>
    </row>
    <row r="498" spans="1:15" ht="12.75">
      <c r="A498" s="1"/>
      <c r="D498" s="1"/>
      <c r="E498" s="1"/>
      <c r="F498" s="1"/>
      <c r="K498" s="1"/>
      <c r="O498" s="1"/>
    </row>
    <row r="499" spans="1:15" ht="12.75">
      <c r="A499" s="1"/>
      <c r="D499" s="1"/>
      <c r="E499" s="1"/>
      <c r="F499" s="1"/>
      <c r="K499" s="1"/>
      <c r="O499" s="1"/>
    </row>
    <row r="500" spans="1:15" ht="12.75">
      <c r="A500" s="1"/>
      <c r="D500" s="1"/>
      <c r="E500" s="1"/>
      <c r="F500" s="1"/>
      <c r="K500" s="1"/>
      <c r="O500" s="1"/>
    </row>
    <row r="501" spans="1:15" ht="12.75">
      <c r="A501" s="1"/>
      <c r="D501" s="1"/>
      <c r="E501" s="1"/>
      <c r="F501" s="1"/>
      <c r="K501" s="1"/>
      <c r="O501" s="1"/>
    </row>
    <row r="502" spans="1:15" ht="12.75">
      <c r="A502" s="1"/>
      <c r="D502" s="1"/>
      <c r="E502" s="1"/>
      <c r="F502" s="1"/>
      <c r="K502" s="1"/>
      <c r="O502" s="1"/>
    </row>
    <row r="503" spans="1:15" ht="12.75">
      <c r="A503" s="1"/>
      <c r="D503" s="1"/>
      <c r="E503" s="1"/>
      <c r="F503" s="1"/>
      <c r="K503" s="1"/>
      <c r="O503" s="1"/>
    </row>
    <row r="504" spans="1:15" ht="12.75">
      <c r="A504" s="1"/>
      <c r="D504" s="1"/>
      <c r="E504" s="1"/>
      <c r="F504" s="1"/>
      <c r="K504" s="1"/>
      <c r="O504" s="1"/>
    </row>
    <row r="505" spans="1:15" ht="12.75">
      <c r="A505" s="1"/>
      <c r="D505" s="1"/>
      <c r="E505" s="1"/>
      <c r="F505" s="1"/>
      <c r="K505" s="1"/>
      <c r="O505" s="1"/>
    </row>
    <row r="506" spans="1:15" ht="12.75">
      <c r="A506" s="1"/>
      <c r="D506" s="1"/>
      <c r="E506" s="1"/>
      <c r="F506" s="1"/>
      <c r="K506" s="1"/>
      <c r="O506" s="1"/>
    </row>
    <row r="507" spans="1:15" ht="12.75">
      <c r="A507" s="1"/>
      <c r="D507" s="1"/>
      <c r="E507" s="1"/>
      <c r="F507" s="1"/>
      <c r="K507" s="1"/>
      <c r="O507" s="1"/>
    </row>
    <row r="508" spans="1:15" ht="12.75">
      <c r="A508" s="1"/>
      <c r="D508" s="1"/>
      <c r="E508" s="1"/>
      <c r="F508" s="1"/>
      <c r="K508" s="1"/>
      <c r="O508" s="1"/>
    </row>
    <row r="509" spans="1:15" ht="12.75">
      <c r="A509" s="1"/>
      <c r="D509" s="1"/>
      <c r="E509" s="1"/>
      <c r="F509" s="1"/>
      <c r="K509" s="1"/>
      <c r="O509" s="1"/>
    </row>
    <row r="510" spans="1:15" ht="12.75">
      <c r="A510" s="1"/>
      <c r="D510" s="1"/>
      <c r="E510" s="1"/>
      <c r="F510" s="1"/>
      <c r="K510" s="1"/>
      <c r="O510" s="1"/>
    </row>
    <row r="511" spans="1:15" ht="12.75">
      <c r="A511" s="1"/>
      <c r="D511" s="1"/>
      <c r="E511" s="1"/>
      <c r="F511" s="1"/>
      <c r="K511" s="1"/>
      <c r="O511" s="1"/>
    </row>
    <row r="512" spans="1:15" ht="12.75">
      <c r="A512" s="1"/>
      <c r="D512" s="1"/>
      <c r="E512" s="1"/>
      <c r="F512" s="1"/>
      <c r="K512" s="1"/>
      <c r="O512" s="1"/>
    </row>
    <row r="513" spans="1:15" ht="12.75">
      <c r="A513" s="1"/>
      <c r="D513" s="1"/>
      <c r="E513" s="1"/>
      <c r="F513" s="1"/>
      <c r="K513" s="1"/>
      <c r="O513" s="1"/>
    </row>
    <row r="514" spans="1:15" ht="12.75">
      <c r="A514" s="1"/>
      <c r="D514" s="1"/>
      <c r="E514" s="1"/>
      <c r="F514" s="1"/>
      <c r="K514" s="1"/>
      <c r="O514" s="1"/>
    </row>
    <row r="515" spans="1:15" ht="12.75">
      <c r="A515" s="1"/>
      <c r="D515" s="1"/>
      <c r="E515" s="1"/>
      <c r="F515" s="1"/>
      <c r="K515" s="1"/>
      <c r="O515" s="1"/>
    </row>
    <row r="516" spans="1:15" ht="12.75">
      <c r="A516" s="1"/>
      <c r="D516" s="1"/>
      <c r="E516" s="1"/>
      <c r="F516" s="1"/>
      <c r="K516" s="1"/>
      <c r="O516" s="1"/>
    </row>
    <row r="517" spans="1:15" ht="12.75">
      <c r="A517" s="1"/>
      <c r="D517" s="1"/>
      <c r="E517" s="1"/>
      <c r="F517" s="1"/>
      <c r="K517" s="1"/>
      <c r="O517" s="1"/>
    </row>
    <row r="518" spans="1:15" ht="12.75">
      <c r="A518" s="1"/>
      <c r="D518" s="1"/>
      <c r="E518" s="1"/>
      <c r="F518" s="1"/>
      <c r="K518" s="1"/>
      <c r="O518" s="1"/>
    </row>
    <row r="519" spans="1:15" ht="12.75">
      <c r="A519" s="1"/>
      <c r="D519" s="1"/>
      <c r="E519" s="1"/>
      <c r="F519" s="1"/>
      <c r="K519" s="1"/>
      <c r="O519" s="1"/>
    </row>
    <row r="520" spans="1:15" ht="12.75">
      <c r="A520" s="1"/>
      <c r="D520" s="1"/>
      <c r="E520" s="1"/>
      <c r="F520" s="1"/>
      <c r="K520" s="1"/>
      <c r="O520" s="1"/>
    </row>
    <row r="521" spans="1:15" ht="12.75">
      <c r="A521" s="1"/>
      <c r="D521" s="1"/>
      <c r="E521" s="1"/>
      <c r="F521" s="1"/>
      <c r="K521" s="1"/>
      <c r="O521" s="1"/>
    </row>
    <row r="522" spans="1:15" ht="12.75">
      <c r="A522" s="1"/>
      <c r="D522" s="1"/>
      <c r="E522" s="1"/>
      <c r="F522" s="1"/>
      <c r="K522" s="1"/>
      <c r="O522" s="1"/>
    </row>
    <row r="523" spans="1:15" ht="12.75">
      <c r="A523" s="1"/>
      <c r="D523" s="1"/>
      <c r="E523" s="1"/>
      <c r="F523" s="1"/>
      <c r="K523" s="1"/>
      <c r="O523" s="1"/>
    </row>
    <row r="524" spans="1:15" ht="12.75">
      <c r="A524" s="1"/>
      <c r="D524" s="1"/>
      <c r="E524" s="1"/>
      <c r="F524" s="1"/>
      <c r="K524" s="1"/>
      <c r="O524" s="1"/>
    </row>
    <row r="525" spans="1:15" ht="12.75">
      <c r="A525" s="1"/>
      <c r="D525" s="1"/>
      <c r="E525" s="1"/>
      <c r="F525" s="1"/>
      <c r="K525" s="1"/>
      <c r="O525" s="1"/>
    </row>
    <row r="526" spans="1:15" ht="12.75">
      <c r="A526" s="1"/>
      <c r="D526" s="1"/>
      <c r="E526" s="1"/>
      <c r="F526" s="1"/>
      <c r="K526" s="1"/>
      <c r="O526" s="1"/>
    </row>
    <row r="527" spans="1:15" ht="12.75">
      <c r="A527" s="1"/>
      <c r="D527" s="1"/>
      <c r="E527" s="1"/>
      <c r="F527" s="1"/>
      <c r="K527" s="1"/>
      <c r="O527" s="1"/>
    </row>
    <row r="528" spans="1:15" ht="12.75">
      <c r="A528" s="1"/>
      <c r="D528" s="1"/>
      <c r="E528" s="1"/>
      <c r="F528" s="1"/>
      <c r="K528" s="1"/>
      <c r="O528" s="1"/>
    </row>
    <row r="529" spans="1:15" ht="12.75">
      <c r="A529" s="1"/>
      <c r="D529" s="1"/>
      <c r="E529" s="1"/>
      <c r="F529" s="1"/>
      <c r="K529" s="1"/>
      <c r="O529" s="1"/>
    </row>
    <row r="530" spans="1:15" ht="12.75">
      <c r="A530" s="1"/>
      <c r="D530" s="1"/>
      <c r="E530" s="1"/>
      <c r="F530" s="1"/>
      <c r="K530" s="1"/>
      <c r="O530" s="1"/>
    </row>
    <row r="531" spans="1:15" ht="12.75">
      <c r="A531" s="1"/>
      <c r="D531" s="1"/>
      <c r="E531" s="1"/>
      <c r="F531" s="1"/>
      <c r="K531" s="1"/>
      <c r="O531" s="1"/>
    </row>
    <row r="532" spans="1:15" ht="12.75">
      <c r="A532" s="1"/>
      <c r="D532" s="1"/>
      <c r="E532" s="1"/>
      <c r="F532" s="1"/>
      <c r="K532" s="1"/>
      <c r="O532" s="1"/>
    </row>
    <row r="533" spans="1:15" ht="12.75">
      <c r="A533" s="1"/>
      <c r="D533" s="1"/>
      <c r="E533" s="1"/>
      <c r="F533" s="1"/>
      <c r="K533" s="1"/>
      <c r="O533" s="1"/>
    </row>
    <row r="534" spans="1:15" ht="12.75">
      <c r="A534" s="1"/>
      <c r="D534" s="1"/>
      <c r="E534" s="1"/>
      <c r="F534" s="1"/>
      <c r="K534" s="1"/>
      <c r="O534" s="1"/>
    </row>
    <row r="535" spans="1:15" ht="12.75">
      <c r="A535" s="1"/>
      <c r="D535" s="1"/>
      <c r="E535" s="1"/>
      <c r="F535" s="1"/>
      <c r="K535" s="1"/>
      <c r="O535" s="1"/>
    </row>
    <row r="536" spans="1:15" ht="12.75">
      <c r="A536" s="1"/>
      <c r="D536" s="1"/>
      <c r="E536" s="1"/>
      <c r="F536" s="1"/>
      <c r="K536" s="1"/>
      <c r="O536" s="1"/>
    </row>
    <row r="537" spans="1:15" ht="12.75">
      <c r="A537" s="1"/>
      <c r="D537" s="1"/>
      <c r="E537" s="1"/>
      <c r="F537" s="1"/>
      <c r="K537" s="1"/>
      <c r="O537" s="1"/>
    </row>
    <row r="538" spans="1:15" ht="12.75">
      <c r="A538" s="1"/>
      <c r="D538" s="1"/>
      <c r="E538" s="1"/>
      <c r="F538" s="1"/>
      <c r="K538" s="1"/>
      <c r="O538" s="1"/>
    </row>
    <row r="539" spans="1:15" ht="12.75">
      <c r="A539" s="1"/>
      <c r="D539" s="1"/>
      <c r="E539" s="1"/>
      <c r="F539" s="1"/>
      <c r="K539" s="1"/>
      <c r="O539" s="1"/>
    </row>
    <row r="540" spans="1:15" ht="12.75">
      <c r="A540" s="1"/>
      <c r="D540" s="1"/>
      <c r="E540" s="1"/>
      <c r="F540" s="1"/>
      <c r="K540" s="1"/>
      <c r="O540" s="1"/>
    </row>
    <row r="541" spans="1:15" ht="12.75">
      <c r="A541" s="1"/>
      <c r="D541" s="1"/>
      <c r="E541" s="1"/>
      <c r="F541" s="1"/>
      <c r="K541" s="1"/>
      <c r="O541" s="1"/>
    </row>
    <row r="542" spans="1:15" ht="12.75">
      <c r="A542" s="1"/>
      <c r="D542" s="1"/>
      <c r="E542" s="1"/>
      <c r="F542" s="1"/>
      <c r="K542" s="1"/>
      <c r="O542" s="1"/>
    </row>
    <row r="543" spans="1:15" ht="12.75">
      <c r="A543" s="1"/>
      <c r="D543" s="1"/>
      <c r="E543" s="1"/>
      <c r="F543" s="1"/>
      <c r="K543" s="1"/>
      <c r="O543" s="1"/>
    </row>
    <row r="544" spans="1:15" ht="12.75">
      <c r="A544" s="1"/>
      <c r="D544" s="1"/>
      <c r="E544" s="1"/>
      <c r="F544" s="1"/>
      <c r="K544" s="1"/>
      <c r="O544" s="1"/>
    </row>
    <row r="545" spans="1:15" ht="12.75">
      <c r="A545" s="1"/>
      <c r="D545" s="1"/>
      <c r="E545" s="1"/>
      <c r="F545" s="1"/>
      <c r="K545" s="1"/>
      <c r="O545" s="1"/>
    </row>
    <row r="546" spans="1:15" ht="12.75">
      <c r="A546" s="1"/>
      <c r="D546" s="1"/>
      <c r="E546" s="1"/>
      <c r="F546" s="1"/>
      <c r="K546" s="1"/>
      <c r="O546" s="1"/>
    </row>
    <row r="547" spans="1:15" ht="12.75">
      <c r="A547" s="1"/>
      <c r="D547" s="1"/>
      <c r="E547" s="1"/>
      <c r="F547" s="1"/>
      <c r="K547" s="1"/>
      <c r="O547" s="1"/>
    </row>
    <row r="548" spans="1:15" ht="12.75">
      <c r="A548" s="1"/>
      <c r="D548" s="1"/>
      <c r="E548" s="1"/>
      <c r="F548" s="1"/>
      <c r="K548" s="1"/>
      <c r="O548" s="1"/>
    </row>
    <row r="549" spans="1:15" ht="12.75">
      <c r="A549" s="1"/>
      <c r="D549" s="1"/>
      <c r="E549" s="1"/>
      <c r="F549" s="1"/>
      <c r="K549" s="1"/>
      <c r="O549" s="1"/>
    </row>
    <row r="550" spans="1:15" ht="12.75">
      <c r="A550" s="1"/>
      <c r="D550" s="1"/>
      <c r="E550" s="1"/>
      <c r="F550" s="1"/>
      <c r="K550" s="1"/>
      <c r="O550" s="1"/>
    </row>
    <row r="551" spans="1:15" ht="12.75">
      <c r="A551" s="1"/>
      <c r="D551" s="1"/>
      <c r="E551" s="1"/>
      <c r="F551" s="1"/>
      <c r="K551" s="1"/>
      <c r="O551" s="1"/>
    </row>
    <row r="552" spans="1:15" ht="12.75">
      <c r="A552" s="1"/>
      <c r="D552" s="1"/>
      <c r="E552" s="1"/>
      <c r="F552" s="1"/>
      <c r="K552" s="1"/>
      <c r="O552" s="1"/>
    </row>
    <row r="553" spans="1:15" ht="12.75">
      <c r="A553" s="1"/>
      <c r="D553" s="1"/>
      <c r="E553" s="1"/>
      <c r="F553" s="1"/>
      <c r="K553" s="1"/>
      <c r="O553" s="1"/>
    </row>
    <row r="554" spans="1:15" ht="12.75">
      <c r="A554" s="1"/>
      <c r="D554" s="1"/>
      <c r="E554" s="1"/>
      <c r="F554" s="1"/>
      <c r="K554" s="1"/>
      <c r="O554" s="1"/>
    </row>
    <row r="555" spans="1:15" ht="12.75">
      <c r="A555" s="1"/>
      <c r="D555" s="1"/>
      <c r="E555" s="1"/>
      <c r="F555" s="1"/>
      <c r="K555" s="1"/>
      <c r="O555" s="1"/>
    </row>
    <row r="556" spans="1:15" ht="12.75">
      <c r="A556" s="1"/>
      <c r="D556" s="1"/>
      <c r="E556" s="1"/>
      <c r="F556" s="1"/>
      <c r="K556" s="1"/>
      <c r="O556" s="1"/>
    </row>
    <row r="557" spans="1:15" ht="12.75">
      <c r="A557" s="1"/>
      <c r="D557" s="1"/>
      <c r="E557" s="1"/>
      <c r="F557" s="1"/>
      <c r="K557" s="1"/>
      <c r="O557" s="1"/>
    </row>
    <row r="558" spans="1:15" ht="12.75">
      <c r="A558" s="1"/>
      <c r="D558" s="1"/>
      <c r="E558" s="1"/>
      <c r="F558" s="1"/>
      <c r="K558" s="1"/>
      <c r="O558" s="1"/>
    </row>
    <row r="559" spans="1:15" ht="12.75">
      <c r="A559" s="1"/>
      <c r="D559" s="1"/>
      <c r="E559" s="1"/>
      <c r="F559" s="1"/>
      <c r="K559" s="1"/>
      <c r="O559" s="1"/>
    </row>
    <row r="560" spans="1:15" ht="12.75">
      <c r="A560" s="1"/>
      <c r="D560" s="1"/>
      <c r="E560" s="1"/>
      <c r="F560" s="1"/>
      <c r="K560" s="1"/>
      <c r="O560" s="1"/>
    </row>
    <row r="561" spans="1:15" ht="12.75">
      <c r="A561" s="1"/>
      <c r="D561" s="1"/>
      <c r="E561" s="1"/>
      <c r="F561" s="1"/>
      <c r="K561" s="1"/>
      <c r="O561" s="1"/>
    </row>
    <row r="562" spans="1:15" ht="12.75">
      <c r="A562" s="1"/>
      <c r="D562" s="1"/>
      <c r="E562" s="1"/>
      <c r="F562" s="1"/>
      <c r="K562" s="1"/>
      <c r="O562" s="1"/>
    </row>
    <row r="563" spans="1:15" ht="12.75">
      <c r="A563" s="1"/>
      <c r="D563" s="1"/>
      <c r="E563" s="1"/>
      <c r="F563" s="1"/>
      <c r="K563" s="1"/>
      <c r="O563" s="1"/>
    </row>
    <row r="564" spans="1:15" ht="12.75">
      <c r="A564" s="1"/>
      <c r="D564" s="1"/>
      <c r="E564" s="1"/>
      <c r="F564" s="1"/>
      <c r="K564" s="1"/>
      <c r="O564" s="1"/>
    </row>
    <row r="565" spans="1:15" ht="12.75">
      <c r="A565" s="1"/>
      <c r="D565" s="1"/>
      <c r="E565" s="1"/>
      <c r="F565" s="1"/>
      <c r="K565" s="1"/>
      <c r="O565" s="1"/>
    </row>
    <row r="566" spans="1:15" ht="12.75">
      <c r="A566" s="1"/>
      <c r="D566" s="1"/>
      <c r="E566" s="1"/>
      <c r="F566" s="1"/>
      <c r="K566" s="1"/>
      <c r="O566" s="1"/>
    </row>
    <row r="567" spans="1:15" ht="12.75">
      <c r="A567" s="1"/>
      <c r="D567" s="1"/>
      <c r="E567" s="1"/>
      <c r="F567" s="1"/>
      <c r="K567" s="1"/>
      <c r="O567" s="1"/>
    </row>
    <row r="568" spans="1:15" ht="12.75">
      <c r="A568" s="1"/>
      <c r="D568" s="1"/>
      <c r="E568" s="1"/>
      <c r="F568" s="1"/>
      <c r="K568" s="1"/>
      <c r="O568" s="1"/>
    </row>
    <row r="569" spans="1:15" ht="12.75">
      <c r="A569" s="1"/>
      <c r="D569" s="1"/>
      <c r="E569" s="1"/>
      <c r="F569" s="1"/>
      <c r="K569" s="1"/>
      <c r="O569" s="1"/>
    </row>
    <row r="570" spans="1:15" ht="12.75">
      <c r="A570" s="1"/>
      <c r="D570" s="1"/>
      <c r="E570" s="1"/>
      <c r="F570" s="1"/>
      <c r="K570" s="1"/>
      <c r="O570" s="1"/>
    </row>
    <row r="571" spans="1:15" ht="12.75">
      <c r="A571" s="1"/>
      <c r="D571" s="1"/>
      <c r="E571" s="1"/>
      <c r="F571" s="1"/>
      <c r="K571" s="1"/>
      <c r="O571" s="1"/>
    </row>
    <row r="572" spans="1:15" ht="12.75">
      <c r="A572" s="1"/>
      <c r="D572" s="1"/>
      <c r="E572" s="1"/>
      <c r="F572" s="1"/>
      <c r="K572" s="1"/>
      <c r="O572" s="1"/>
    </row>
    <row r="573" spans="1:15" ht="12.75">
      <c r="A573" s="1"/>
      <c r="D573" s="1"/>
      <c r="E573" s="1"/>
      <c r="F573" s="1"/>
      <c r="K573" s="1"/>
      <c r="O573" s="1"/>
    </row>
    <row r="574" spans="1:15" ht="12.75">
      <c r="A574" s="1"/>
      <c r="D574" s="1"/>
      <c r="E574" s="1"/>
      <c r="F574" s="1"/>
      <c r="K574" s="1"/>
      <c r="O574" s="1"/>
    </row>
    <row r="575" spans="1:15" ht="12.75">
      <c r="A575" s="1"/>
      <c r="D575" s="1"/>
      <c r="E575" s="1"/>
      <c r="F575" s="1"/>
      <c r="K575" s="1"/>
      <c r="O575" s="1"/>
    </row>
    <row r="576" spans="1:15" ht="12.75">
      <c r="A576" s="1"/>
      <c r="D576" s="1"/>
      <c r="E576" s="1"/>
      <c r="F576" s="1"/>
      <c r="K576" s="1"/>
      <c r="O576" s="1"/>
    </row>
    <row r="577" spans="1:15" ht="12.75">
      <c r="A577" s="1"/>
      <c r="D577" s="1"/>
      <c r="E577" s="1"/>
      <c r="F577" s="1"/>
      <c r="K577" s="1"/>
      <c r="O577" s="1"/>
    </row>
    <row r="578" spans="1:15" ht="12.75">
      <c r="A578" s="1"/>
      <c r="D578" s="1"/>
      <c r="E578" s="1"/>
      <c r="F578" s="1"/>
      <c r="K578" s="1"/>
      <c r="O578" s="1"/>
    </row>
    <row r="579" spans="1:15" ht="12.75">
      <c r="A579" s="1"/>
      <c r="D579" s="1"/>
      <c r="E579" s="1"/>
      <c r="F579" s="1"/>
      <c r="K579" s="1"/>
      <c r="O579" s="1"/>
    </row>
    <row r="580" spans="1:15" ht="12.75">
      <c r="A580" s="1"/>
      <c r="D580" s="1"/>
      <c r="E580" s="1"/>
      <c r="F580" s="1"/>
      <c r="K580" s="1"/>
      <c r="O580" s="1"/>
    </row>
    <row r="581" spans="1:15" ht="12.75">
      <c r="A581" s="1"/>
      <c r="D581" s="1"/>
      <c r="E581" s="1"/>
      <c r="F581" s="1"/>
      <c r="K581" s="1"/>
      <c r="O581" s="1"/>
    </row>
    <row r="582" spans="1:15" ht="12.75">
      <c r="A582" s="1"/>
      <c r="D582" s="1"/>
      <c r="E582" s="1"/>
      <c r="F582" s="1"/>
      <c r="K582" s="1"/>
      <c r="O582" s="1"/>
    </row>
    <row r="583" spans="1:15" ht="12.75">
      <c r="A583" s="1"/>
      <c r="D583" s="1"/>
      <c r="E583" s="1"/>
      <c r="F583" s="1"/>
      <c r="K583" s="1"/>
      <c r="O583" s="1"/>
    </row>
    <row r="584" spans="1:15" ht="12.75">
      <c r="A584" s="1"/>
      <c r="D584" s="1"/>
      <c r="E584" s="1"/>
      <c r="F584" s="1"/>
      <c r="K584" s="1"/>
      <c r="O584" s="1"/>
    </row>
    <row r="585" spans="1:15" ht="12.75">
      <c r="A585" s="1"/>
      <c r="D585" s="1"/>
      <c r="E585" s="1"/>
      <c r="F585" s="1"/>
      <c r="K585" s="1"/>
      <c r="O585" s="1"/>
    </row>
    <row r="586" spans="1:15" ht="12.75">
      <c r="A586" s="1"/>
      <c r="D586" s="1"/>
      <c r="E586" s="1"/>
      <c r="F586" s="1"/>
      <c r="K586" s="1"/>
      <c r="O586" s="1"/>
    </row>
    <row r="587" spans="1:15" ht="12.75">
      <c r="A587" s="1"/>
      <c r="D587" s="1"/>
      <c r="E587" s="1"/>
      <c r="F587" s="1"/>
      <c r="K587" s="1"/>
      <c r="O587" s="1"/>
    </row>
    <row r="588" spans="1:15" ht="12.75">
      <c r="A588" s="1"/>
      <c r="D588" s="1"/>
      <c r="E588" s="1"/>
      <c r="F588" s="1"/>
      <c r="K588" s="1"/>
      <c r="O588" s="1"/>
    </row>
    <row r="589" spans="1:15" ht="12.75">
      <c r="A589" s="1"/>
      <c r="D589" s="1"/>
      <c r="E589" s="1"/>
      <c r="F589" s="1"/>
      <c r="K589" s="1"/>
      <c r="O589" s="1"/>
    </row>
    <row r="590" spans="1:15" ht="12.75">
      <c r="A590" s="1"/>
      <c r="D590" s="1"/>
      <c r="E590" s="1"/>
      <c r="F590" s="1"/>
      <c r="K590" s="1"/>
      <c r="O590" s="1"/>
    </row>
    <row r="591" spans="1:15" ht="12.75">
      <c r="A591" s="1"/>
      <c r="D591" s="1"/>
      <c r="E591" s="1"/>
      <c r="F591" s="1"/>
      <c r="K591" s="1"/>
      <c r="O591" s="1"/>
    </row>
    <row r="592" spans="1:15" ht="12.75">
      <c r="A592" s="1"/>
      <c r="D592" s="1"/>
      <c r="E592" s="1"/>
      <c r="F592" s="1"/>
      <c r="K592" s="1"/>
      <c r="O592" s="1"/>
    </row>
    <row r="593" spans="1:15" ht="12.75">
      <c r="A593" s="1"/>
      <c r="D593" s="1"/>
      <c r="E593" s="1"/>
      <c r="F593" s="1"/>
      <c r="K593" s="1"/>
      <c r="O593" s="1"/>
    </row>
    <row r="594" spans="1:15" ht="12.75">
      <c r="A594" s="1"/>
      <c r="D594" s="1"/>
      <c r="E594" s="1"/>
      <c r="F594" s="1"/>
      <c r="K594" s="1"/>
      <c r="O594" s="1"/>
    </row>
    <row r="595" spans="1:15" ht="12.75">
      <c r="A595" s="1"/>
      <c r="D595" s="1"/>
      <c r="E595" s="1"/>
      <c r="F595" s="1"/>
      <c r="K595" s="1"/>
      <c r="O595" s="1"/>
    </row>
    <row r="596" spans="1:15" ht="12.75">
      <c r="A596" s="1"/>
      <c r="D596" s="1"/>
      <c r="E596" s="1"/>
      <c r="F596" s="1"/>
      <c r="K596" s="1"/>
      <c r="O596" s="1"/>
    </row>
    <row r="597" spans="1:15" ht="12.75">
      <c r="A597" s="1"/>
      <c r="D597" s="1"/>
      <c r="E597" s="1"/>
      <c r="F597" s="1"/>
      <c r="K597" s="1"/>
      <c r="O597" s="1"/>
    </row>
    <row r="598" spans="1:15" ht="12.75">
      <c r="A598" s="1"/>
      <c r="D598" s="1"/>
      <c r="E598" s="1"/>
      <c r="F598" s="1"/>
      <c r="K598" s="1"/>
      <c r="O598" s="1"/>
    </row>
    <row r="599" spans="1:15" ht="12.75">
      <c r="A599" s="1"/>
      <c r="D599" s="1"/>
      <c r="E599" s="1"/>
      <c r="F599" s="1"/>
      <c r="K599" s="1"/>
      <c r="O599" s="1"/>
    </row>
    <row r="600" spans="1:15" ht="12.75">
      <c r="A600" s="1"/>
      <c r="D600" s="1"/>
      <c r="E600" s="1"/>
      <c r="F600" s="1"/>
      <c r="K600" s="1"/>
      <c r="O600" s="1"/>
    </row>
    <row r="601" spans="1:15" ht="12.75">
      <c r="A601" s="1"/>
      <c r="D601" s="1"/>
      <c r="E601" s="1"/>
      <c r="F601" s="1"/>
      <c r="K601" s="1"/>
      <c r="O601" s="1"/>
    </row>
    <row r="602" spans="1:15" ht="12.75">
      <c r="A602" s="1"/>
      <c r="D602" s="1"/>
      <c r="E602" s="1"/>
      <c r="F602" s="1"/>
      <c r="K602" s="1"/>
      <c r="O602" s="1"/>
    </row>
    <row r="603" spans="1:15" ht="12.75">
      <c r="A603" s="1"/>
      <c r="D603" s="1"/>
      <c r="E603" s="1"/>
      <c r="F603" s="1"/>
      <c r="K603" s="1"/>
      <c r="O603" s="1"/>
    </row>
    <row r="604" spans="1:15" ht="12.75">
      <c r="A604" s="1"/>
      <c r="D604" s="1"/>
      <c r="E604" s="1"/>
      <c r="F604" s="1"/>
      <c r="K604" s="1"/>
      <c r="O604" s="1"/>
    </row>
    <row r="605" spans="1:15" ht="12.75">
      <c r="A605" s="1"/>
      <c r="D605" s="1"/>
      <c r="E605" s="1"/>
      <c r="F605" s="1"/>
      <c r="K605" s="1"/>
      <c r="O605" s="1"/>
    </row>
    <row r="606" spans="1:15" ht="12.75">
      <c r="A606" s="1"/>
      <c r="D606" s="1"/>
      <c r="E606" s="1"/>
      <c r="F606" s="1"/>
      <c r="K606" s="1"/>
      <c r="O606" s="1"/>
    </row>
    <row r="607" spans="1:15" ht="12.75">
      <c r="A607" s="1"/>
      <c r="D607" s="1"/>
      <c r="E607" s="1"/>
      <c r="F607" s="1"/>
      <c r="K607" s="1"/>
      <c r="O607" s="1"/>
    </row>
    <row r="608" spans="1:15" ht="12.75">
      <c r="A608" s="1"/>
      <c r="D608" s="1"/>
      <c r="E608" s="1"/>
      <c r="F608" s="1"/>
      <c r="K608" s="1"/>
      <c r="O608" s="1"/>
    </row>
    <row r="609" spans="1:15" ht="12.75">
      <c r="A609" s="1"/>
      <c r="D609" s="1"/>
      <c r="E609" s="1"/>
      <c r="F609" s="1"/>
      <c r="K609" s="1"/>
      <c r="O609" s="1"/>
    </row>
    <row r="610" spans="1:15" ht="12.75">
      <c r="A610" s="1"/>
      <c r="D610" s="1"/>
      <c r="E610" s="1"/>
      <c r="F610" s="1"/>
      <c r="K610" s="1"/>
      <c r="O610" s="1"/>
    </row>
    <row r="611" spans="1:15" ht="12.75">
      <c r="A611" s="1"/>
      <c r="D611" s="1"/>
      <c r="E611" s="1"/>
      <c r="F611" s="1"/>
      <c r="K611" s="1"/>
      <c r="O611" s="1"/>
    </row>
    <row r="612" spans="1:15" ht="12.75">
      <c r="A612" s="1"/>
      <c r="D612" s="1"/>
      <c r="E612" s="1"/>
      <c r="F612" s="1"/>
      <c r="K612" s="1"/>
      <c r="O612" s="1"/>
    </row>
    <row r="613" spans="1:15" ht="12.75">
      <c r="A613" s="1"/>
      <c r="D613" s="1"/>
      <c r="E613" s="1"/>
      <c r="F613" s="1"/>
      <c r="K613" s="1"/>
      <c r="O613" s="1"/>
    </row>
    <row r="614" spans="1:15" ht="12.75">
      <c r="A614" s="1"/>
      <c r="D614" s="1"/>
      <c r="E614" s="1"/>
      <c r="F614" s="1"/>
      <c r="K614" s="1"/>
      <c r="O614" s="1"/>
    </row>
    <row r="615" spans="1:15" ht="12.75">
      <c r="A615" s="1"/>
      <c r="D615" s="1"/>
      <c r="E615" s="1"/>
      <c r="F615" s="1"/>
      <c r="K615" s="1"/>
      <c r="O615" s="1"/>
    </row>
    <row r="616" spans="1:15" ht="12.75">
      <c r="A616" s="1"/>
      <c r="D616" s="1"/>
      <c r="E616" s="1"/>
      <c r="F616" s="1"/>
      <c r="K616" s="1"/>
      <c r="O616" s="1"/>
    </row>
    <row r="617" spans="1:15" ht="12.75">
      <c r="A617" s="1"/>
      <c r="D617" s="1"/>
      <c r="E617" s="1"/>
      <c r="F617" s="1"/>
      <c r="K617" s="1"/>
      <c r="O617" s="1"/>
    </row>
    <row r="618" spans="1:15" ht="12.75">
      <c r="A618" s="1"/>
      <c r="D618" s="1"/>
      <c r="E618" s="1"/>
      <c r="F618" s="1"/>
      <c r="K618" s="1"/>
      <c r="O618" s="1"/>
    </row>
    <row r="619" spans="1:15" ht="12.75">
      <c r="A619" s="1"/>
      <c r="D619" s="1"/>
      <c r="E619" s="1"/>
      <c r="F619" s="1"/>
      <c r="K619" s="1"/>
      <c r="O619" s="1"/>
    </row>
    <row r="620" spans="1:15" ht="12.75">
      <c r="A620" s="1"/>
      <c r="D620" s="1"/>
      <c r="E620" s="1"/>
      <c r="F620" s="1"/>
      <c r="K620" s="1"/>
      <c r="O620" s="1"/>
    </row>
    <row r="621" spans="1:15" ht="12.75">
      <c r="A621" s="1"/>
      <c r="D621" s="1"/>
      <c r="E621" s="1"/>
      <c r="F621" s="1"/>
      <c r="K621" s="1"/>
      <c r="O621" s="1"/>
    </row>
    <row r="622" spans="1:15" ht="12.75">
      <c r="A622" s="1"/>
      <c r="D622" s="1"/>
      <c r="E622" s="1"/>
      <c r="F622" s="1"/>
      <c r="K622" s="1"/>
      <c r="O622" s="1"/>
    </row>
    <row r="623" spans="1:15" ht="12.75">
      <c r="A623" s="1"/>
      <c r="D623" s="1"/>
      <c r="E623" s="1"/>
      <c r="F623" s="1"/>
      <c r="K623" s="1"/>
      <c r="O623" s="1"/>
    </row>
    <row r="624" spans="1:15" ht="12.75">
      <c r="A624" s="1"/>
      <c r="D624" s="1"/>
      <c r="E624" s="1"/>
      <c r="F624" s="1"/>
      <c r="K624" s="1"/>
      <c r="O624" s="1"/>
    </row>
    <row r="625" spans="1:15" ht="12.75">
      <c r="A625" s="1"/>
      <c r="D625" s="1"/>
      <c r="E625" s="1"/>
      <c r="F625" s="1"/>
      <c r="K625" s="1"/>
      <c r="O625" s="1"/>
    </row>
    <row r="626" spans="1:15" ht="12.75">
      <c r="A626" s="1"/>
      <c r="D626" s="1"/>
      <c r="E626" s="1"/>
      <c r="F626" s="1"/>
      <c r="K626" s="1"/>
      <c r="O626" s="1"/>
    </row>
    <row r="627" spans="1:15" ht="12.75">
      <c r="A627" s="1"/>
      <c r="D627" s="1"/>
      <c r="E627" s="1"/>
      <c r="F627" s="1"/>
      <c r="K627" s="1"/>
      <c r="O627" s="1"/>
    </row>
    <row r="628" spans="1:15" ht="12.75">
      <c r="A628" s="1"/>
      <c r="D628" s="1"/>
      <c r="E628" s="1"/>
      <c r="F628" s="1"/>
      <c r="K628" s="1"/>
      <c r="O628" s="1"/>
    </row>
    <row r="629" spans="1:15" ht="12.75">
      <c r="A629" s="1"/>
      <c r="D629" s="1"/>
      <c r="E629" s="1"/>
      <c r="F629" s="1"/>
      <c r="K629" s="1"/>
      <c r="O629" s="1"/>
    </row>
    <row r="630" spans="1:15" ht="12.75">
      <c r="A630" s="1"/>
      <c r="D630" s="1"/>
      <c r="E630" s="1"/>
      <c r="F630" s="1"/>
      <c r="K630" s="1"/>
      <c r="O630" s="1"/>
    </row>
    <row r="631" spans="1:15" ht="12.75">
      <c r="A631" s="1"/>
      <c r="D631" s="1"/>
      <c r="E631" s="1"/>
      <c r="F631" s="1"/>
      <c r="K631" s="1"/>
      <c r="O631" s="1"/>
    </row>
    <row r="632" spans="1:15" ht="12.75">
      <c r="A632" s="1"/>
      <c r="D632" s="1"/>
      <c r="E632" s="1"/>
      <c r="F632" s="1"/>
      <c r="K632" s="1"/>
      <c r="O632" s="1"/>
    </row>
    <row r="633" spans="1:15" ht="12.75">
      <c r="A633" s="1"/>
      <c r="D633" s="1"/>
      <c r="E633" s="1"/>
      <c r="F633" s="1"/>
      <c r="K633" s="1"/>
      <c r="O633" s="1"/>
    </row>
    <row r="634" spans="1:15" ht="12.75">
      <c r="A634" s="1"/>
      <c r="D634" s="1"/>
      <c r="E634" s="1"/>
      <c r="F634" s="1"/>
      <c r="K634" s="1"/>
      <c r="O634" s="1"/>
    </row>
    <row r="635" spans="1:15" ht="12.75">
      <c r="A635" s="1"/>
      <c r="D635" s="1"/>
      <c r="E635" s="1"/>
      <c r="F635" s="1"/>
      <c r="K635" s="1"/>
      <c r="O635" s="1"/>
    </row>
    <row r="636" spans="1:15" ht="12.75">
      <c r="A636" s="1"/>
      <c r="D636" s="1"/>
      <c r="E636" s="1"/>
      <c r="F636" s="1"/>
      <c r="K636" s="1"/>
      <c r="O636" s="1"/>
    </row>
    <row r="637" spans="1:15" ht="12.75">
      <c r="A637" s="1"/>
      <c r="D637" s="1"/>
      <c r="E637" s="1"/>
      <c r="F637" s="1"/>
      <c r="K637" s="1"/>
      <c r="O637" s="1"/>
    </row>
    <row r="638" spans="1:15" ht="12.75">
      <c r="A638" s="1"/>
      <c r="D638" s="1"/>
      <c r="E638" s="1"/>
      <c r="F638" s="1"/>
      <c r="K638" s="1"/>
      <c r="O638" s="1"/>
    </row>
    <row r="639" spans="1:15" ht="12.75">
      <c r="A639" s="1"/>
      <c r="D639" s="1"/>
      <c r="E639" s="1"/>
      <c r="F639" s="1"/>
      <c r="K639" s="1"/>
      <c r="O639" s="1"/>
    </row>
    <row r="640" spans="1:15" ht="12.75">
      <c r="A640" s="1"/>
      <c r="D640" s="1"/>
      <c r="E640" s="1"/>
      <c r="F640" s="1"/>
      <c r="K640" s="1"/>
      <c r="O640" s="1"/>
    </row>
    <row r="641" spans="1:15" ht="12.75">
      <c r="A641" s="1"/>
      <c r="D641" s="1"/>
      <c r="E641" s="1"/>
      <c r="F641" s="1"/>
      <c r="K641" s="1"/>
      <c r="O641" s="1"/>
    </row>
    <row r="642" spans="1:15" ht="12.75">
      <c r="A642" s="1"/>
      <c r="D642" s="1"/>
      <c r="E642" s="1"/>
      <c r="F642" s="1"/>
      <c r="K642" s="1"/>
      <c r="O642" s="1"/>
    </row>
    <row r="643" spans="1:15" ht="12.75">
      <c r="A643" s="1"/>
      <c r="D643" s="1"/>
      <c r="E643" s="1"/>
      <c r="F643" s="1"/>
      <c r="K643" s="1"/>
      <c r="O643" s="1"/>
    </row>
    <row r="644" spans="1:15" ht="12.75">
      <c r="A644" s="1"/>
      <c r="D644" s="1"/>
      <c r="E644" s="1"/>
      <c r="F644" s="1"/>
      <c r="K644" s="1"/>
      <c r="O644" s="1"/>
    </row>
    <row r="645" spans="1:15" ht="12.75">
      <c r="A645" s="1"/>
      <c r="D645" s="1"/>
      <c r="E645" s="1"/>
      <c r="F645" s="1"/>
      <c r="K645" s="1"/>
      <c r="O645" s="1"/>
    </row>
    <row r="646" spans="1:15" ht="12.75">
      <c r="A646" s="1"/>
      <c r="D646" s="1"/>
      <c r="E646" s="1"/>
      <c r="F646" s="1"/>
      <c r="K646" s="1"/>
      <c r="O646" s="1"/>
    </row>
    <row r="647" spans="1:15" ht="12.75">
      <c r="A647" s="1"/>
      <c r="D647" s="1"/>
      <c r="E647" s="1"/>
      <c r="F647" s="1"/>
      <c r="K647" s="1"/>
      <c r="O647" s="1"/>
    </row>
    <row r="648" spans="1:15" ht="12.75">
      <c r="A648" s="1"/>
      <c r="D648" s="1"/>
      <c r="E648" s="1"/>
      <c r="F648" s="1"/>
      <c r="K648" s="1"/>
      <c r="O648" s="1"/>
    </row>
    <row r="649" spans="1:15" ht="12.75">
      <c r="A649" s="1"/>
      <c r="D649" s="1"/>
      <c r="E649" s="1"/>
      <c r="F649" s="1"/>
      <c r="K649" s="1"/>
      <c r="O649" s="1"/>
    </row>
    <row r="650" spans="1:15" ht="12.75">
      <c r="A650" s="1"/>
      <c r="D650" s="1"/>
      <c r="E650" s="1"/>
      <c r="F650" s="1"/>
      <c r="K650" s="1"/>
      <c r="O650" s="1"/>
    </row>
    <row r="651" spans="1:15" ht="12.75">
      <c r="A651" s="1"/>
      <c r="D651" s="1"/>
      <c r="E651" s="1"/>
      <c r="F651" s="1"/>
      <c r="K651" s="1"/>
      <c r="O651" s="1"/>
    </row>
    <row r="652" spans="1:15" ht="12.75">
      <c r="A652" s="1"/>
      <c r="D652" s="1"/>
      <c r="E652" s="1"/>
      <c r="F652" s="1"/>
      <c r="K652" s="1"/>
      <c r="O652" s="1"/>
    </row>
    <row r="653" spans="1:15" ht="12.75">
      <c r="A653" s="1"/>
      <c r="D653" s="1"/>
      <c r="E653" s="1"/>
      <c r="F653" s="1"/>
      <c r="K653" s="1"/>
      <c r="O653" s="1"/>
    </row>
    <row r="654" spans="1:15" ht="12.75">
      <c r="A654" s="1"/>
      <c r="D654" s="1"/>
      <c r="E654" s="1"/>
      <c r="F654" s="1"/>
      <c r="K654" s="1"/>
      <c r="O654" s="1"/>
    </row>
    <row r="655" spans="1:15" ht="12.75">
      <c r="A655" s="1"/>
      <c r="D655" s="1"/>
      <c r="E655" s="1"/>
      <c r="F655" s="1"/>
      <c r="K655" s="1"/>
      <c r="O655" s="1"/>
    </row>
    <row r="656" spans="1:15" ht="12.75">
      <c r="A656" s="1"/>
      <c r="D656" s="1"/>
      <c r="E656" s="1"/>
      <c r="F656" s="1"/>
      <c r="K656" s="1"/>
      <c r="O656" s="1"/>
    </row>
    <row r="657" spans="1:15" ht="12.75">
      <c r="A657" s="1"/>
      <c r="D657" s="1"/>
      <c r="E657" s="1"/>
      <c r="F657" s="1"/>
      <c r="K657" s="1"/>
      <c r="O657" s="1"/>
    </row>
    <row r="658" spans="1:15" ht="12.75">
      <c r="A658" s="1"/>
      <c r="D658" s="1"/>
      <c r="E658" s="1"/>
      <c r="F658" s="1"/>
      <c r="K658" s="1"/>
      <c r="O658" s="1"/>
    </row>
    <row r="659" spans="1:15" ht="12.75">
      <c r="A659" s="1"/>
      <c r="D659" s="1"/>
      <c r="E659" s="1"/>
      <c r="F659" s="1"/>
      <c r="K659" s="1"/>
      <c r="O659" s="1"/>
    </row>
    <row r="660" spans="1:15" ht="12.75">
      <c r="A660" s="1"/>
      <c r="D660" s="1"/>
      <c r="E660" s="1"/>
      <c r="F660" s="1"/>
      <c r="K660" s="1"/>
      <c r="O660" s="1"/>
    </row>
    <row r="661" spans="1:15" ht="12.75">
      <c r="A661" s="1"/>
      <c r="D661" s="1"/>
      <c r="E661" s="1"/>
      <c r="F661" s="1"/>
      <c r="K661" s="1"/>
      <c r="O661" s="1"/>
    </row>
    <row r="662" spans="1:15" ht="12.75">
      <c r="A662" s="1"/>
      <c r="D662" s="1"/>
      <c r="E662" s="1"/>
      <c r="F662" s="1"/>
      <c r="K662" s="1"/>
      <c r="O662" s="1"/>
    </row>
    <row r="663" spans="1:15" ht="12.75">
      <c r="A663" s="1"/>
      <c r="D663" s="1"/>
      <c r="E663" s="1"/>
      <c r="F663" s="1"/>
      <c r="K663" s="1"/>
      <c r="O663" s="1"/>
    </row>
    <row r="664" spans="1:15" ht="12.75">
      <c r="A664" s="1"/>
      <c r="D664" s="1"/>
      <c r="E664" s="1"/>
      <c r="F664" s="1"/>
      <c r="K664" s="1"/>
      <c r="O664" s="1"/>
    </row>
    <row r="665" spans="1:15" ht="12.75">
      <c r="A665" s="1"/>
      <c r="D665" s="1"/>
      <c r="E665" s="1"/>
      <c r="F665" s="1"/>
      <c r="K665" s="1"/>
      <c r="O665" s="1"/>
    </row>
    <row r="666" spans="1:15" ht="12.75">
      <c r="A666" s="1"/>
      <c r="D666" s="1"/>
      <c r="E666" s="1"/>
      <c r="F666" s="1"/>
      <c r="K666" s="1"/>
      <c r="O666" s="1"/>
    </row>
    <row r="667" spans="1:15" ht="12.75">
      <c r="A667" s="1"/>
      <c r="D667" s="1"/>
      <c r="E667" s="1"/>
      <c r="F667" s="1"/>
      <c r="K667" s="1"/>
      <c r="O667" s="1"/>
    </row>
    <row r="668" spans="1:15" ht="12.75">
      <c r="A668" s="1"/>
      <c r="D668" s="1"/>
      <c r="E668" s="1"/>
      <c r="F668" s="1"/>
      <c r="K668" s="1"/>
      <c r="O668" s="1"/>
    </row>
    <row r="669" spans="1:15" ht="12.75">
      <c r="A669" s="1"/>
      <c r="D669" s="1"/>
      <c r="E669" s="1"/>
      <c r="F669" s="1"/>
      <c r="K669" s="1"/>
      <c r="O669" s="1"/>
    </row>
    <row r="670" spans="1:15" ht="12.75">
      <c r="A670" s="1"/>
      <c r="D670" s="1"/>
      <c r="E670" s="1"/>
      <c r="F670" s="1"/>
      <c r="K670" s="1"/>
      <c r="O670" s="1"/>
    </row>
    <row r="671" spans="1:15" ht="12.75">
      <c r="A671" s="1"/>
      <c r="D671" s="1"/>
      <c r="E671" s="1"/>
      <c r="F671" s="1"/>
      <c r="K671" s="1"/>
      <c r="O671" s="1"/>
    </row>
    <row r="672" spans="1:15" ht="12.75">
      <c r="A672" s="1"/>
      <c r="D672" s="1"/>
      <c r="E672" s="1"/>
      <c r="F672" s="1"/>
      <c r="K672" s="1"/>
      <c r="O672" s="1"/>
    </row>
    <row r="673" spans="1:15" ht="12.75">
      <c r="A673" s="1"/>
      <c r="D673" s="1"/>
      <c r="E673" s="1"/>
      <c r="F673" s="1"/>
      <c r="K673" s="1"/>
      <c r="O673" s="1"/>
    </row>
    <row r="674" spans="1:15" ht="12.75">
      <c r="A674" s="1"/>
      <c r="D674" s="1"/>
      <c r="E674" s="1"/>
      <c r="F674" s="1"/>
      <c r="K674" s="1"/>
      <c r="O674" s="1"/>
    </row>
    <row r="675" spans="1:15" ht="12.75">
      <c r="A675" s="1"/>
      <c r="D675" s="1"/>
      <c r="E675" s="1"/>
      <c r="F675" s="1"/>
      <c r="K675" s="1"/>
      <c r="O675" s="1"/>
    </row>
    <row r="676" spans="1:15" ht="12.75">
      <c r="A676" s="1"/>
      <c r="D676" s="1"/>
      <c r="E676" s="1"/>
      <c r="F676" s="1"/>
      <c r="K676" s="1"/>
      <c r="O676" s="1"/>
    </row>
    <row r="677" spans="1:15" ht="12.75">
      <c r="A677" s="1"/>
      <c r="D677" s="1"/>
      <c r="E677" s="1"/>
      <c r="F677" s="1"/>
      <c r="K677" s="1"/>
      <c r="O677" s="1"/>
    </row>
    <row r="678" spans="1:15" ht="12.75">
      <c r="A678" s="1"/>
      <c r="D678" s="1"/>
      <c r="E678" s="1"/>
      <c r="F678" s="1"/>
      <c r="K678" s="1"/>
      <c r="O678" s="1"/>
    </row>
    <row r="679" spans="1:15" ht="12.75">
      <c r="A679" s="1"/>
      <c r="D679" s="1"/>
      <c r="E679" s="1"/>
      <c r="F679" s="1"/>
      <c r="K679" s="1"/>
      <c r="O679" s="1"/>
    </row>
    <row r="680" spans="1:15" ht="12.75">
      <c r="A680" s="1"/>
      <c r="D680" s="1"/>
      <c r="E680" s="1"/>
      <c r="F680" s="1"/>
      <c r="K680" s="1"/>
      <c r="O680" s="1"/>
    </row>
    <row r="681" spans="1:15" ht="12.75">
      <c r="A681" s="1"/>
      <c r="D681" s="1"/>
      <c r="E681" s="1"/>
      <c r="F681" s="1"/>
      <c r="K681" s="1"/>
      <c r="O681" s="1"/>
    </row>
    <row r="682" spans="1:15" ht="12.75">
      <c r="A682" s="1"/>
      <c r="D682" s="1"/>
      <c r="E682" s="1"/>
      <c r="F682" s="1"/>
      <c r="K682" s="1"/>
      <c r="O682" s="1"/>
    </row>
    <row r="683" spans="1:15" ht="12.75">
      <c r="A683" s="1"/>
      <c r="D683" s="1"/>
      <c r="E683" s="1"/>
      <c r="F683" s="1"/>
      <c r="K683" s="1"/>
      <c r="O683" s="1"/>
    </row>
    <row r="684" spans="1:15" ht="12.75">
      <c r="A684" s="1"/>
      <c r="D684" s="1"/>
      <c r="E684" s="1"/>
      <c r="F684" s="1"/>
      <c r="K684" s="1"/>
      <c r="O684" s="1"/>
    </row>
    <row r="685" spans="1:15" ht="12.75">
      <c r="A685" s="1"/>
      <c r="D685" s="1"/>
      <c r="E685" s="1"/>
      <c r="F685" s="1"/>
      <c r="K685" s="1"/>
      <c r="O685" s="1"/>
    </row>
    <row r="686" spans="1:15" ht="12.75">
      <c r="A686" s="1"/>
      <c r="D686" s="1"/>
      <c r="E686" s="1"/>
      <c r="F686" s="1"/>
      <c r="K686" s="1"/>
      <c r="O686" s="1"/>
    </row>
    <row r="687" spans="1:15" ht="12.75">
      <c r="A687" s="1"/>
      <c r="D687" s="1"/>
      <c r="E687" s="1"/>
      <c r="F687" s="1"/>
      <c r="K687" s="1"/>
      <c r="O687" s="1"/>
    </row>
    <row r="688" spans="1:15" ht="12.75">
      <c r="A688" s="1"/>
      <c r="D688" s="1"/>
      <c r="E688" s="1"/>
      <c r="F688" s="1"/>
      <c r="K688" s="1"/>
      <c r="O688" s="1"/>
    </row>
    <row r="689" spans="1:15" ht="12.75">
      <c r="A689" s="1"/>
      <c r="D689" s="1"/>
      <c r="E689" s="1"/>
      <c r="F689" s="1"/>
      <c r="K689" s="1"/>
      <c r="O689" s="1"/>
    </row>
    <row r="690" spans="1:15" ht="12.75">
      <c r="A690" s="1"/>
      <c r="D690" s="1"/>
      <c r="E690" s="1"/>
      <c r="F690" s="1"/>
      <c r="K690" s="1"/>
      <c r="O690" s="1"/>
    </row>
    <row r="691" spans="1:15" ht="12.75">
      <c r="A691" s="1"/>
      <c r="D691" s="1"/>
      <c r="E691" s="1"/>
      <c r="F691" s="1"/>
      <c r="K691" s="1"/>
      <c r="O691" s="1"/>
    </row>
    <row r="692" spans="1:15" ht="12.75">
      <c r="A692" s="1"/>
      <c r="D692" s="1"/>
      <c r="E692" s="1"/>
      <c r="F692" s="1"/>
      <c r="K692" s="1"/>
      <c r="O692" s="1"/>
    </row>
    <row r="693" spans="1:15" ht="12.75">
      <c r="A693" s="1"/>
      <c r="D693" s="1"/>
      <c r="E693" s="1"/>
      <c r="F693" s="1"/>
      <c r="K693" s="1"/>
      <c r="O693" s="1"/>
    </row>
    <row r="694" spans="1:15" ht="12.75">
      <c r="A694" s="1"/>
      <c r="D694" s="1"/>
      <c r="E694" s="1"/>
      <c r="F694" s="1"/>
      <c r="K694" s="1"/>
      <c r="O694" s="1"/>
    </row>
    <row r="695" spans="1:15" ht="12.75">
      <c r="A695" s="1"/>
      <c r="D695" s="1"/>
      <c r="E695" s="1"/>
      <c r="F695" s="1"/>
      <c r="K695" s="1"/>
      <c r="O695" s="1"/>
    </row>
    <row r="696" spans="1:15" ht="12.75">
      <c r="A696" s="1"/>
      <c r="D696" s="1"/>
      <c r="E696" s="1"/>
      <c r="F696" s="1"/>
      <c r="K696" s="1"/>
      <c r="O696" s="1"/>
    </row>
    <row r="697" spans="1:15" ht="12.75">
      <c r="A697" s="1"/>
      <c r="D697" s="1"/>
      <c r="E697" s="1"/>
      <c r="F697" s="1"/>
      <c r="K697" s="1"/>
      <c r="O697" s="1"/>
    </row>
    <row r="698" spans="1:15" ht="12.75">
      <c r="A698" s="1"/>
      <c r="D698" s="1"/>
      <c r="E698" s="1"/>
      <c r="F698" s="1"/>
      <c r="K698" s="1"/>
      <c r="O698" s="1"/>
    </row>
    <row r="699" spans="1:15" ht="12.75">
      <c r="A699" s="1"/>
      <c r="D699" s="1"/>
      <c r="E699" s="1"/>
      <c r="F699" s="1"/>
      <c r="K699" s="1"/>
      <c r="O699" s="1"/>
    </row>
    <row r="700" spans="1:15" ht="12.75">
      <c r="A700" s="1"/>
      <c r="D700" s="1"/>
      <c r="E700" s="1"/>
      <c r="F700" s="1"/>
      <c r="K700" s="1"/>
      <c r="O700" s="1"/>
    </row>
    <row r="701" spans="1:15" ht="12.75">
      <c r="A701" s="1"/>
      <c r="D701" s="1"/>
      <c r="E701" s="1"/>
      <c r="F701" s="1"/>
      <c r="K701" s="1"/>
      <c r="O701" s="1"/>
    </row>
    <row r="702" spans="1:15" ht="12.75">
      <c r="A702" s="1"/>
      <c r="D702" s="1"/>
      <c r="E702" s="1"/>
      <c r="F702" s="1"/>
      <c r="K702" s="1"/>
      <c r="O702" s="1"/>
    </row>
    <row r="703" spans="1:15" ht="12.75">
      <c r="A703" s="1"/>
      <c r="D703" s="1"/>
      <c r="E703" s="1"/>
      <c r="F703" s="1"/>
      <c r="K703" s="1"/>
      <c r="O703" s="1"/>
    </row>
    <row r="704" spans="1:15" ht="12.75">
      <c r="A704" s="1"/>
      <c r="D704" s="1"/>
      <c r="E704" s="1"/>
      <c r="F704" s="1"/>
      <c r="K704" s="1"/>
      <c r="O704" s="1"/>
    </row>
    <row r="705" spans="1:15" ht="12.75">
      <c r="A705" s="1"/>
      <c r="D705" s="1"/>
      <c r="E705" s="1"/>
      <c r="F705" s="1"/>
      <c r="K705" s="1"/>
      <c r="O705" s="1"/>
    </row>
    <row r="706" spans="1:15" ht="12.75">
      <c r="A706" s="1"/>
      <c r="D706" s="1"/>
      <c r="E706" s="1"/>
      <c r="F706" s="1"/>
      <c r="K706" s="1"/>
      <c r="O706" s="1"/>
    </row>
    <row r="707" spans="1:15" ht="12.75">
      <c r="A707" s="1"/>
      <c r="D707" s="1"/>
      <c r="E707" s="1"/>
      <c r="F707" s="1"/>
      <c r="K707" s="1"/>
      <c r="O707" s="1"/>
    </row>
    <row r="708" spans="1:15" ht="12.75">
      <c r="A708" s="1"/>
      <c r="D708" s="1"/>
      <c r="E708" s="1"/>
      <c r="F708" s="1"/>
      <c r="K708" s="1"/>
      <c r="O708" s="1"/>
    </row>
    <row r="709" spans="1:15" ht="12.75">
      <c r="A709" s="1"/>
      <c r="D709" s="1"/>
      <c r="E709" s="1"/>
      <c r="F709" s="1"/>
      <c r="K709" s="1"/>
      <c r="O709" s="1"/>
    </row>
    <row r="710" spans="1:15" ht="12.75">
      <c r="A710" s="1"/>
      <c r="D710" s="1"/>
      <c r="E710" s="1"/>
      <c r="F710" s="1"/>
      <c r="K710" s="1"/>
      <c r="O710" s="1"/>
    </row>
    <row r="711" spans="1:15" ht="12.75">
      <c r="A711" s="1"/>
      <c r="D711" s="1"/>
      <c r="E711" s="1"/>
      <c r="F711" s="1"/>
      <c r="K711" s="1"/>
      <c r="O711" s="1"/>
    </row>
    <row r="712" spans="1:15" ht="12.75">
      <c r="A712" s="1"/>
      <c r="D712" s="1"/>
      <c r="E712" s="1"/>
      <c r="F712" s="1"/>
      <c r="K712" s="1"/>
      <c r="O712" s="1"/>
    </row>
    <row r="713" spans="1:15" ht="12.75">
      <c r="A713" s="1"/>
      <c r="D713" s="1"/>
      <c r="E713" s="1"/>
      <c r="F713" s="1"/>
      <c r="K713" s="1"/>
      <c r="O713" s="1"/>
    </row>
    <row r="714" spans="1:15" ht="12.75">
      <c r="A714" s="1"/>
      <c r="D714" s="1"/>
      <c r="E714" s="1"/>
      <c r="F714" s="1"/>
      <c r="K714" s="1"/>
      <c r="O714" s="1"/>
    </row>
    <row r="715" spans="1:15" ht="12.75">
      <c r="A715" s="1"/>
      <c r="D715" s="1"/>
      <c r="E715" s="1"/>
      <c r="F715" s="1"/>
      <c r="K715" s="1"/>
      <c r="O715" s="1"/>
    </row>
    <row r="716" spans="1:15" ht="12.75">
      <c r="A716" s="1"/>
      <c r="D716" s="1"/>
      <c r="E716" s="1"/>
      <c r="F716" s="1"/>
      <c r="K716" s="1"/>
      <c r="O716" s="1"/>
    </row>
    <row r="717" spans="1:15" ht="12.75">
      <c r="A717" s="1"/>
      <c r="D717" s="1"/>
      <c r="E717" s="1"/>
      <c r="F717" s="1"/>
      <c r="K717" s="1"/>
      <c r="O717" s="1"/>
    </row>
    <row r="718" spans="1:15" ht="12.75">
      <c r="A718" s="1"/>
      <c r="D718" s="1"/>
      <c r="E718" s="1"/>
      <c r="F718" s="1"/>
      <c r="K718" s="1"/>
      <c r="O718" s="1"/>
    </row>
    <row r="719" spans="1:15" ht="12.75">
      <c r="A719" s="1"/>
      <c r="D719" s="1"/>
      <c r="E719" s="1"/>
      <c r="F719" s="1"/>
      <c r="K719" s="1"/>
      <c r="O719" s="1"/>
    </row>
    <row r="720" spans="1:15" ht="12.75">
      <c r="A720" s="1"/>
      <c r="D720" s="1"/>
      <c r="E720" s="1"/>
      <c r="F720" s="1"/>
      <c r="K720" s="1"/>
      <c r="O720" s="1"/>
    </row>
    <row r="721" spans="1:15" ht="12.75">
      <c r="A721" s="1"/>
      <c r="D721" s="1"/>
      <c r="E721" s="1"/>
      <c r="F721" s="1"/>
      <c r="K721" s="1"/>
      <c r="O721" s="1"/>
    </row>
    <row r="722" spans="1:15" ht="12.75">
      <c r="A722" s="1"/>
      <c r="D722" s="1"/>
      <c r="E722" s="1"/>
      <c r="F722" s="1"/>
      <c r="K722" s="1"/>
      <c r="O722" s="1"/>
    </row>
    <row r="723" spans="1:15" ht="12.75">
      <c r="A723" s="1"/>
      <c r="D723" s="1"/>
      <c r="E723" s="1"/>
      <c r="F723" s="1"/>
      <c r="K723" s="1"/>
      <c r="O723" s="1"/>
    </row>
    <row r="724" spans="1:15" ht="12.75">
      <c r="A724" s="1"/>
      <c r="D724" s="1"/>
      <c r="E724" s="1"/>
      <c r="F724" s="1"/>
      <c r="K724" s="1"/>
      <c r="O724" s="1"/>
    </row>
    <row r="725" spans="1:15" ht="12.75">
      <c r="A725" s="1"/>
      <c r="D725" s="1"/>
      <c r="E725" s="1"/>
      <c r="F725" s="1"/>
      <c r="K725" s="1"/>
      <c r="O725" s="1"/>
    </row>
    <row r="726" spans="1:15" ht="12.75">
      <c r="A726" s="1"/>
      <c r="D726" s="1"/>
      <c r="E726" s="1"/>
      <c r="F726" s="1"/>
      <c r="K726" s="1"/>
      <c r="O726" s="1"/>
    </row>
    <row r="727" spans="1:15" ht="12.75">
      <c r="A727" s="1"/>
      <c r="D727" s="1"/>
      <c r="E727" s="1"/>
      <c r="F727" s="1"/>
      <c r="K727" s="1"/>
      <c r="O727" s="1"/>
    </row>
    <row r="728" spans="1:15" ht="12.75">
      <c r="A728" s="1"/>
      <c r="D728" s="1"/>
      <c r="E728" s="1"/>
      <c r="F728" s="1"/>
      <c r="K728" s="1"/>
      <c r="O728" s="1"/>
    </row>
    <row r="729" spans="1:15" ht="12.75">
      <c r="A729" s="1"/>
      <c r="D729" s="1"/>
      <c r="E729" s="1"/>
      <c r="F729" s="1"/>
      <c r="K729" s="1"/>
      <c r="O729" s="1"/>
    </row>
    <row r="730" spans="1:15" ht="12.75">
      <c r="A730" s="1"/>
      <c r="D730" s="1"/>
      <c r="E730" s="1"/>
      <c r="F730" s="1"/>
      <c r="K730" s="1"/>
      <c r="O730" s="1"/>
    </row>
    <row r="731" spans="1:15" ht="12.75">
      <c r="A731" s="1"/>
      <c r="D731" s="1"/>
      <c r="E731" s="1"/>
      <c r="F731" s="1"/>
      <c r="K731" s="1"/>
      <c r="O731" s="1"/>
    </row>
    <row r="732" spans="1:15" ht="12.75">
      <c r="A732" s="1"/>
      <c r="D732" s="1"/>
      <c r="E732" s="1"/>
      <c r="F732" s="1"/>
      <c r="K732" s="1"/>
      <c r="O732" s="1"/>
    </row>
    <row r="733" spans="1:15" ht="12.75">
      <c r="A733" s="1"/>
      <c r="D733" s="1"/>
      <c r="E733" s="1"/>
      <c r="F733" s="1"/>
      <c r="K733" s="1"/>
      <c r="O733" s="1"/>
    </row>
    <row r="734" spans="1:15" ht="12.75">
      <c r="A734" s="1"/>
      <c r="D734" s="1"/>
      <c r="E734" s="1"/>
      <c r="F734" s="1"/>
      <c r="K734" s="1"/>
      <c r="O734" s="1"/>
    </row>
    <row r="735" spans="1:15" ht="12.75">
      <c r="A735" s="1"/>
      <c r="D735" s="1"/>
      <c r="E735" s="1"/>
      <c r="F735" s="1"/>
      <c r="K735" s="1"/>
      <c r="O735" s="1"/>
    </row>
    <row r="736" spans="1:15" ht="12.75">
      <c r="A736" s="1"/>
      <c r="D736" s="1"/>
      <c r="E736" s="1"/>
      <c r="F736" s="1"/>
      <c r="K736" s="1"/>
      <c r="O736" s="1"/>
    </row>
    <row r="737" spans="1:15" ht="12.75">
      <c r="A737" s="1"/>
      <c r="D737" s="1"/>
      <c r="E737" s="1"/>
      <c r="F737" s="1"/>
      <c r="K737" s="1"/>
      <c r="O737" s="1"/>
    </row>
    <row r="738" spans="1:15" ht="12.75">
      <c r="A738" s="1"/>
      <c r="D738" s="1"/>
      <c r="E738" s="1"/>
      <c r="F738" s="1"/>
      <c r="K738" s="1"/>
      <c r="O738" s="1"/>
    </row>
    <row r="739" spans="1:15" ht="12.75">
      <c r="A739" s="1"/>
      <c r="D739" s="1"/>
      <c r="E739" s="1"/>
      <c r="F739" s="1"/>
      <c r="K739" s="1"/>
      <c r="O739" s="1"/>
    </row>
    <row r="740" spans="1:15" ht="12.75">
      <c r="A740" s="1"/>
      <c r="D740" s="1"/>
      <c r="E740" s="1"/>
      <c r="F740" s="1"/>
      <c r="K740" s="1"/>
      <c r="O740" s="1"/>
    </row>
    <row r="741" spans="1:15" ht="12.75">
      <c r="A741" s="1"/>
      <c r="D741" s="1"/>
      <c r="E741" s="1"/>
      <c r="F741" s="1"/>
      <c r="K741" s="1"/>
      <c r="O741" s="1"/>
    </row>
    <row r="742" spans="1:15" ht="12.75">
      <c r="A742" s="1"/>
      <c r="D742" s="1"/>
      <c r="E742" s="1"/>
      <c r="F742" s="1"/>
      <c r="K742" s="1"/>
      <c r="O742" s="1"/>
    </row>
    <row r="743" spans="1:15" ht="12.75">
      <c r="A743" s="1"/>
      <c r="D743" s="1"/>
      <c r="E743" s="1"/>
      <c r="F743" s="1"/>
      <c r="K743" s="1"/>
      <c r="O743" s="1"/>
    </row>
    <row r="744" spans="1:15" ht="12.75">
      <c r="A744" s="1"/>
      <c r="D744" s="1"/>
      <c r="E744" s="1"/>
      <c r="F744" s="1"/>
      <c r="K744" s="1"/>
      <c r="O744" s="1"/>
    </row>
    <row r="745" spans="1:15" ht="12.75">
      <c r="A745" s="1"/>
      <c r="D745" s="1"/>
      <c r="E745" s="1"/>
      <c r="F745" s="1"/>
      <c r="K745" s="1"/>
      <c r="O745" s="1"/>
    </row>
    <row r="746" spans="1:15" ht="12.75">
      <c r="A746" s="1"/>
      <c r="D746" s="1"/>
      <c r="E746" s="1"/>
      <c r="F746" s="1"/>
      <c r="K746" s="1"/>
      <c r="O746" s="1"/>
    </row>
    <row r="747" spans="1:15" ht="12.75">
      <c r="A747" s="1"/>
      <c r="D747" s="1"/>
      <c r="E747" s="1"/>
      <c r="F747" s="1"/>
      <c r="K747" s="1"/>
      <c r="O747" s="1"/>
    </row>
    <row r="748" spans="1:15" ht="12.75">
      <c r="A748" s="1"/>
      <c r="D748" s="1"/>
      <c r="E748" s="1"/>
      <c r="F748" s="1"/>
      <c r="K748" s="1"/>
      <c r="O748" s="1"/>
    </row>
    <row r="749" spans="1:15" ht="12.75">
      <c r="A749" s="1"/>
      <c r="D749" s="1"/>
      <c r="E749" s="1"/>
      <c r="F749" s="1"/>
      <c r="K749" s="1"/>
      <c r="O749" s="1"/>
    </row>
    <row r="750" spans="1:15" ht="12.75">
      <c r="A750" s="1"/>
      <c r="D750" s="1"/>
      <c r="E750" s="1"/>
      <c r="F750" s="1"/>
      <c r="K750" s="1"/>
      <c r="O750" s="1"/>
    </row>
    <row r="751" spans="1:15" ht="12.75">
      <c r="A751" s="1"/>
      <c r="D751" s="1"/>
      <c r="E751" s="1"/>
      <c r="F751" s="1"/>
      <c r="K751" s="1"/>
      <c r="O751" s="1"/>
    </row>
    <row r="752" spans="1:15" ht="12.75">
      <c r="A752" s="1"/>
      <c r="D752" s="1"/>
      <c r="E752" s="1"/>
      <c r="F752" s="1"/>
      <c r="K752" s="1"/>
      <c r="O752" s="1"/>
    </row>
    <row r="753" spans="1:15" ht="12.75">
      <c r="A753" s="1"/>
      <c r="D753" s="1"/>
      <c r="E753" s="1"/>
      <c r="F753" s="1"/>
      <c r="K753" s="1"/>
      <c r="O753" s="1"/>
    </row>
    <row r="754" spans="1:15" ht="12.75">
      <c r="A754" s="1"/>
      <c r="D754" s="1"/>
      <c r="E754" s="1"/>
      <c r="F754" s="1"/>
      <c r="K754" s="1"/>
      <c r="O754" s="1"/>
    </row>
    <row r="755" spans="1:15" ht="12.75">
      <c r="A755" s="1"/>
      <c r="D755" s="1"/>
      <c r="E755" s="1"/>
      <c r="F755" s="1"/>
      <c r="K755" s="1"/>
      <c r="O755" s="1"/>
    </row>
    <row r="756" spans="1:15" ht="12.75">
      <c r="A756" s="1"/>
      <c r="D756" s="1"/>
      <c r="E756" s="1"/>
      <c r="F756" s="1"/>
      <c r="K756" s="1"/>
      <c r="O756" s="1"/>
    </row>
    <row r="757" spans="1:15" ht="12.75">
      <c r="A757" s="1"/>
      <c r="D757" s="1"/>
      <c r="E757" s="1"/>
      <c r="F757" s="1"/>
      <c r="K757" s="1"/>
      <c r="O757" s="1"/>
    </row>
    <row r="758" spans="1:15" ht="12.75">
      <c r="A758" s="1"/>
      <c r="D758" s="1"/>
      <c r="E758" s="1"/>
      <c r="F758" s="1"/>
      <c r="K758" s="1"/>
      <c r="O758" s="1"/>
    </row>
    <row r="759" spans="1:15" ht="12.75">
      <c r="A759" s="1"/>
      <c r="D759" s="1"/>
      <c r="E759" s="1"/>
      <c r="F759" s="1"/>
      <c r="K759" s="1"/>
      <c r="O759" s="1"/>
    </row>
    <row r="760" spans="1:15" ht="12.75">
      <c r="A760" s="1"/>
      <c r="D760" s="1"/>
      <c r="E760" s="1"/>
      <c r="F760" s="1"/>
      <c r="K760" s="1"/>
      <c r="O760" s="1"/>
    </row>
    <row r="761" spans="1:15" ht="12.75">
      <c r="A761" s="1"/>
      <c r="D761" s="1"/>
      <c r="E761" s="1"/>
      <c r="F761" s="1"/>
      <c r="K761" s="1"/>
      <c r="O761" s="1"/>
    </row>
    <row r="762" spans="1:15" ht="12.75">
      <c r="A762" s="1"/>
      <c r="D762" s="1"/>
      <c r="E762" s="1"/>
      <c r="F762" s="1"/>
      <c r="K762" s="1"/>
      <c r="O762" s="1"/>
    </row>
    <row r="763" spans="1:15" ht="12.75">
      <c r="A763" s="1"/>
      <c r="D763" s="1"/>
      <c r="E763" s="1"/>
      <c r="F763" s="1"/>
      <c r="K763" s="1"/>
      <c r="O763" s="1"/>
    </row>
    <row r="764" spans="1:15" ht="12.75">
      <c r="A764" s="1"/>
      <c r="D764" s="1"/>
      <c r="E764" s="1"/>
      <c r="F764" s="1"/>
      <c r="K764" s="1"/>
      <c r="O764" s="1"/>
    </row>
    <row r="765" spans="1:15" ht="12.75">
      <c r="A765" s="1"/>
      <c r="D765" s="1"/>
      <c r="E765" s="1"/>
      <c r="F765" s="1"/>
      <c r="K765" s="1"/>
      <c r="O765" s="1"/>
    </row>
    <row r="766" spans="1:15" ht="12.75">
      <c r="A766" s="1"/>
      <c r="D766" s="1"/>
      <c r="E766" s="1"/>
      <c r="F766" s="1"/>
      <c r="K766" s="1"/>
      <c r="O766" s="1"/>
    </row>
    <row r="767" spans="1:15" ht="12.75">
      <c r="A767" s="1"/>
      <c r="D767" s="1"/>
      <c r="E767" s="1"/>
      <c r="F767" s="1"/>
      <c r="K767" s="1"/>
      <c r="O767" s="1"/>
    </row>
    <row r="768" spans="1:15" ht="12.75">
      <c r="A768" s="1"/>
      <c r="D768" s="1"/>
      <c r="E768" s="1"/>
      <c r="F768" s="1"/>
      <c r="K768" s="1"/>
      <c r="O768" s="1"/>
    </row>
    <row r="769" spans="1:15" ht="12.75">
      <c r="A769" s="1"/>
      <c r="D769" s="1"/>
      <c r="E769" s="1"/>
      <c r="F769" s="1"/>
      <c r="K769" s="1"/>
      <c r="O769" s="1"/>
    </row>
    <row r="770" spans="1:15" ht="12.75">
      <c r="A770" s="1"/>
      <c r="D770" s="1"/>
      <c r="E770" s="1"/>
      <c r="F770" s="1"/>
      <c r="K770" s="1"/>
      <c r="O770" s="1"/>
    </row>
    <row r="771" spans="1:15" ht="12.75">
      <c r="A771" s="1"/>
      <c r="D771" s="1"/>
      <c r="E771" s="1"/>
      <c r="F771" s="1"/>
      <c r="K771" s="1"/>
      <c r="O771" s="1"/>
    </row>
    <row r="772" spans="1:15" ht="12.75">
      <c r="A772" s="1"/>
      <c r="D772" s="1"/>
      <c r="E772" s="1"/>
      <c r="F772" s="1"/>
      <c r="K772" s="1"/>
      <c r="O772" s="1"/>
    </row>
    <row r="773" spans="1:15" ht="12.75">
      <c r="A773" s="1"/>
      <c r="D773" s="1"/>
      <c r="E773" s="1"/>
      <c r="F773" s="1"/>
      <c r="K773" s="1"/>
      <c r="O773" s="1"/>
    </row>
    <row r="774" spans="1:15" ht="12.75">
      <c r="A774" s="1"/>
      <c r="D774" s="1"/>
      <c r="E774" s="1"/>
      <c r="F774" s="1"/>
      <c r="K774" s="1"/>
      <c r="O774" s="1"/>
    </row>
    <row r="775" spans="1:15" ht="12.75">
      <c r="A775" s="1"/>
      <c r="D775" s="1"/>
      <c r="E775" s="1"/>
      <c r="F775" s="1"/>
      <c r="K775" s="1"/>
      <c r="O775" s="1"/>
    </row>
    <row r="776" spans="1:15" ht="12.75">
      <c r="A776" s="1"/>
      <c r="D776" s="1"/>
      <c r="E776" s="1"/>
      <c r="F776" s="1"/>
      <c r="K776" s="1"/>
      <c r="O776" s="1"/>
    </row>
    <row r="777" spans="1:15" ht="12.75">
      <c r="A777" s="1"/>
      <c r="D777" s="1"/>
      <c r="E777" s="1"/>
      <c r="F777" s="1"/>
      <c r="K777" s="1"/>
      <c r="O777" s="1"/>
    </row>
    <row r="778" spans="1:15" ht="12.75">
      <c r="A778" s="1"/>
      <c r="D778" s="1"/>
      <c r="E778" s="1"/>
      <c r="F778" s="1"/>
      <c r="K778" s="1"/>
      <c r="O778" s="1"/>
    </row>
    <row r="779" spans="1:15" ht="12.75">
      <c r="A779" s="1"/>
      <c r="D779" s="1"/>
      <c r="E779" s="1"/>
      <c r="F779" s="1"/>
      <c r="K779" s="1"/>
      <c r="O779" s="1"/>
    </row>
    <row r="780" spans="1:15" ht="12.75">
      <c r="A780" s="1"/>
      <c r="D780" s="1"/>
      <c r="E780" s="1"/>
      <c r="F780" s="1"/>
      <c r="K780" s="1"/>
      <c r="O780" s="1"/>
    </row>
    <row r="781" spans="1:15" ht="12.75">
      <c r="A781" s="1"/>
      <c r="D781" s="1"/>
      <c r="E781" s="1"/>
      <c r="F781" s="1"/>
      <c r="K781" s="1"/>
      <c r="O781" s="1"/>
    </row>
    <row r="782" spans="1:15" ht="12.75">
      <c r="A782" s="1"/>
      <c r="D782" s="1"/>
      <c r="E782" s="1"/>
      <c r="F782" s="1"/>
      <c r="K782" s="1"/>
      <c r="O782" s="1"/>
    </row>
    <row r="783" spans="1:15" ht="12.75">
      <c r="A783" s="1"/>
      <c r="D783" s="1"/>
      <c r="E783" s="1"/>
      <c r="F783" s="1"/>
      <c r="K783" s="1"/>
      <c r="O783" s="1"/>
    </row>
    <row r="784" spans="1:15" ht="12.75">
      <c r="A784" s="1"/>
      <c r="D784" s="1"/>
      <c r="E784" s="1"/>
      <c r="F784" s="1"/>
      <c r="K784" s="1"/>
      <c r="O784" s="1"/>
    </row>
    <row r="785" spans="1:15" ht="12.75">
      <c r="A785" s="1"/>
      <c r="D785" s="1"/>
      <c r="E785" s="1"/>
      <c r="F785" s="1"/>
      <c r="K785" s="1"/>
      <c r="O785" s="1"/>
    </row>
    <row r="786" spans="1:15" ht="12.75">
      <c r="A786" s="1"/>
      <c r="D786" s="1"/>
      <c r="E786" s="1"/>
      <c r="F786" s="1"/>
      <c r="K786" s="1"/>
      <c r="O786" s="1"/>
    </row>
    <row r="787" spans="1:15" ht="12.75">
      <c r="A787" s="1"/>
      <c r="D787" s="1"/>
      <c r="E787" s="1"/>
      <c r="F787" s="1"/>
      <c r="K787" s="1"/>
      <c r="O787" s="1"/>
    </row>
    <row r="788" spans="1:15" ht="12.75">
      <c r="A788" s="1"/>
      <c r="D788" s="1"/>
      <c r="E788" s="1"/>
      <c r="F788" s="1"/>
      <c r="K788" s="1"/>
      <c r="O788" s="1"/>
    </row>
    <row r="789" spans="1:15" ht="12.75">
      <c r="A789" s="1"/>
      <c r="D789" s="1"/>
      <c r="E789" s="1"/>
      <c r="F789" s="1"/>
      <c r="K789" s="1"/>
      <c r="O789" s="1"/>
    </row>
    <row r="790" spans="1:15" ht="12.75">
      <c r="A790" s="1"/>
      <c r="D790" s="1"/>
      <c r="E790" s="1"/>
      <c r="F790" s="1"/>
      <c r="K790" s="1"/>
      <c r="O790" s="1"/>
    </row>
    <row r="791" spans="1:15" ht="12.75">
      <c r="A791" s="1"/>
      <c r="D791" s="1"/>
      <c r="E791" s="1"/>
      <c r="F791" s="1"/>
      <c r="K791" s="1"/>
      <c r="O791" s="1"/>
    </row>
    <row r="792" spans="1:15" ht="12.75">
      <c r="A792" s="1"/>
      <c r="D792" s="1"/>
      <c r="E792" s="1"/>
      <c r="F792" s="1"/>
      <c r="K792" s="1"/>
      <c r="O792" s="1"/>
    </row>
    <row r="793" spans="1:15" ht="12.75">
      <c r="A793" s="1"/>
      <c r="D793" s="1"/>
      <c r="E793" s="1"/>
      <c r="F793" s="1"/>
      <c r="K793" s="1"/>
      <c r="O793" s="1"/>
    </row>
    <row r="794" spans="1:15" ht="12.75">
      <c r="A794" s="1"/>
      <c r="D794" s="1"/>
      <c r="E794" s="1"/>
      <c r="F794" s="1"/>
      <c r="K794" s="1"/>
      <c r="O794" s="1"/>
    </row>
    <row r="795" spans="1:15" ht="12.75">
      <c r="A795" s="1"/>
      <c r="D795" s="1"/>
      <c r="E795" s="1"/>
      <c r="F795" s="1"/>
      <c r="K795" s="1"/>
      <c r="O795" s="1"/>
    </row>
    <row r="796" spans="1:15" ht="12.75">
      <c r="A796" s="1"/>
      <c r="D796" s="1"/>
      <c r="E796" s="1"/>
      <c r="F796" s="1"/>
      <c r="K796" s="1"/>
      <c r="O796" s="1"/>
    </row>
    <row r="797" spans="1:15" ht="12.75">
      <c r="A797" s="1"/>
      <c r="D797" s="1"/>
      <c r="E797" s="1"/>
      <c r="F797" s="1"/>
      <c r="K797" s="1"/>
      <c r="O797" s="1"/>
    </row>
    <row r="798" spans="1:15" ht="12.75">
      <c r="A798" s="1"/>
      <c r="D798" s="1"/>
      <c r="E798" s="1"/>
      <c r="F798" s="1"/>
      <c r="K798" s="1"/>
      <c r="O798" s="1"/>
    </row>
    <row r="799" spans="1:15" ht="12.75">
      <c r="A799" s="1"/>
      <c r="D799" s="1"/>
      <c r="E799" s="1"/>
      <c r="F799" s="1"/>
      <c r="K799" s="1"/>
      <c r="O799" s="1"/>
    </row>
    <row r="800" spans="1:15" ht="12.75">
      <c r="A800" s="1"/>
      <c r="D800" s="1"/>
      <c r="E800" s="1"/>
      <c r="F800" s="1"/>
      <c r="K800" s="1"/>
      <c r="O800" s="1"/>
    </row>
    <row r="801" spans="1:15" ht="12.75">
      <c r="A801" s="1"/>
      <c r="D801" s="1"/>
      <c r="E801" s="1"/>
      <c r="F801" s="1"/>
      <c r="K801" s="1"/>
      <c r="O801" s="1"/>
    </row>
    <row r="802" spans="1:15" ht="12.75">
      <c r="A802" s="1"/>
      <c r="D802" s="1"/>
      <c r="E802" s="1"/>
      <c r="F802" s="1"/>
      <c r="K802" s="1"/>
      <c r="O802" s="1"/>
    </row>
    <row r="803" spans="1:15" ht="12.75">
      <c r="A803" s="1"/>
      <c r="D803" s="1"/>
      <c r="E803" s="1"/>
      <c r="F803" s="1"/>
      <c r="K803" s="1"/>
      <c r="O803" s="1"/>
    </row>
    <row r="804" spans="1:15" ht="12.75">
      <c r="A804" s="1"/>
      <c r="D804" s="1"/>
      <c r="E804" s="1"/>
      <c r="F804" s="1"/>
      <c r="K804" s="1"/>
      <c r="O804" s="1"/>
    </row>
    <row r="805" spans="1:15" ht="12.75">
      <c r="A805" s="1"/>
      <c r="D805" s="1"/>
      <c r="E805" s="1"/>
      <c r="F805" s="1"/>
      <c r="K805" s="1"/>
      <c r="O805" s="1"/>
    </row>
    <row r="806" spans="1:15" ht="12.75">
      <c r="A806" s="1"/>
      <c r="D806" s="1"/>
      <c r="E806" s="1"/>
      <c r="F806" s="1"/>
      <c r="K806" s="1"/>
      <c r="O806" s="1"/>
    </row>
    <row r="807" spans="1:15" ht="12.75">
      <c r="A807" s="1"/>
      <c r="D807" s="1"/>
      <c r="E807" s="1"/>
      <c r="F807" s="1"/>
      <c r="K807" s="1"/>
      <c r="O807" s="1"/>
    </row>
    <row r="808" spans="1:15" ht="12.75">
      <c r="A808" s="1"/>
      <c r="D808" s="1"/>
      <c r="E808" s="1"/>
      <c r="F808" s="1"/>
      <c r="K808" s="1"/>
      <c r="O808" s="1"/>
    </row>
    <row r="809" spans="1:15" ht="12.75">
      <c r="A809" s="1"/>
      <c r="D809" s="1"/>
      <c r="E809" s="1"/>
      <c r="F809" s="1"/>
      <c r="K809" s="1"/>
      <c r="O809" s="1"/>
    </row>
    <row r="810" spans="1:15" ht="12.75">
      <c r="A810" s="1"/>
      <c r="D810" s="1"/>
      <c r="E810" s="1"/>
      <c r="F810" s="1"/>
      <c r="K810" s="1"/>
      <c r="O810" s="1"/>
    </row>
    <row r="811" spans="1:15" ht="12.75">
      <c r="A811" s="1"/>
      <c r="D811" s="1"/>
      <c r="E811" s="1"/>
      <c r="F811" s="1"/>
      <c r="K811" s="1"/>
      <c r="O811" s="1"/>
    </row>
    <row r="812" spans="1:15" ht="12.75">
      <c r="A812" s="1"/>
      <c r="D812" s="1"/>
      <c r="E812" s="1"/>
      <c r="F812" s="1"/>
      <c r="K812" s="1"/>
      <c r="O812" s="1"/>
    </row>
    <row r="813" spans="1:15" ht="12.75">
      <c r="A813" s="1"/>
      <c r="D813" s="1"/>
      <c r="E813" s="1"/>
      <c r="F813" s="1"/>
      <c r="K813" s="1"/>
      <c r="O813" s="1"/>
    </row>
    <row r="814" spans="1:15" ht="12.75">
      <c r="A814" s="1"/>
      <c r="D814" s="1"/>
      <c r="E814" s="1"/>
      <c r="F814" s="1"/>
      <c r="K814" s="1"/>
      <c r="O814" s="1"/>
    </row>
    <row r="815" spans="1:15" ht="12.75">
      <c r="A815" s="1"/>
      <c r="D815" s="1"/>
      <c r="E815" s="1"/>
      <c r="F815" s="1"/>
      <c r="K815" s="1"/>
      <c r="O815" s="1"/>
    </row>
    <row r="816" spans="1:15" ht="12.75">
      <c r="A816" s="1"/>
      <c r="D816" s="1"/>
      <c r="E816" s="1"/>
      <c r="F816" s="1"/>
      <c r="K816" s="1"/>
      <c r="O816" s="1"/>
    </row>
    <row r="817" spans="1:15" ht="12.75">
      <c r="A817" s="1"/>
      <c r="D817" s="1"/>
      <c r="E817" s="1"/>
      <c r="F817" s="1"/>
      <c r="K817" s="1"/>
      <c r="O817" s="1"/>
    </row>
    <row r="818" spans="1:15" ht="12.75">
      <c r="A818" s="1"/>
      <c r="D818" s="1"/>
      <c r="E818" s="1"/>
      <c r="F818" s="1"/>
      <c r="K818" s="1"/>
      <c r="O818" s="1"/>
    </row>
    <row r="819" spans="1:15" ht="12.75">
      <c r="A819" s="1"/>
      <c r="D819" s="1"/>
      <c r="E819" s="1"/>
      <c r="F819" s="1"/>
      <c r="K819" s="1"/>
      <c r="O819" s="1"/>
    </row>
    <row r="820" spans="1:15" ht="12.75">
      <c r="A820" s="1"/>
      <c r="D820" s="1"/>
      <c r="E820" s="1"/>
      <c r="F820" s="1"/>
      <c r="K820" s="1"/>
      <c r="O820" s="1"/>
    </row>
    <row r="821" spans="1:15" ht="12.75">
      <c r="A821" s="1"/>
      <c r="D821" s="1"/>
      <c r="E821" s="1"/>
      <c r="F821" s="1"/>
      <c r="K821" s="1"/>
      <c r="O821" s="1"/>
    </row>
    <row r="822" spans="1:15" ht="12.75">
      <c r="A822" s="1"/>
      <c r="D822" s="1"/>
      <c r="E822" s="1"/>
      <c r="F822" s="1"/>
      <c r="K822" s="1"/>
      <c r="O822" s="1"/>
    </row>
    <row r="823" spans="1:15" ht="12.75">
      <c r="A823" s="1"/>
      <c r="D823" s="1"/>
      <c r="E823" s="1"/>
      <c r="F823" s="1"/>
      <c r="K823" s="1"/>
      <c r="O823" s="1"/>
    </row>
    <row r="824" spans="1:15" ht="12.75">
      <c r="A824" s="1"/>
      <c r="D824" s="1"/>
      <c r="E824" s="1"/>
      <c r="F824" s="1"/>
      <c r="K824" s="1"/>
      <c r="O824" s="1"/>
    </row>
    <row r="825" spans="1:15" ht="12.75">
      <c r="A825" s="1"/>
      <c r="D825" s="1"/>
      <c r="E825" s="1"/>
      <c r="F825" s="1"/>
      <c r="K825" s="1"/>
      <c r="O825" s="1"/>
    </row>
    <row r="826" spans="1:15" ht="12.75">
      <c r="A826" s="1"/>
      <c r="D826" s="1"/>
      <c r="E826" s="1"/>
      <c r="F826" s="1"/>
      <c r="K826" s="1"/>
      <c r="O826" s="1"/>
    </row>
    <row r="827" spans="1:15" ht="12.75">
      <c r="A827" s="1"/>
      <c r="D827" s="1"/>
      <c r="E827" s="1"/>
      <c r="F827" s="1"/>
      <c r="K827" s="1"/>
      <c r="O827" s="1"/>
    </row>
    <row r="828" spans="1:15" ht="12.75">
      <c r="A828" s="1"/>
      <c r="D828" s="1"/>
      <c r="E828" s="1"/>
      <c r="F828" s="1"/>
      <c r="K828" s="1"/>
      <c r="O828" s="1"/>
    </row>
    <row r="829" spans="1:15" ht="12.75">
      <c r="A829" s="1"/>
      <c r="D829" s="1"/>
      <c r="E829" s="1"/>
      <c r="F829" s="1"/>
      <c r="K829" s="1"/>
      <c r="O829" s="1"/>
    </row>
    <row r="830" spans="1:15" ht="12.75">
      <c r="A830" s="1"/>
      <c r="D830" s="1"/>
      <c r="E830" s="1"/>
      <c r="F830" s="1"/>
      <c r="K830" s="1"/>
      <c r="O830" s="1"/>
    </row>
    <row r="831" spans="1:15" ht="12.75">
      <c r="A831" s="1"/>
      <c r="D831" s="1"/>
      <c r="E831" s="1"/>
      <c r="F831" s="1"/>
      <c r="K831" s="1"/>
      <c r="O831" s="1"/>
    </row>
    <row r="832" spans="1:15" ht="12.75">
      <c r="A832" s="1"/>
      <c r="D832" s="1"/>
      <c r="E832" s="1"/>
      <c r="F832" s="1"/>
      <c r="K832" s="1"/>
      <c r="O832" s="1"/>
    </row>
    <row r="833" spans="1:15" ht="12.75">
      <c r="A833" s="1"/>
      <c r="D833" s="1"/>
      <c r="E833" s="1"/>
      <c r="F833" s="1"/>
      <c r="K833" s="1"/>
      <c r="O833" s="1"/>
    </row>
    <row r="834" spans="1:15" ht="12.75">
      <c r="A834" s="1"/>
      <c r="D834" s="1"/>
      <c r="E834" s="1"/>
      <c r="F834" s="1"/>
      <c r="K834" s="1"/>
      <c r="O834" s="1"/>
    </row>
    <row r="835" spans="1:15" ht="12.75">
      <c r="A835" s="1"/>
      <c r="D835" s="1"/>
      <c r="E835" s="1"/>
      <c r="F835" s="1"/>
      <c r="K835" s="1"/>
      <c r="O835" s="1"/>
    </row>
    <row r="836" spans="1:15" ht="12.75">
      <c r="A836" s="1"/>
      <c r="D836" s="1"/>
      <c r="E836" s="1"/>
      <c r="F836" s="1"/>
      <c r="K836" s="1"/>
      <c r="O836" s="1"/>
    </row>
    <row r="837" spans="1:15" ht="12.75">
      <c r="A837" s="1"/>
      <c r="D837" s="1"/>
      <c r="E837" s="1"/>
      <c r="F837" s="1"/>
      <c r="K837" s="1"/>
      <c r="O837" s="1"/>
    </row>
    <row r="838" spans="1:15" ht="12.75">
      <c r="A838" s="1"/>
      <c r="D838" s="1"/>
      <c r="E838" s="1"/>
      <c r="F838" s="1"/>
      <c r="K838" s="1"/>
      <c r="O838" s="1"/>
    </row>
    <row r="839" spans="1:15" ht="12.75">
      <c r="A839" s="1"/>
      <c r="D839" s="1"/>
      <c r="E839" s="1"/>
      <c r="F839" s="1"/>
      <c r="K839" s="1"/>
      <c r="O839" s="1"/>
    </row>
    <row r="840" spans="1:15" ht="12.75">
      <c r="A840" s="1"/>
      <c r="D840" s="1"/>
      <c r="E840" s="1"/>
      <c r="F840" s="1"/>
      <c r="K840" s="1"/>
      <c r="O840" s="1"/>
    </row>
    <row r="841" spans="1:15" ht="12.75">
      <c r="A841" s="1"/>
      <c r="D841" s="1"/>
      <c r="E841" s="1"/>
      <c r="F841" s="1"/>
      <c r="K841" s="1"/>
      <c r="O841" s="1"/>
    </row>
    <row r="842" spans="1:15" ht="12.75">
      <c r="A842" s="1"/>
      <c r="D842" s="1"/>
      <c r="E842" s="1"/>
      <c r="F842" s="1"/>
      <c r="K842" s="1"/>
      <c r="O842" s="1"/>
    </row>
    <row r="843" spans="1:15" ht="12.75">
      <c r="A843" s="1"/>
      <c r="D843" s="1"/>
      <c r="E843" s="1"/>
      <c r="F843" s="1"/>
      <c r="K843" s="1"/>
      <c r="O843" s="1"/>
    </row>
    <row r="844" spans="1:15" ht="12.75">
      <c r="A844" s="1"/>
      <c r="D844" s="1"/>
      <c r="E844" s="1"/>
      <c r="F844" s="1"/>
      <c r="K844" s="1"/>
      <c r="O844" s="1"/>
    </row>
    <row r="845" spans="1:15" ht="12.75">
      <c r="A845" s="1"/>
      <c r="D845" s="1"/>
      <c r="E845" s="1"/>
      <c r="F845" s="1"/>
      <c r="K845" s="1"/>
      <c r="O845" s="1"/>
    </row>
    <row r="846" spans="1:15" ht="12.75">
      <c r="A846" s="1"/>
      <c r="D846" s="1"/>
      <c r="E846" s="1"/>
      <c r="F846" s="1"/>
      <c r="K846" s="1"/>
      <c r="O846" s="1"/>
    </row>
    <row r="847" spans="1:15" ht="12.75">
      <c r="A847" s="1"/>
      <c r="D847" s="1"/>
      <c r="E847" s="1"/>
      <c r="F847" s="1"/>
      <c r="K847" s="1"/>
      <c r="O847" s="1"/>
    </row>
    <row r="848" spans="1:15" ht="12.75">
      <c r="A848" s="1"/>
      <c r="D848" s="1"/>
      <c r="E848" s="1"/>
      <c r="F848" s="1"/>
      <c r="K848" s="1"/>
      <c r="O848" s="1"/>
    </row>
    <row r="849" spans="1:15" ht="12.75">
      <c r="A849" s="1"/>
      <c r="D849" s="1"/>
      <c r="E849" s="1"/>
      <c r="F849" s="1"/>
      <c r="K849" s="1"/>
      <c r="O849" s="1"/>
    </row>
    <row r="850" spans="1:15" ht="12.75">
      <c r="A850" s="1"/>
      <c r="D850" s="1"/>
      <c r="E850" s="1"/>
      <c r="F850" s="1"/>
      <c r="K850" s="1"/>
      <c r="O850" s="1"/>
    </row>
    <row r="851" spans="1:15" ht="12.75">
      <c r="A851" s="1"/>
      <c r="D851" s="1"/>
      <c r="E851" s="1"/>
      <c r="F851" s="1"/>
      <c r="K851" s="1"/>
      <c r="O851" s="1"/>
    </row>
    <row r="852" spans="1:15" ht="12.75">
      <c r="A852" s="1"/>
      <c r="D852" s="1"/>
      <c r="E852" s="1"/>
      <c r="F852" s="1"/>
      <c r="K852" s="1"/>
      <c r="O852" s="1"/>
    </row>
    <row r="853" spans="1:15" ht="12.75">
      <c r="A853" s="1"/>
      <c r="D853" s="1"/>
      <c r="E853" s="1"/>
      <c r="F853" s="1"/>
      <c r="K853" s="1"/>
      <c r="O853" s="1"/>
    </row>
    <row r="854" spans="1:15" ht="12.75">
      <c r="A854" s="1"/>
      <c r="D854" s="1"/>
      <c r="E854" s="1"/>
      <c r="F854" s="1"/>
      <c r="K854" s="1"/>
      <c r="O854" s="1"/>
    </row>
    <row r="855" spans="1:15" ht="12.75">
      <c r="A855" s="1"/>
      <c r="D855" s="1"/>
      <c r="E855" s="1"/>
      <c r="F855" s="1"/>
      <c r="K855" s="1"/>
      <c r="O855" s="1"/>
    </row>
    <row r="856" spans="1:15" ht="12.75">
      <c r="A856" s="1"/>
      <c r="D856" s="1"/>
      <c r="E856" s="1"/>
      <c r="F856" s="1"/>
      <c r="K856" s="1"/>
      <c r="O856" s="1"/>
    </row>
    <row r="857" spans="1:15" ht="12.75">
      <c r="A857" s="1"/>
      <c r="D857" s="1"/>
      <c r="E857" s="1"/>
      <c r="F857" s="1"/>
      <c r="K857" s="1"/>
      <c r="O857" s="1"/>
    </row>
    <row r="858" spans="1:15" ht="12.75">
      <c r="A858" s="1"/>
      <c r="D858" s="1"/>
      <c r="E858" s="1"/>
      <c r="F858" s="1"/>
      <c r="K858" s="1"/>
      <c r="O858" s="1"/>
    </row>
    <row r="859" spans="1:15" ht="12.75">
      <c r="A859" s="1"/>
      <c r="D859" s="1"/>
      <c r="E859" s="1"/>
      <c r="F859" s="1"/>
      <c r="K859" s="1"/>
      <c r="O859" s="1"/>
    </row>
    <row r="860" spans="1:15" ht="12.75">
      <c r="A860" s="1"/>
      <c r="D860" s="1"/>
      <c r="E860" s="1"/>
      <c r="F860" s="1"/>
      <c r="K860" s="1"/>
      <c r="O860" s="1"/>
    </row>
    <row r="861" spans="1:15" ht="12.75">
      <c r="A861" s="1"/>
      <c r="D861" s="1"/>
      <c r="E861" s="1"/>
      <c r="F861" s="1"/>
      <c r="K861" s="1"/>
      <c r="O861" s="1"/>
    </row>
    <row r="862" spans="1:15" ht="12.75">
      <c r="A862" s="1"/>
      <c r="D862" s="1"/>
      <c r="E862" s="1"/>
      <c r="F862" s="1"/>
      <c r="K862" s="1"/>
      <c r="O862" s="1"/>
    </row>
    <row r="863" spans="1:15" ht="12.75">
      <c r="A863" s="1"/>
      <c r="D863" s="1"/>
      <c r="E863" s="1"/>
      <c r="F863" s="1"/>
      <c r="K863" s="1"/>
      <c r="O863" s="1"/>
    </row>
    <row r="864" spans="1:15" ht="12.75">
      <c r="A864" s="1"/>
      <c r="D864" s="1"/>
      <c r="E864" s="1"/>
      <c r="F864" s="1"/>
      <c r="K864" s="1"/>
      <c r="O864" s="1"/>
    </row>
    <row r="865" spans="1:15" ht="12.75">
      <c r="A865" s="1"/>
      <c r="D865" s="1"/>
      <c r="E865" s="1"/>
      <c r="F865" s="1"/>
      <c r="K865" s="1"/>
      <c r="O865" s="1"/>
    </row>
    <row r="866" spans="1:15" ht="12.75">
      <c r="A866" s="1"/>
      <c r="D866" s="1"/>
      <c r="E866" s="1"/>
      <c r="F866" s="1"/>
      <c r="K866" s="1"/>
      <c r="O866" s="1"/>
    </row>
    <row r="867" spans="1:15" ht="12.75">
      <c r="A867" s="1"/>
      <c r="D867" s="1"/>
      <c r="E867" s="1"/>
      <c r="F867" s="1"/>
      <c r="K867" s="1"/>
      <c r="O867" s="1"/>
    </row>
    <row r="868" spans="1:15" ht="12.75">
      <c r="A868" s="1"/>
      <c r="D868" s="1"/>
      <c r="E868" s="1"/>
      <c r="F868" s="1"/>
      <c r="K868" s="1"/>
      <c r="O868" s="1"/>
    </row>
    <row r="869" spans="1:15" ht="12.75">
      <c r="A869" s="1"/>
      <c r="D869" s="1"/>
      <c r="E869" s="1"/>
      <c r="F869" s="1"/>
      <c r="K869" s="1"/>
      <c r="O869" s="1"/>
    </row>
    <row r="870" spans="1:15" ht="12.75">
      <c r="A870" s="1"/>
      <c r="D870" s="1"/>
      <c r="E870" s="1"/>
      <c r="F870" s="1"/>
      <c r="K870" s="1"/>
      <c r="O870" s="1"/>
    </row>
    <row r="871" spans="1:15" ht="12.75">
      <c r="A871" s="1"/>
      <c r="D871" s="1"/>
      <c r="E871" s="1"/>
      <c r="F871" s="1"/>
      <c r="K871" s="1"/>
      <c r="O871" s="1"/>
    </row>
    <row r="872" spans="1:15" ht="12.75">
      <c r="A872" s="1"/>
      <c r="D872" s="1"/>
      <c r="E872" s="1"/>
      <c r="F872" s="1"/>
      <c r="K872" s="1"/>
      <c r="O872" s="1"/>
    </row>
    <row r="873" spans="1:15" ht="12.75">
      <c r="A873" s="1"/>
      <c r="D873" s="1"/>
      <c r="E873" s="1"/>
      <c r="F873" s="1"/>
      <c r="K873" s="1"/>
      <c r="O873" s="1"/>
    </row>
    <row r="874" spans="1:15" ht="12.75">
      <c r="A874" s="1"/>
      <c r="D874" s="1"/>
      <c r="E874" s="1"/>
      <c r="F874" s="1"/>
      <c r="K874" s="1"/>
      <c r="O874" s="1"/>
    </row>
    <row r="875" spans="1:15" ht="12.75">
      <c r="A875" s="1"/>
      <c r="D875" s="1"/>
      <c r="E875" s="1"/>
      <c r="F875" s="1"/>
      <c r="K875" s="1"/>
      <c r="O875" s="1"/>
    </row>
    <row r="876" spans="1:15" ht="12.75">
      <c r="A876" s="1"/>
      <c r="D876" s="1"/>
      <c r="E876" s="1"/>
      <c r="F876" s="1"/>
      <c r="K876" s="1"/>
      <c r="O876" s="1"/>
    </row>
    <row r="877" spans="1:15" ht="12.75">
      <c r="A877" s="1"/>
      <c r="D877" s="1"/>
      <c r="E877" s="1"/>
      <c r="F877" s="1"/>
      <c r="K877" s="1"/>
      <c r="O877" s="1"/>
    </row>
    <row r="878" spans="1:15" ht="12.75">
      <c r="A878" s="1"/>
      <c r="D878" s="1"/>
      <c r="E878" s="1"/>
      <c r="F878" s="1"/>
      <c r="K878" s="1"/>
      <c r="O878" s="1"/>
    </row>
    <row r="879" spans="1:15" ht="12.75">
      <c r="A879" s="1"/>
      <c r="D879" s="1"/>
      <c r="E879" s="1"/>
      <c r="F879" s="1"/>
      <c r="K879" s="1"/>
      <c r="O879" s="1"/>
    </row>
    <row r="880" spans="1:15" ht="12.75">
      <c r="A880" s="1"/>
      <c r="D880" s="1"/>
      <c r="E880" s="1"/>
      <c r="F880" s="1"/>
      <c r="K880" s="1"/>
      <c r="O880" s="1"/>
    </row>
    <row r="881" spans="1:15" ht="12.75">
      <c r="A881" s="1"/>
      <c r="D881" s="1"/>
      <c r="E881" s="1"/>
      <c r="F881" s="1"/>
      <c r="K881" s="1"/>
      <c r="O881" s="1"/>
    </row>
    <row r="882" spans="1:15" ht="12.75">
      <c r="A882" s="1"/>
      <c r="D882" s="1"/>
      <c r="E882" s="1"/>
      <c r="F882" s="1"/>
      <c r="K882" s="1"/>
      <c r="O882" s="1"/>
    </row>
    <row r="883" spans="1:15" ht="12.75">
      <c r="A883" s="1"/>
      <c r="D883" s="1"/>
      <c r="E883" s="1"/>
      <c r="F883" s="1"/>
      <c r="K883" s="1"/>
      <c r="O883" s="1"/>
    </row>
    <row r="884" spans="1:15" ht="12.75">
      <c r="A884" s="1"/>
      <c r="D884" s="1"/>
      <c r="E884" s="1"/>
      <c r="F884" s="1"/>
      <c r="K884" s="1"/>
      <c r="O884" s="1"/>
    </row>
    <row r="885" spans="1:15" ht="12.75">
      <c r="A885" s="1"/>
      <c r="D885" s="1"/>
      <c r="E885" s="1"/>
      <c r="F885" s="1"/>
      <c r="K885" s="1"/>
      <c r="O885" s="1"/>
    </row>
    <row r="886" spans="1:15" ht="12.75">
      <c r="A886" s="1"/>
      <c r="D886" s="1"/>
      <c r="E886" s="1"/>
      <c r="F886" s="1"/>
      <c r="K886" s="1"/>
      <c r="O886" s="1"/>
    </row>
    <row r="887" spans="1:15" ht="12.75">
      <c r="A887" s="1"/>
      <c r="D887" s="1"/>
      <c r="E887" s="1"/>
      <c r="F887" s="1"/>
      <c r="K887" s="1"/>
      <c r="O887" s="1"/>
    </row>
    <row r="888" spans="1:15" ht="12.75">
      <c r="A888" s="1"/>
      <c r="D888" s="1"/>
      <c r="E888" s="1"/>
      <c r="F888" s="1"/>
      <c r="K888" s="1"/>
      <c r="O888" s="1"/>
    </row>
    <row r="889" spans="1:15" ht="12.75">
      <c r="A889" s="1"/>
      <c r="D889" s="1"/>
      <c r="E889" s="1"/>
      <c r="F889" s="1"/>
      <c r="K889" s="1"/>
      <c r="O889" s="1"/>
    </row>
    <row r="890" spans="1:15" ht="12.75">
      <c r="A890" s="1"/>
      <c r="D890" s="1"/>
      <c r="E890" s="1"/>
      <c r="F890" s="1"/>
      <c r="K890" s="1"/>
      <c r="O890" s="1"/>
    </row>
    <row r="891" spans="1:15" ht="12.75">
      <c r="A891" s="1"/>
      <c r="D891" s="1"/>
      <c r="E891" s="1"/>
      <c r="F891" s="1"/>
      <c r="K891" s="1"/>
      <c r="O891" s="1"/>
    </row>
    <row r="892" spans="1:15" ht="12.75">
      <c r="A892" s="1"/>
      <c r="D892" s="1"/>
      <c r="E892" s="1"/>
      <c r="F892" s="1"/>
      <c r="K892" s="1"/>
      <c r="O892" s="1"/>
    </row>
    <row r="893" spans="1:15" ht="12.75">
      <c r="A893" s="1"/>
      <c r="D893" s="1"/>
      <c r="E893" s="1"/>
      <c r="F893" s="1"/>
      <c r="K893" s="1"/>
      <c r="O893" s="1"/>
    </row>
    <row r="894" spans="1:15" ht="12.75">
      <c r="A894" s="1"/>
      <c r="D894" s="1"/>
      <c r="E894" s="1"/>
      <c r="F894" s="1"/>
      <c r="K894" s="1"/>
      <c r="O894" s="1"/>
    </row>
    <row r="895" spans="1:15" ht="12.75">
      <c r="A895" s="1"/>
      <c r="D895" s="1"/>
      <c r="E895" s="1"/>
      <c r="F895" s="1"/>
      <c r="K895" s="1"/>
      <c r="O895" s="1"/>
    </row>
    <row r="896" spans="1:15" ht="12.75">
      <c r="A896" s="1"/>
      <c r="D896" s="1"/>
      <c r="E896" s="1"/>
      <c r="F896" s="1"/>
      <c r="K896" s="1"/>
      <c r="O896" s="1"/>
    </row>
    <row r="897" spans="1:15" ht="12.75">
      <c r="A897" s="1"/>
      <c r="D897" s="1"/>
      <c r="E897" s="1"/>
      <c r="F897" s="1"/>
      <c r="K897" s="1"/>
      <c r="O897" s="1"/>
    </row>
    <row r="898" spans="1:15" ht="12.75">
      <c r="A898" s="1"/>
      <c r="D898" s="1"/>
      <c r="E898" s="1"/>
      <c r="F898" s="1"/>
      <c r="K898" s="1"/>
      <c r="O898" s="1"/>
    </row>
    <row r="899" spans="1:15" ht="12.75">
      <c r="A899" s="1"/>
      <c r="D899" s="1"/>
      <c r="E899" s="1"/>
      <c r="F899" s="1"/>
      <c r="K899" s="1"/>
      <c r="O899" s="1"/>
    </row>
    <row r="900" spans="1:15" ht="12.75">
      <c r="A900" s="1"/>
      <c r="D900" s="1"/>
      <c r="E900" s="1"/>
      <c r="F900" s="1"/>
      <c r="K900" s="1"/>
      <c r="O900" s="1"/>
    </row>
    <row r="901" spans="1:15" ht="12.75">
      <c r="A901" s="1"/>
      <c r="D901" s="1"/>
      <c r="E901" s="1"/>
      <c r="F901" s="1"/>
      <c r="K901" s="1"/>
      <c r="O901" s="1"/>
    </row>
    <row r="902" spans="1:15" ht="12.75">
      <c r="A902" s="1"/>
      <c r="D902" s="1"/>
      <c r="E902" s="1"/>
      <c r="F902" s="1"/>
      <c r="K902" s="1"/>
      <c r="O902" s="1"/>
    </row>
    <row r="903" spans="1:15" ht="12.75">
      <c r="A903" s="1"/>
      <c r="D903" s="1"/>
      <c r="E903" s="1"/>
      <c r="F903" s="1"/>
      <c r="K903" s="1"/>
      <c r="O903" s="1"/>
    </row>
    <row r="904" spans="1:15" ht="12.75">
      <c r="A904" s="1"/>
      <c r="D904" s="1"/>
      <c r="E904" s="1"/>
      <c r="F904" s="1"/>
      <c r="K904" s="1"/>
      <c r="O904" s="1"/>
    </row>
    <row r="905" spans="1:15" ht="12.75">
      <c r="A905" s="1"/>
      <c r="D905" s="1"/>
      <c r="E905" s="1"/>
      <c r="F905" s="1"/>
      <c r="K905" s="1"/>
      <c r="O905" s="1"/>
    </row>
    <row r="906" spans="1:15" ht="12.75">
      <c r="A906" s="1"/>
      <c r="D906" s="1"/>
      <c r="E906" s="1"/>
      <c r="F906" s="1"/>
      <c r="K906" s="1"/>
      <c r="O906" s="1"/>
    </row>
    <row r="907" spans="1:15" ht="12.75">
      <c r="A907" s="1"/>
      <c r="D907" s="1"/>
      <c r="E907" s="1"/>
      <c r="F907" s="1"/>
      <c r="K907" s="1"/>
      <c r="O907" s="1"/>
    </row>
    <row r="908" spans="1:15" ht="12.75">
      <c r="A908" s="1"/>
      <c r="D908" s="1"/>
      <c r="E908" s="1"/>
      <c r="F908" s="1"/>
      <c r="K908" s="1"/>
      <c r="O908" s="1"/>
    </row>
    <row r="909" spans="1:15" ht="12.75">
      <c r="A909" s="1"/>
      <c r="D909" s="1"/>
      <c r="E909" s="1"/>
      <c r="F909" s="1"/>
      <c r="K909" s="1"/>
      <c r="O909" s="1"/>
    </row>
    <row r="910" spans="1:15" ht="12.75">
      <c r="A910" s="1"/>
      <c r="D910" s="1"/>
      <c r="E910" s="1"/>
      <c r="F910" s="1"/>
      <c r="K910" s="1"/>
      <c r="O910" s="1"/>
    </row>
    <row r="911" spans="1:15" ht="12.75">
      <c r="A911" s="1"/>
      <c r="D911" s="1"/>
      <c r="E911" s="1"/>
      <c r="F911" s="1"/>
      <c r="K911" s="1"/>
      <c r="O911" s="1"/>
    </row>
    <row r="912" spans="1:15" ht="12.75">
      <c r="A912" s="1"/>
      <c r="D912" s="1"/>
      <c r="E912" s="1"/>
      <c r="F912" s="1"/>
      <c r="K912" s="1"/>
      <c r="O912" s="1"/>
    </row>
    <row r="913" spans="1:15" ht="12.75">
      <c r="A913" s="1"/>
      <c r="D913" s="1"/>
      <c r="E913" s="1"/>
      <c r="F913" s="1"/>
      <c r="K913" s="1"/>
      <c r="O913" s="1"/>
    </row>
    <row r="914" spans="1:15" ht="12.75">
      <c r="A914" s="1"/>
      <c r="D914" s="1"/>
      <c r="E914" s="1"/>
      <c r="F914" s="1"/>
      <c r="K914" s="1"/>
      <c r="O914" s="1"/>
    </row>
    <row r="915" spans="1:15" ht="12.75">
      <c r="A915" s="1"/>
      <c r="D915" s="1"/>
      <c r="E915" s="1"/>
      <c r="F915" s="1"/>
      <c r="K915" s="1"/>
      <c r="O915" s="1"/>
    </row>
    <row r="916" spans="1:15" ht="12.75">
      <c r="A916" s="1"/>
      <c r="D916" s="1"/>
      <c r="E916" s="1"/>
      <c r="F916" s="1"/>
      <c r="K916" s="1"/>
      <c r="O916" s="1"/>
    </row>
    <row r="917" spans="1:15" ht="12.75">
      <c r="A917" s="1"/>
      <c r="D917" s="1"/>
      <c r="E917" s="1"/>
      <c r="F917" s="1"/>
      <c r="K917" s="1"/>
      <c r="O917" s="1"/>
    </row>
    <row r="918" spans="1:15" ht="12.75">
      <c r="A918" s="1"/>
      <c r="D918" s="1"/>
      <c r="E918" s="1"/>
      <c r="F918" s="1"/>
      <c r="K918" s="1"/>
      <c r="O918" s="1"/>
    </row>
    <row r="919" spans="1:15" ht="12.75">
      <c r="A919" s="1"/>
      <c r="D919" s="1"/>
      <c r="E919" s="1"/>
      <c r="F919" s="1"/>
      <c r="K919" s="1"/>
      <c r="O919" s="1"/>
    </row>
    <row r="920" spans="1:15" ht="12.75">
      <c r="A920" s="1"/>
      <c r="D920" s="1"/>
      <c r="E920" s="1"/>
      <c r="F920" s="1"/>
      <c r="K920" s="1"/>
      <c r="O920" s="1"/>
    </row>
    <row r="921" spans="1:15" ht="12.75">
      <c r="A921" s="1"/>
      <c r="D921" s="1"/>
      <c r="E921" s="1"/>
      <c r="F921" s="1"/>
      <c r="K921" s="1"/>
      <c r="O921" s="1"/>
    </row>
    <row r="922" spans="1:15" ht="12.75">
      <c r="A922" s="1"/>
      <c r="D922" s="1"/>
      <c r="E922" s="1"/>
      <c r="F922" s="1"/>
      <c r="K922" s="1"/>
      <c r="O922" s="1"/>
    </row>
    <row r="923" spans="1:15" ht="12.75">
      <c r="A923" s="1"/>
      <c r="D923" s="1"/>
      <c r="E923" s="1"/>
      <c r="F923" s="1"/>
      <c r="K923" s="1"/>
      <c r="O923" s="1"/>
    </row>
    <row r="924" spans="1:15" ht="12.75">
      <c r="A924" s="1"/>
      <c r="D924" s="1"/>
      <c r="E924" s="1"/>
      <c r="F924" s="1"/>
      <c r="K924" s="1"/>
      <c r="O924" s="1"/>
    </row>
    <row r="925" spans="1:15" ht="12.75">
      <c r="A925" s="1"/>
      <c r="D925" s="1"/>
      <c r="E925" s="1"/>
      <c r="F925" s="1"/>
      <c r="K925" s="1"/>
      <c r="O925" s="1"/>
    </row>
    <row r="926" spans="1:15" ht="12.75">
      <c r="A926" s="1"/>
      <c r="D926" s="1"/>
      <c r="E926" s="1"/>
      <c r="F926" s="1"/>
      <c r="K926" s="1"/>
      <c r="O926" s="1"/>
    </row>
    <row r="927" spans="1:15" ht="12.75">
      <c r="A927" s="1"/>
      <c r="D927" s="1"/>
      <c r="E927" s="1"/>
      <c r="F927" s="1"/>
      <c r="K927" s="1"/>
      <c r="O927" s="1"/>
    </row>
    <row r="928" spans="1:15" ht="12.75">
      <c r="A928" s="1"/>
      <c r="D928" s="1"/>
      <c r="E928" s="1"/>
      <c r="F928" s="1"/>
      <c r="K928" s="1"/>
      <c r="O928" s="1"/>
    </row>
    <row r="929" spans="1:15" ht="12.75">
      <c r="A929" s="1"/>
      <c r="D929" s="1"/>
      <c r="E929" s="1"/>
      <c r="F929" s="1"/>
      <c r="K929" s="1"/>
      <c r="O929" s="1"/>
    </row>
    <row r="930" spans="1:15" ht="12.75">
      <c r="A930" s="1"/>
      <c r="D930" s="1"/>
      <c r="E930" s="1"/>
      <c r="F930" s="1"/>
      <c r="K930" s="1"/>
      <c r="O930" s="1"/>
    </row>
    <row r="931" spans="1:15" ht="12.75">
      <c r="A931" s="1"/>
      <c r="D931" s="1"/>
      <c r="E931" s="1"/>
      <c r="F931" s="1"/>
      <c r="K931" s="1"/>
      <c r="O931" s="1"/>
    </row>
    <row r="932" spans="1:15" ht="12.75">
      <c r="A932" s="1"/>
      <c r="D932" s="1"/>
      <c r="E932" s="1"/>
      <c r="F932" s="1"/>
      <c r="K932" s="1"/>
      <c r="O932" s="1"/>
    </row>
    <row r="933" spans="1:15" ht="12.75">
      <c r="A933" s="1"/>
      <c r="D933" s="1"/>
      <c r="E933" s="1"/>
      <c r="F933" s="1"/>
      <c r="K933" s="1"/>
      <c r="O933" s="1"/>
    </row>
    <row r="934" spans="1:15" ht="12.75">
      <c r="A934" s="1"/>
      <c r="D934" s="1"/>
      <c r="E934" s="1"/>
      <c r="F934" s="1"/>
      <c r="K934" s="1"/>
      <c r="O934" s="1"/>
    </row>
    <row r="935" spans="1:15" ht="12.75">
      <c r="A935" s="1"/>
      <c r="D935" s="1"/>
      <c r="E935" s="1"/>
      <c r="F935" s="1"/>
      <c r="K935" s="1"/>
      <c r="O935" s="1"/>
    </row>
    <row r="936" spans="1:15" ht="12.75">
      <c r="A936" s="1"/>
      <c r="D936" s="1"/>
      <c r="E936" s="1"/>
      <c r="F936" s="1"/>
      <c r="K936" s="1"/>
      <c r="O936" s="1"/>
    </row>
    <row r="937" spans="1:15" ht="12.75">
      <c r="A937" s="1"/>
      <c r="D937" s="1"/>
      <c r="E937" s="1"/>
      <c r="F937" s="1"/>
      <c r="K937" s="1"/>
      <c r="O937" s="1"/>
    </row>
    <row r="938" spans="1:15" ht="12.75">
      <c r="A938" s="1"/>
      <c r="D938" s="1"/>
      <c r="E938" s="1"/>
      <c r="F938" s="1"/>
      <c r="K938" s="1"/>
      <c r="O938" s="1"/>
    </row>
    <row r="939" spans="1:15" ht="12.75">
      <c r="A939" s="1"/>
      <c r="D939" s="1"/>
      <c r="E939" s="1"/>
      <c r="F939" s="1"/>
      <c r="K939" s="1"/>
      <c r="O939" s="1"/>
    </row>
    <row r="940" spans="1:15" ht="12.75">
      <c r="A940" s="1"/>
      <c r="D940" s="1"/>
      <c r="E940" s="1"/>
      <c r="F940" s="1"/>
      <c r="K940" s="1"/>
      <c r="O940" s="1"/>
    </row>
    <row r="941" spans="1:15" ht="12.75">
      <c r="A941" s="1"/>
      <c r="D941" s="1"/>
      <c r="E941" s="1"/>
      <c r="F941" s="1"/>
      <c r="K941" s="1"/>
      <c r="O941" s="1"/>
    </row>
    <row r="942" spans="1:15" ht="12.75">
      <c r="A942" s="1"/>
      <c r="D942" s="1"/>
      <c r="E942" s="1"/>
      <c r="F942" s="1"/>
      <c r="K942" s="1"/>
      <c r="O942" s="1"/>
    </row>
    <row r="943" spans="1:15" ht="12.75">
      <c r="A943" s="1"/>
      <c r="D943" s="1"/>
      <c r="E943" s="1"/>
      <c r="F943" s="1"/>
      <c r="K943" s="1"/>
      <c r="O943" s="1"/>
    </row>
    <row r="944" spans="1:15" ht="12.75">
      <c r="A944" s="1"/>
      <c r="D944" s="1"/>
      <c r="E944" s="1"/>
      <c r="F944" s="1"/>
      <c r="K944" s="1"/>
      <c r="O944" s="1"/>
    </row>
    <row r="945" spans="1:15" ht="12.75">
      <c r="A945" s="1"/>
      <c r="D945" s="1"/>
      <c r="E945" s="1"/>
      <c r="F945" s="1"/>
      <c r="K945" s="1"/>
      <c r="O945" s="1"/>
    </row>
    <row r="946" spans="1:15" ht="12.75">
      <c r="A946" s="1"/>
      <c r="D946" s="1"/>
      <c r="E946" s="1"/>
      <c r="F946" s="1"/>
      <c r="K946" s="1"/>
      <c r="O946" s="1"/>
    </row>
    <row r="947" spans="1:15" ht="12.75">
      <c r="A947" s="1"/>
      <c r="D947" s="1"/>
      <c r="E947" s="1"/>
      <c r="F947" s="1"/>
      <c r="K947" s="1"/>
      <c r="O947" s="1"/>
    </row>
    <row r="948" spans="1:15" ht="12.75">
      <c r="A948" s="1"/>
      <c r="D948" s="1"/>
      <c r="E948" s="1"/>
      <c r="F948" s="1"/>
      <c r="K948" s="1"/>
      <c r="O948" s="1"/>
    </row>
    <row r="949" spans="1:15" ht="12.75">
      <c r="A949" s="1"/>
      <c r="D949" s="1"/>
      <c r="E949" s="1"/>
      <c r="F949" s="1"/>
      <c r="K949" s="1"/>
      <c r="O949" s="1"/>
    </row>
    <row r="950" spans="1:15" ht="12.75">
      <c r="A950" s="1"/>
      <c r="D950" s="1"/>
      <c r="E950" s="1"/>
      <c r="F950" s="1"/>
      <c r="K950" s="1"/>
      <c r="O950" s="1"/>
    </row>
    <row r="951" spans="1:15" ht="12.75">
      <c r="A951" s="1"/>
      <c r="D951" s="1"/>
      <c r="E951" s="1"/>
      <c r="F951" s="1"/>
      <c r="K951" s="1"/>
      <c r="O951" s="1"/>
    </row>
    <row r="952" spans="1:15" ht="12.75">
      <c r="A952" s="1"/>
      <c r="D952" s="1"/>
      <c r="E952" s="1"/>
      <c r="F952" s="1"/>
      <c r="K952" s="1"/>
      <c r="O952" s="1"/>
    </row>
    <row r="953" spans="1:15" ht="12.75">
      <c r="A953" s="1"/>
      <c r="D953" s="1"/>
      <c r="E953" s="1"/>
      <c r="F953" s="1"/>
      <c r="K953" s="1"/>
      <c r="O953" s="1"/>
    </row>
    <row r="954" spans="1:15" ht="12.75">
      <c r="A954" s="1"/>
      <c r="D954" s="1"/>
      <c r="E954" s="1"/>
      <c r="F954" s="1"/>
      <c r="K954" s="1"/>
      <c r="O954" s="1"/>
    </row>
    <row r="955" spans="1:15" ht="12.75">
      <c r="A955" s="1"/>
      <c r="D955" s="1"/>
      <c r="E955" s="1"/>
      <c r="F955" s="1"/>
      <c r="K955" s="1"/>
      <c r="O955" s="1"/>
    </row>
    <row r="956" spans="1:15" ht="12.75">
      <c r="A956" s="1"/>
      <c r="D956" s="1"/>
      <c r="E956" s="1"/>
      <c r="F956" s="1"/>
      <c r="K956" s="1"/>
      <c r="O956" s="1"/>
    </row>
    <row r="957" spans="1:15" ht="12.75">
      <c r="A957" s="1"/>
      <c r="D957" s="1"/>
      <c r="E957" s="1"/>
      <c r="F957" s="1"/>
      <c r="K957" s="1"/>
      <c r="O957" s="1"/>
    </row>
    <row r="958" spans="1:15" ht="12.75">
      <c r="A958" s="1"/>
      <c r="D958" s="1"/>
      <c r="E958" s="1"/>
      <c r="F958" s="1"/>
      <c r="K958" s="1"/>
      <c r="O958" s="1"/>
    </row>
    <row r="959" spans="1:15" ht="12.75">
      <c r="A959" s="1"/>
      <c r="D959" s="1"/>
      <c r="E959" s="1"/>
      <c r="F959" s="1"/>
      <c r="K959" s="1"/>
      <c r="O959" s="1"/>
    </row>
    <row r="960" spans="1:15" ht="12.75">
      <c r="A960" s="1"/>
      <c r="D960" s="1"/>
      <c r="E960" s="1"/>
      <c r="F960" s="1"/>
      <c r="K960" s="1"/>
      <c r="O960" s="1"/>
    </row>
    <row r="961" spans="1:15" ht="12.75">
      <c r="A961" s="1"/>
      <c r="D961" s="1"/>
      <c r="E961" s="1"/>
      <c r="F961" s="1"/>
      <c r="K961" s="1"/>
      <c r="O961" s="1"/>
    </row>
    <row r="962" spans="1:15" ht="12.75">
      <c r="A962" s="1"/>
      <c r="D962" s="1"/>
      <c r="E962" s="1"/>
      <c r="F962" s="1"/>
      <c r="K962" s="1"/>
      <c r="O962" s="1"/>
    </row>
    <row r="963" spans="1:15" ht="12.75">
      <c r="A963" s="1"/>
      <c r="D963" s="1"/>
      <c r="E963" s="1"/>
      <c r="F963" s="1"/>
      <c r="K963" s="1"/>
      <c r="O963" s="1"/>
    </row>
    <row r="964" spans="1:15" ht="12.75">
      <c r="A964" s="1"/>
      <c r="D964" s="1"/>
      <c r="E964" s="1"/>
      <c r="F964" s="1"/>
      <c r="K964" s="1"/>
      <c r="O964" s="1"/>
    </row>
    <row r="965" spans="1:15" ht="12.75">
      <c r="A965" s="1"/>
      <c r="D965" s="1"/>
      <c r="E965" s="1"/>
      <c r="F965" s="1"/>
      <c r="K965" s="1"/>
      <c r="O965" s="1"/>
    </row>
    <row r="966" spans="1:15" ht="12.75">
      <c r="A966" s="1"/>
      <c r="D966" s="1"/>
      <c r="E966" s="1"/>
      <c r="F966" s="1"/>
      <c r="K966" s="1"/>
      <c r="O966" s="1"/>
    </row>
    <row r="967" spans="1:15" ht="12.75">
      <c r="A967" s="1"/>
      <c r="D967" s="1"/>
      <c r="E967" s="1"/>
      <c r="F967" s="1"/>
      <c r="K967" s="1"/>
      <c r="O967" s="1"/>
    </row>
    <row r="968" spans="1:15" ht="12.75">
      <c r="A968" s="1"/>
      <c r="D968" s="1"/>
      <c r="E968" s="1"/>
      <c r="F968" s="1"/>
      <c r="K968" s="1"/>
      <c r="O968" s="1"/>
    </row>
    <row r="969" spans="1:15" ht="12.75">
      <c r="A969" s="1"/>
      <c r="D969" s="1"/>
      <c r="E969" s="1"/>
      <c r="F969" s="1"/>
      <c r="K969" s="1"/>
      <c r="O969" s="1"/>
    </row>
    <row r="970" spans="1:15" ht="12.75">
      <c r="A970" s="1"/>
      <c r="D970" s="1"/>
      <c r="E970" s="1"/>
      <c r="F970" s="1"/>
      <c r="K970" s="1"/>
      <c r="O970" s="1"/>
    </row>
    <row r="971" spans="1:15" ht="12.75">
      <c r="A971" s="1"/>
      <c r="D971" s="1"/>
      <c r="E971" s="1"/>
      <c r="F971" s="1"/>
      <c r="K971" s="1"/>
      <c r="O971" s="1"/>
    </row>
    <row r="972" spans="1:15" ht="12.75">
      <c r="A972" s="1"/>
      <c r="D972" s="1"/>
      <c r="E972" s="1"/>
      <c r="F972" s="1"/>
      <c r="K972" s="1"/>
      <c r="O972" s="1"/>
    </row>
    <row r="973" spans="1:15" ht="12.75">
      <c r="A973" s="1"/>
      <c r="D973" s="1"/>
      <c r="E973" s="1"/>
      <c r="F973" s="1"/>
      <c r="K973" s="1"/>
      <c r="O973" s="1"/>
    </row>
    <row r="974" spans="1:15" ht="12.75">
      <c r="A974" s="1"/>
      <c r="D974" s="1"/>
      <c r="E974" s="1"/>
      <c r="F974" s="1"/>
      <c r="K974" s="1"/>
      <c r="O974" s="1"/>
    </row>
    <row r="975" spans="1:15" ht="12.75">
      <c r="A975" s="1"/>
      <c r="D975" s="1"/>
      <c r="E975" s="1"/>
      <c r="F975" s="1"/>
      <c r="K975" s="1"/>
      <c r="O975" s="1"/>
    </row>
    <row r="976" spans="1:15" ht="12.75">
      <c r="A976" s="1"/>
      <c r="D976" s="1"/>
      <c r="E976" s="1"/>
      <c r="F976" s="1"/>
      <c r="K976" s="1"/>
      <c r="O976" s="1"/>
    </row>
    <row r="977" spans="1:15" ht="12.75">
      <c r="A977" s="1"/>
      <c r="D977" s="1"/>
      <c r="E977" s="1"/>
      <c r="F977" s="1"/>
      <c r="K977" s="1"/>
      <c r="O977" s="1"/>
    </row>
    <row r="978" spans="1:15" ht="12.75">
      <c r="A978" s="1"/>
      <c r="D978" s="1"/>
      <c r="E978" s="1"/>
      <c r="F978" s="1"/>
      <c r="K978" s="1"/>
      <c r="O978" s="1"/>
    </row>
    <row r="979" spans="1:15" ht="12.75">
      <c r="A979" s="1"/>
      <c r="D979" s="1"/>
      <c r="E979" s="1"/>
      <c r="F979" s="1"/>
      <c r="K979" s="1"/>
      <c r="O979" s="1"/>
    </row>
    <row r="980" spans="1:15" ht="12.75">
      <c r="A980" s="1"/>
      <c r="D980" s="1"/>
      <c r="E980" s="1"/>
      <c r="F980" s="1"/>
      <c r="K980" s="1"/>
      <c r="O980" s="1"/>
    </row>
    <row r="981" spans="1:15" ht="12.75">
      <c r="A981" s="1"/>
      <c r="D981" s="1"/>
      <c r="E981" s="1"/>
      <c r="F981" s="1"/>
      <c r="K981" s="1"/>
      <c r="O981" s="1"/>
    </row>
    <row r="982" spans="1:15" ht="12.75">
      <c r="A982" s="1"/>
      <c r="D982" s="1"/>
      <c r="E982" s="1"/>
      <c r="F982" s="1"/>
      <c r="K982" s="1"/>
      <c r="O982" s="1"/>
    </row>
    <row r="983" spans="1:15" ht="12.75">
      <c r="A983" s="1"/>
      <c r="D983" s="1"/>
      <c r="E983" s="1"/>
      <c r="F983" s="1"/>
      <c r="K983" s="1"/>
      <c r="O983" s="1"/>
    </row>
    <row r="984" spans="1:15" ht="12.75">
      <c r="A984" s="1"/>
      <c r="D984" s="1"/>
      <c r="E984" s="1"/>
      <c r="F984" s="1"/>
      <c r="K984" s="1"/>
      <c r="O984" s="1"/>
    </row>
    <row r="985" spans="1:15" ht="12.75">
      <c r="A985" s="1"/>
      <c r="D985" s="1"/>
      <c r="E985" s="1"/>
      <c r="F985" s="1"/>
      <c r="K985" s="1"/>
      <c r="O985" s="1"/>
    </row>
    <row r="986" spans="1:15" ht="12.75">
      <c r="A986" s="1"/>
      <c r="D986" s="1"/>
      <c r="E986" s="1"/>
      <c r="F986" s="1"/>
      <c r="K986" s="1"/>
      <c r="O986" s="1"/>
    </row>
    <row r="987" spans="1:15" ht="12.75">
      <c r="A987" s="1"/>
      <c r="D987" s="1"/>
      <c r="E987" s="1"/>
      <c r="F987" s="1"/>
      <c r="K987" s="1"/>
      <c r="O987" s="1"/>
    </row>
    <row r="988" spans="1:15" ht="12.75">
      <c r="A988" s="1"/>
      <c r="D988" s="1"/>
      <c r="E988" s="1"/>
      <c r="F988" s="1"/>
      <c r="K988" s="1"/>
      <c r="O988" s="1"/>
    </row>
    <row r="989" spans="1:15" ht="12.75">
      <c r="A989" s="1"/>
      <c r="D989" s="1"/>
      <c r="E989" s="1"/>
      <c r="F989" s="1"/>
      <c r="K989" s="1"/>
      <c r="O989" s="1"/>
    </row>
    <row r="990" spans="1:15" ht="12.75">
      <c r="A990" s="1"/>
      <c r="D990" s="1"/>
      <c r="E990" s="1"/>
      <c r="F990" s="1"/>
      <c r="K990" s="1"/>
      <c r="O990" s="1"/>
    </row>
    <row r="991" spans="1:15" ht="12.75">
      <c r="A991" s="1"/>
      <c r="D991" s="1"/>
      <c r="E991" s="1"/>
      <c r="F991" s="1"/>
      <c r="K991" s="1"/>
      <c r="O991" s="1"/>
    </row>
    <row r="992" spans="1:15" ht="12.75">
      <c r="A992" s="1"/>
      <c r="D992" s="1"/>
      <c r="E992" s="1"/>
      <c r="F992" s="1"/>
      <c r="K992" s="1"/>
      <c r="O992" s="1"/>
    </row>
    <row r="993" spans="1:15" ht="12.75">
      <c r="A993" s="1"/>
      <c r="D993" s="1"/>
      <c r="E993" s="1"/>
      <c r="F993" s="1"/>
      <c r="K993" s="1"/>
      <c r="O993" s="1"/>
    </row>
    <row r="994" spans="1:15" ht="12.75">
      <c r="A994" s="1"/>
      <c r="D994" s="1"/>
      <c r="E994" s="1"/>
      <c r="F994" s="1"/>
      <c r="K994" s="1"/>
      <c r="O994" s="1"/>
    </row>
    <row r="995" spans="1:15" ht="12.75">
      <c r="A995" s="1"/>
      <c r="D995" s="1"/>
      <c r="E995" s="1"/>
      <c r="F995" s="1"/>
      <c r="K995" s="1"/>
      <c r="O995" s="1"/>
    </row>
    <row r="996" spans="1:15" ht="12.75">
      <c r="A996" s="1"/>
      <c r="D996" s="1"/>
      <c r="E996" s="1"/>
      <c r="F996" s="1"/>
      <c r="K996" s="1"/>
      <c r="O996" s="1"/>
    </row>
    <row r="997" spans="1:15" ht="12.75">
      <c r="A997" s="1"/>
      <c r="D997" s="1"/>
      <c r="E997" s="1"/>
      <c r="F997" s="1"/>
      <c r="K997" s="1"/>
      <c r="O997" s="1"/>
    </row>
    <row r="998" spans="1:15" ht="12.75">
      <c r="A998" s="1"/>
      <c r="D998" s="1"/>
      <c r="E998" s="1"/>
      <c r="F998" s="1"/>
      <c r="K998" s="1"/>
      <c r="O998" s="1"/>
    </row>
    <row r="999" spans="1:15" ht="12.75">
      <c r="A999" s="1"/>
      <c r="D999" s="1"/>
      <c r="E999" s="1"/>
      <c r="F999" s="1"/>
      <c r="K999" s="1"/>
      <c r="O999" s="1"/>
    </row>
    <row r="1000" spans="1:15" ht="12.75">
      <c r="A1000" s="1"/>
      <c r="D1000" s="1"/>
      <c r="E1000" s="1"/>
      <c r="F1000" s="1"/>
      <c r="K1000" s="1"/>
      <c r="O1000" s="1"/>
    </row>
    <row r="1001" spans="1:15" ht="12.75">
      <c r="A1001" s="1"/>
      <c r="D1001" s="1"/>
      <c r="E1001" s="1"/>
      <c r="F1001" s="1"/>
      <c r="K1001" s="1"/>
      <c r="O1001" s="1"/>
    </row>
    <row r="1002" spans="1:15" ht="12.75">
      <c r="A1002" s="1"/>
      <c r="D1002" s="1"/>
      <c r="E1002" s="1"/>
      <c r="F1002" s="1"/>
      <c r="K1002" s="1"/>
      <c r="O1002" s="1"/>
    </row>
    <row r="1003" spans="1:15" ht="12.75">
      <c r="A1003" s="1"/>
      <c r="D1003" s="1"/>
      <c r="E1003" s="1"/>
      <c r="F1003" s="1"/>
      <c r="K1003" s="1"/>
      <c r="O1003" s="1"/>
    </row>
    <row r="1004" spans="1:15" ht="12.75">
      <c r="A1004" s="1"/>
      <c r="D1004" s="1"/>
      <c r="E1004" s="1"/>
      <c r="F1004" s="1"/>
      <c r="K1004" s="1"/>
      <c r="O1004" s="1"/>
    </row>
    <row r="1005" spans="1:15" ht="12.75">
      <c r="A1005" s="1"/>
      <c r="D1005" s="1"/>
      <c r="E1005" s="1"/>
      <c r="F1005" s="1"/>
      <c r="K1005" s="1"/>
      <c r="O1005" s="1"/>
    </row>
    <row r="1006" spans="1:15" ht="12.75">
      <c r="A1006" s="1"/>
      <c r="D1006" s="1"/>
      <c r="E1006" s="1"/>
      <c r="F1006" s="1"/>
      <c r="K1006" s="1"/>
      <c r="O1006" s="1"/>
    </row>
    <row r="1007" spans="1:15" ht="12.75">
      <c r="A1007" s="1"/>
      <c r="D1007" s="1"/>
      <c r="E1007" s="1"/>
      <c r="F1007" s="1"/>
      <c r="K1007" s="1"/>
      <c r="O1007" s="1"/>
    </row>
    <row r="1008" spans="1:15" ht="12.75">
      <c r="A1008" s="1"/>
      <c r="D1008" s="1"/>
      <c r="E1008" s="1"/>
      <c r="F1008" s="1"/>
      <c r="K1008" s="1"/>
      <c r="O1008" s="1"/>
    </row>
    <row r="1009" spans="1:15" ht="12.75">
      <c r="A1009" s="1"/>
      <c r="D1009" s="1"/>
      <c r="E1009" s="1"/>
      <c r="F1009" s="1"/>
      <c r="K1009" s="1"/>
      <c r="O1009" s="1"/>
    </row>
    <row r="1010" spans="1:15" ht="12.75">
      <c r="A1010" s="1"/>
      <c r="D1010" s="1"/>
      <c r="E1010" s="1"/>
      <c r="F1010" s="1"/>
      <c r="K1010" s="1"/>
      <c r="O1010" s="1"/>
    </row>
    <row r="1011" spans="1:15" ht="12.75">
      <c r="A1011" s="1"/>
      <c r="D1011" s="1"/>
      <c r="E1011" s="1"/>
      <c r="F1011" s="1"/>
      <c r="K1011" s="1"/>
      <c r="O1011" s="1"/>
    </row>
    <row r="1012" spans="1:15" ht="12.75">
      <c r="A1012" s="1"/>
      <c r="D1012" s="1"/>
      <c r="E1012" s="1"/>
      <c r="F1012" s="1"/>
      <c r="K1012" s="1"/>
      <c r="O1012" s="1"/>
    </row>
    <row r="1013" spans="1:15" ht="12.75">
      <c r="A1013" s="1"/>
      <c r="D1013" s="1"/>
      <c r="E1013" s="1"/>
      <c r="F1013" s="1"/>
      <c r="K1013" s="1"/>
      <c r="O1013"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N28"/>
  <sheetViews>
    <sheetView workbookViewId="0"/>
  </sheetViews>
  <sheetFormatPr baseColWidth="10" defaultColWidth="12.5703125" defaultRowHeight="15.75" customHeight="1"/>
  <sheetData>
    <row r="28" spans="14:14">
      <c r="N28" s="1"/>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24"/>
  <sheetViews>
    <sheetView workbookViewId="0"/>
  </sheetViews>
  <sheetFormatPr baseColWidth="10" defaultColWidth="12.5703125" defaultRowHeight="15.75" customHeight="1"/>
  <sheetData>
    <row r="1" spans="1:5">
      <c r="A1" s="3" t="s">
        <v>0</v>
      </c>
      <c r="B1" s="2">
        <v>44319.428726875005</v>
      </c>
      <c r="C1" s="2">
        <v>44275.476209606481</v>
      </c>
      <c r="D1" s="2">
        <v>44265.810181689812</v>
      </c>
      <c r="E1" s="2">
        <v>44292.686262824078</v>
      </c>
    </row>
    <row r="2" spans="1:5">
      <c r="A2" s="3" t="s">
        <v>1</v>
      </c>
      <c r="B2" s="3" t="s">
        <v>96</v>
      </c>
      <c r="C2" s="3" t="s">
        <v>69</v>
      </c>
      <c r="D2" s="3" t="s">
        <v>53</v>
      </c>
      <c r="E2" s="3" t="s">
        <v>80</v>
      </c>
    </row>
    <row r="3" spans="1:5">
      <c r="A3" s="3" t="s">
        <v>2</v>
      </c>
      <c r="B3" s="3" t="s">
        <v>97</v>
      </c>
      <c r="C3" s="3" t="s">
        <v>70</v>
      </c>
      <c r="D3" s="3" t="s">
        <v>54</v>
      </c>
      <c r="E3" s="3" t="s">
        <v>81</v>
      </c>
    </row>
    <row r="4" spans="1:5">
      <c r="A4" s="3" t="s">
        <v>5</v>
      </c>
      <c r="B4" s="3" t="s">
        <v>98</v>
      </c>
      <c r="C4" s="3" t="s">
        <v>71</v>
      </c>
      <c r="D4" s="3" t="s">
        <v>55</v>
      </c>
      <c r="E4" s="3" t="s">
        <v>83</v>
      </c>
    </row>
    <row r="5" spans="1:5">
      <c r="A5" s="3" t="s">
        <v>12</v>
      </c>
      <c r="B5" s="3" t="s">
        <v>85</v>
      </c>
      <c r="C5" s="3" t="s">
        <v>59</v>
      </c>
      <c r="D5" s="3" t="s">
        <v>59</v>
      </c>
      <c r="E5" s="3" t="s">
        <v>85</v>
      </c>
    </row>
    <row r="6" spans="1:5">
      <c r="A6" s="3" t="s">
        <v>13</v>
      </c>
      <c r="B6" s="3" t="s">
        <v>100</v>
      </c>
      <c r="C6" s="3" t="s">
        <v>70</v>
      </c>
      <c r="D6" s="3" t="s">
        <v>60</v>
      </c>
      <c r="E6" s="3" t="s">
        <v>86</v>
      </c>
    </row>
    <row r="7" spans="1:5">
      <c r="A7" s="3" t="s">
        <v>712</v>
      </c>
      <c r="B7" s="4">
        <v>44321</v>
      </c>
      <c r="C7" s="4">
        <v>44274</v>
      </c>
      <c r="D7" s="4">
        <v>44305</v>
      </c>
      <c r="E7" s="4">
        <v>44304</v>
      </c>
    </row>
    <row r="8" spans="1:5">
      <c r="A8" s="3" t="s">
        <v>15</v>
      </c>
      <c r="B8" s="3" t="s">
        <v>101</v>
      </c>
      <c r="C8" s="3" t="s">
        <v>72</v>
      </c>
      <c r="D8" s="3" t="s">
        <v>61</v>
      </c>
      <c r="E8" s="3" t="s">
        <v>87</v>
      </c>
    </row>
    <row r="9" spans="1:5">
      <c r="A9" s="3" t="s">
        <v>16</v>
      </c>
      <c r="B9" s="3" t="s">
        <v>102</v>
      </c>
      <c r="C9" s="3" t="s">
        <v>73</v>
      </c>
      <c r="D9" s="3" t="s">
        <v>62</v>
      </c>
      <c r="E9" s="3" t="s">
        <v>88</v>
      </c>
    </row>
    <row r="10" spans="1:5">
      <c r="A10" s="3" t="s">
        <v>713</v>
      </c>
      <c r="B10" s="3" t="s">
        <v>103</v>
      </c>
      <c r="C10" s="3" t="s">
        <v>74</v>
      </c>
      <c r="D10" s="3" t="s">
        <v>63</v>
      </c>
      <c r="E10" s="3" t="s">
        <v>89</v>
      </c>
    </row>
    <row r="11" spans="1:5">
      <c r="A11" s="3" t="s">
        <v>18</v>
      </c>
      <c r="B11" s="3" t="s">
        <v>104</v>
      </c>
    </row>
    <row r="12" spans="1:5">
      <c r="A12" s="3" t="s">
        <v>19</v>
      </c>
      <c r="B12" s="3">
        <v>16</v>
      </c>
      <c r="C12" s="3">
        <v>4</v>
      </c>
      <c r="E12" s="3">
        <v>8</v>
      </c>
    </row>
    <row r="13" spans="1:5">
      <c r="A13" s="3" t="s">
        <v>20</v>
      </c>
      <c r="B13" s="3">
        <v>40</v>
      </c>
      <c r="C13" s="3">
        <v>4</v>
      </c>
      <c r="E13" s="3">
        <v>16</v>
      </c>
    </row>
    <row r="14" spans="1:5">
      <c r="A14" s="3" t="s">
        <v>21</v>
      </c>
      <c r="B14" s="3">
        <v>64</v>
      </c>
      <c r="C14" s="3">
        <v>32</v>
      </c>
      <c r="E14" s="3">
        <v>64</v>
      </c>
    </row>
    <row r="15" spans="1:5">
      <c r="A15" s="3" t="s">
        <v>22</v>
      </c>
      <c r="B15" s="3">
        <v>1000</v>
      </c>
      <c r="C15" s="3">
        <v>32</v>
      </c>
      <c r="E15" s="3">
        <v>192</v>
      </c>
    </row>
    <row r="16" spans="1:5">
      <c r="A16" s="3" t="s">
        <v>23</v>
      </c>
      <c r="B16" s="3" t="s">
        <v>714</v>
      </c>
      <c r="C16" s="3" t="s">
        <v>715</v>
      </c>
      <c r="E16" s="3" t="s">
        <v>716</v>
      </c>
    </row>
    <row r="17" spans="1:5">
      <c r="A17" s="3" t="s">
        <v>24</v>
      </c>
      <c r="B17" s="3" t="s">
        <v>91</v>
      </c>
      <c r="C17" s="3" t="s">
        <v>76</v>
      </c>
      <c r="D17" s="3" t="s">
        <v>65</v>
      </c>
      <c r="E17" s="3" t="s">
        <v>91</v>
      </c>
    </row>
    <row r="18" spans="1:5">
      <c r="A18" s="3" t="s">
        <v>25</v>
      </c>
      <c r="B18" s="5" t="s">
        <v>77</v>
      </c>
      <c r="C18" s="5" t="s">
        <v>77</v>
      </c>
      <c r="D18" s="3" t="s">
        <v>66</v>
      </c>
      <c r="E18" s="5" t="s">
        <v>77</v>
      </c>
    </row>
    <row r="19" spans="1:5">
      <c r="A19" s="3" t="s">
        <v>26</v>
      </c>
      <c r="D19" s="3" t="s">
        <v>66</v>
      </c>
      <c r="E19" s="5" t="s">
        <v>77</v>
      </c>
    </row>
    <row r="20" spans="1:5">
      <c r="A20" s="3" t="s">
        <v>27</v>
      </c>
      <c r="B20" s="5" t="s">
        <v>106</v>
      </c>
      <c r="D20" s="3" t="s">
        <v>66</v>
      </c>
      <c r="E20" s="5" t="s">
        <v>77</v>
      </c>
    </row>
    <row r="21" spans="1:5">
      <c r="A21" s="3" t="s">
        <v>28</v>
      </c>
      <c r="B21" s="3" t="s">
        <v>107</v>
      </c>
      <c r="C21" s="3" t="s">
        <v>78</v>
      </c>
      <c r="D21" s="3" t="s">
        <v>67</v>
      </c>
      <c r="E21" s="3" t="s">
        <v>92</v>
      </c>
    </row>
    <row r="22" spans="1:5">
      <c r="A22" s="3" t="s">
        <v>29</v>
      </c>
      <c r="C22" s="3" t="s">
        <v>79</v>
      </c>
      <c r="D22" s="3" t="s">
        <v>68</v>
      </c>
      <c r="E22" s="3" t="s">
        <v>93</v>
      </c>
    </row>
    <row r="23" spans="1:5">
      <c r="A23" s="3" t="s">
        <v>30</v>
      </c>
      <c r="B23" s="3" t="s">
        <v>108</v>
      </c>
      <c r="C23" s="3"/>
      <c r="D23" s="3"/>
      <c r="E23" s="3"/>
    </row>
    <row r="24" spans="1:5">
      <c r="A24" s="3" t="s">
        <v>6</v>
      </c>
      <c r="B24" s="3"/>
      <c r="C24" s="3"/>
      <c r="D24" s="3"/>
      <c r="E24" s="3"/>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Form responses 1</vt:lpstr>
      <vt:lpstr>Pivot Tables</vt:lpstr>
      <vt:lpstr>Plots</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Math Occit</dc:creator>
  <cp:lastModifiedBy>VESCHAMBRE MATHIS</cp:lastModifiedBy>
  <dcterms:created xsi:type="dcterms:W3CDTF">2025-01-23T08:27:17Z</dcterms:created>
  <dcterms:modified xsi:type="dcterms:W3CDTF">2025-01-29T14:47:46Z</dcterms:modified>
</cp:coreProperties>
</file>