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ace03090641d4c/"/>
    </mc:Choice>
  </mc:AlternateContent>
  <xr:revisionPtr revIDLastSave="0" documentId="8_{C25964CF-F2C8-7F41-AF8C-CC75CAE95143}" xr6:coauthVersionLast="47" xr6:coauthVersionMax="47" xr10:uidLastSave="{00000000-0000-0000-0000-000000000000}"/>
  <bookViews>
    <workbookView xWindow="0" yWindow="740" windowWidth="30240" windowHeight="18900" xr2:uid="{2BE9E696-2388-E64F-BB3B-4330731E5551}"/>
  </bookViews>
  <sheets>
    <sheet name="TABLE" sheetId="1" r:id="rId1"/>
    <sheet name="STEP 1-2" sheetId="2" r:id="rId2"/>
    <sheet name="STEP 3" sheetId="3" r:id="rId3"/>
    <sheet name="STEP 4 " sheetId="4" r:id="rId4"/>
    <sheet name="STEP 5 " sheetId="5" r:id="rId5"/>
    <sheet name="STEP 6" sheetId="6" r:id="rId6"/>
    <sheet name="STEP 7 " sheetId="7" r:id="rId7"/>
    <sheet name="STEP 8 " sheetId="8" r:id="rId8"/>
    <sheet name="STEP 9 " sheetId="9" r:id="rId9"/>
    <sheet name="STEP 10 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0" l="1"/>
  <c r="G4" i="10"/>
  <c r="D25" i="10"/>
  <c r="C25" i="10"/>
  <c r="B25" i="10"/>
  <c r="G11" i="9"/>
  <c r="G21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1" i="9"/>
  <c r="E20" i="9"/>
  <c r="G20" i="9" s="1"/>
  <c r="E19" i="9"/>
  <c r="G19" i="9" s="1"/>
  <c r="E18" i="9"/>
  <c r="G18" i="9" s="1"/>
  <c r="E11" i="9"/>
  <c r="E10" i="9"/>
  <c r="G10" i="9" s="1"/>
  <c r="E9" i="9"/>
  <c r="G9" i="9" s="1"/>
  <c r="E8" i="9"/>
  <c r="G8" i="9" s="1"/>
  <c r="K18" i="8"/>
  <c r="K19" i="8"/>
  <c r="K20" i="8"/>
  <c r="K21" i="8"/>
  <c r="K22" i="8"/>
  <c r="K23" i="8"/>
  <c r="K2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J14" i="8"/>
  <c r="J15" i="8"/>
  <c r="J16" i="8"/>
  <c r="J17" i="8"/>
  <c r="J18" i="8"/>
  <c r="J19" i="8"/>
  <c r="J20" i="8"/>
  <c r="J21" i="8"/>
  <c r="J22" i="8"/>
  <c r="J23" i="8"/>
  <c r="J24" i="8"/>
  <c r="J3" i="8"/>
  <c r="J4" i="8"/>
  <c r="J5" i="8"/>
  <c r="J6" i="8"/>
  <c r="J7" i="8"/>
  <c r="J8" i="8"/>
  <c r="J9" i="8"/>
  <c r="J10" i="8"/>
  <c r="J11" i="8"/>
  <c r="J12" i="8"/>
  <c r="J13" i="8"/>
  <c r="J2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D25" i="9"/>
  <c r="E17" i="9" s="1"/>
  <c r="G17" i="9" s="1"/>
  <c r="C25" i="9"/>
  <c r="B25" i="9"/>
  <c r="H18" i="8"/>
  <c r="H19" i="8"/>
  <c r="H20" i="8"/>
  <c r="H21" i="8"/>
  <c r="H22" i="8"/>
  <c r="H23" i="8"/>
  <c r="H2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H2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2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" i="4"/>
  <c r="D25" i="8"/>
  <c r="C25" i="8"/>
  <c r="B25" i="8"/>
  <c r="D25" i="7"/>
  <c r="C25" i="7"/>
  <c r="B25" i="7"/>
  <c r="D25" i="6"/>
  <c r="C25" i="6"/>
  <c r="B25" i="6"/>
  <c r="H9" i="5"/>
  <c r="H8" i="5"/>
  <c r="E19" i="5"/>
  <c r="E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0" i="5"/>
  <c r="E21" i="5"/>
  <c r="E22" i="5"/>
  <c r="E23" i="5"/>
  <c r="E24" i="5"/>
  <c r="D25" i="5"/>
  <c r="C25" i="5"/>
  <c r="B25" i="5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25" i="4"/>
  <c r="C25" i="4"/>
  <c r="B25" i="4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H19" i="3"/>
  <c r="H18" i="3"/>
  <c r="H14" i="3"/>
  <c r="H13" i="3"/>
  <c r="H8" i="3"/>
  <c r="H7" i="3"/>
  <c r="H3" i="3"/>
  <c r="H4" i="3"/>
  <c r="H5" i="3"/>
  <c r="H6" i="3"/>
  <c r="H9" i="3"/>
  <c r="H10" i="3"/>
  <c r="H11" i="3"/>
  <c r="H12" i="3"/>
  <c r="H15" i="3"/>
  <c r="H16" i="3"/>
  <c r="H17" i="3"/>
  <c r="H20" i="3"/>
  <c r="H21" i="3"/>
  <c r="H22" i="3"/>
  <c r="H23" i="3"/>
  <c r="H24" i="3"/>
  <c r="H2" i="3"/>
  <c r="G2" i="3"/>
  <c r="G21" i="3"/>
  <c r="G22" i="3"/>
  <c r="G23" i="3"/>
  <c r="G24" i="3"/>
  <c r="G19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5" i="3"/>
  <c r="C25" i="3"/>
  <c r="B25" i="3"/>
  <c r="D26" i="2"/>
  <c r="C26" i="2"/>
  <c r="B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9" l="1"/>
  <c r="G2" i="9" s="1"/>
  <c r="E12" i="9"/>
  <c r="G12" i="9" s="1"/>
  <c r="E22" i="9"/>
  <c r="G22" i="9" s="1"/>
  <c r="E3" i="9"/>
  <c r="G3" i="9" s="1"/>
  <c r="E13" i="9"/>
  <c r="G13" i="9" s="1"/>
  <c r="E23" i="9"/>
  <c r="G23" i="9" s="1"/>
  <c r="E4" i="9"/>
  <c r="G4" i="9" s="1"/>
  <c r="E14" i="9"/>
  <c r="G14" i="9" s="1"/>
  <c r="E24" i="9"/>
  <c r="G24" i="9" s="1"/>
  <c r="E5" i="9"/>
  <c r="G5" i="9" s="1"/>
  <c r="E15" i="9"/>
  <c r="G15" i="9" s="1"/>
  <c r="E6" i="9"/>
  <c r="G6" i="9" s="1"/>
  <c r="E16" i="9"/>
  <c r="G16" i="9" s="1"/>
  <c r="E7" i="9"/>
  <c r="G7" i="9" s="1"/>
  <c r="J12" i="9" l="1"/>
  <c r="J11" i="9"/>
</calcChain>
</file>

<file path=xl/sharedStrings.xml><?xml version="1.0" encoding="utf-8"?>
<sst xmlns="http://schemas.openxmlformats.org/spreadsheetml/2006/main" count="501" uniqueCount="148">
  <si>
    <t xml:space="preserve">Alternative </t>
  </si>
  <si>
    <t>ρ (Positive)</t>
  </si>
  <si>
    <t>ϱ (Neutral)</t>
  </si>
  <si>
    <t>σ (Negative)</t>
  </si>
  <si>
    <t>ϛ (Refusal)</t>
  </si>
  <si>
    <t>Work-related disease risk</t>
  </si>
  <si>
    <t>Risk of noise-induced hearing loss</t>
  </si>
  <si>
    <t>Risks from natural disasters (e.g. earthquake, flood)</t>
  </si>
  <si>
    <t>Risk of exposure to chemicals</t>
  </si>
  <si>
    <t>Machinery and equipment safety risk</t>
  </si>
  <si>
    <t>Psychosocial risks (stress, mobbing, etc.)</t>
  </si>
  <si>
    <t>Risk of ergonomic inconvenience</t>
  </si>
  <si>
    <t>Risk of electrical hazard</t>
  </si>
  <si>
    <t>Possibility of fire</t>
  </si>
  <si>
    <t>The level of occupational health and safety training of employees</t>
  </si>
  <si>
    <t>Identifying hazards in advance and keeping risk analyses up-to-date</t>
  </si>
  <si>
    <t>Making active noise cancelling headphones mandatory in areas with high noise levels</t>
  </si>
  <si>
    <t>Integrating behavioral safety training programs into on-the-job training</t>
  </si>
  <si>
    <t>Periodic health screenings for occupational diseases should be carried out twice a year.</t>
  </si>
  <si>
    <t>Daily exposure monitoring for personnel working with hazardous chemicals</t>
  </si>
  <si>
    <t>Establishing air-conditioned rest areas for employees exposed to high temperatures</t>
  </si>
  <si>
    <t>Mandatory safety briefings at the beginning of each shift</t>
  </si>
  <si>
    <t>Establishing a software system for instant tracking and analysis of accident/breakage reports in digital environment</t>
  </si>
  <si>
    <t>Organizing special high risk awareness workshops for new employees</t>
  </si>
  <si>
    <t>Providing training to all employees once a year with OHS virtual reality (VR) simulation</t>
  </si>
  <si>
    <t>Implementation of rotation system in jobs that carry the risk of occupational diseases</t>
  </si>
  <si>
    <t>Implementation of an employee reward system based on safety observations</t>
  </si>
  <si>
    <t>Warning signs placed in areas where work accidents frequently occur should be made illuminated and audible.</t>
  </si>
  <si>
    <t>&lt;</t>
  </si>
  <si>
    <t xml:space="preserve"> 0.95</t>
  </si>
  <si>
    <t xml:space="preserve"> 0.65</t>
  </si>
  <si>
    <t xml:space="preserve"> 0.85</t>
  </si>
  <si>
    <t xml:space="preserve"> 0.35</t>
  </si>
  <si>
    <t>0.30</t>
  </si>
  <si>
    <t xml:space="preserve"> 0.7</t>
  </si>
  <si>
    <t xml:space="preserve"> 0.6</t>
  </si>
  <si>
    <t>0.85</t>
  </si>
  <si>
    <t xml:space="preserve"> 0.2</t>
  </si>
  <si>
    <t xml:space="preserve"> 0.40</t>
  </si>
  <si>
    <t xml:space="preserve"> 0.75</t>
  </si>
  <si>
    <t xml:space="preserve"> 0.5</t>
  </si>
  <si>
    <t xml:space="preserve"> 0.3</t>
  </si>
  <si>
    <t xml:space="preserve"> 0.8</t>
  </si>
  <si>
    <t xml:space="preserve"> 0.4</t>
  </si>
  <si>
    <t xml:space="preserve"> 0.1</t>
  </si>
  <si>
    <t>0.45</t>
  </si>
  <si>
    <t xml:space="preserve"> 0.15</t>
  </si>
  <si>
    <t xml:space="preserve"> 0.55</t>
  </si>
  <si>
    <t xml:space="preserve"> 0.05 </t>
  </si>
  <si>
    <t xml:space="preserve"> 0.25</t>
  </si>
  <si>
    <t xml:space="preserve"> 0.05</t>
  </si>
  <si>
    <t xml:space="preserve">STEP 1-1: GATHER INFORMATION ON THE ASSESED LEVELS OF İMPORTANCE ASCRİBED BY EXPERTS . </t>
  </si>
  <si>
    <t xml:space="preserve">STEP 1-2: COMPUTE THE SCORİNG FUNCTİON . </t>
  </si>
  <si>
    <t>L(x) (scoring function )</t>
  </si>
  <si>
    <t>0,2</t>
  </si>
  <si>
    <t xml:space="preserve">STEP 1-3: ESTABLİSH THE WEİGHTED MATRİX İNVOLVİNG THE İNVOLVED EXPERTS. </t>
  </si>
  <si>
    <t>W ( weight)</t>
  </si>
  <si>
    <t>Score (ρ-ϱ )</t>
  </si>
  <si>
    <t xml:space="preserve">STEP 2-1: ASSESS EACH ALTERNATİVE BASED ON INDIVIDUAL CRITERIA BY EVERY EXPERT AND FORM THE INITIAL DECISION MATRICES . </t>
  </si>
  <si>
    <t xml:space="preserve">STEP 2-2 : CALCULATE THE AGGREGATED DECISION MATRİX USING PFYWA AGGREGATION OPERATOR . </t>
  </si>
  <si>
    <t xml:space="preserve">ϱ agg </t>
  </si>
  <si>
    <t xml:space="preserve">ρ agg </t>
  </si>
  <si>
    <t xml:space="preserve">σ agg </t>
  </si>
  <si>
    <t xml:space="preserve">I agg </t>
  </si>
  <si>
    <t>(0,3348, 0,5013, 0,2303)</t>
  </si>
  <si>
    <t>(0,1383, 0,7873, 0,4239)</t>
  </si>
  <si>
    <t>(0,1462, 0,7539, 0,4060)</t>
  </si>
  <si>
    <t>(0,2680, 0,5761, 0,2910)</t>
  </si>
  <si>
    <t>(6,6332, 0,8582, -3,4952)</t>
  </si>
  <si>
    <t>(0,0387, 0,8966, 0,6685)</t>
  </si>
  <si>
    <t>(0,1924, 0,6489, 0,3849)</t>
  </si>
  <si>
    <t>(0,1259, 0,7797, 0,4502)</t>
  </si>
  <si>
    <t>(0,2684, 0,5876, 0,3090)</t>
  </si>
  <si>
    <t>(0,0762, 0,7879, 0,5051)</t>
  </si>
  <si>
    <t>(0,0954, 0,8306, 0,4419)</t>
  </si>
  <si>
    <t>(0,1741, 0,7126, 0,3729)</t>
  </si>
  <si>
    <t>(0,2206, 0,6011, 0,3426)</t>
  </si>
  <si>
    <t>(0,0880, 0,8346, 0,5398)</t>
  </si>
  <si>
    <t>(0,0458, 0,6950, 0,6446)</t>
  </si>
  <si>
    <t>(0,1175, 0,7613, 0,3743)</t>
  </si>
  <si>
    <t>(0,0000, 1,0000, 1,0000)</t>
  </si>
  <si>
    <t>(0,1654, 0,6870, 0,4120)</t>
  </si>
  <si>
    <t>(0,0432, 0,8951, 0,6529)</t>
  </si>
  <si>
    <t>(0,2309, 0,6370, 0,3188)</t>
  </si>
  <si>
    <t>(0,2443, 0,5996, 0,3335)</t>
  </si>
  <si>
    <t xml:space="preserve">STEP 2-3 :  OBTAIN THE ACCURATE INITIAL DECİSİON MATRIX . </t>
  </si>
  <si>
    <t xml:space="preserve">STEP 2-4 : CALCULATE THE LİNEAR NORMALIZATION FOR THE DECISION MATRIX . </t>
  </si>
  <si>
    <t xml:space="preserve">STEP 2-5 : TO CREATE THE INTERVAL MATRIX FOR CRİTERIA CATEGORIES . </t>
  </si>
  <si>
    <t xml:space="preserve">linear normalization H= Hef </t>
  </si>
  <si>
    <t>score function (S (Ief))</t>
  </si>
  <si>
    <t xml:space="preserve">STEP 2-6 : CALCULATE THE MATRIX ILLUSTRATED THE ANGLES OF CRITERIA SLOPES . </t>
  </si>
  <si>
    <t xml:space="preserve">Hef </t>
  </si>
  <si>
    <t xml:space="preserve">ΔH=[ΔHf​] = </t>
  </si>
  <si>
    <t xml:space="preserve">tanθf​= </t>
  </si>
  <si>
    <t xml:space="preserve">STEP 2-7: ESTABLISH THE MATRIX THAT REPRESENTS THE CRITERION ENVELOPES . </t>
  </si>
  <si>
    <t xml:space="preserve">He+1 - He </t>
  </si>
  <si>
    <t>0.0357</t>
  </si>
  <si>
    <t>-0.0357</t>
  </si>
  <si>
    <t>0.0000</t>
  </si>
  <si>
    <t>0.0714</t>
  </si>
  <si>
    <t>-0.0714</t>
  </si>
  <si>
    <t>0.1071</t>
  </si>
  <si>
    <t>0.0358</t>
  </si>
  <si>
    <t>-0.1072</t>
  </si>
  <si>
    <t xml:space="preserve">(He+1 - He)^2 </t>
  </si>
  <si>
    <t>0.001275</t>
  </si>
  <si>
    <t>0.000000</t>
  </si>
  <si>
    <t>0.005100</t>
  </si>
  <si>
    <t>0.011470</t>
  </si>
  <si>
    <t>0.001281</t>
  </si>
  <si>
    <t>0.011494</t>
  </si>
  <si>
    <t xml:space="preserve">ΔH f ^2 = </t>
  </si>
  <si>
    <t>0.001276</t>
  </si>
  <si>
    <t>0.0586</t>
  </si>
  <si>
    <t xml:space="preserve">Λf = </t>
  </si>
  <si>
    <t>0.2443</t>
  </si>
  <si>
    <t>STEP 2-8 : CALCULATE THE MATRIX THAT SHOWS THE RATIO BETWEEN CRITERION ENVELOPE AND SLOPE .</t>
  </si>
  <si>
    <t>Θ f =</t>
  </si>
  <si>
    <t xml:space="preserve">STEP 2-9: ESTABLISH THE MATRIX OF WEIGHTS FOR CRITERIA </t>
  </si>
  <si>
    <t xml:space="preserve"> W f = </t>
  </si>
  <si>
    <t>STEP 3-1 : COMPUTE THE INITIAL MATRIX</t>
  </si>
  <si>
    <t xml:space="preserve">score function  I ef </t>
  </si>
  <si>
    <t xml:space="preserve">Def </t>
  </si>
  <si>
    <t xml:space="preserve">STEP 3-2 : CALCULATE THE FİRST AND SECOND LOGARİTHMIC NORMALIZATION MATRICES . </t>
  </si>
  <si>
    <t xml:space="preserve">B ef 1st (+) </t>
  </si>
  <si>
    <t xml:space="preserve">B ef 1st (-) </t>
  </si>
  <si>
    <t xml:space="preserve">Bef 2nd (+) </t>
  </si>
  <si>
    <t xml:space="preserve">Bef 2nd (-) </t>
  </si>
  <si>
    <t xml:space="preserve">STEP 3-3: CALCULATE THE AGGREGATED NORMALIZED DECISION MATRIX . </t>
  </si>
  <si>
    <t xml:space="preserve">Bef norm </t>
  </si>
  <si>
    <t xml:space="preserve">STEP 3-4: CALCULATE THE WEIGHTED AGGREGATION OF THE NORMALIZED MATRIX </t>
  </si>
  <si>
    <t xml:space="preserve">A ef </t>
  </si>
  <si>
    <t xml:space="preserve">STEP 3-5 : CALCULATE THE COST AND BENEFIT AGGREGATED NORMALIZED MATRIX . </t>
  </si>
  <si>
    <t>Benefıt</t>
  </si>
  <si>
    <t>Cost</t>
  </si>
  <si>
    <t>Ae (+)=</t>
  </si>
  <si>
    <t xml:space="preserve">Ae (-)= </t>
  </si>
  <si>
    <t xml:space="preserve">STEP 3-6 : DETERMINE THE FINAL RANKING MATRIX OF ALTERNATIVES . </t>
  </si>
  <si>
    <t xml:space="preserve">λ = </t>
  </si>
  <si>
    <t xml:space="preserve">Π e = </t>
  </si>
  <si>
    <r>
      <t>ρ̃, ϱ̃, σ̃</t>
    </r>
    <r>
      <rPr>
        <sz val="22"/>
        <color theme="1"/>
        <rFont val="Aptos Narrow"/>
        <family val="2"/>
        <charset val="162"/>
        <scheme val="minor"/>
      </rPr>
      <t>: PF (Picture Fuzzy) setlerinin üyelik dereceleri—“pozitif”, “belirsizlik” ve “negatif” bileşenleri.</t>
    </r>
  </si>
  <si>
    <t xml:space="preserve">aggregated weight  ρ  </t>
  </si>
  <si>
    <t xml:space="preserve">aggregated weight  ϱ   </t>
  </si>
  <si>
    <t>aggregated weight σ</t>
  </si>
  <si>
    <t xml:space="preserve"> Alternative</t>
  </si>
  <si>
    <t xml:space="preserve"> Alternative </t>
  </si>
  <si>
    <t>Alternative</t>
  </si>
  <si>
    <t>cost /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</si>
</sst>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Aptos Narrow"/>
      <family val="2"/>
      <charset val="16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charset val="162"/>
      <scheme val="minor"/>
    </font>
    <font>
      <sz val="10"/>
      <color theme="1"/>
      <name val="Arial Unicode MS"/>
      <family val="2"/>
    </font>
    <font>
      <sz val="12"/>
      <color theme="1"/>
      <name val="Aptos Display"/>
      <charset val="162"/>
      <scheme val="major"/>
    </font>
    <font>
      <sz val="20"/>
      <color theme="1"/>
      <name val="Aptos Display"/>
      <charset val="162"/>
      <scheme val="major"/>
    </font>
    <font>
      <sz val="20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sz val="14"/>
      <color theme="1"/>
      <name val="Aptos Narrow"/>
      <family val="2"/>
      <charset val="162"/>
      <scheme val="minor"/>
    </font>
    <font>
      <b/>
      <sz val="22"/>
      <color theme="1"/>
      <name val="Aptos Narrow"/>
      <family val="2"/>
      <charset val="162"/>
      <scheme val="minor"/>
    </font>
    <font>
      <sz val="22"/>
      <color theme="1"/>
      <name val="Aptos Narrow"/>
      <family val="2"/>
      <charset val="162"/>
      <scheme val="minor"/>
    </font>
    <font>
      <b/>
      <sz val="18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4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6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2" fontId="0" fillId="0" borderId="0" xfId="0" applyNumberFormat="1"/>
    <xf numFmtId="0" fontId="4" fillId="0" borderId="0" xfId="0" applyFont="1"/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5" borderId="0" xfId="0" applyFill="1"/>
    <xf numFmtId="0" fontId="0" fillId="0" borderId="3" xfId="0" applyBorder="1"/>
    <xf numFmtId="0" fontId="0" fillId="0" borderId="4" xfId="0" applyBorder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0" xfId="0" applyFont="1"/>
    <xf numFmtId="0" fontId="11" fillId="9" borderId="8" xfId="0" applyFont="1" applyFill="1" applyBorder="1"/>
    <xf numFmtId="0" fontId="11" fillId="6" borderId="8" xfId="0" applyFont="1" applyFill="1" applyBorder="1"/>
    <xf numFmtId="0" fontId="11" fillId="7" borderId="8" xfId="0" applyFont="1" applyFill="1" applyBorder="1"/>
    <xf numFmtId="0" fontId="11" fillId="3" borderId="8" xfId="0" applyFont="1" applyFill="1" applyBorder="1"/>
    <xf numFmtId="0" fontId="11" fillId="8" borderId="8" xfId="0" applyFont="1" applyFill="1" applyBorder="1"/>
    <xf numFmtId="2" fontId="0" fillId="0" borderId="4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1" fillId="10" borderId="8" xfId="0" applyFont="1" applyFill="1" applyBorder="1"/>
    <xf numFmtId="0" fontId="11" fillId="11" borderId="8" xfId="0" applyFont="1" applyFill="1" applyBorder="1"/>
    <xf numFmtId="0" fontId="11" fillId="3" borderId="0" xfId="0" applyFont="1" applyFill="1"/>
    <xf numFmtId="164" fontId="0" fillId="0" borderId="0" xfId="0" applyNumberFormat="1"/>
    <xf numFmtId="164" fontId="0" fillId="3" borderId="0" xfId="0" applyNumberFormat="1" applyFill="1"/>
    <xf numFmtId="0" fontId="3" fillId="0" borderId="4" xfId="0" applyFont="1" applyBorder="1"/>
    <xf numFmtId="2" fontId="0" fillId="0" borderId="6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0" fontId="11" fillId="2" borderId="8" xfId="0" applyFont="1" applyFill="1" applyBorder="1"/>
    <xf numFmtId="164" fontId="0" fillId="6" borderId="0" xfId="0" quotePrefix="1" applyNumberFormat="1" applyFill="1"/>
    <xf numFmtId="164" fontId="0" fillId="6" borderId="6" xfId="0" quotePrefix="1" applyNumberFormat="1" applyFill="1" applyBorder="1"/>
    <xf numFmtId="164" fontId="0" fillId="11" borderId="0" xfId="0" applyNumberFormat="1" applyFill="1"/>
    <xf numFmtId="164" fontId="0" fillId="11" borderId="6" xfId="0" applyNumberFormat="1" applyFill="1" applyBorder="1"/>
    <xf numFmtId="0" fontId="11" fillId="9" borderId="0" xfId="0" applyFont="1" applyFill="1"/>
    <xf numFmtId="0" fontId="11" fillId="6" borderId="0" xfId="0" applyFont="1" applyFill="1"/>
    <xf numFmtId="164" fontId="0" fillId="0" borderId="4" xfId="0" applyNumberFormat="1" applyBorder="1"/>
    <xf numFmtId="0" fontId="11" fillId="8" borderId="0" xfId="0" applyFont="1" applyFill="1"/>
    <xf numFmtId="0" fontId="11" fillId="9" borderId="9" xfId="0" applyFont="1" applyFill="1" applyBorder="1"/>
    <xf numFmtId="0" fontId="11" fillId="6" borderId="10" xfId="0" applyFont="1" applyFill="1" applyBorder="1"/>
    <xf numFmtId="0" fontId="11" fillId="7" borderId="10" xfId="0" applyFont="1" applyFill="1" applyBorder="1"/>
    <xf numFmtId="0" fontId="11" fillId="3" borderId="10" xfId="0" applyFont="1" applyFill="1" applyBorder="1"/>
    <xf numFmtId="0" fontId="11" fillId="8" borderId="11" xfId="0" applyFont="1" applyFill="1" applyBorder="1"/>
    <xf numFmtId="0" fontId="5" fillId="12" borderId="1" xfId="0" applyFont="1" applyFill="1" applyBorder="1"/>
    <xf numFmtId="0" fontId="6" fillId="12" borderId="2" xfId="0" applyFont="1" applyFill="1" applyBorder="1"/>
    <xf numFmtId="0" fontId="6" fillId="12" borderId="5" xfId="0" applyFont="1" applyFill="1" applyBorder="1"/>
    <xf numFmtId="0" fontId="6" fillId="12" borderId="7" xfId="0" applyFont="1" applyFill="1" applyBorder="1"/>
    <xf numFmtId="0" fontId="12" fillId="8" borderId="1" xfId="0" applyFont="1" applyFill="1" applyBorder="1"/>
    <xf numFmtId="0" fontId="12" fillId="8" borderId="2" xfId="0" applyFont="1" applyFill="1" applyBorder="1"/>
    <xf numFmtId="0" fontId="12" fillId="8" borderId="5" xfId="0" applyFont="1" applyFill="1" applyBorder="1"/>
    <xf numFmtId="0" fontId="12" fillId="8" borderId="7" xfId="0" applyFont="1" applyFill="1" applyBorder="1"/>
    <xf numFmtId="0" fontId="12" fillId="8" borderId="1" xfId="0" applyFont="1" applyFill="1" applyBorder="1" applyAlignment="1">
      <alignment horizontal="center" vertical="top"/>
    </xf>
    <xf numFmtId="0" fontId="12" fillId="8" borderId="2" xfId="0" applyFont="1" applyFill="1" applyBorder="1" applyAlignment="1">
      <alignment horizontal="center" vertical="top"/>
    </xf>
    <xf numFmtId="0" fontId="12" fillId="8" borderId="5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17" fontId="0" fillId="0" borderId="4" xfId="0" quotePrefix="1" applyNumberFormat="1" applyBorder="1" applyAlignment="1">
      <alignment horizontal="left"/>
    </xf>
    <xf numFmtId="0" fontId="13" fillId="8" borderId="1" xfId="0" applyFont="1" applyFill="1" applyBorder="1"/>
    <xf numFmtId="0" fontId="13" fillId="8" borderId="2" xfId="0" applyFont="1" applyFill="1" applyBorder="1" applyAlignment="1">
      <alignment horizontal="right"/>
    </xf>
    <xf numFmtId="0" fontId="13" fillId="8" borderId="3" xfId="0" applyFont="1" applyFill="1" applyBorder="1"/>
    <xf numFmtId="0" fontId="13" fillId="8" borderId="4" xfId="0" applyFont="1" applyFill="1" applyBorder="1"/>
    <xf numFmtId="0" fontId="13" fillId="8" borderId="5" xfId="0" applyFont="1" applyFill="1" applyBorder="1"/>
    <xf numFmtId="0" fontId="13" fillId="8" borderId="7" xfId="0" applyFont="1" applyFill="1" applyBorder="1"/>
    <xf numFmtId="0" fontId="11" fillId="8" borderId="8" xfId="0" applyFont="1" applyFill="1" applyBorder="1" applyAlignment="1">
      <alignment wrapText="1"/>
    </xf>
    <xf numFmtId="0" fontId="11" fillId="13" borderId="8" xfId="0" applyFont="1" applyFill="1" applyBorder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6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326932</xdr:colOff>
      <xdr:row>32</xdr:row>
      <xdr:rowOff>80472</xdr:rowOff>
    </xdr:from>
    <xdr:to>
      <xdr:col>0</xdr:col>
      <xdr:colOff>4124356</xdr:colOff>
      <xdr:row>41</xdr:row>
      <xdr:rowOff>90032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E2ED270-2BCF-6A61-C324-2043714D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932" y="7511858"/>
          <a:ext cx="3797424" cy="1820253"/>
        </a:xfrm>
        <a:prstGeom prst="rect">
          <a:avLst/>
        </a:prstGeom>
      </xdr:spPr>
    </xdr:pic>
    <xdr:clientData/>
  </xdr:twoCellAnchor>
  <xdr:twoCellAnchor editAs="oneCell">
    <xdr:from>
      <xdr:col>6</xdr:col>
      <xdr:colOff>75446</xdr:colOff>
      <xdr:row>0</xdr:row>
      <xdr:rowOff>603564</xdr:rowOff>
    </xdr:from>
    <xdr:to>
      <xdr:col>13</xdr:col>
      <xdr:colOff>163465</xdr:colOff>
      <xdr:row>34</xdr:row>
      <xdr:rowOff>104080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872B404-AD6E-E9E4-FF5D-808C65080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5743" y="603564"/>
          <a:ext cx="5897326" cy="71456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520699</xdr:colOff>
      <xdr:row>29</xdr:row>
      <xdr:rowOff>190500</xdr:rowOff>
    </xdr:from>
    <xdr:to>
      <xdr:col>0</xdr:col>
      <xdr:colOff>4535432</xdr:colOff>
      <xdr:row>35</xdr:row>
      <xdr:rowOff>177800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C455141-2A6E-D4F0-1E1E-E83E831A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6959600"/>
          <a:ext cx="4014733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203199</xdr:colOff>
      <xdr:row>31</xdr:row>
      <xdr:rowOff>38100</xdr:rowOff>
    </xdr:from>
    <xdr:to>
      <xdr:col>3</xdr:col>
      <xdr:colOff>253614</xdr:colOff>
      <xdr:row>36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72C3F1E-1731-3709-0889-593197234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199" y="6400800"/>
          <a:ext cx="10375515" cy="101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30</xdr:row>
      <xdr:rowOff>93903</xdr:rowOff>
    </xdr:from>
    <xdr:to>
      <xdr:col>2</xdr:col>
      <xdr:colOff>914400</xdr:colOff>
      <xdr:row>35</xdr:row>
      <xdr:rowOff>101600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E39B171-E48A-F7DA-E3D4-727C3DE89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215303"/>
          <a:ext cx="10134600" cy="1023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2</xdr:col>
      <xdr:colOff>1096360</xdr:colOff>
      <xdr:row>42</xdr:row>
      <xdr:rowOff>12700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810A368-8365-E838-C57D-80B6EF2A6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69200"/>
          <a:ext cx="10430860" cy="100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200730</xdr:rowOff>
    </xdr:from>
    <xdr:to>
      <xdr:col>2</xdr:col>
      <xdr:colOff>1257300</xdr:colOff>
      <xdr:row>49</xdr:row>
      <xdr:rowOff>126999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96D04CC-E05B-BFC4-AE16-15ECF0EB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66930"/>
          <a:ext cx="10591800" cy="942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190500</xdr:rowOff>
    </xdr:from>
    <xdr:to>
      <xdr:col>0</xdr:col>
      <xdr:colOff>6492993</xdr:colOff>
      <xdr:row>56</xdr:row>
      <xdr:rowOff>38100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E6097E61-5934-2F51-E566-CCD5443F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79100"/>
          <a:ext cx="6492993" cy="86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30</xdr:row>
      <xdr:rowOff>0</xdr:rowOff>
    </xdr:from>
    <xdr:to>
      <xdr:col>0</xdr:col>
      <xdr:colOff>6113992</xdr:colOff>
      <xdr:row>39</xdr:row>
      <xdr:rowOff>114300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2CA4E6A-2D28-EAF1-3D89-E8CC670E8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096000"/>
          <a:ext cx="6063192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46</xdr:row>
      <xdr:rowOff>190499</xdr:rowOff>
    </xdr:from>
    <xdr:to>
      <xdr:col>0</xdr:col>
      <xdr:colOff>4660900</xdr:colOff>
      <xdr:row>56</xdr:row>
      <xdr:rowOff>14924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1180FBE7-E973-7FFD-E301-86AB95AC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9537699"/>
          <a:ext cx="4102100" cy="1856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30</xdr:row>
      <xdr:rowOff>88900</xdr:rowOff>
    </xdr:from>
    <xdr:to>
      <xdr:col>0</xdr:col>
      <xdr:colOff>5073162</xdr:colOff>
      <xdr:row>35</xdr:row>
      <xdr:rowOff>127000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1D854E8-CCC3-DCFB-D9B5-925DB40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6705600"/>
          <a:ext cx="4349262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1396999</xdr:colOff>
      <xdr:row>37</xdr:row>
      <xdr:rowOff>109606</xdr:rowOff>
    </xdr:from>
    <xdr:to>
      <xdr:col>0</xdr:col>
      <xdr:colOff>5105400</xdr:colOff>
      <xdr:row>40</xdr:row>
      <xdr:rowOff>165100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56BA001-9CDF-6547-C4B5-832765C7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999" y="8148706"/>
          <a:ext cx="3708401" cy="665094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46</xdr:row>
      <xdr:rowOff>12388</xdr:rowOff>
    </xdr:from>
    <xdr:to>
      <xdr:col>0</xdr:col>
      <xdr:colOff>5359400</xdr:colOff>
      <xdr:row>52</xdr:row>
      <xdr:rowOff>142042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6AB9F7C1-349E-24E9-614F-CC11BF1FC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9880288"/>
          <a:ext cx="4635500" cy="13488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76200</xdr:rowOff>
    </xdr:from>
    <xdr:to>
      <xdr:col>0</xdr:col>
      <xdr:colOff>5956300</xdr:colOff>
      <xdr:row>37</xdr:row>
      <xdr:rowOff>183672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8CE9073-1D67-1DEC-0CE4-A6A6F1EA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72200"/>
          <a:ext cx="5956300" cy="15298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30</xdr:row>
      <xdr:rowOff>88900</xdr:rowOff>
    </xdr:from>
    <xdr:to>
      <xdr:col>0</xdr:col>
      <xdr:colOff>3073400</xdr:colOff>
      <xdr:row>37</xdr:row>
      <xdr:rowOff>2800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9DBCE1A-51DD-C263-F372-17EED939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6540500"/>
          <a:ext cx="2044700" cy="1336300"/>
        </a:xfrm>
        <a:prstGeom prst="rect">
          <a:avLst/>
        </a:prstGeom>
      </xdr:spPr>
    </xdr:pic>
    <xdr:clientData/>
  </xdr:twoCellAnchor>
  <xdr:twoCellAnchor editAs="oneCell">
    <xdr:from>
      <xdr:col>0</xdr:col>
      <xdr:colOff>863600</xdr:colOff>
      <xdr:row>40</xdr:row>
      <xdr:rowOff>33276</xdr:rowOff>
    </xdr:from>
    <xdr:to>
      <xdr:col>0</xdr:col>
      <xdr:colOff>3746500</xdr:colOff>
      <xdr:row>47</xdr:row>
      <xdr:rowOff>63500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127474D2-F940-09F6-D51A-2C14496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" y="8516876"/>
          <a:ext cx="2882900" cy="14526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128461</xdr:rowOff>
    </xdr:from>
    <xdr:to>
      <xdr:col>0</xdr:col>
      <xdr:colOff>6997700</xdr:colOff>
      <xdr:row>45</xdr:row>
      <xdr:rowOff>76281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08B3CF7-94E3-5B62-B412-430321B4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4461"/>
          <a:ext cx="6997700" cy="2995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5651500</xdr:colOff>
      <xdr:row>87</xdr:row>
      <xdr:rowOff>177800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88E1325-B594-4458-AA9D-B0B60037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69500"/>
          <a:ext cx="5651500" cy="78994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31</xdr:row>
      <xdr:rowOff>101600</xdr:rowOff>
    </xdr:from>
    <xdr:to>
      <xdr:col>10</xdr:col>
      <xdr:colOff>771070</xdr:colOff>
      <xdr:row>37</xdr:row>
      <xdr:rowOff>190500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E81D3251-9B2A-15F8-27EA-54702CE5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2499" y="6413500"/>
          <a:ext cx="8035471" cy="13081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30</xdr:row>
      <xdr:rowOff>165100</xdr:rowOff>
    </xdr:from>
    <xdr:to>
      <xdr:col>0</xdr:col>
      <xdr:colOff>3953934</xdr:colOff>
      <xdr:row>36</xdr:row>
      <xdr:rowOff>12700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08A5E9F-A7B8-BA6E-CD68-5746FF211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7442200"/>
          <a:ext cx="3141134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736600</xdr:colOff>
      <xdr:row>48</xdr:row>
      <xdr:rowOff>152400</xdr:rowOff>
    </xdr:from>
    <xdr:to>
      <xdr:col>0</xdr:col>
      <xdr:colOff>4032470</xdr:colOff>
      <xdr:row>55</xdr:row>
      <xdr:rowOff>76200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DBCD0B5-18CA-1A1B-276D-DC54C32B7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00" y="11087100"/>
          <a:ext cx="3295870" cy="13462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56</xdr:row>
      <xdr:rowOff>0</xdr:rowOff>
    </xdr:from>
    <xdr:to>
      <xdr:col>0</xdr:col>
      <xdr:colOff>4025476</xdr:colOff>
      <xdr:row>62</xdr:row>
      <xdr:rowOff>63500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BE2192E-2C39-47D0-D082-F8E1CCAE0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699" y="12560300"/>
          <a:ext cx="3377777" cy="1282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DC22-929F-D748-8B88-AB940F99E883}">
  <dimension ref="A1:J61"/>
  <sheetViews>
    <sheetView tabSelected="1" topLeftCell="A28" zoomScale="101" workbookViewId="0">
      <selection activeCell="B63" sqref="B63"/>
    </sheetView>
  </sheetViews>
  <sheetFormatPr baseColWidth="10" defaultRowHeight="16" x14ac:dyDescent="0.2"/>
  <cols>
    <col min="1" max="1" width="96.83203125" customWidth="1"/>
    <col min="2" max="2" width="20.83203125" customWidth="1"/>
    <col min="3" max="3" width="17.6640625" customWidth="1"/>
    <col min="4" max="4" width="19.83203125" customWidth="1"/>
    <col min="5" max="5" width="18" customWidth="1"/>
  </cols>
  <sheetData>
    <row r="1" spans="1:5" ht="54" customHeight="1" x14ac:dyDescent="0.35">
      <c r="A1" s="19" t="s">
        <v>140</v>
      </c>
    </row>
    <row r="2" spans="1:5" ht="15" customHeight="1" x14ac:dyDescent="0.2"/>
    <row r="3" spans="1:5" ht="22" customHeight="1" x14ac:dyDescent="0.2"/>
    <row r="4" spans="1:5" ht="35" customHeight="1" x14ac:dyDescent="0.3">
      <c r="A4" s="20" t="s">
        <v>0</v>
      </c>
      <c r="B4" s="21" t="s">
        <v>1</v>
      </c>
      <c r="C4" s="22" t="s">
        <v>2</v>
      </c>
      <c r="D4" s="23" t="s">
        <v>3</v>
      </c>
      <c r="E4" s="24" t="s">
        <v>4</v>
      </c>
    </row>
    <row r="5" spans="1:5" x14ac:dyDescent="0.2">
      <c r="A5" s="13" t="s">
        <v>5</v>
      </c>
      <c r="B5" s="1">
        <v>0.95</v>
      </c>
      <c r="C5" s="2">
        <v>0</v>
      </c>
      <c r="D5" s="1">
        <v>0</v>
      </c>
      <c r="E5" s="14">
        <v>0</v>
      </c>
    </row>
    <row r="6" spans="1:5" x14ac:dyDescent="0.2">
      <c r="A6" s="13" t="s">
        <v>6</v>
      </c>
      <c r="B6" s="1">
        <v>0.65</v>
      </c>
      <c r="C6" s="2">
        <v>0.4</v>
      </c>
      <c r="D6" s="1">
        <v>0.05</v>
      </c>
      <c r="E6" s="14">
        <v>0.05</v>
      </c>
    </row>
    <row r="7" spans="1:5" x14ac:dyDescent="0.2">
      <c r="A7" s="13" t="s">
        <v>7</v>
      </c>
      <c r="B7" s="1" t="s">
        <v>30</v>
      </c>
      <c r="C7" s="2" t="s">
        <v>32</v>
      </c>
      <c r="D7" s="1">
        <v>0</v>
      </c>
      <c r="E7" s="14">
        <v>0</v>
      </c>
    </row>
    <row r="8" spans="1:5" x14ac:dyDescent="0.2">
      <c r="A8" s="13" t="s">
        <v>8</v>
      </c>
      <c r="B8" s="1" t="s">
        <v>31</v>
      </c>
      <c r="C8" s="2" t="s">
        <v>44</v>
      </c>
      <c r="D8" s="1">
        <v>0</v>
      </c>
      <c r="E8" s="14" t="s">
        <v>50</v>
      </c>
    </row>
    <row r="9" spans="1:5" x14ac:dyDescent="0.2">
      <c r="A9" s="13" t="s">
        <v>9</v>
      </c>
      <c r="B9" s="1" t="s">
        <v>29</v>
      </c>
      <c r="C9" s="2">
        <v>0</v>
      </c>
      <c r="D9" s="1">
        <v>0</v>
      </c>
      <c r="E9" s="14">
        <v>0</v>
      </c>
    </row>
    <row r="10" spans="1:5" x14ac:dyDescent="0.2">
      <c r="A10" s="13" t="s">
        <v>10</v>
      </c>
      <c r="B10" s="1" t="s">
        <v>32</v>
      </c>
      <c r="C10" s="2" t="s">
        <v>45</v>
      </c>
      <c r="D10" s="1" t="s">
        <v>44</v>
      </c>
      <c r="E10" s="14" t="s">
        <v>44</v>
      </c>
    </row>
    <row r="11" spans="1:5" x14ac:dyDescent="0.2">
      <c r="A11" s="13" t="s">
        <v>11</v>
      </c>
      <c r="B11" s="1" t="s">
        <v>33</v>
      </c>
      <c r="C11" s="2" t="s">
        <v>32</v>
      </c>
      <c r="D11" s="1" t="s">
        <v>46</v>
      </c>
      <c r="E11" s="14" t="s">
        <v>37</v>
      </c>
    </row>
    <row r="12" spans="1:5" x14ac:dyDescent="0.2">
      <c r="A12" s="13" t="s">
        <v>12</v>
      </c>
      <c r="B12" s="1" t="s">
        <v>34</v>
      </c>
      <c r="C12" s="2" t="s">
        <v>46</v>
      </c>
      <c r="D12" s="1" t="s">
        <v>48</v>
      </c>
      <c r="E12" s="14" t="s">
        <v>44</v>
      </c>
    </row>
    <row r="13" spans="1:5" x14ac:dyDescent="0.2">
      <c r="A13" s="13" t="s">
        <v>13</v>
      </c>
      <c r="B13" s="1" t="s">
        <v>35</v>
      </c>
      <c r="C13" s="2" t="s">
        <v>32</v>
      </c>
      <c r="D13" s="1" t="s">
        <v>48</v>
      </c>
      <c r="E13" s="14">
        <v>0</v>
      </c>
    </row>
    <row r="14" spans="1:5" x14ac:dyDescent="0.2">
      <c r="A14" s="13" t="s">
        <v>14</v>
      </c>
      <c r="B14" s="1" t="s">
        <v>31</v>
      </c>
      <c r="C14" s="2" t="s">
        <v>44</v>
      </c>
      <c r="D14" s="1">
        <v>0</v>
      </c>
      <c r="E14" s="14" t="s">
        <v>50</v>
      </c>
    </row>
    <row r="15" spans="1:5" x14ac:dyDescent="0.2">
      <c r="A15" s="13" t="s">
        <v>15</v>
      </c>
      <c r="B15" s="1" t="s">
        <v>36</v>
      </c>
      <c r="C15" s="2" t="s">
        <v>44</v>
      </c>
      <c r="D15" s="1" t="s">
        <v>48</v>
      </c>
      <c r="E15" s="14">
        <v>0</v>
      </c>
    </row>
    <row r="16" spans="1:5" x14ac:dyDescent="0.2">
      <c r="A16" s="13" t="s">
        <v>16</v>
      </c>
      <c r="B16" s="1" t="s">
        <v>37</v>
      </c>
      <c r="C16" s="1" t="s">
        <v>43</v>
      </c>
      <c r="D16" s="1" t="s">
        <v>46</v>
      </c>
      <c r="E16" s="14" t="s">
        <v>49</v>
      </c>
    </row>
    <row r="17" spans="1:10" x14ac:dyDescent="0.2">
      <c r="A17" s="13" t="s">
        <v>17</v>
      </c>
      <c r="B17" s="1" t="s">
        <v>38</v>
      </c>
      <c r="C17" s="1" t="s">
        <v>47</v>
      </c>
      <c r="D17" s="1" t="s">
        <v>48</v>
      </c>
      <c r="E17" s="14">
        <v>0</v>
      </c>
    </row>
    <row r="18" spans="1:10" x14ac:dyDescent="0.2">
      <c r="A18" s="13" t="s">
        <v>18</v>
      </c>
      <c r="B18" s="1" t="s">
        <v>34</v>
      </c>
      <c r="C18" s="1" t="s">
        <v>41</v>
      </c>
      <c r="D18" s="1">
        <v>0</v>
      </c>
      <c r="E18" s="14">
        <v>0</v>
      </c>
    </row>
    <row r="19" spans="1:10" x14ac:dyDescent="0.2">
      <c r="A19" s="13" t="s">
        <v>19</v>
      </c>
      <c r="B19" s="1" t="s">
        <v>39</v>
      </c>
      <c r="C19" s="1" t="s">
        <v>44</v>
      </c>
      <c r="D19" s="1">
        <v>0</v>
      </c>
      <c r="E19" s="14" t="s">
        <v>46</v>
      </c>
    </row>
    <row r="20" spans="1:10" x14ac:dyDescent="0.2">
      <c r="A20" s="13" t="s">
        <v>20</v>
      </c>
      <c r="B20" s="1" t="s">
        <v>40</v>
      </c>
      <c r="C20" s="1" t="s">
        <v>32</v>
      </c>
      <c r="D20" s="1" t="s">
        <v>46</v>
      </c>
      <c r="E20" s="14">
        <v>0</v>
      </c>
    </row>
    <row r="21" spans="1:10" x14ac:dyDescent="0.2">
      <c r="A21" s="13" t="s">
        <v>21</v>
      </c>
      <c r="B21" s="1" t="s">
        <v>32</v>
      </c>
      <c r="C21" s="1" t="s">
        <v>43</v>
      </c>
      <c r="D21" s="1" t="s">
        <v>37</v>
      </c>
      <c r="E21" s="14" t="s">
        <v>50</v>
      </c>
    </row>
    <row r="22" spans="1:10" x14ac:dyDescent="0.2">
      <c r="A22" s="13" t="s">
        <v>22</v>
      </c>
      <c r="B22" s="1" t="s">
        <v>37</v>
      </c>
      <c r="C22" s="1" t="s">
        <v>40</v>
      </c>
      <c r="D22" s="1" t="s">
        <v>49</v>
      </c>
      <c r="E22" s="14" t="s">
        <v>50</v>
      </c>
    </row>
    <row r="23" spans="1:10" x14ac:dyDescent="0.2">
      <c r="A23" s="13" t="s">
        <v>23</v>
      </c>
      <c r="B23" s="1" t="s">
        <v>41</v>
      </c>
      <c r="C23" s="1" t="s">
        <v>41</v>
      </c>
      <c r="D23" s="15" t="s">
        <v>37</v>
      </c>
      <c r="E23" s="14" t="s">
        <v>37</v>
      </c>
    </row>
    <row r="24" spans="1:10" x14ac:dyDescent="0.2">
      <c r="A24" s="13" t="s">
        <v>24</v>
      </c>
      <c r="B24" s="1" t="s">
        <v>30</v>
      </c>
      <c r="C24" s="1" t="s">
        <v>37</v>
      </c>
      <c r="D24" s="1" t="s">
        <v>48</v>
      </c>
      <c r="E24" s="14" t="s">
        <v>44</v>
      </c>
    </row>
    <row r="25" spans="1:10" x14ac:dyDescent="0.2">
      <c r="A25" s="13" t="s">
        <v>25</v>
      </c>
      <c r="B25" s="1" t="s">
        <v>38</v>
      </c>
      <c r="C25" s="1" t="s">
        <v>32</v>
      </c>
      <c r="D25" s="1" t="s">
        <v>48</v>
      </c>
      <c r="E25" s="14" t="s">
        <v>46</v>
      </c>
    </row>
    <row r="26" spans="1:10" x14ac:dyDescent="0.2">
      <c r="A26" s="13" t="s">
        <v>26</v>
      </c>
      <c r="B26" s="1" t="s">
        <v>42</v>
      </c>
      <c r="C26" s="1" t="s">
        <v>37</v>
      </c>
      <c r="D26" s="1">
        <v>0</v>
      </c>
      <c r="E26" s="14">
        <v>0</v>
      </c>
    </row>
    <row r="27" spans="1:10" ht="17" thickBot="1" x14ac:dyDescent="0.25">
      <c r="A27" s="16" t="s">
        <v>27</v>
      </c>
      <c r="B27" s="17" t="s">
        <v>42</v>
      </c>
      <c r="C27" s="17" t="s">
        <v>44</v>
      </c>
      <c r="D27" s="17" t="s">
        <v>48</v>
      </c>
      <c r="E27" s="18" t="s">
        <v>50</v>
      </c>
    </row>
    <row r="30" spans="1:10" x14ac:dyDescent="0.2">
      <c r="A30" s="6" t="s">
        <v>58</v>
      </c>
      <c r="B30" s="6"/>
      <c r="C30" s="12"/>
      <c r="D30" s="12"/>
      <c r="E30" s="12"/>
      <c r="F30" s="12"/>
      <c r="G30" s="12"/>
      <c r="H30" s="12"/>
      <c r="I30" s="12"/>
      <c r="J30" s="12"/>
    </row>
    <row r="31" spans="1:10" x14ac:dyDescent="0.2">
      <c r="B31" s="12"/>
      <c r="C31" s="12"/>
      <c r="D31" s="12"/>
      <c r="E31" s="12"/>
      <c r="F31" s="12"/>
      <c r="G31" s="12"/>
      <c r="H31" s="12"/>
      <c r="I31" s="12"/>
      <c r="J31" s="12"/>
    </row>
    <row r="61" spans="7:7" x14ac:dyDescent="0.2">
      <c r="G61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D3FB-B874-604C-8CF3-7E2D0C8EA55D}">
  <dimension ref="A1:G29"/>
  <sheetViews>
    <sheetView workbookViewId="0">
      <selection activeCell="F25" sqref="F25"/>
    </sheetView>
  </sheetViews>
  <sheetFormatPr baseColWidth="10" defaultRowHeight="16" x14ac:dyDescent="0.2"/>
  <cols>
    <col min="1" max="1" width="100" customWidth="1"/>
    <col min="2" max="2" width="21.5" customWidth="1"/>
    <col min="3" max="3" width="18.83203125" customWidth="1"/>
    <col min="4" max="4" width="25" customWidth="1"/>
    <col min="6" max="6" width="17.33203125" customWidth="1"/>
    <col min="7" max="7" width="19" customWidth="1"/>
  </cols>
  <sheetData>
    <row r="1" spans="1:7" ht="42" customHeight="1" x14ac:dyDescent="0.3">
      <c r="A1" s="20" t="s">
        <v>145</v>
      </c>
      <c r="B1" s="21" t="s">
        <v>1</v>
      </c>
      <c r="C1" s="30" t="s">
        <v>2</v>
      </c>
      <c r="D1" s="23" t="s">
        <v>3</v>
      </c>
    </row>
    <row r="2" spans="1:7" x14ac:dyDescent="0.2">
      <c r="A2" s="13" t="s">
        <v>5</v>
      </c>
      <c r="B2" s="1">
        <v>0.95</v>
      </c>
      <c r="C2" s="2">
        <v>0</v>
      </c>
      <c r="D2" s="14">
        <v>0</v>
      </c>
    </row>
    <row r="3" spans="1:7" ht="17" thickBot="1" x14ac:dyDescent="0.25">
      <c r="A3" s="13" t="s">
        <v>6</v>
      </c>
      <c r="B3" s="1">
        <v>0.65</v>
      </c>
      <c r="C3" s="2">
        <v>0.4</v>
      </c>
      <c r="D3" s="14">
        <v>0.05</v>
      </c>
    </row>
    <row r="4" spans="1:7" ht="41" customHeight="1" x14ac:dyDescent="0.35">
      <c r="A4" s="13" t="s">
        <v>7</v>
      </c>
      <c r="B4" s="1">
        <v>0.65</v>
      </c>
      <c r="C4" s="2">
        <v>0.35</v>
      </c>
      <c r="D4" s="14">
        <v>0</v>
      </c>
      <c r="F4" s="56" t="s">
        <v>138</v>
      </c>
      <c r="G4" s="57">
        <f>13/23</f>
        <v>0.56521739130434778</v>
      </c>
    </row>
    <row r="5" spans="1:7" ht="37" customHeight="1" thickBot="1" x14ac:dyDescent="0.4">
      <c r="A5" s="13" t="s">
        <v>8</v>
      </c>
      <c r="B5" s="1">
        <v>0.85</v>
      </c>
      <c r="C5" s="2">
        <v>0.1</v>
      </c>
      <c r="D5" s="14">
        <v>0</v>
      </c>
      <c r="F5" s="58" t="s">
        <v>139</v>
      </c>
      <c r="G5" s="59">
        <f>((0.21)^(G4))* ((0.067)^(1-G4))</f>
        <v>0.12779218570530793</v>
      </c>
    </row>
    <row r="6" spans="1:7" ht="18" customHeight="1" x14ac:dyDescent="0.35">
      <c r="A6" s="13" t="s">
        <v>9</v>
      </c>
      <c r="B6" s="1">
        <v>0.95</v>
      </c>
      <c r="C6" s="2">
        <v>0</v>
      </c>
      <c r="D6" s="14">
        <v>0</v>
      </c>
      <c r="F6" s="10"/>
      <c r="G6" s="10"/>
    </row>
    <row r="7" spans="1:7" x14ac:dyDescent="0.2">
      <c r="A7" s="13" t="s">
        <v>10</v>
      </c>
      <c r="B7" s="1">
        <v>0.35</v>
      </c>
      <c r="C7" s="2">
        <v>0.45</v>
      </c>
      <c r="D7" s="14">
        <v>0.1</v>
      </c>
    </row>
    <row r="8" spans="1:7" x14ac:dyDescent="0.2">
      <c r="A8" s="13" t="s">
        <v>11</v>
      </c>
      <c r="B8" s="1">
        <v>0.3</v>
      </c>
      <c r="C8" s="2">
        <v>0.35</v>
      </c>
      <c r="D8" s="14">
        <v>0.15</v>
      </c>
    </row>
    <row r="9" spans="1:7" x14ac:dyDescent="0.2">
      <c r="A9" s="13" t="s">
        <v>12</v>
      </c>
      <c r="B9" s="1">
        <v>0.7</v>
      </c>
      <c r="C9" s="2">
        <v>0.15</v>
      </c>
      <c r="D9" s="14">
        <v>0.05</v>
      </c>
    </row>
    <row r="10" spans="1:7" x14ac:dyDescent="0.2">
      <c r="A10" s="13" t="s">
        <v>13</v>
      </c>
      <c r="B10" s="1">
        <v>0.6</v>
      </c>
      <c r="C10" s="2">
        <v>0.35</v>
      </c>
      <c r="D10" s="14">
        <v>0.05</v>
      </c>
    </row>
    <row r="11" spans="1:7" x14ac:dyDescent="0.2">
      <c r="A11" s="13" t="s">
        <v>14</v>
      </c>
      <c r="B11" s="1">
        <v>0.85</v>
      </c>
      <c r="C11" s="2">
        <v>0.1</v>
      </c>
      <c r="D11" s="14">
        <v>0</v>
      </c>
    </row>
    <row r="12" spans="1:7" x14ac:dyDescent="0.2">
      <c r="A12" s="13" t="s">
        <v>15</v>
      </c>
      <c r="B12" s="1">
        <v>0.85</v>
      </c>
      <c r="C12" s="2">
        <v>0.1</v>
      </c>
      <c r="D12" s="14">
        <v>0.05</v>
      </c>
    </row>
    <row r="13" spans="1:7" x14ac:dyDescent="0.2">
      <c r="A13" s="13" t="s">
        <v>16</v>
      </c>
      <c r="B13" s="1">
        <v>0.2</v>
      </c>
      <c r="C13" s="1">
        <v>0.4</v>
      </c>
      <c r="D13" s="14">
        <v>0.15</v>
      </c>
    </row>
    <row r="14" spans="1:7" x14ac:dyDescent="0.2">
      <c r="A14" s="13" t="s">
        <v>17</v>
      </c>
      <c r="B14" s="1">
        <v>0.4</v>
      </c>
      <c r="C14" s="1">
        <v>0.55000000000000004</v>
      </c>
      <c r="D14" s="14">
        <v>0.05</v>
      </c>
    </row>
    <row r="15" spans="1:7" x14ac:dyDescent="0.2">
      <c r="A15" s="13" t="s">
        <v>18</v>
      </c>
      <c r="B15" s="1">
        <v>0.7</v>
      </c>
      <c r="C15" s="1">
        <v>0.3</v>
      </c>
      <c r="D15" s="14">
        <v>0</v>
      </c>
    </row>
    <row r="16" spans="1:7" x14ac:dyDescent="0.2">
      <c r="A16" s="13" t="s">
        <v>19</v>
      </c>
      <c r="B16" s="1">
        <v>0.75</v>
      </c>
      <c r="C16" s="1">
        <v>0.1</v>
      </c>
      <c r="D16" s="14">
        <v>0</v>
      </c>
    </row>
    <row r="17" spans="1:6" x14ac:dyDescent="0.2">
      <c r="A17" s="13" t="s">
        <v>20</v>
      </c>
      <c r="B17" s="1">
        <v>0.5</v>
      </c>
      <c r="C17" s="1">
        <v>0.35</v>
      </c>
      <c r="D17" s="14">
        <v>0.15</v>
      </c>
    </row>
    <row r="18" spans="1:6" x14ac:dyDescent="0.2">
      <c r="A18" s="13" t="s">
        <v>21</v>
      </c>
      <c r="B18" s="1">
        <v>0.35</v>
      </c>
      <c r="C18" s="1">
        <v>0.4</v>
      </c>
      <c r="D18" s="14">
        <v>0.2</v>
      </c>
    </row>
    <row r="19" spans="1:6" x14ac:dyDescent="0.2">
      <c r="A19" s="13" t="s">
        <v>22</v>
      </c>
      <c r="B19" s="1">
        <v>0.2</v>
      </c>
      <c r="C19" s="1">
        <v>0.5</v>
      </c>
      <c r="D19" s="14">
        <v>0.25</v>
      </c>
    </row>
    <row r="20" spans="1:6" x14ac:dyDescent="0.2">
      <c r="A20" s="13" t="s">
        <v>23</v>
      </c>
      <c r="B20" s="1">
        <v>0.3</v>
      </c>
      <c r="C20" s="1">
        <v>0.3</v>
      </c>
      <c r="D20" s="64" t="s">
        <v>54</v>
      </c>
    </row>
    <row r="21" spans="1:6" x14ac:dyDescent="0.2">
      <c r="A21" s="13" t="s">
        <v>24</v>
      </c>
      <c r="B21" s="1">
        <v>0.65</v>
      </c>
      <c r="C21" s="1">
        <v>0.2</v>
      </c>
      <c r="D21" s="14">
        <v>0.05</v>
      </c>
    </row>
    <row r="22" spans="1:6" x14ac:dyDescent="0.2">
      <c r="A22" s="13" t="s">
        <v>25</v>
      </c>
      <c r="B22" s="1">
        <v>0.4</v>
      </c>
      <c r="C22" s="1">
        <v>0.35</v>
      </c>
      <c r="D22" s="14">
        <v>0.05</v>
      </c>
    </row>
    <row r="23" spans="1:6" x14ac:dyDescent="0.2">
      <c r="A23" s="13" t="s">
        <v>26</v>
      </c>
      <c r="B23" s="1">
        <v>0.8</v>
      </c>
      <c r="C23" s="1">
        <v>0.2</v>
      </c>
      <c r="D23" s="14">
        <v>0</v>
      </c>
    </row>
    <row r="24" spans="1:6" x14ac:dyDescent="0.2">
      <c r="A24" s="13" t="s">
        <v>27</v>
      </c>
      <c r="B24" s="1">
        <v>0.8</v>
      </c>
      <c r="C24" s="1">
        <v>0.1</v>
      </c>
      <c r="D24" s="14">
        <v>0.05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8">
        <f>SUM(D2:D24)</f>
        <v>1.4000000000000001</v>
      </c>
    </row>
    <row r="29" spans="1:6" x14ac:dyDescent="0.2">
      <c r="A29" s="6" t="s">
        <v>137</v>
      </c>
      <c r="B29" s="12"/>
      <c r="C29" s="12"/>
      <c r="D29" s="12"/>
      <c r="E29" s="12"/>
      <c r="F29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A8DF-23D1-234C-B555-454C779D9784}">
  <dimension ref="A2:F29"/>
  <sheetViews>
    <sheetView workbookViewId="0">
      <selection activeCell="H11" sqref="H11"/>
    </sheetView>
  </sheetViews>
  <sheetFormatPr baseColWidth="10" defaultRowHeight="16" x14ac:dyDescent="0.2"/>
  <cols>
    <col min="1" max="1" width="97.5" customWidth="1"/>
    <col min="2" max="2" width="19.1640625" customWidth="1"/>
    <col min="3" max="3" width="18.83203125" customWidth="1"/>
    <col min="4" max="4" width="22.1640625" customWidth="1"/>
    <col min="5" max="5" width="29.1640625" customWidth="1"/>
    <col min="6" max="6" width="17.33203125" customWidth="1"/>
  </cols>
  <sheetData>
    <row r="2" spans="1:5" ht="32" customHeight="1" x14ac:dyDescent="0.3">
      <c r="A2" s="20" t="s">
        <v>0</v>
      </c>
      <c r="B2" s="29" t="s">
        <v>1</v>
      </c>
      <c r="C2" s="30" t="s">
        <v>2</v>
      </c>
      <c r="D2" s="23" t="s">
        <v>3</v>
      </c>
      <c r="E2" s="24" t="s">
        <v>53</v>
      </c>
    </row>
    <row r="3" spans="1:5" x14ac:dyDescent="0.2">
      <c r="A3" s="13" t="s">
        <v>5</v>
      </c>
      <c r="B3" s="1">
        <v>0.95</v>
      </c>
      <c r="C3" s="2">
        <v>0</v>
      </c>
      <c r="D3" s="1">
        <v>0</v>
      </c>
      <c r="E3" s="25">
        <f>1/3*(B3+(1-C3)+(1-D3))</f>
        <v>0.98333333333333339</v>
      </c>
    </row>
    <row r="4" spans="1:5" x14ac:dyDescent="0.2">
      <c r="A4" s="13" t="s">
        <v>6</v>
      </c>
      <c r="B4" s="1">
        <v>0.65</v>
      </c>
      <c r="C4" s="2">
        <v>0.4</v>
      </c>
      <c r="D4" s="1">
        <v>0.05</v>
      </c>
      <c r="E4" s="25">
        <f t="shared" ref="E4:E25" si="0">1/3*((B4)+(1-C4)+(1-D4))</f>
        <v>0.73333333333333339</v>
      </c>
    </row>
    <row r="5" spans="1:5" x14ac:dyDescent="0.2">
      <c r="A5" s="13" t="s">
        <v>7</v>
      </c>
      <c r="B5" s="1">
        <v>0.65</v>
      </c>
      <c r="C5" s="2">
        <v>0.35</v>
      </c>
      <c r="D5" s="1">
        <v>0</v>
      </c>
      <c r="E5" s="25">
        <f t="shared" si="0"/>
        <v>0.76666666666666661</v>
      </c>
    </row>
    <row r="6" spans="1:5" x14ac:dyDescent="0.2">
      <c r="A6" s="13" t="s">
        <v>8</v>
      </c>
      <c r="B6" s="1">
        <v>0.85</v>
      </c>
      <c r="C6" s="2">
        <v>0.1</v>
      </c>
      <c r="D6" s="1">
        <v>0</v>
      </c>
      <c r="E6" s="25">
        <f t="shared" si="0"/>
        <v>0.91666666666666663</v>
      </c>
    </row>
    <row r="7" spans="1:5" x14ac:dyDescent="0.2">
      <c r="A7" s="13" t="s">
        <v>9</v>
      </c>
      <c r="B7" s="1">
        <v>0.95</v>
      </c>
      <c r="C7" s="2">
        <v>0</v>
      </c>
      <c r="D7" s="1">
        <v>0</v>
      </c>
      <c r="E7" s="25">
        <f t="shared" si="0"/>
        <v>0.98333333333333339</v>
      </c>
    </row>
    <row r="8" spans="1:5" x14ac:dyDescent="0.2">
      <c r="A8" s="13" t="s">
        <v>10</v>
      </c>
      <c r="B8" s="1">
        <v>0.35</v>
      </c>
      <c r="C8" s="2">
        <v>0.45</v>
      </c>
      <c r="D8" s="1">
        <v>0.1</v>
      </c>
      <c r="E8" s="25">
        <f t="shared" si="0"/>
        <v>0.6</v>
      </c>
    </row>
    <row r="9" spans="1:5" x14ac:dyDescent="0.2">
      <c r="A9" s="13" t="s">
        <v>11</v>
      </c>
      <c r="B9" s="1">
        <v>0.3</v>
      </c>
      <c r="C9" s="2">
        <v>0.35</v>
      </c>
      <c r="D9" s="1">
        <v>0.15</v>
      </c>
      <c r="E9" s="25">
        <f t="shared" si="0"/>
        <v>0.59999999999999987</v>
      </c>
    </row>
    <row r="10" spans="1:5" x14ac:dyDescent="0.2">
      <c r="A10" s="13" t="s">
        <v>12</v>
      </c>
      <c r="B10" s="1">
        <v>0.7</v>
      </c>
      <c r="C10" s="2">
        <v>0.15</v>
      </c>
      <c r="D10" s="1">
        <v>0.05</v>
      </c>
      <c r="E10" s="25">
        <f t="shared" si="0"/>
        <v>0.83333333333333326</v>
      </c>
    </row>
    <row r="11" spans="1:5" x14ac:dyDescent="0.2">
      <c r="A11" s="13" t="s">
        <v>13</v>
      </c>
      <c r="B11" s="1">
        <v>0.6</v>
      </c>
      <c r="C11" s="2">
        <v>0.35</v>
      </c>
      <c r="D11" s="1">
        <v>0.05</v>
      </c>
      <c r="E11" s="25">
        <f t="shared" si="0"/>
        <v>0.73333333333333339</v>
      </c>
    </row>
    <row r="12" spans="1:5" x14ac:dyDescent="0.2">
      <c r="A12" s="13" t="s">
        <v>14</v>
      </c>
      <c r="B12" s="1">
        <v>0.85</v>
      </c>
      <c r="C12" s="2">
        <v>0.1</v>
      </c>
      <c r="D12" s="1">
        <v>0</v>
      </c>
      <c r="E12" s="25">
        <f t="shared" si="0"/>
        <v>0.91666666666666663</v>
      </c>
    </row>
    <row r="13" spans="1:5" x14ac:dyDescent="0.2">
      <c r="A13" s="13" t="s">
        <v>15</v>
      </c>
      <c r="B13" s="1">
        <v>0.85</v>
      </c>
      <c r="C13" s="2">
        <v>0.1</v>
      </c>
      <c r="D13" s="1">
        <v>0.05</v>
      </c>
      <c r="E13" s="25">
        <f t="shared" si="0"/>
        <v>0.9</v>
      </c>
    </row>
    <row r="14" spans="1:5" x14ac:dyDescent="0.2">
      <c r="A14" s="13" t="s">
        <v>16</v>
      </c>
      <c r="B14" s="1">
        <v>0.2</v>
      </c>
      <c r="C14" s="1">
        <v>0.4</v>
      </c>
      <c r="D14" s="1">
        <v>0.15</v>
      </c>
      <c r="E14" s="26">
        <f t="shared" si="0"/>
        <v>0.54999999999999993</v>
      </c>
    </row>
    <row r="15" spans="1:5" x14ac:dyDescent="0.2">
      <c r="A15" s="13" t="s">
        <v>17</v>
      </c>
      <c r="B15" s="1">
        <v>0.4</v>
      </c>
      <c r="C15" s="1">
        <v>0.55000000000000004</v>
      </c>
      <c r="D15" s="1">
        <v>0.05</v>
      </c>
      <c r="E15" s="25">
        <f t="shared" si="0"/>
        <v>0.59999999999999987</v>
      </c>
    </row>
    <row r="16" spans="1:5" x14ac:dyDescent="0.2">
      <c r="A16" s="13" t="s">
        <v>18</v>
      </c>
      <c r="B16" s="1">
        <v>0.7</v>
      </c>
      <c r="C16" s="1">
        <v>0.3</v>
      </c>
      <c r="D16" s="1">
        <v>0</v>
      </c>
      <c r="E16" s="25">
        <f t="shared" si="0"/>
        <v>0.79999999999999993</v>
      </c>
    </row>
    <row r="17" spans="1:6" x14ac:dyDescent="0.2">
      <c r="A17" s="13" t="s">
        <v>19</v>
      </c>
      <c r="B17" s="1">
        <v>0.75</v>
      </c>
      <c r="C17" s="1">
        <v>0.1</v>
      </c>
      <c r="D17" s="1">
        <v>0</v>
      </c>
      <c r="E17" s="25">
        <f t="shared" si="0"/>
        <v>0.8833333333333333</v>
      </c>
    </row>
    <row r="18" spans="1:6" x14ac:dyDescent="0.2">
      <c r="A18" s="13" t="s">
        <v>20</v>
      </c>
      <c r="B18" s="1">
        <v>0.5</v>
      </c>
      <c r="C18" s="1">
        <v>0.35</v>
      </c>
      <c r="D18" s="1">
        <v>0.15</v>
      </c>
      <c r="E18" s="25">
        <f t="shared" si="0"/>
        <v>0.66666666666666663</v>
      </c>
    </row>
    <row r="19" spans="1:6" x14ac:dyDescent="0.2">
      <c r="A19" s="13" t="s">
        <v>21</v>
      </c>
      <c r="B19" s="1">
        <v>0.35</v>
      </c>
      <c r="C19" s="1">
        <v>0.4</v>
      </c>
      <c r="D19" s="1">
        <v>0.2</v>
      </c>
      <c r="E19" s="25">
        <f t="shared" si="0"/>
        <v>0.58333333333333326</v>
      </c>
    </row>
    <row r="20" spans="1:6" x14ac:dyDescent="0.2">
      <c r="A20" s="13" t="s">
        <v>22</v>
      </c>
      <c r="B20" s="1">
        <v>0.2</v>
      </c>
      <c r="C20" s="1">
        <v>0.5</v>
      </c>
      <c r="D20" s="1">
        <v>0.25</v>
      </c>
      <c r="E20" s="25">
        <f t="shared" si="0"/>
        <v>0.48333333333333328</v>
      </c>
    </row>
    <row r="21" spans="1:6" x14ac:dyDescent="0.2">
      <c r="A21" s="13" t="s">
        <v>23</v>
      </c>
      <c r="B21" s="1">
        <v>0.3</v>
      </c>
      <c r="C21" s="1">
        <v>0.3</v>
      </c>
      <c r="D21" s="3" t="s">
        <v>54</v>
      </c>
      <c r="E21" s="25">
        <f t="shared" si="0"/>
        <v>0.6</v>
      </c>
    </row>
    <row r="22" spans="1:6" x14ac:dyDescent="0.2">
      <c r="A22" s="13" t="s">
        <v>24</v>
      </c>
      <c r="B22" s="1">
        <v>0.65</v>
      </c>
      <c r="C22" s="1">
        <v>0.2</v>
      </c>
      <c r="D22" s="1">
        <v>0.05</v>
      </c>
      <c r="E22" s="25">
        <f t="shared" si="0"/>
        <v>0.8</v>
      </c>
    </row>
    <row r="23" spans="1:6" x14ac:dyDescent="0.2">
      <c r="A23" s="13" t="s">
        <v>25</v>
      </c>
      <c r="B23" s="1">
        <v>0.4</v>
      </c>
      <c r="C23" s="1">
        <v>0.35</v>
      </c>
      <c r="D23" s="1">
        <v>0.05</v>
      </c>
      <c r="E23" s="25">
        <f t="shared" si="0"/>
        <v>0.66666666666666663</v>
      </c>
    </row>
    <row r="24" spans="1:6" x14ac:dyDescent="0.2">
      <c r="A24" s="13" t="s">
        <v>26</v>
      </c>
      <c r="B24" s="1">
        <v>0.8</v>
      </c>
      <c r="C24" s="1">
        <v>0.2</v>
      </c>
      <c r="D24" s="1">
        <v>0</v>
      </c>
      <c r="E24" s="25">
        <f t="shared" si="0"/>
        <v>0.8666666666666667</v>
      </c>
    </row>
    <row r="25" spans="1:6" x14ac:dyDescent="0.2">
      <c r="A25" s="13" t="s">
        <v>27</v>
      </c>
      <c r="B25" s="1">
        <v>0.8</v>
      </c>
      <c r="C25" s="1">
        <v>0.1</v>
      </c>
      <c r="D25" s="1">
        <v>0.05</v>
      </c>
      <c r="E25" s="25">
        <f t="shared" si="0"/>
        <v>0.88333333333333341</v>
      </c>
    </row>
    <row r="26" spans="1:6" ht="17" thickBot="1" x14ac:dyDescent="0.25">
      <c r="A26" s="16"/>
      <c r="B26" s="27">
        <f>SUM(B3:B25)</f>
        <v>13.75</v>
      </c>
      <c r="C26" s="27">
        <f>SUM(C3:C25)</f>
        <v>6.1</v>
      </c>
      <c r="D26" s="27">
        <f>SUM(D3:D25)</f>
        <v>1.4000000000000001</v>
      </c>
      <c r="E26" s="28"/>
    </row>
    <row r="27" spans="1:6" ht="15" customHeight="1" x14ac:dyDescent="0.2"/>
    <row r="28" spans="1:6" ht="22" customHeight="1" x14ac:dyDescent="0.4">
      <c r="A28" s="6" t="s">
        <v>51</v>
      </c>
      <c r="B28" s="7"/>
      <c r="C28" s="6"/>
      <c r="D28" s="6"/>
      <c r="E28" s="6"/>
      <c r="F28" s="6"/>
    </row>
    <row r="29" spans="1:6" x14ac:dyDescent="0.2">
      <c r="A29" s="6" t="s">
        <v>52</v>
      </c>
      <c r="B29" s="8"/>
      <c r="C29" s="6"/>
      <c r="D29" s="6"/>
      <c r="E29" s="6"/>
      <c r="F2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B36B-B659-B94F-8528-483A2C328786}">
  <dimension ref="A1:M29"/>
  <sheetViews>
    <sheetView workbookViewId="0">
      <selection activeCell="I40" sqref="I40"/>
    </sheetView>
  </sheetViews>
  <sheetFormatPr baseColWidth="10" defaultRowHeight="16" x14ac:dyDescent="0.2"/>
  <cols>
    <col min="1" max="1" width="98" customWidth="1"/>
    <col min="2" max="2" width="24.5" customWidth="1"/>
    <col min="3" max="3" width="20.33203125" customWidth="1"/>
    <col min="4" max="4" width="21.5" customWidth="1"/>
    <col min="5" max="5" width="21.6640625" customWidth="1"/>
    <col min="6" max="6" width="20.5" customWidth="1"/>
    <col min="7" max="7" width="31.1640625" customWidth="1"/>
    <col min="8" max="8" width="22.83203125" customWidth="1"/>
    <col min="9" max="9" width="26.5" customWidth="1"/>
    <col min="10" max="10" width="18" customWidth="1"/>
    <col min="11" max="11" width="25.83203125" customWidth="1"/>
    <col min="12" max="12" width="19.1640625" customWidth="1"/>
    <col min="13" max="13" width="32.5" customWidth="1"/>
  </cols>
  <sheetData>
    <row r="1" spans="1:13" ht="35" customHeight="1" x14ac:dyDescent="0.3">
      <c r="A1" s="20" t="s">
        <v>0</v>
      </c>
      <c r="B1" s="21" t="s">
        <v>1</v>
      </c>
      <c r="C1" s="22" t="s">
        <v>2</v>
      </c>
      <c r="D1" s="23" t="s">
        <v>3</v>
      </c>
      <c r="E1" s="24" t="s">
        <v>57</v>
      </c>
      <c r="F1" s="24" t="s">
        <v>56</v>
      </c>
      <c r="G1" s="24" t="s">
        <v>141</v>
      </c>
      <c r="H1" s="21" t="s">
        <v>61</v>
      </c>
      <c r="I1" s="24" t="s">
        <v>142</v>
      </c>
      <c r="J1" s="30" t="s">
        <v>60</v>
      </c>
      <c r="K1" s="24" t="s">
        <v>143</v>
      </c>
      <c r="L1" s="23" t="s">
        <v>62</v>
      </c>
      <c r="M1" s="24" t="s">
        <v>63</v>
      </c>
    </row>
    <row r="2" spans="1:13" x14ac:dyDescent="0.2">
      <c r="A2" s="13" t="s">
        <v>5</v>
      </c>
      <c r="B2" s="1">
        <v>0.95</v>
      </c>
      <c r="C2" s="2">
        <v>0</v>
      </c>
      <c r="D2" s="1">
        <v>0</v>
      </c>
      <c r="E2">
        <f t="shared" ref="E2:E24" si="0">B2-C2</f>
        <v>0.95</v>
      </c>
      <c r="F2" s="4">
        <f>E2/E25</f>
        <v>0.12418300653594769</v>
      </c>
      <c r="G2" s="32">
        <f>(F2*(B2^2)+(F2*(C2^2))+(F2*(D2^2)))</f>
        <v>0.11207516339869278</v>
      </c>
      <c r="H2" s="39">
        <f>MIN(1*(G2^(1/2)))</f>
        <v>0.3347762885849187</v>
      </c>
      <c r="I2" s="32">
        <f>(F2*((1-B2)^2))+(F2*((1-C2)^2))+(F2*((1-D2)^2))</f>
        <v>0.24867647058823525</v>
      </c>
      <c r="J2" s="41">
        <f>1-MIN(1*(I2^(1/2)))</f>
        <v>0.50132528579420099</v>
      </c>
      <c r="K2" s="32">
        <f>(H2*((1-D2)^2))+(H2*((1-E2)^2))+(H2*((1-F2)^2))</f>
        <v>0.59240519127958779</v>
      </c>
      <c r="L2" s="33">
        <f>(1-(K2^(1/2)))</f>
        <v>0.23032137142857623</v>
      </c>
      <c r="M2" s="26" t="s">
        <v>64</v>
      </c>
    </row>
    <row r="3" spans="1:13" ht="17" x14ac:dyDescent="0.25">
      <c r="A3" s="13" t="s">
        <v>6</v>
      </c>
      <c r="B3" s="1">
        <v>0.65</v>
      </c>
      <c r="C3" s="2">
        <v>0.4</v>
      </c>
      <c r="D3" s="1">
        <v>0.05</v>
      </c>
      <c r="E3">
        <f t="shared" si="0"/>
        <v>0.25</v>
      </c>
      <c r="F3" s="4">
        <f>E3/E25</f>
        <v>3.2679738562091498E-2</v>
      </c>
      <c r="G3" s="32">
        <f t="shared" ref="G3:G18" si="1">(F3*(B3^2))+(F3*(C3^2))+(F3*(D3^2))</f>
        <v>1.9117647058823531E-2</v>
      </c>
      <c r="H3" s="39">
        <f t="shared" ref="H3:H24" si="2">MIN(1*(G3^(1/2)))</f>
        <v>0.13826657968874304</v>
      </c>
      <c r="I3" s="32">
        <f t="shared" ref="I3:K24" si="3">(F3*((1-B3)^2))+(F3*((1-C3)^2))+(F3*((1-D3)^2))</f>
        <v>4.5261437908496724E-2</v>
      </c>
      <c r="J3" s="41">
        <f t="shared" ref="J3:J24" si="4">1-MIN(1*(I3^(1/2)))</f>
        <v>0.7872526430046739</v>
      </c>
      <c r="K3" s="32">
        <f t="shared" si="3"/>
        <v>0.33193775149152993</v>
      </c>
      <c r="L3" s="33">
        <f t="shared" ref="L3:L24" si="5">(1-(K3^(1/2)))</f>
        <v>0.42385960782849985</v>
      </c>
      <c r="M3" s="34" t="s">
        <v>65</v>
      </c>
    </row>
    <row r="4" spans="1:13" x14ac:dyDescent="0.2">
      <c r="A4" s="13" t="s">
        <v>7</v>
      </c>
      <c r="B4" s="1">
        <v>0.65</v>
      </c>
      <c r="C4" s="2">
        <v>0.35</v>
      </c>
      <c r="D4" s="1">
        <v>0</v>
      </c>
      <c r="E4">
        <f t="shared" si="0"/>
        <v>0.30000000000000004</v>
      </c>
      <c r="F4" s="4">
        <f>E4/E25</f>
        <v>3.9215686274509803E-2</v>
      </c>
      <c r="G4" s="32">
        <f t="shared" si="1"/>
        <v>2.1372549019607844E-2</v>
      </c>
      <c r="H4" s="39">
        <f t="shared" si="2"/>
        <v>0.14619353275575445</v>
      </c>
      <c r="I4" s="32">
        <f t="shared" si="3"/>
        <v>6.0588235294117651E-2</v>
      </c>
      <c r="J4" s="41">
        <f t="shared" si="4"/>
        <v>0.75385322408343902</v>
      </c>
      <c r="K4" s="32">
        <f t="shared" si="3"/>
        <v>0.35278056378553069</v>
      </c>
      <c r="L4" s="33">
        <f t="shared" si="5"/>
        <v>0.40604666531323297</v>
      </c>
      <c r="M4" s="26" t="s">
        <v>66</v>
      </c>
    </row>
    <row r="5" spans="1:13" x14ac:dyDescent="0.2">
      <c r="A5" s="13" t="s">
        <v>8</v>
      </c>
      <c r="B5" s="1">
        <v>0.85</v>
      </c>
      <c r="C5" s="2">
        <v>0.1</v>
      </c>
      <c r="D5" s="1">
        <v>0</v>
      </c>
      <c r="E5">
        <f t="shared" si="0"/>
        <v>0.75</v>
      </c>
      <c r="F5" s="4">
        <f>E5/E25</f>
        <v>9.8039215686274495E-2</v>
      </c>
      <c r="G5" s="32">
        <f t="shared" si="1"/>
        <v>7.1813725490196059E-2</v>
      </c>
      <c r="H5" s="39">
        <f t="shared" si="2"/>
        <v>0.26798083045284427</v>
      </c>
      <c r="I5" s="32">
        <f t="shared" si="3"/>
        <v>0.17965686274509801</v>
      </c>
      <c r="J5" s="41">
        <f t="shared" si="4"/>
        <v>0.57614051532955168</v>
      </c>
      <c r="K5" s="32">
        <f t="shared" si="3"/>
        <v>0.50274095001789965</v>
      </c>
      <c r="L5" s="33">
        <f t="shared" si="5"/>
        <v>0.29095772339168691</v>
      </c>
      <c r="M5" s="26" t="s">
        <v>67</v>
      </c>
    </row>
    <row r="6" spans="1:13" x14ac:dyDescent="0.2">
      <c r="A6" s="13" t="s">
        <v>9</v>
      </c>
      <c r="B6" s="1">
        <v>0.95</v>
      </c>
      <c r="C6" s="2">
        <v>0</v>
      </c>
      <c r="D6" s="1">
        <v>0</v>
      </c>
      <c r="E6">
        <f t="shared" si="0"/>
        <v>0.95</v>
      </c>
      <c r="F6" s="4">
        <f>E6/E25</f>
        <v>0.12418300653594769</v>
      </c>
      <c r="G6" s="32">
        <f t="shared" si="1"/>
        <v>0.11207516339869278</v>
      </c>
      <c r="H6" s="39">
        <f t="shared" si="2"/>
        <v>0.3347762885849187</v>
      </c>
      <c r="I6" s="32">
        <f t="shared" si="3"/>
        <v>0.24867647058823525</v>
      </c>
      <c r="J6" s="41">
        <f t="shared" si="4"/>
        <v>0.50132528579420099</v>
      </c>
      <c r="K6" s="32">
        <f t="shared" si="3"/>
        <v>0.59240519127958779</v>
      </c>
      <c r="L6" s="33">
        <f t="shared" si="5"/>
        <v>0.23032137142857623</v>
      </c>
      <c r="M6" s="26" t="s">
        <v>64</v>
      </c>
    </row>
    <row r="7" spans="1:13" x14ac:dyDescent="0.2">
      <c r="A7" s="13" t="s">
        <v>10</v>
      </c>
      <c r="B7" s="1">
        <v>0.35</v>
      </c>
      <c r="C7" s="2">
        <v>0.45</v>
      </c>
      <c r="D7" s="1">
        <v>0.1</v>
      </c>
      <c r="E7">
        <f t="shared" si="0"/>
        <v>-0.10000000000000003</v>
      </c>
      <c r="F7" s="4">
        <f>E7/E25</f>
        <v>-1.3071895424836603E-2</v>
      </c>
      <c r="G7" s="32">
        <f t="shared" si="1"/>
        <v>-4.3790849673202622E-3</v>
      </c>
      <c r="H7" s="39">
        <f>MIN(1*(44^(1/2)))</f>
        <v>6.6332495807107996</v>
      </c>
      <c r="I7" s="32">
        <f t="shared" si="3"/>
        <v>-2.0065359477124185E-2</v>
      </c>
      <c r="J7" s="41">
        <f>1-MIN(1*(0.0201^(1/2)))</f>
        <v>0.85822553121242173</v>
      </c>
      <c r="K7" s="32">
        <f t="shared" si="3"/>
        <v>20.206965476312202</v>
      </c>
      <c r="L7" s="33">
        <f t="shared" si="5"/>
        <v>-3.4952158431283591</v>
      </c>
      <c r="M7" s="26" t="s">
        <v>68</v>
      </c>
    </row>
    <row r="8" spans="1:13" x14ac:dyDescent="0.2">
      <c r="A8" s="13" t="s">
        <v>11</v>
      </c>
      <c r="B8" s="1">
        <v>0.3</v>
      </c>
      <c r="C8" s="2">
        <v>0.35</v>
      </c>
      <c r="D8" s="1">
        <v>0.15</v>
      </c>
      <c r="E8">
        <f t="shared" si="0"/>
        <v>-4.9999999999999989E-2</v>
      </c>
      <c r="F8" s="4">
        <f>E8/E25</f>
        <v>-6.5359477124182982E-3</v>
      </c>
      <c r="G8" s="32">
        <f t="shared" si="1"/>
        <v>-1.5359477124182999E-3</v>
      </c>
      <c r="H8" s="39">
        <f>MIN(1*(0.0015^(1/2)))</f>
        <v>3.8729833462074169E-2</v>
      </c>
      <c r="I8" s="32">
        <f t="shared" si="3"/>
        <v>-1.0686274509803917E-2</v>
      </c>
      <c r="J8" s="41">
        <f>1-MIN(1*(0.0107^(1/2)))</f>
        <v>0.89655919567211395</v>
      </c>
      <c r="K8" s="32">
        <f t="shared" si="3"/>
        <v>0.10991970634794493</v>
      </c>
      <c r="L8" s="33">
        <f t="shared" si="5"/>
        <v>0.66845859029686061</v>
      </c>
      <c r="M8" s="26" t="s">
        <v>69</v>
      </c>
    </row>
    <row r="9" spans="1:13" x14ac:dyDescent="0.2">
      <c r="A9" s="13" t="s">
        <v>12</v>
      </c>
      <c r="B9" s="1">
        <v>0.7</v>
      </c>
      <c r="C9" s="2">
        <v>0.15</v>
      </c>
      <c r="D9" s="1">
        <v>0.05</v>
      </c>
      <c r="E9">
        <f t="shared" si="0"/>
        <v>0.54999999999999993</v>
      </c>
      <c r="F9" s="4">
        <f>E9/E25</f>
        <v>7.1895424836601288E-2</v>
      </c>
      <c r="G9" s="32">
        <f t="shared" si="1"/>
        <v>3.7026143790849661E-2</v>
      </c>
      <c r="H9" s="39">
        <f t="shared" si="2"/>
        <v>0.19242178616479388</v>
      </c>
      <c r="I9" s="32">
        <f t="shared" si="3"/>
        <v>0.12330065359477121</v>
      </c>
      <c r="J9" s="41">
        <f t="shared" si="4"/>
        <v>0.64885807200681489</v>
      </c>
      <c r="K9" s="32">
        <f t="shared" si="3"/>
        <v>0.37837398674669526</v>
      </c>
      <c r="L9" s="33">
        <f t="shared" si="5"/>
        <v>0.38487888448965168</v>
      </c>
      <c r="M9" s="26" t="s">
        <v>70</v>
      </c>
    </row>
    <row r="10" spans="1:13" ht="17" x14ac:dyDescent="0.25">
      <c r="A10" s="13" t="s">
        <v>13</v>
      </c>
      <c r="B10" s="1">
        <v>0.6</v>
      </c>
      <c r="C10" s="2">
        <v>0.35</v>
      </c>
      <c r="D10" s="1">
        <v>0.05</v>
      </c>
      <c r="E10">
        <f t="shared" si="0"/>
        <v>0.25</v>
      </c>
      <c r="F10" s="4">
        <f>E10/E25</f>
        <v>3.2679738562091498E-2</v>
      </c>
      <c r="G10" s="32">
        <f t="shared" si="1"/>
        <v>1.5849673202614375E-2</v>
      </c>
      <c r="H10" s="39">
        <f t="shared" si="2"/>
        <v>0.12589548523523142</v>
      </c>
      <c r="I10" s="32">
        <f t="shared" si="3"/>
        <v>4.8529411764705876E-2</v>
      </c>
      <c r="J10" s="41">
        <f t="shared" si="4"/>
        <v>0.77970607869324704</v>
      </c>
      <c r="K10" s="32">
        <f t="shared" si="3"/>
        <v>0.30223836002880533</v>
      </c>
      <c r="L10" s="33">
        <f t="shared" si="5"/>
        <v>0.4502379059731334</v>
      </c>
      <c r="M10" s="34" t="s">
        <v>71</v>
      </c>
    </row>
    <row r="11" spans="1:13" x14ac:dyDescent="0.2">
      <c r="A11" s="13" t="s">
        <v>14</v>
      </c>
      <c r="B11" s="1">
        <v>0.85</v>
      </c>
      <c r="C11" s="2">
        <v>0.1</v>
      </c>
      <c r="D11" s="1">
        <v>0</v>
      </c>
      <c r="E11">
        <f t="shared" si="0"/>
        <v>0.75</v>
      </c>
      <c r="F11" s="4">
        <f>E11/E25</f>
        <v>9.8039215686274495E-2</v>
      </c>
      <c r="G11" s="32">
        <f t="shared" si="1"/>
        <v>7.1813725490196059E-2</v>
      </c>
      <c r="H11" s="39">
        <f t="shared" si="2"/>
        <v>0.26798083045284427</v>
      </c>
      <c r="I11" s="32">
        <f t="shared" si="3"/>
        <v>0.17965686274509801</v>
      </c>
      <c r="J11" s="41">
        <f t="shared" si="4"/>
        <v>0.57614051532955168</v>
      </c>
      <c r="K11" s="32">
        <f t="shared" si="3"/>
        <v>0.50274095001789965</v>
      </c>
      <c r="L11" s="33">
        <f t="shared" si="5"/>
        <v>0.29095772339168691</v>
      </c>
      <c r="M11" s="26" t="s">
        <v>67</v>
      </c>
    </row>
    <row r="12" spans="1:13" x14ac:dyDescent="0.2">
      <c r="A12" s="13" t="s">
        <v>15</v>
      </c>
      <c r="B12" s="1">
        <v>0.85</v>
      </c>
      <c r="C12" s="2">
        <v>0.1</v>
      </c>
      <c r="D12" s="1">
        <v>0.05</v>
      </c>
      <c r="E12">
        <f t="shared" si="0"/>
        <v>0.75</v>
      </c>
      <c r="F12" s="4">
        <f>E12/E25</f>
        <v>9.8039215686274495E-2</v>
      </c>
      <c r="G12" s="32">
        <f t="shared" si="1"/>
        <v>7.2058823529411745E-2</v>
      </c>
      <c r="H12" s="39">
        <f t="shared" si="2"/>
        <v>0.26843774609657961</v>
      </c>
      <c r="I12" s="32">
        <f t="shared" si="3"/>
        <v>0.17009803921568625</v>
      </c>
      <c r="J12" s="41">
        <f t="shared" si="4"/>
        <v>0.58757056456202572</v>
      </c>
      <c r="K12" s="32">
        <f t="shared" si="3"/>
        <v>0.4774254587165182</v>
      </c>
      <c r="L12" s="33">
        <f t="shared" si="5"/>
        <v>0.30904019023063423</v>
      </c>
      <c r="M12" s="26" t="s">
        <v>72</v>
      </c>
    </row>
    <row r="13" spans="1:13" x14ac:dyDescent="0.2">
      <c r="A13" s="13" t="s">
        <v>16</v>
      </c>
      <c r="B13" s="1">
        <v>0.2</v>
      </c>
      <c r="C13" s="1">
        <v>0.4</v>
      </c>
      <c r="D13" s="1">
        <v>0.15</v>
      </c>
      <c r="E13">
        <f t="shared" si="0"/>
        <v>-0.2</v>
      </c>
      <c r="F13" s="4">
        <f>E13/E25</f>
        <v>-2.61437908496732E-2</v>
      </c>
      <c r="G13" s="32">
        <f t="shared" si="1"/>
        <v>-5.8169934640522883E-3</v>
      </c>
      <c r="H13" s="39">
        <f>MIN(1*(0.0058^(1/2)))</f>
        <v>7.6157731058639086E-2</v>
      </c>
      <c r="I13" s="32">
        <f t="shared" si="3"/>
        <v>-4.5032679738562092E-2</v>
      </c>
      <c r="J13" s="41">
        <f>1-MIN(1*(0.045^(1/2)))</f>
        <v>0.78786796564403572</v>
      </c>
      <c r="K13" s="32">
        <f t="shared" si="3"/>
        <v>0.24488298169934244</v>
      </c>
      <c r="L13" s="33">
        <f t="shared" si="5"/>
        <v>0.50514347362155321</v>
      </c>
      <c r="M13" s="26" t="s">
        <v>73</v>
      </c>
    </row>
    <row r="14" spans="1:13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>
        <f t="shared" si="0"/>
        <v>-0.15000000000000002</v>
      </c>
      <c r="F14" s="4">
        <f>E14/E25</f>
        <v>-1.9607843137254902E-2</v>
      </c>
      <c r="G14" s="32">
        <f t="shared" si="1"/>
        <v>-9.1176470588235307E-3</v>
      </c>
      <c r="H14" s="39">
        <f>MIN(1*(0.0091^(1/2)))</f>
        <v>9.5393920141694566E-2</v>
      </c>
      <c r="I14" s="32">
        <f t="shared" si="3"/>
        <v>-2.8725490196078431E-2</v>
      </c>
      <c r="J14" s="41">
        <f>1-MIN(1*(0.0287^(1/2)))</f>
        <v>0.83058925653902582</v>
      </c>
      <c r="K14" s="32">
        <f t="shared" si="3"/>
        <v>0.31142300636492126</v>
      </c>
      <c r="L14" s="33">
        <f t="shared" si="5"/>
        <v>0.44194712941790071</v>
      </c>
      <c r="M14" s="26" t="s">
        <v>74</v>
      </c>
    </row>
    <row r="15" spans="1:13" x14ac:dyDescent="0.2">
      <c r="A15" s="13" t="s">
        <v>18</v>
      </c>
      <c r="B15" s="1">
        <v>0.7</v>
      </c>
      <c r="C15" s="1">
        <v>0.3</v>
      </c>
      <c r="D15" s="1">
        <v>0</v>
      </c>
      <c r="E15">
        <f t="shared" si="0"/>
        <v>0.39999999999999997</v>
      </c>
      <c r="F15" s="4">
        <f>E15/E25</f>
        <v>5.2287581699346393E-2</v>
      </c>
      <c r="G15" s="32">
        <f t="shared" si="1"/>
        <v>3.0326797385620902E-2</v>
      </c>
      <c r="H15" s="39">
        <f t="shared" si="2"/>
        <v>0.17414590832293736</v>
      </c>
      <c r="I15" s="32">
        <f t="shared" si="3"/>
        <v>8.2614379084967299E-2</v>
      </c>
      <c r="J15" s="41">
        <f t="shared" si="4"/>
        <v>0.71257282820692247</v>
      </c>
      <c r="K15" s="32">
        <f t="shared" si="3"/>
        <v>0.39324912020491221</v>
      </c>
      <c r="L15" s="33">
        <f t="shared" si="5"/>
        <v>0.37290421767890014</v>
      </c>
      <c r="M15" s="26" t="s">
        <v>75</v>
      </c>
    </row>
    <row r="16" spans="1:13" x14ac:dyDescent="0.2">
      <c r="A16" s="13" t="s">
        <v>19</v>
      </c>
      <c r="B16" s="1">
        <v>0.75</v>
      </c>
      <c r="C16" s="1">
        <v>0.1</v>
      </c>
      <c r="D16" s="1">
        <v>0</v>
      </c>
      <c r="E16">
        <f t="shared" si="0"/>
        <v>0.65</v>
      </c>
      <c r="F16" s="4">
        <f>E16/E25</f>
        <v>8.4967320261437898E-2</v>
      </c>
      <c r="G16" s="32">
        <f t="shared" si="1"/>
        <v>4.8643790849673199E-2</v>
      </c>
      <c r="H16" s="39">
        <f t="shared" si="2"/>
        <v>0.22055337415163975</v>
      </c>
      <c r="I16" s="32">
        <f t="shared" si="3"/>
        <v>0.15910130718954246</v>
      </c>
      <c r="J16" s="41">
        <f t="shared" si="4"/>
        <v>0.60112494789778781</v>
      </c>
      <c r="K16" s="32">
        <f t="shared" si="3"/>
        <v>0.43223715135155505</v>
      </c>
      <c r="L16" s="33">
        <f t="shared" si="5"/>
        <v>0.34255254860060869</v>
      </c>
      <c r="M16" s="26" t="s">
        <v>76</v>
      </c>
    </row>
    <row r="17" spans="1:13" x14ac:dyDescent="0.2">
      <c r="A17" s="13" t="s">
        <v>20</v>
      </c>
      <c r="B17" s="1">
        <v>0.5</v>
      </c>
      <c r="C17" s="1">
        <v>0.35</v>
      </c>
      <c r="D17" s="1">
        <v>0.15</v>
      </c>
      <c r="E17">
        <f t="shared" si="0"/>
        <v>0.15000000000000002</v>
      </c>
      <c r="F17" s="4">
        <f>E17/E25</f>
        <v>1.9607843137254902E-2</v>
      </c>
      <c r="G17" s="32">
        <f t="shared" si="1"/>
        <v>7.745098039215686E-3</v>
      </c>
      <c r="H17" s="39">
        <f t="shared" si="2"/>
        <v>8.8006238638040232E-2</v>
      </c>
      <c r="I17" s="32">
        <f t="shared" si="3"/>
        <v>2.7352941176470587E-2</v>
      </c>
      <c r="J17" s="41">
        <f t="shared" si="4"/>
        <v>0.83461275388812295</v>
      </c>
      <c r="K17" s="32">
        <f t="shared" si="3"/>
        <v>0.21175786396503254</v>
      </c>
      <c r="L17" s="33">
        <f t="shared" si="5"/>
        <v>0.5398284407256001</v>
      </c>
      <c r="M17" s="26" t="s">
        <v>77</v>
      </c>
    </row>
    <row r="18" spans="1:13" x14ac:dyDescent="0.2">
      <c r="A18" s="13" t="s">
        <v>21</v>
      </c>
      <c r="B18" s="1">
        <v>0.35</v>
      </c>
      <c r="C18" s="1">
        <v>0.4</v>
      </c>
      <c r="D18" s="1">
        <v>0.2</v>
      </c>
      <c r="E18">
        <f t="shared" si="0"/>
        <v>-5.0000000000000044E-2</v>
      </c>
      <c r="F18" s="4">
        <f>E18/E25</f>
        <v>-6.5359477124183052E-3</v>
      </c>
      <c r="G18" s="32">
        <f t="shared" si="1"/>
        <v>-2.1078431372549035E-3</v>
      </c>
      <c r="H18" s="39">
        <f>MIN(1*(0.0021^(1/2)))</f>
        <v>4.5825756949558399E-2</v>
      </c>
      <c r="I18" s="32">
        <f t="shared" si="3"/>
        <v>-9.2973856209150399E-3</v>
      </c>
      <c r="J18" s="41">
        <f>1-MIN(1*(0.093^(1/2)))</f>
        <v>0.69504098636046185</v>
      </c>
      <c r="K18" s="32">
        <f t="shared" si="3"/>
        <v>0.12627812554952614</v>
      </c>
      <c r="L18" s="33">
        <f t="shared" si="5"/>
        <v>0.64464366398004647</v>
      </c>
      <c r="M18" s="26" t="s">
        <v>78</v>
      </c>
    </row>
    <row r="19" spans="1:13" x14ac:dyDescent="0.2">
      <c r="A19" s="13" t="s">
        <v>22</v>
      </c>
      <c r="B19" s="1">
        <v>0.2</v>
      </c>
      <c r="C19" s="1">
        <v>0.5</v>
      </c>
      <c r="D19" s="1">
        <v>0.25</v>
      </c>
      <c r="E19">
        <f t="shared" si="0"/>
        <v>-0.3</v>
      </c>
      <c r="F19" s="4">
        <f>E19/E25</f>
        <v>-3.9215686274509796E-2</v>
      </c>
      <c r="G19" s="32">
        <f t="shared" ref="G19:G24" si="6">(F19*(B19^2))+(F19*(C19^2))+(F19*(D19^2))</f>
        <v>-1.3823529411764703E-2</v>
      </c>
      <c r="H19" s="39">
        <f>MIN(1*(0.0138^(1/2)))</f>
        <v>0.1174734012447073</v>
      </c>
      <c r="I19" s="32">
        <f t="shared" si="3"/>
        <v>-5.6960784313725477E-2</v>
      </c>
      <c r="J19" s="41">
        <f>1-MIN(1*(0.057^(1/2)))</f>
        <v>0.76125327227373352</v>
      </c>
      <c r="K19" s="32">
        <f t="shared" si="3"/>
        <v>0.3914764964714782</v>
      </c>
      <c r="L19" s="33">
        <f t="shared" si="5"/>
        <v>0.37431917364244072</v>
      </c>
      <c r="M19" s="26" t="s">
        <v>79</v>
      </c>
    </row>
    <row r="20" spans="1:13" x14ac:dyDescent="0.2">
      <c r="A20" s="13" t="s">
        <v>23</v>
      </c>
      <c r="B20" s="1">
        <v>0.3</v>
      </c>
      <c r="C20" s="1">
        <v>0.3</v>
      </c>
      <c r="D20" s="3" t="s">
        <v>54</v>
      </c>
      <c r="E20">
        <f t="shared" si="0"/>
        <v>0</v>
      </c>
      <c r="F20" s="4">
        <f>E20/E25</f>
        <v>0</v>
      </c>
      <c r="G20" s="32">
        <f t="shared" si="6"/>
        <v>0</v>
      </c>
      <c r="H20" s="39">
        <f t="shared" si="2"/>
        <v>0</v>
      </c>
      <c r="I20" s="32">
        <f t="shared" si="3"/>
        <v>0</v>
      </c>
      <c r="J20" s="41">
        <f t="shared" si="4"/>
        <v>1</v>
      </c>
      <c r="K20" s="32">
        <f t="shared" si="3"/>
        <v>0</v>
      </c>
      <c r="L20" s="33">
        <f t="shared" si="5"/>
        <v>1</v>
      </c>
      <c r="M20" s="26" t="s">
        <v>80</v>
      </c>
    </row>
    <row r="21" spans="1:13" x14ac:dyDescent="0.2">
      <c r="A21" s="13" t="s">
        <v>24</v>
      </c>
      <c r="B21" s="1">
        <v>0.65</v>
      </c>
      <c r="C21" s="1">
        <v>0.2</v>
      </c>
      <c r="D21" s="1">
        <v>0.05</v>
      </c>
      <c r="E21">
        <f t="shared" si="0"/>
        <v>0.45</v>
      </c>
      <c r="F21" s="4">
        <f>E21/E25</f>
        <v>5.8823529411764698E-2</v>
      </c>
      <c r="G21" s="32">
        <f t="shared" si="6"/>
        <v>2.735294117647059E-2</v>
      </c>
      <c r="H21" s="39">
        <f t="shared" si="2"/>
        <v>0.16538724611187705</v>
      </c>
      <c r="I21" s="32">
        <f t="shared" si="3"/>
        <v>9.7941176470588226E-2</v>
      </c>
      <c r="J21" s="41">
        <f t="shared" si="4"/>
        <v>0.68704444968879652</v>
      </c>
      <c r="K21" s="32">
        <f t="shared" si="3"/>
        <v>0.34579382881270293</v>
      </c>
      <c r="L21" s="33">
        <f t="shared" si="5"/>
        <v>0.41195763008716546</v>
      </c>
      <c r="M21" s="26" t="s">
        <v>81</v>
      </c>
    </row>
    <row r="22" spans="1:13" x14ac:dyDescent="0.2">
      <c r="A22" s="13" t="s">
        <v>25</v>
      </c>
      <c r="B22" s="1">
        <v>0.4</v>
      </c>
      <c r="C22" s="1">
        <v>0.35</v>
      </c>
      <c r="D22" s="1">
        <v>0.05</v>
      </c>
      <c r="E22">
        <f t="shared" si="0"/>
        <v>5.0000000000000044E-2</v>
      </c>
      <c r="F22" s="4">
        <f>E22/E25</f>
        <v>6.5359477124183052E-3</v>
      </c>
      <c r="G22" s="32">
        <f t="shared" si="6"/>
        <v>1.8627450980392172E-3</v>
      </c>
      <c r="H22" s="39">
        <f t="shared" si="2"/>
        <v>4.3159530790304212E-2</v>
      </c>
      <c r="I22" s="32">
        <f t="shared" si="3"/>
        <v>1.1013071895424845E-2</v>
      </c>
      <c r="J22" s="41">
        <f t="shared" si="4"/>
        <v>0.8950568158696105</v>
      </c>
      <c r="K22" s="32">
        <f t="shared" si="3"/>
        <v>0.12050015070899893</v>
      </c>
      <c r="L22" s="33">
        <f t="shared" si="5"/>
        <v>0.65286868376794505</v>
      </c>
      <c r="M22" s="26" t="s">
        <v>82</v>
      </c>
    </row>
    <row r="23" spans="1:13" x14ac:dyDescent="0.2">
      <c r="A23" s="13" t="s">
        <v>26</v>
      </c>
      <c r="B23" s="1">
        <v>0.8</v>
      </c>
      <c r="C23" s="1">
        <v>0.2</v>
      </c>
      <c r="D23" s="1">
        <v>0</v>
      </c>
      <c r="E23">
        <f t="shared" si="0"/>
        <v>0.60000000000000009</v>
      </c>
      <c r="F23" s="4">
        <f>E23/E25</f>
        <v>7.8431372549019607E-2</v>
      </c>
      <c r="G23" s="32">
        <f t="shared" si="6"/>
        <v>5.3333333333333344E-2</v>
      </c>
      <c r="H23" s="39">
        <f t="shared" si="2"/>
        <v>0.23094010767585033</v>
      </c>
      <c r="I23" s="32">
        <f t="shared" si="3"/>
        <v>0.13176470588235295</v>
      </c>
      <c r="J23" s="41">
        <f t="shared" si="4"/>
        <v>0.63700591481078794</v>
      </c>
      <c r="K23" s="32">
        <f t="shared" si="3"/>
        <v>0.46402535683630219</v>
      </c>
      <c r="L23" s="33">
        <f t="shared" si="5"/>
        <v>0.31880593305849891</v>
      </c>
      <c r="M23" s="26" t="s">
        <v>83</v>
      </c>
    </row>
    <row r="24" spans="1:13" ht="17" thickBot="1" x14ac:dyDescent="0.25">
      <c r="A24" s="16" t="s">
        <v>27</v>
      </c>
      <c r="B24" s="17">
        <v>0.8</v>
      </c>
      <c r="C24" s="17">
        <v>0.1</v>
      </c>
      <c r="D24" s="17">
        <v>0.05</v>
      </c>
      <c r="E24" s="27">
        <f t="shared" si="0"/>
        <v>0.70000000000000007</v>
      </c>
      <c r="F24" s="35">
        <f>E24/E25</f>
        <v>9.1503267973856203E-2</v>
      </c>
      <c r="G24" s="36">
        <f t="shared" si="6"/>
        <v>5.9705882352941178E-2</v>
      </c>
      <c r="H24" s="40">
        <f t="shared" si="2"/>
        <v>0.24434787159486612</v>
      </c>
      <c r="I24" s="36">
        <f t="shared" si="3"/>
        <v>0.16035947712418297</v>
      </c>
      <c r="J24" s="42">
        <f t="shared" si="4"/>
        <v>0.59955090570188196</v>
      </c>
      <c r="K24" s="36">
        <f t="shared" si="3"/>
        <v>0.44419176420617701</v>
      </c>
      <c r="L24" s="37">
        <f t="shared" si="5"/>
        <v>0.3335228704552744</v>
      </c>
      <c r="M24" s="28" t="s">
        <v>84</v>
      </c>
    </row>
    <row r="25" spans="1:13" x14ac:dyDescent="0.2">
      <c r="B25">
        <f>SUM(B2:B24)</f>
        <v>13.75</v>
      </c>
      <c r="C25">
        <f>SUM(C2:C24)</f>
        <v>6.1</v>
      </c>
      <c r="D25">
        <f>SUM(D2:D24)</f>
        <v>1.4000000000000001</v>
      </c>
      <c r="E25">
        <f>SUM(E2:E24)</f>
        <v>7.6500000000000012</v>
      </c>
    </row>
    <row r="28" spans="1:13" x14ac:dyDescent="0.2">
      <c r="A28" s="6" t="s">
        <v>55</v>
      </c>
      <c r="B28" s="6"/>
      <c r="C28" s="6"/>
      <c r="D28" s="6"/>
      <c r="E28" s="6"/>
      <c r="F28" s="6"/>
      <c r="G28" s="6"/>
    </row>
    <row r="29" spans="1:13" x14ac:dyDescent="0.2">
      <c r="A29" s="6" t="s">
        <v>59</v>
      </c>
      <c r="B29" s="6"/>
      <c r="C29" s="6"/>
      <c r="D29" s="6"/>
      <c r="E29" s="6"/>
      <c r="F29" s="6"/>
      <c r="G2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6CF5-E4E4-C84B-B386-72D75F712053}">
  <dimension ref="A1:F45"/>
  <sheetViews>
    <sheetView workbookViewId="0">
      <selection activeCell="A21" sqref="A21"/>
    </sheetView>
  </sheetViews>
  <sheetFormatPr baseColWidth="10" defaultRowHeight="16" x14ac:dyDescent="0.2"/>
  <cols>
    <col min="1" max="1" width="100.83203125" customWidth="1"/>
    <col min="2" max="2" width="19.33203125" customWidth="1"/>
    <col min="3" max="3" width="17.33203125" customWidth="1"/>
    <col min="4" max="4" width="16" customWidth="1"/>
    <col min="5" max="5" width="31.83203125" customWidth="1"/>
    <col min="6" max="6" width="37" customWidth="1"/>
  </cols>
  <sheetData>
    <row r="1" spans="1:6" ht="40" customHeight="1" x14ac:dyDescent="0.3">
      <c r="A1" s="20" t="s">
        <v>0</v>
      </c>
      <c r="B1" s="21" t="s">
        <v>1</v>
      </c>
      <c r="C1" s="22" t="s">
        <v>2</v>
      </c>
      <c r="D1" s="23" t="s">
        <v>3</v>
      </c>
      <c r="E1" s="24" t="s">
        <v>89</v>
      </c>
      <c r="F1" s="24" t="s">
        <v>88</v>
      </c>
    </row>
    <row r="2" spans="1:6" x14ac:dyDescent="0.2">
      <c r="A2" s="13" t="s">
        <v>5</v>
      </c>
      <c r="B2" s="1">
        <v>0.95</v>
      </c>
      <c r="C2" s="2">
        <v>0</v>
      </c>
      <c r="D2" s="1">
        <v>0</v>
      </c>
      <c r="E2" s="4">
        <f>1/3*(B2+(1-C2)+(1-D2))</f>
        <v>0.98333333333333339</v>
      </c>
      <c r="F2" s="45">
        <f>E2/E25</f>
        <v>5.6676272814601358E-2</v>
      </c>
    </row>
    <row r="3" spans="1:6" x14ac:dyDescent="0.2">
      <c r="A3" s="13" t="s">
        <v>6</v>
      </c>
      <c r="B3" s="1">
        <v>0.65</v>
      </c>
      <c r="C3" s="2">
        <v>0.4</v>
      </c>
      <c r="D3" s="1">
        <v>0.05</v>
      </c>
      <c r="E3" s="4">
        <f t="shared" ref="E3:E24" si="0">1/3*(B3+(1-C3)+(1-D3))</f>
        <v>0.73333333333333339</v>
      </c>
      <c r="F3" s="45">
        <f>E3/E25</f>
        <v>4.2267050912584064E-2</v>
      </c>
    </row>
    <row r="4" spans="1:6" x14ac:dyDescent="0.2">
      <c r="A4" s="13" t="s">
        <v>7</v>
      </c>
      <c r="B4" s="1">
        <v>0.65</v>
      </c>
      <c r="C4" s="2">
        <v>0.35</v>
      </c>
      <c r="D4" s="1">
        <v>0</v>
      </c>
      <c r="E4" s="4">
        <f t="shared" si="0"/>
        <v>0.76666666666666661</v>
      </c>
      <c r="F4" s="45">
        <f>(E4/E25)</f>
        <v>4.4188280499519693E-2</v>
      </c>
    </row>
    <row r="5" spans="1:6" x14ac:dyDescent="0.2">
      <c r="A5" s="13" t="s">
        <v>8</v>
      </c>
      <c r="B5" s="1">
        <v>0.85</v>
      </c>
      <c r="C5" s="2">
        <v>0.1</v>
      </c>
      <c r="D5" s="1">
        <v>0</v>
      </c>
      <c r="E5" s="4">
        <f t="shared" si="0"/>
        <v>0.91666666666666663</v>
      </c>
      <c r="F5" s="45">
        <f>E5/E25</f>
        <v>5.2833813640730073E-2</v>
      </c>
    </row>
    <row r="6" spans="1:6" x14ac:dyDescent="0.2">
      <c r="A6" s="13" t="s">
        <v>9</v>
      </c>
      <c r="B6" s="1">
        <v>0.95</v>
      </c>
      <c r="C6" s="2">
        <v>0</v>
      </c>
      <c r="D6" s="1">
        <v>0</v>
      </c>
      <c r="E6" s="4">
        <f t="shared" si="0"/>
        <v>0.98333333333333339</v>
      </c>
      <c r="F6" s="45">
        <f>E6/E25</f>
        <v>5.6676272814601358E-2</v>
      </c>
    </row>
    <row r="7" spans="1:6" x14ac:dyDescent="0.2">
      <c r="A7" s="13" t="s">
        <v>10</v>
      </c>
      <c r="B7" s="1">
        <v>0.35</v>
      </c>
      <c r="C7" s="2">
        <v>0.45</v>
      </c>
      <c r="D7" s="1">
        <v>0.1</v>
      </c>
      <c r="E7" s="4">
        <f t="shared" si="0"/>
        <v>0.6</v>
      </c>
      <c r="F7" s="45">
        <f>E7/E25</f>
        <v>3.4582132564841501E-2</v>
      </c>
    </row>
    <row r="8" spans="1:6" x14ac:dyDescent="0.2">
      <c r="A8" s="13" t="s">
        <v>11</v>
      </c>
      <c r="B8" s="1">
        <v>0.3</v>
      </c>
      <c r="C8" s="2">
        <v>0.35</v>
      </c>
      <c r="D8" s="1">
        <v>0.15</v>
      </c>
      <c r="E8" s="4">
        <f t="shared" si="0"/>
        <v>0.59999999999999987</v>
      </c>
      <c r="F8" s="45">
        <f>E8/E25</f>
        <v>3.4582132564841495E-2</v>
      </c>
    </row>
    <row r="9" spans="1:6" x14ac:dyDescent="0.2">
      <c r="A9" s="13" t="s">
        <v>12</v>
      </c>
      <c r="B9" s="1">
        <v>0.7</v>
      </c>
      <c r="C9" s="2">
        <v>0.15</v>
      </c>
      <c r="D9" s="1">
        <v>0.05</v>
      </c>
      <c r="E9" s="4">
        <f t="shared" si="0"/>
        <v>0.83333333333333326</v>
      </c>
      <c r="F9" s="45">
        <f>E9/E25</f>
        <v>4.8030739673390971E-2</v>
      </c>
    </row>
    <row r="10" spans="1:6" x14ac:dyDescent="0.2">
      <c r="A10" s="13" t="s">
        <v>13</v>
      </c>
      <c r="B10" s="1">
        <v>0.6</v>
      </c>
      <c r="C10" s="2">
        <v>0.35</v>
      </c>
      <c r="D10" s="1">
        <v>0.05</v>
      </c>
      <c r="E10" s="4">
        <f t="shared" si="0"/>
        <v>0.73333333333333339</v>
      </c>
      <c r="F10" s="45">
        <f>E10/E25</f>
        <v>4.2267050912584064E-2</v>
      </c>
    </row>
    <row r="11" spans="1:6" x14ac:dyDescent="0.2">
      <c r="A11" s="13" t="s">
        <v>14</v>
      </c>
      <c r="B11" s="1">
        <v>0.85</v>
      </c>
      <c r="C11" s="2">
        <v>0.1</v>
      </c>
      <c r="D11" s="1">
        <v>0</v>
      </c>
      <c r="E11" s="4">
        <f t="shared" si="0"/>
        <v>0.91666666666666663</v>
      </c>
      <c r="F11" s="45">
        <f>E11/E25</f>
        <v>5.2833813640730073E-2</v>
      </c>
    </row>
    <row r="12" spans="1:6" x14ac:dyDescent="0.2">
      <c r="A12" s="13" t="s">
        <v>15</v>
      </c>
      <c r="B12" s="1">
        <v>0.85</v>
      </c>
      <c r="C12" s="2">
        <v>0.1</v>
      </c>
      <c r="D12" s="1">
        <v>0.05</v>
      </c>
      <c r="E12" s="4">
        <f t="shared" si="0"/>
        <v>0.9</v>
      </c>
      <c r="F12" s="45">
        <f>E12/E25</f>
        <v>5.1873198847262256E-2</v>
      </c>
    </row>
    <row r="13" spans="1:6" x14ac:dyDescent="0.2">
      <c r="A13" s="13" t="s">
        <v>16</v>
      </c>
      <c r="B13" s="1">
        <v>0.2</v>
      </c>
      <c r="C13" s="1">
        <v>0.4</v>
      </c>
      <c r="D13" s="1">
        <v>0.15</v>
      </c>
      <c r="E13" s="4">
        <f t="shared" si="0"/>
        <v>0.54999999999999993</v>
      </c>
      <c r="F13" s="45">
        <f>E13/E25</f>
        <v>3.1700288184438041E-2</v>
      </c>
    </row>
    <row r="14" spans="1:6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">
        <f t="shared" si="0"/>
        <v>0.59999999999999987</v>
      </c>
      <c r="F14" s="45">
        <f>E14/E25</f>
        <v>3.4582132564841495E-2</v>
      </c>
    </row>
    <row r="15" spans="1:6" x14ac:dyDescent="0.2">
      <c r="A15" s="13" t="s">
        <v>18</v>
      </c>
      <c r="B15" s="1">
        <v>0.7</v>
      </c>
      <c r="C15" s="1">
        <v>0.3</v>
      </c>
      <c r="D15" s="1">
        <v>0</v>
      </c>
      <c r="E15" s="4">
        <f t="shared" si="0"/>
        <v>0.79999999999999993</v>
      </c>
      <c r="F15" s="45">
        <f>E15/E25</f>
        <v>4.6109510086455335E-2</v>
      </c>
    </row>
    <row r="16" spans="1:6" x14ac:dyDescent="0.2">
      <c r="A16" s="13" t="s">
        <v>19</v>
      </c>
      <c r="B16" s="1">
        <v>0.75</v>
      </c>
      <c r="C16" s="1">
        <v>0.1</v>
      </c>
      <c r="D16" s="1">
        <v>0</v>
      </c>
      <c r="E16" s="4">
        <f t="shared" si="0"/>
        <v>0.8833333333333333</v>
      </c>
      <c r="F16" s="45">
        <f>E16/E25</f>
        <v>5.0912584053794431E-2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s="4">
        <f t="shared" si="0"/>
        <v>0.66666666666666663</v>
      </c>
      <c r="F17" s="45">
        <f>E17/E25</f>
        <v>3.8424591738712779E-2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s="4">
        <f t="shared" si="0"/>
        <v>0.58333333333333326</v>
      </c>
      <c r="F18" s="45">
        <f>E18/E25</f>
        <v>3.3621517771373677E-2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s="4">
        <f t="shared" si="0"/>
        <v>0.48333333333333328</v>
      </c>
      <c r="F19" s="45">
        <f>E19/E25</f>
        <v>2.7857829010566763E-2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s="4">
        <f t="shared" si="0"/>
        <v>0.6</v>
      </c>
      <c r="F20" s="45">
        <f>E20/E25</f>
        <v>3.4582132564841501E-2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s="4">
        <f t="shared" si="0"/>
        <v>0.8</v>
      </c>
      <c r="F21" s="45">
        <f>E21/E25</f>
        <v>4.6109510086455342E-2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s="4">
        <f t="shared" si="0"/>
        <v>0.66666666666666663</v>
      </c>
      <c r="F22" s="45">
        <f>E22/E25</f>
        <v>3.8424591738712779E-2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s="4">
        <f t="shared" si="0"/>
        <v>0.8666666666666667</v>
      </c>
      <c r="F23" s="45">
        <f>E23/E25</f>
        <v>4.995196926032662E-2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s="4">
        <f t="shared" si="0"/>
        <v>0.88333333333333341</v>
      </c>
      <c r="F24" s="45">
        <f>E24/E25</f>
        <v>5.0912584053794438E-2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7">
        <f>SUM(D2:D24)</f>
        <v>1.4000000000000001</v>
      </c>
      <c r="E25" s="35">
        <f>SUM(E2:E24)</f>
        <v>17.349999999999998</v>
      </c>
      <c r="F25" s="28"/>
    </row>
    <row r="28" spans="1:6" x14ac:dyDescent="0.2">
      <c r="A28" s="6" t="s">
        <v>85</v>
      </c>
      <c r="B28" s="6"/>
      <c r="C28" s="6"/>
      <c r="D28" s="6"/>
      <c r="E28" s="6"/>
    </row>
    <row r="45" spans="1:5" x14ac:dyDescent="0.2">
      <c r="A45" s="6" t="s">
        <v>86</v>
      </c>
      <c r="B45" s="6"/>
      <c r="C45" s="6"/>
      <c r="D45" s="6"/>
      <c r="E45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76B5-6306-FD46-B55F-38D949ACB38E}">
  <dimension ref="A1:H52"/>
  <sheetViews>
    <sheetView workbookViewId="0">
      <selection activeCell="D31" sqref="D31"/>
    </sheetView>
  </sheetViews>
  <sheetFormatPr baseColWidth="10" defaultRowHeight="16" x14ac:dyDescent="0.2"/>
  <cols>
    <col min="1" max="1" width="102.5" customWidth="1"/>
    <col min="2" max="2" width="22.83203125" customWidth="1"/>
    <col min="3" max="3" width="17.1640625" customWidth="1"/>
    <col min="4" max="4" width="18.5" customWidth="1"/>
    <col min="5" max="5" width="28" customWidth="1"/>
    <col min="6" max="6" width="26.1640625" customWidth="1"/>
    <col min="7" max="7" width="16" customWidth="1"/>
  </cols>
  <sheetData>
    <row r="1" spans="1:8" ht="34" customHeight="1" x14ac:dyDescent="0.3">
      <c r="A1" s="47" t="s">
        <v>0</v>
      </c>
      <c r="B1" s="48" t="s">
        <v>1</v>
      </c>
      <c r="C1" s="49" t="s">
        <v>2</v>
      </c>
      <c r="D1" s="50" t="s">
        <v>3</v>
      </c>
      <c r="E1" s="51" t="s">
        <v>91</v>
      </c>
      <c r="F1" s="5"/>
    </row>
    <row r="2" spans="1:8" x14ac:dyDescent="0.2">
      <c r="A2" s="13" t="s">
        <v>5</v>
      </c>
      <c r="B2" s="1">
        <v>0.95</v>
      </c>
      <c r="C2" s="2">
        <v>0</v>
      </c>
      <c r="D2" s="1">
        <v>0</v>
      </c>
      <c r="E2" s="45">
        <f>D2/D25</f>
        <v>0</v>
      </c>
    </row>
    <row r="3" spans="1:8" x14ac:dyDescent="0.2">
      <c r="A3" s="13" t="s">
        <v>6</v>
      </c>
      <c r="B3" s="1">
        <v>0.65</v>
      </c>
      <c r="C3" s="2">
        <v>0.4</v>
      </c>
      <c r="D3" s="1">
        <v>0.05</v>
      </c>
      <c r="E3" s="45">
        <f>D3/D25</f>
        <v>3.5714285714285712E-2</v>
      </c>
    </row>
    <row r="4" spans="1:8" x14ac:dyDescent="0.2">
      <c r="A4" s="13" t="s">
        <v>7</v>
      </c>
      <c r="B4" s="1">
        <v>0.65</v>
      </c>
      <c r="C4" s="2">
        <v>0.35</v>
      </c>
      <c r="D4" s="1">
        <v>0</v>
      </c>
      <c r="E4" s="45">
        <f>(D4/D25)</f>
        <v>0</v>
      </c>
    </row>
    <row r="5" spans="1:8" x14ac:dyDescent="0.2">
      <c r="A5" s="13" t="s">
        <v>8</v>
      </c>
      <c r="B5" s="1">
        <v>0.85</v>
      </c>
      <c r="C5" s="2">
        <v>0.1</v>
      </c>
      <c r="D5" s="1">
        <v>0</v>
      </c>
      <c r="E5" s="45">
        <f>D5/D25</f>
        <v>0</v>
      </c>
    </row>
    <row r="6" spans="1:8" x14ac:dyDescent="0.2">
      <c r="A6" s="13" t="s">
        <v>9</v>
      </c>
      <c r="B6" s="1">
        <v>0.95</v>
      </c>
      <c r="C6" s="2">
        <v>0</v>
      </c>
      <c r="D6" s="1">
        <v>0</v>
      </c>
      <c r="E6" s="45">
        <f>D6/D25</f>
        <v>0</v>
      </c>
    </row>
    <row r="7" spans="1:8" ht="17" thickBot="1" x14ac:dyDescent="0.25">
      <c r="A7" s="13" t="s">
        <v>10</v>
      </c>
      <c r="B7" s="1">
        <v>0.35</v>
      </c>
      <c r="C7" s="2">
        <v>0.45</v>
      </c>
      <c r="D7" s="1">
        <v>0.1</v>
      </c>
      <c r="E7" s="45">
        <f>D7/D25</f>
        <v>7.1428571428571425E-2</v>
      </c>
    </row>
    <row r="8" spans="1:8" ht="27" x14ac:dyDescent="0.35">
      <c r="A8" s="13" t="s">
        <v>11</v>
      </c>
      <c r="B8" s="1">
        <v>0.3</v>
      </c>
      <c r="C8" s="2">
        <v>0.35</v>
      </c>
      <c r="D8" s="1">
        <v>0.15</v>
      </c>
      <c r="E8" s="45">
        <f>D8/D25</f>
        <v>0.10714285714285712</v>
      </c>
      <c r="G8" s="52" t="s">
        <v>92</v>
      </c>
      <c r="H8" s="53">
        <f>(E19-E16)/(1+3.22*LOG(23.1))</f>
        <v>3.3125030749655435E-2</v>
      </c>
    </row>
    <row r="9" spans="1:8" ht="28" thickBot="1" x14ac:dyDescent="0.4">
      <c r="A9" s="13" t="s">
        <v>12</v>
      </c>
      <c r="B9" s="1">
        <v>0.7</v>
      </c>
      <c r="C9" s="2">
        <v>0.15</v>
      </c>
      <c r="D9" s="1">
        <v>0.05</v>
      </c>
      <c r="E9" s="45">
        <f>D9/D25</f>
        <v>3.5714285714285712E-2</v>
      </c>
      <c r="G9" s="54" t="s">
        <v>93</v>
      </c>
      <c r="H9" s="55">
        <f>H8/22*E25</f>
        <v>1.7207808181639189E-3</v>
      </c>
    </row>
    <row r="10" spans="1:8" x14ac:dyDescent="0.2">
      <c r="A10" s="13" t="s">
        <v>13</v>
      </c>
      <c r="B10" s="1">
        <v>0.6</v>
      </c>
      <c r="C10" s="2">
        <v>0.35</v>
      </c>
      <c r="D10" s="1">
        <v>0.05</v>
      </c>
      <c r="E10" s="45">
        <f>D10/D25</f>
        <v>3.5714285714285712E-2</v>
      </c>
    </row>
    <row r="11" spans="1:8" x14ac:dyDescent="0.2">
      <c r="A11" s="13" t="s">
        <v>14</v>
      </c>
      <c r="B11" s="1">
        <v>0.85</v>
      </c>
      <c r="C11" s="2">
        <v>0.1</v>
      </c>
      <c r="D11" s="1">
        <v>0</v>
      </c>
      <c r="E11" s="45">
        <f>D11/D25</f>
        <v>0</v>
      </c>
    </row>
    <row r="12" spans="1:8" x14ac:dyDescent="0.2">
      <c r="A12" s="13" t="s">
        <v>15</v>
      </c>
      <c r="B12" s="1">
        <v>0.85</v>
      </c>
      <c r="C12" s="2">
        <v>0.1</v>
      </c>
      <c r="D12" s="1">
        <v>0.05</v>
      </c>
      <c r="E12" s="45">
        <f>D12/D25</f>
        <v>3.5714285714285712E-2</v>
      </c>
    </row>
    <row r="13" spans="1:8" x14ac:dyDescent="0.2">
      <c r="A13" s="13" t="s">
        <v>16</v>
      </c>
      <c r="B13" s="1">
        <v>0.2</v>
      </c>
      <c r="C13" s="1">
        <v>0.4</v>
      </c>
      <c r="D13" s="1">
        <v>0.15</v>
      </c>
      <c r="E13" s="45">
        <f>D13/D25</f>
        <v>0.10714285714285712</v>
      </c>
    </row>
    <row r="14" spans="1:8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5">
        <f>D14/D25</f>
        <v>3.5714285714285712E-2</v>
      </c>
    </row>
    <row r="15" spans="1:8" x14ac:dyDescent="0.2">
      <c r="A15" s="13" t="s">
        <v>18</v>
      </c>
      <c r="B15" s="1">
        <v>0.7</v>
      </c>
      <c r="C15" s="1">
        <v>0.3</v>
      </c>
      <c r="D15" s="1">
        <v>0</v>
      </c>
      <c r="E15" s="45">
        <f>D15/D25</f>
        <v>0</v>
      </c>
    </row>
    <row r="16" spans="1:8" x14ac:dyDescent="0.2">
      <c r="A16" s="13" t="s">
        <v>19</v>
      </c>
      <c r="B16" s="1">
        <v>0.75</v>
      </c>
      <c r="C16" s="1">
        <v>0.1</v>
      </c>
      <c r="D16" s="1">
        <v>0</v>
      </c>
      <c r="E16" s="45">
        <f>D16/D25</f>
        <v>0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s="45">
        <f>D17/D25</f>
        <v>0.10714285714285712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s="45">
        <f>D18/D25</f>
        <v>0.14285714285714285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s="45">
        <f>D19/D25</f>
        <v>0.17857142857142855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s="45">
        <f>D20/D25</f>
        <v>0.14285714285714285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s="45">
        <f>D21/D25</f>
        <v>3.5714285714285712E-2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s="45">
        <f>D22/D25</f>
        <v>3.5714285714285712E-2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s="45">
        <f>D23/D25</f>
        <v>0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s="45">
        <f>D24/D25</f>
        <v>3.5714285714285712E-2</v>
      </c>
    </row>
    <row r="25" spans="1:6" x14ac:dyDescent="0.2">
      <c r="A25" s="13"/>
      <c r="B25">
        <f>SUM(B2:B24)</f>
        <v>13.75</v>
      </c>
      <c r="C25">
        <f>SUM(C2:C24)</f>
        <v>6.1</v>
      </c>
      <c r="D25">
        <f>SUM(D2:D24)</f>
        <v>1.4000000000000001</v>
      </c>
      <c r="E25" s="45">
        <f>SUM(E2:E24)</f>
        <v>1.142857142857143</v>
      </c>
    </row>
    <row r="26" spans="1:6" ht="17" thickBot="1" x14ac:dyDescent="0.25">
      <c r="A26" s="16">
        <v>3.3220000000000001</v>
      </c>
      <c r="B26" s="27"/>
      <c r="C26" s="27"/>
      <c r="D26" s="27"/>
      <c r="E26" s="28"/>
    </row>
    <row r="29" spans="1:6" x14ac:dyDescent="0.2">
      <c r="A29" s="6" t="s">
        <v>87</v>
      </c>
      <c r="B29" s="12"/>
      <c r="C29" s="12"/>
      <c r="D29" s="12"/>
      <c r="E29" s="12"/>
      <c r="F29" s="12"/>
    </row>
    <row r="33" spans="1:5" ht="27" x14ac:dyDescent="0.35">
      <c r="D33" s="9"/>
      <c r="E33" s="10"/>
    </row>
    <row r="34" spans="1:5" ht="27" x14ac:dyDescent="0.35">
      <c r="D34" s="10"/>
      <c r="E34" s="10"/>
    </row>
    <row r="44" spans="1:5" x14ac:dyDescent="0.2">
      <c r="A44" s="6" t="s">
        <v>90</v>
      </c>
    </row>
    <row r="52" spans="1:6" x14ac:dyDescent="0.2">
      <c r="A52" s="12"/>
      <c r="B52" s="12"/>
      <c r="C52" s="12"/>
      <c r="D52" s="12"/>
      <c r="E52" s="12"/>
      <c r="F52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46DF-79F5-A946-9600-62487B8B72F8}">
  <dimension ref="A1:I29"/>
  <sheetViews>
    <sheetView workbookViewId="0">
      <selection activeCell="M14" sqref="M14"/>
    </sheetView>
  </sheetViews>
  <sheetFormatPr baseColWidth="10" defaultRowHeight="16" x14ac:dyDescent="0.2"/>
  <cols>
    <col min="1" max="1" width="105.1640625" customWidth="1"/>
    <col min="2" max="2" width="22.5" customWidth="1"/>
    <col min="3" max="3" width="19.5" customWidth="1"/>
    <col min="4" max="4" width="22" customWidth="1"/>
    <col min="5" max="5" width="25" customWidth="1"/>
    <col min="6" max="6" width="25.5" customWidth="1"/>
    <col min="9" max="9" width="15.5" customWidth="1"/>
  </cols>
  <sheetData>
    <row r="1" spans="1:9" ht="31" customHeight="1" x14ac:dyDescent="0.3">
      <c r="A1" s="20" t="s">
        <v>0</v>
      </c>
      <c r="B1" s="21" t="s">
        <v>1</v>
      </c>
      <c r="C1" s="30" t="s">
        <v>2</v>
      </c>
      <c r="D1" s="23" t="s">
        <v>3</v>
      </c>
      <c r="E1" s="24" t="s">
        <v>95</v>
      </c>
      <c r="F1" s="24" t="s">
        <v>104</v>
      </c>
    </row>
    <row r="2" spans="1:9" x14ac:dyDescent="0.2">
      <c r="A2" s="13" t="s">
        <v>5</v>
      </c>
      <c r="B2" s="1">
        <v>0.95</v>
      </c>
      <c r="C2" s="2">
        <v>0</v>
      </c>
      <c r="D2" s="1">
        <v>0</v>
      </c>
      <c r="E2" t="s">
        <v>96</v>
      </c>
      <c r="F2" s="26" t="s">
        <v>105</v>
      </c>
    </row>
    <row r="3" spans="1:9" x14ac:dyDescent="0.2">
      <c r="A3" s="13" t="s">
        <v>6</v>
      </c>
      <c r="B3" s="1">
        <v>0.65</v>
      </c>
      <c r="C3" s="2">
        <v>0.4</v>
      </c>
      <c r="D3" s="1">
        <v>0.05</v>
      </c>
      <c r="E3" t="s">
        <v>97</v>
      </c>
      <c r="F3" s="26" t="s">
        <v>105</v>
      </c>
    </row>
    <row r="4" spans="1:9" ht="17" thickBot="1" x14ac:dyDescent="0.25">
      <c r="A4" s="13" t="s">
        <v>7</v>
      </c>
      <c r="B4" s="1">
        <v>0.65</v>
      </c>
      <c r="C4" s="2">
        <v>0.35</v>
      </c>
      <c r="D4" s="1">
        <v>0</v>
      </c>
      <c r="E4" t="s">
        <v>98</v>
      </c>
      <c r="F4" s="26" t="s">
        <v>106</v>
      </c>
    </row>
    <row r="5" spans="1:9" ht="37" customHeight="1" x14ac:dyDescent="0.2">
      <c r="A5" s="13" t="s">
        <v>8</v>
      </c>
      <c r="B5" s="1">
        <v>0.85</v>
      </c>
      <c r="C5" s="2">
        <v>0.1</v>
      </c>
      <c r="D5" s="1">
        <v>0</v>
      </c>
      <c r="E5" t="s">
        <v>98</v>
      </c>
      <c r="F5" s="26" t="s">
        <v>106</v>
      </c>
      <c r="H5" s="60" t="s">
        <v>111</v>
      </c>
      <c r="I5" s="61">
        <v>1.0889999999999999E-3</v>
      </c>
    </row>
    <row r="6" spans="1:9" ht="44" customHeight="1" thickBot="1" x14ac:dyDescent="0.25">
      <c r="A6" s="13" t="s">
        <v>9</v>
      </c>
      <c r="B6" s="1">
        <v>0.95</v>
      </c>
      <c r="C6" s="2">
        <v>0</v>
      </c>
      <c r="D6" s="1">
        <v>0</v>
      </c>
      <c r="E6" t="s">
        <v>99</v>
      </c>
      <c r="F6" s="26" t="s">
        <v>107</v>
      </c>
      <c r="H6" s="62" t="s">
        <v>114</v>
      </c>
      <c r="I6" s="63" t="s">
        <v>115</v>
      </c>
    </row>
    <row r="7" spans="1:9" x14ac:dyDescent="0.2">
      <c r="A7" s="13" t="s">
        <v>10</v>
      </c>
      <c r="B7" s="1">
        <v>0.35</v>
      </c>
      <c r="C7" s="2">
        <v>0.45</v>
      </c>
      <c r="D7" s="1">
        <v>0.1</v>
      </c>
      <c r="E7" t="s">
        <v>96</v>
      </c>
      <c r="F7" s="26" t="s">
        <v>105</v>
      </c>
    </row>
    <row r="8" spans="1:9" x14ac:dyDescent="0.2">
      <c r="A8" s="13" t="s">
        <v>11</v>
      </c>
      <c r="B8" s="1">
        <v>0.3</v>
      </c>
      <c r="C8" s="2">
        <v>0.35</v>
      </c>
      <c r="D8" s="1">
        <v>0.15</v>
      </c>
      <c r="E8" t="s">
        <v>100</v>
      </c>
      <c r="F8" s="26" t="s">
        <v>107</v>
      </c>
    </row>
    <row r="9" spans="1:9" x14ac:dyDescent="0.2">
      <c r="A9" s="13" t="s">
        <v>12</v>
      </c>
      <c r="B9" s="1">
        <v>0.7</v>
      </c>
      <c r="C9" s="2">
        <v>0.15</v>
      </c>
      <c r="D9" s="1">
        <v>0.05</v>
      </c>
      <c r="E9" t="s">
        <v>98</v>
      </c>
      <c r="F9" s="26" t="s">
        <v>106</v>
      </c>
    </row>
    <row r="10" spans="1:9" x14ac:dyDescent="0.2">
      <c r="A10" s="13" t="s">
        <v>13</v>
      </c>
      <c r="B10" s="1">
        <v>0.6</v>
      </c>
      <c r="C10" s="2">
        <v>0.35</v>
      </c>
      <c r="D10" s="1">
        <v>0.05</v>
      </c>
      <c r="E10" t="s">
        <v>97</v>
      </c>
      <c r="F10" s="26" t="s">
        <v>105</v>
      </c>
    </row>
    <row r="11" spans="1:9" x14ac:dyDescent="0.2">
      <c r="A11" s="13" t="s">
        <v>14</v>
      </c>
      <c r="B11" s="1">
        <v>0.85</v>
      </c>
      <c r="C11" s="2">
        <v>0.1</v>
      </c>
      <c r="D11" s="1">
        <v>0</v>
      </c>
      <c r="E11" t="s">
        <v>96</v>
      </c>
      <c r="F11" s="26" t="s">
        <v>105</v>
      </c>
    </row>
    <row r="12" spans="1:9" x14ac:dyDescent="0.2">
      <c r="A12" s="13" t="s">
        <v>15</v>
      </c>
      <c r="B12" s="1">
        <v>0.85</v>
      </c>
      <c r="C12" s="2">
        <v>0.1</v>
      </c>
      <c r="D12" s="1">
        <v>0.05</v>
      </c>
      <c r="E12" t="s">
        <v>99</v>
      </c>
      <c r="F12" s="26" t="s">
        <v>107</v>
      </c>
    </row>
    <row r="13" spans="1:9" x14ac:dyDescent="0.2">
      <c r="A13" s="13" t="s">
        <v>16</v>
      </c>
      <c r="B13" s="1">
        <v>0.2</v>
      </c>
      <c r="C13" s="1">
        <v>0.4</v>
      </c>
      <c r="D13" s="1">
        <v>0.15</v>
      </c>
      <c r="E13" t="s">
        <v>100</v>
      </c>
      <c r="F13" s="26" t="s">
        <v>107</v>
      </c>
    </row>
    <row r="14" spans="1:9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t="s">
        <v>97</v>
      </c>
      <c r="F14" s="26" t="s">
        <v>105</v>
      </c>
    </row>
    <row r="15" spans="1:9" x14ac:dyDescent="0.2">
      <c r="A15" s="13" t="s">
        <v>18</v>
      </c>
      <c r="B15" s="1">
        <v>0.7</v>
      </c>
      <c r="C15" s="1">
        <v>0.3</v>
      </c>
      <c r="D15" s="1">
        <v>0</v>
      </c>
      <c r="E15" t="s">
        <v>98</v>
      </c>
      <c r="F15" s="26" t="s">
        <v>106</v>
      </c>
    </row>
    <row r="16" spans="1:9" x14ac:dyDescent="0.2">
      <c r="A16" s="13" t="s">
        <v>19</v>
      </c>
      <c r="B16" s="1">
        <v>0.75</v>
      </c>
      <c r="C16" s="1">
        <v>0.1</v>
      </c>
      <c r="D16" s="1">
        <v>0</v>
      </c>
      <c r="E16" t="s">
        <v>101</v>
      </c>
      <c r="F16" s="26" t="s">
        <v>108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t="s">
        <v>102</v>
      </c>
      <c r="F17" s="26" t="s">
        <v>109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t="s">
        <v>96</v>
      </c>
      <c r="F18" s="26" t="s">
        <v>105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t="s">
        <v>97</v>
      </c>
      <c r="F19" s="26" t="s">
        <v>105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t="s">
        <v>103</v>
      </c>
      <c r="F20" s="26" t="s">
        <v>110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t="s">
        <v>98</v>
      </c>
      <c r="F21" s="26" t="s">
        <v>106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t="s">
        <v>97</v>
      </c>
      <c r="F22" s="26" t="s">
        <v>105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t="s">
        <v>96</v>
      </c>
      <c r="F23" s="26" t="s">
        <v>105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t="s">
        <v>102</v>
      </c>
      <c r="F24" s="26" t="s">
        <v>112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7">
        <f>SUM(D2:D24)</f>
        <v>1.4000000000000001</v>
      </c>
      <c r="E25" s="27"/>
      <c r="F25" s="28" t="s">
        <v>113</v>
      </c>
    </row>
    <row r="29" spans="1:6" x14ac:dyDescent="0.2">
      <c r="A29" s="6" t="s">
        <v>94</v>
      </c>
      <c r="B29" s="6"/>
      <c r="C29" s="6"/>
      <c r="D29" s="6"/>
      <c r="E29" s="6"/>
      <c r="F29" s="6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E869-06F6-264C-8BC9-559C110DC479}">
  <dimension ref="A1:H54"/>
  <sheetViews>
    <sheetView workbookViewId="0">
      <selection activeCell="G3" sqref="G3"/>
    </sheetView>
  </sheetViews>
  <sheetFormatPr baseColWidth="10" defaultRowHeight="16" x14ac:dyDescent="0.2"/>
  <cols>
    <col min="1" max="1" width="94.1640625" customWidth="1"/>
    <col min="2" max="3" width="20.6640625" customWidth="1"/>
    <col min="4" max="4" width="18.33203125" customWidth="1"/>
    <col min="6" max="6" width="19.6640625" customWidth="1"/>
    <col min="7" max="7" width="19.83203125" customWidth="1"/>
  </cols>
  <sheetData>
    <row r="1" spans="1:7" ht="31" customHeight="1" x14ac:dyDescent="0.3">
      <c r="A1" s="20" t="s">
        <v>144</v>
      </c>
      <c r="B1" s="21" t="s">
        <v>1</v>
      </c>
      <c r="C1" s="22" t="s">
        <v>2</v>
      </c>
      <c r="D1" s="23" t="s">
        <v>3</v>
      </c>
    </row>
    <row r="2" spans="1:7" x14ac:dyDescent="0.2">
      <c r="A2" s="13" t="s">
        <v>5</v>
      </c>
      <c r="B2" s="1">
        <v>0.95</v>
      </c>
      <c r="C2" s="2">
        <v>0</v>
      </c>
      <c r="D2" s="14">
        <v>0</v>
      </c>
    </row>
    <row r="3" spans="1:7" x14ac:dyDescent="0.2">
      <c r="A3" s="13" t="s">
        <v>6</v>
      </c>
      <c r="B3" s="1">
        <v>0.65</v>
      </c>
      <c r="C3" s="2">
        <v>0.4</v>
      </c>
      <c r="D3" s="14">
        <v>0.05</v>
      </c>
    </row>
    <row r="4" spans="1:7" x14ac:dyDescent="0.2">
      <c r="A4" s="13" t="s">
        <v>7</v>
      </c>
      <c r="B4" s="1">
        <v>0.65</v>
      </c>
      <c r="C4" s="2">
        <v>0.35</v>
      </c>
      <c r="D4" s="14">
        <v>0</v>
      </c>
    </row>
    <row r="5" spans="1:7" x14ac:dyDescent="0.2">
      <c r="A5" s="13" t="s">
        <v>8</v>
      </c>
      <c r="B5" s="1">
        <v>0.85</v>
      </c>
      <c r="C5" s="2">
        <v>0.1</v>
      </c>
      <c r="D5" s="14">
        <v>0</v>
      </c>
    </row>
    <row r="6" spans="1:7" ht="17" thickBot="1" x14ac:dyDescent="0.25">
      <c r="A6" s="13" t="s">
        <v>9</v>
      </c>
      <c r="B6" s="1">
        <v>0.95</v>
      </c>
      <c r="C6" s="2">
        <v>0</v>
      </c>
      <c r="D6" s="14">
        <v>0</v>
      </c>
    </row>
    <row r="7" spans="1:7" ht="36" customHeight="1" x14ac:dyDescent="0.4">
      <c r="A7" s="13" t="s">
        <v>10</v>
      </c>
      <c r="B7" s="1">
        <v>0.35</v>
      </c>
      <c r="C7" s="2">
        <v>0.45</v>
      </c>
      <c r="D7" s="14">
        <v>0.1</v>
      </c>
      <c r="F7" s="65" t="s">
        <v>114</v>
      </c>
      <c r="G7" s="66" t="s">
        <v>115</v>
      </c>
    </row>
    <row r="8" spans="1:7" ht="35" customHeight="1" x14ac:dyDescent="0.4">
      <c r="A8" s="13" t="s">
        <v>11</v>
      </c>
      <c r="B8" s="1">
        <v>0.3</v>
      </c>
      <c r="C8" s="2">
        <v>0.35</v>
      </c>
      <c r="D8" s="14">
        <v>0.15</v>
      </c>
      <c r="F8" s="67" t="s">
        <v>93</v>
      </c>
      <c r="G8" s="68">
        <v>2E-3</v>
      </c>
    </row>
    <row r="9" spans="1:7" ht="37" customHeight="1" x14ac:dyDescent="0.4">
      <c r="A9" s="13" t="s">
        <v>12</v>
      </c>
      <c r="B9" s="1">
        <v>0.7</v>
      </c>
      <c r="C9" s="2">
        <v>0.15</v>
      </c>
      <c r="D9" s="14">
        <v>0.05</v>
      </c>
      <c r="F9" s="67" t="s">
        <v>117</v>
      </c>
      <c r="G9" s="68">
        <v>122.15</v>
      </c>
    </row>
    <row r="10" spans="1:7" ht="35" customHeight="1" thickBot="1" x14ac:dyDescent="0.45">
      <c r="A10" s="13" t="s">
        <v>13</v>
      </c>
      <c r="B10" s="1">
        <v>0.6</v>
      </c>
      <c r="C10" s="2">
        <v>0.35</v>
      </c>
      <c r="D10" s="14">
        <v>0.05</v>
      </c>
      <c r="E10" s="11"/>
      <c r="F10" s="69" t="s">
        <v>119</v>
      </c>
      <c r="G10" s="70">
        <v>1</v>
      </c>
    </row>
    <row r="11" spans="1:7" x14ac:dyDescent="0.2">
      <c r="A11" s="13" t="s">
        <v>14</v>
      </c>
      <c r="B11" s="1">
        <v>0.85</v>
      </c>
      <c r="C11" s="2">
        <v>0.1</v>
      </c>
      <c r="D11" s="14">
        <v>0</v>
      </c>
    </row>
    <row r="12" spans="1:7" x14ac:dyDescent="0.2">
      <c r="A12" s="13" t="s">
        <v>15</v>
      </c>
      <c r="B12" s="1">
        <v>0.85</v>
      </c>
      <c r="C12" s="2">
        <v>0.1</v>
      </c>
      <c r="D12" s="14">
        <v>0.05</v>
      </c>
    </row>
    <row r="13" spans="1:7" x14ac:dyDescent="0.2">
      <c r="A13" s="13" t="s">
        <v>16</v>
      </c>
      <c r="B13" s="1">
        <v>0.2</v>
      </c>
      <c r="C13" s="1">
        <v>0.4</v>
      </c>
      <c r="D13" s="14">
        <v>0.15</v>
      </c>
    </row>
    <row r="14" spans="1:7" x14ac:dyDescent="0.2">
      <c r="A14" s="13" t="s">
        <v>17</v>
      </c>
      <c r="B14" s="1">
        <v>0.4</v>
      </c>
      <c r="C14" s="1">
        <v>0.55000000000000004</v>
      </c>
      <c r="D14" s="14">
        <v>0.05</v>
      </c>
    </row>
    <row r="15" spans="1:7" x14ac:dyDescent="0.2">
      <c r="A15" s="13" t="s">
        <v>18</v>
      </c>
      <c r="B15" s="1">
        <v>0.7</v>
      </c>
      <c r="C15" s="1">
        <v>0.3</v>
      </c>
      <c r="D15" s="14">
        <v>0</v>
      </c>
    </row>
    <row r="16" spans="1:7" x14ac:dyDescent="0.2">
      <c r="A16" s="13" t="s">
        <v>19</v>
      </c>
      <c r="B16" s="1">
        <v>0.75</v>
      </c>
      <c r="C16" s="1">
        <v>0.1</v>
      </c>
      <c r="D16" s="14">
        <v>0</v>
      </c>
    </row>
    <row r="17" spans="1:8" x14ac:dyDescent="0.2">
      <c r="A17" s="13" t="s">
        <v>20</v>
      </c>
      <c r="B17" s="1">
        <v>0.5</v>
      </c>
      <c r="C17" s="1">
        <v>0.35</v>
      </c>
      <c r="D17" s="14">
        <v>0.15</v>
      </c>
    </row>
    <row r="18" spans="1:8" x14ac:dyDescent="0.2">
      <c r="A18" s="13" t="s">
        <v>21</v>
      </c>
      <c r="B18" s="1">
        <v>0.35</v>
      </c>
      <c r="C18" s="1">
        <v>0.4</v>
      </c>
      <c r="D18" s="14">
        <v>0.2</v>
      </c>
    </row>
    <row r="19" spans="1:8" x14ac:dyDescent="0.2">
      <c r="A19" s="13" t="s">
        <v>22</v>
      </c>
      <c r="B19" s="1">
        <v>0.2</v>
      </c>
      <c r="C19" s="1">
        <v>0.5</v>
      </c>
      <c r="D19" s="14">
        <v>0.25</v>
      </c>
    </row>
    <row r="20" spans="1:8" x14ac:dyDescent="0.2">
      <c r="A20" s="13" t="s">
        <v>23</v>
      </c>
      <c r="B20" s="1">
        <v>0.3</v>
      </c>
      <c r="C20" s="1">
        <v>0.3</v>
      </c>
      <c r="D20" s="64" t="s">
        <v>54</v>
      </c>
    </row>
    <row r="21" spans="1:8" x14ac:dyDescent="0.2">
      <c r="A21" s="13" t="s">
        <v>24</v>
      </c>
      <c r="B21" s="1">
        <v>0.65</v>
      </c>
      <c r="C21" s="1">
        <v>0.2</v>
      </c>
      <c r="D21" s="14">
        <v>0.05</v>
      </c>
    </row>
    <row r="22" spans="1:8" x14ac:dyDescent="0.2">
      <c r="A22" s="13" t="s">
        <v>25</v>
      </c>
      <c r="B22" s="1">
        <v>0.4</v>
      </c>
      <c r="C22" s="1">
        <v>0.35</v>
      </c>
      <c r="D22" s="14">
        <v>0.05</v>
      </c>
    </row>
    <row r="23" spans="1:8" x14ac:dyDescent="0.2">
      <c r="A23" s="13" t="s">
        <v>26</v>
      </c>
      <c r="B23" s="1">
        <v>0.8</v>
      </c>
      <c r="C23" s="1">
        <v>0.2</v>
      </c>
      <c r="D23" s="14">
        <v>0</v>
      </c>
    </row>
    <row r="24" spans="1:8" x14ac:dyDescent="0.2">
      <c r="A24" s="13" t="s">
        <v>27</v>
      </c>
      <c r="B24" s="1">
        <v>0.8</v>
      </c>
      <c r="C24" s="1">
        <v>0.1</v>
      </c>
      <c r="D24" s="14">
        <v>0.05</v>
      </c>
    </row>
    <row r="25" spans="1:8" ht="17" thickBot="1" x14ac:dyDescent="0.25">
      <c r="A25" s="16"/>
      <c r="B25" s="27">
        <f>SUM(B2:B24)</f>
        <v>13.75</v>
      </c>
      <c r="C25" s="27">
        <f>SUM(C2:C24)</f>
        <v>6.1</v>
      </c>
      <c r="D25" s="28">
        <f>SUM(D2:D24)</f>
        <v>1.4000000000000001</v>
      </c>
    </row>
    <row r="29" spans="1:8" x14ac:dyDescent="0.2">
      <c r="A29" s="6" t="s">
        <v>116</v>
      </c>
      <c r="B29" s="12"/>
      <c r="C29" s="12"/>
      <c r="D29" s="12"/>
      <c r="E29" s="12"/>
      <c r="F29" s="12"/>
      <c r="G29" s="12"/>
      <c r="H29" s="12"/>
    </row>
    <row r="39" spans="1:5" x14ac:dyDescent="0.2">
      <c r="A39" s="6" t="s">
        <v>118</v>
      </c>
    </row>
    <row r="43" spans="1:5" x14ac:dyDescent="0.2">
      <c r="A43" s="12"/>
      <c r="B43" s="12"/>
      <c r="C43" s="12"/>
      <c r="D43" s="12"/>
      <c r="E43" s="12"/>
    </row>
    <row r="44" spans="1:5" x14ac:dyDescent="0.2">
      <c r="A44" s="12"/>
      <c r="B44" s="12"/>
      <c r="C44" s="12"/>
      <c r="D44" s="12"/>
      <c r="E44" s="12"/>
    </row>
    <row r="53" spans="1:5" x14ac:dyDescent="0.2">
      <c r="A53" s="12"/>
      <c r="B53" s="12"/>
      <c r="C53" s="12"/>
      <c r="D53" s="12"/>
      <c r="E53" s="12"/>
    </row>
    <row r="54" spans="1:5" x14ac:dyDescent="0.2">
      <c r="A54" s="12"/>
      <c r="B54" s="12"/>
      <c r="C54" s="12"/>
      <c r="D54" s="12"/>
      <c r="E54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E969-0ABE-504F-984F-6A557EE0D25D}">
  <dimension ref="A1:L48"/>
  <sheetViews>
    <sheetView topLeftCell="C18" workbookViewId="0">
      <selection activeCell="F9" sqref="F9"/>
    </sheetView>
  </sheetViews>
  <sheetFormatPr baseColWidth="10" defaultRowHeight="16" x14ac:dyDescent="0.2"/>
  <cols>
    <col min="1" max="1" width="102.33203125" customWidth="1"/>
    <col min="2" max="2" width="18.5" customWidth="1"/>
    <col min="3" max="3" width="18.33203125" customWidth="1"/>
    <col min="4" max="4" width="17.6640625" customWidth="1"/>
    <col min="5" max="5" width="28" customWidth="1"/>
    <col min="6" max="6" width="27.6640625" customWidth="1"/>
    <col min="7" max="7" width="26" customWidth="1"/>
    <col min="8" max="8" width="23.6640625" customWidth="1"/>
    <col min="9" max="9" width="23.33203125" customWidth="1"/>
    <col min="10" max="10" width="25.33203125" customWidth="1"/>
    <col min="11" max="11" width="27.5" customWidth="1"/>
    <col min="12" max="12" width="16.5" customWidth="1"/>
    <col min="13" max="13" width="17" customWidth="1"/>
  </cols>
  <sheetData>
    <row r="1" spans="1:11" ht="41" customHeight="1" x14ac:dyDescent="0.3">
      <c r="A1" s="20" t="s">
        <v>146</v>
      </c>
      <c r="B1" s="21" t="s">
        <v>1</v>
      </c>
      <c r="C1" s="30" t="s">
        <v>2</v>
      </c>
      <c r="D1" s="23" t="s">
        <v>3</v>
      </c>
      <c r="E1" s="24" t="s">
        <v>121</v>
      </c>
      <c r="F1" s="71" t="s">
        <v>122</v>
      </c>
      <c r="G1" s="72" t="s">
        <v>124</v>
      </c>
      <c r="H1" s="72" t="s">
        <v>125</v>
      </c>
      <c r="I1" s="38" t="s">
        <v>126</v>
      </c>
      <c r="J1" s="38" t="s">
        <v>127</v>
      </c>
      <c r="K1" s="24" t="s">
        <v>129</v>
      </c>
    </row>
    <row r="2" spans="1:11" x14ac:dyDescent="0.2">
      <c r="A2" s="13" t="s">
        <v>5</v>
      </c>
      <c r="B2" s="1">
        <v>0.95</v>
      </c>
      <c r="C2" s="2">
        <v>0</v>
      </c>
      <c r="D2" s="1">
        <v>0</v>
      </c>
      <c r="E2" s="4">
        <f>1/3*(B2+(1-C2)+(1-D2))</f>
        <v>0.98333333333333339</v>
      </c>
      <c r="F2">
        <f>100*E2</f>
        <v>98.333333333333343</v>
      </c>
      <c r="G2">
        <f>LN(F2) / LN(F25)</f>
        <v>0.61516410387458365</v>
      </c>
      <c r="H2">
        <f>1-(LN(F2)/(LN(F25)))</f>
        <v>0.38483589612541635</v>
      </c>
      <c r="I2">
        <f>LOG(F2,2)/LOG(F25,2)</f>
        <v>0.61516410387458376</v>
      </c>
      <c r="J2">
        <f>1-I2</f>
        <v>0.38483589612541624</v>
      </c>
      <c r="K2" s="26">
        <f>((0.5)*((G2*I2)^(1/2)))+((0.5)*((G2+I2)/2))</f>
        <v>0.61516410387458365</v>
      </c>
    </row>
    <row r="3" spans="1:11" x14ac:dyDescent="0.2">
      <c r="A3" s="13" t="s">
        <v>6</v>
      </c>
      <c r="B3" s="1">
        <v>0.65</v>
      </c>
      <c r="C3" s="2">
        <v>0.4</v>
      </c>
      <c r="D3" s="1">
        <v>0.05</v>
      </c>
      <c r="E3" s="4">
        <f t="shared" ref="E3:E24" si="0">1/3*(B3+(1-C3)+(1-D3))</f>
        <v>0.73333333333333339</v>
      </c>
      <c r="F3">
        <f t="shared" ref="F3:F24" si="1">100*E3</f>
        <v>73.333333333333343</v>
      </c>
      <c r="G3">
        <f>LN(F3)/LN(F25)</f>
        <v>0.57583481802840575</v>
      </c>
      <c r="H3">
        <f>1-G3</f>
        <v>0.42416518197159425</v>
      </c>
      <c r="I3">
        <f>LOG(F3,2)/LOG(F25,2)</f>
        <v>0.57583481802840575</v>
      </c>
      <c r="J3">
        <f t="shared" ref="J3:J24" si="2">1-I3</f>
        <v>0.42416518197159425</v>
      </c>
      <c r="K3" s="26">
        <f t="shared" ref="K3:K24" si="3">((0.5)*((G3*I3)^(1/2)))+((0.5)*((G3+I3)/2))</f>
        <v>0.57583481802840575</v>
      </c>
    </row>
    <row r="4" spans="1:11" x14ac:dyDescent="0.2">
      <c r="A4" s="13" t="s">
        <v>7</v>
      </c>
      <c r="B4" s="1">
        <v>0.65</v>
      </c>
      <c r="C4" s="2">
        <v>0.35</v>
      </c>
      <c r="D4" s="1">
        <v>0</v>
      </c>
      <c r="E4" s="4">
        <f t="shared" si="0"/>
        <v>0.76666666666666661</v>
      </c>
      <c r="F4">
        <f t="shared" si="1"/>
        <v>76.666666666666657</v>
      </c>
      <c r="G4">
        <f>LN(F4)/LN(F25)</f>
        <v>0.58179448780262188</v>
      </c>
      <c r="H4">
        <f t="shared" ref="H4:H24" si="4">1-G4</f>
        <v>0.41820551219737812</v>
      </c>
      <c r="I4">
        <f>LOG(F4,2)/LOG(F25,2)</f>
        <v>0.58179448780262188</v>
      </c>
      <c r="J4">
        <f t="shared" si="2"/>
        <v>0.41820551219737812</v>
      </c>
      <c r="K4" s="26">
        <f t="shared" si="3"/>
        <v>0.58179448780262188</v>
      </c>
    </row>
    <row r="5" spans="1:11" x14ac:dyDescent="0.2">
      <c r="A5" s="13" t="s">
        <v>8</v>
      </c>
      <c r="B5" s="1">
        <v>0.85</v>
      </c>
      <c r="C5" s="2">
        <v>0.1</v>
      </c>
      <c r="D5" s="1">
        <v>0</v>
      </c>
      <c r="E5" s="4">
        <f t="shared" si="0"/>
        <v>0.91666666666666663</v>
      </c>
      <c r="F5">
        <f t="shared" si="1"/>
        <v>91.666666666666657</v>
      </c>
      <c r="G5">
        <f>LN(F5)/LN(F25)</f>
        <v>0.60575178422202769</v>
      </c>
      <c r="H5">
        <f t="shared" si="4"/>
        <v>0.39424821577797231</v>
      </c>
      <c r="I5">
        <f>LOG(F5,2)/LOG(F25,2)</f>
        <v>0.6057517842220278</v>
      </c>
      <c r="J5">
        <f t="shared" si="2"/>
        <v>0.3942482157779722</v>
      </c>
      <c r="K5" s="26">
        <f t="shared" si="3"/>
        <v>0.60575178422202769</v>
      </c>
    </row>
    <row r="6" spans="1:11" x14ac:dyDescent="0.2">
      <c r="A6" s="13" t="s">
        <v>9</v>
      </c>
      <c r="B6" s="1">
        <v>0.95</v>
      </c>
      <c r="C6" s="2">
        <v>0</v>
      </c>
      <c r="D6" s="1">
        <v>0</v>
      </c>
      <c r="E6" s="4">
        <f t="shared" si="0"/>
        <v>0.98333333333333339</v>
      </c>
      <c r="F6">
        <f t="shared" si="1"/>
        <v>98.333333333333343</v>
      </c>
      <c r="G6">
        <f>LN(F6)/LN(F25)</f>
        <v>0.61516410387458365</v>
      </c>
      <c r="H6">
        <f t="shared" si="4"/>
        <v>0.38483589612541635</v>
      </c>
      <c r="I6">
        <f>LOG(F6,2)/LOG(F25,2)</f>
        <v>0.61516410387458376</v>
      </c>
      <c r="J6">
        <f t="shared" si="2"/>
        <v>0.38483589612541624</v>
      </c>
      <c r="K6" s="26">
        <f t="shared" si="3"/>
        <v>0.61516410387458365</v>
      </c>
    </row>
    <row r="7" spans="1:11" x14ac:dyDescent="0.2">
      <c r="A7" s="13" t="s">
        <v>10</v>
      </c>
      <c r="B7" s="1">
        <v>0.35</v>
      </c>
      <c r="C7" s="2">
        <v>0.45</v>
      </c>
      <c r="D7" s="1">
        <v>0.1</v>
      </c>
      <c r="E7" s="4">
        <f t="shared" si="0"/>
        <v>0.6</v>
      </c>
      <c r="F7">
        <f t="shared" si="1"/>
        <v>60</v>
      </c>
      <c r="G7">
        <f>LN(F7)/LN(F25)</f>
        <v>0.54893079872408679</v>
      </c>
      <c r="H7">
        <f t="shared" si="4"/>
        <v>0.45106920127591321</v>
      </c>
      <c r="I7">
        <f>LOG(F7,2)/LOG(F25,2)</f>
        <v>0.54893079872408679</v>
      </c>
      <c r="J7">
        <f t="shared" si="2"/>
        <v>0.45106920127591321</v>
      </c>
      <c r="K7" s="26">
        <f t="shared" si="3"/>
        <v>0.54893079872408679</v>
      </c>
    </row>
    <row r="8" spans="1:11" x14ac:dyDescent="0.2">
      <c r="A8" s="13" t="s">
        <v>11</v>
      </c>
      <c r="B8" s="1">
        <v>0.3</v>
      </c>
      <c r="C8" s="2">
        <v>0.35</v>
      </c>
      <c r="D8" s="1">
        <v>0.15</v>
      </c>
      <c r="E8" s="4">
        <f t="shared" si="0"/>
        <v>0.59999999999999987</v>
      </c>
      <c r="F8">
        <f t="shared" si="1"/>
        <v>59.999999999999986</v>
      </c>
      <c r="G8">
        <f>LN(F8)/LN(F25)</f>
        <v>0.54893079872408679</v>
      </c>
      <c r="H8">
        <f t="shared" si="4"/>
        <v>0.45106920127591321</v>
      </c>
      <c r="I8">
        <f>LOG(F8,2)/LOG(F25,2)</f>
        <v>0.54893079872408679</v>
      </c>
      <c r="J8">
        <f t="shared" si="2"/>
        <v>0.45106920127591321</v>
      </c>
      <c r="K8" s="26">
        <f t="shared" si="3"/>
        <v>0.54893079872408679</v>
      </c>
    </row>
    <row r="9" spans="1:11" x14ac:dyDescent="0.2">
      <c r="A9" s="13" t="s">
        <v>12</v>
      </c>
      <c r="B9" s="1">
        <v>0.7</v>
      </c>
      <c r="C9" s="2">
        <v>0.15</v>
      </c>
      <c r="D9" s="1">
        <v>0.05</v>
      </c>
      <c r="E9" s="4">
        <f t="shared" si="0"/>
        <v>0.83333333333333326</v>
      </c>
      <c r="F9">
        <f t="shared" si="1"/>
        <v>83.333333333333329</v>
      </c>
      <c r="G9">
        <f>LN(F9)/LN(F25)</f>
        <v>0.59297350131705162</v>
      </c>
      <c r="H9">
        <f t="shared" si="4"/>
        <v>0.40702649868294838</v>
      </c>
      <c r="I9">
        <f>LOG(F9,2)/LOG(F25,2)</f>
        <v>0.59297350131705162</v>
      </c>
      <c r="J9">
        <f t="shared" si="2"/>
        <v>0.40702649868294838</v>
      </c>
      <c r="K9" s="26">
        <f t="shared" si="3"/>
        <v>0.59297350131705162</v>
      </c>
    </row>
    <row r="10" spans="1:11" x14ac:dyDescent="0.2">
      <c r="A10" s="13" t="s">
        <v>13</v>
      </c>
      <c r="B10" s="1">
        <v>0.6</v>
      </c>
      <c r="C10" s="2">
        <v>0.35</v>
      </c>
      <c r="D10" s="1">
        <v>0.05</v>
      </c>
      <c r="E10" s="4">
        <f t="shared" si="0"/>
        <v>0.73333333333333339</v>
      </c>
      <c r="F10">
        <f t="shared" si="1"/>
        <v>73.333333333333343</v>
      </c>
      <c r="G10">
        <f>LN(F10)/LN(F25)</f>
        <v>0.57583481802840575</v>
      </c>
      <c r="H10">
        <f t="shared" si="4"/>
        <v>0.42416518197159425</v>
      </c>
      <c r="I10">
        <f>LOG(F10,2)/LOG(F25,2)</f>
        <v>0.57583481802840575</v>
      </c>
      <c r="J10">
        <f t="shared" si="2"/>
        <v>0.42416518197159425</v>
      </c>
      <c r="K10" s="26">
        <f t="shared" si="3"/>
        <v>0.57583481802840575</v>
      </c>
    </row>
    <row r="11" spans="1:11" x14ac:dyDescent="0.2">
      <c r="A11" s="13" t="s">
        <v>14</v>
      </c>
      <c r="B11" s="1">
        <v>0.85</v>
      </c>
      <c r="C11" s="2">
        <v>0.1</v>
      </c>
      <c r="D11" s="1">
        <v>0</v>
      </c>
      <c r="E11" s="4">
        <f t="shared" si="0"/>
        <v>0.91666666666666663</v>
      </c>
      <c r="F11">
        <f t="shared" si="1"/>
        <v>91.666666666666657</v>
      </c>
      <c r="G11">
        <f>LN(F11)/LN(F25)</f>
        <v>0.60575178422202769</v>
      </c>
      <c r="H11">
        <f t="shared" si="4"/>
        <v>0.39424821577797231</v>
      </c>
      <c r="I11">
        <f>LOG(F11,2)/LOG(F25,2)</f>
        <v>0.6057517842220278</v>
      </c>
      <c r="J11">
        <f t="shared" si="2"/>
        <v>0.3942482157779722</v>
      </c>
      <c r="K11" s="26">
        <f t="shared" si="3"/>
        <v>0.60575178422202769</v>
      </c>
    </row>
    <row r="12" spans="1:11" x14ac:dyDescent="0.2">
      <c r="A12" s="13" t="s">
        <v>15</v>
      </c>
      <c r="B12" s="1">
        <v>0.85</v>
      </c>
      <c r="C12" s="2">
        <v>0.1</v>
      </c>
      <c r="D12" s="1">
        <v>0.05</v>
      </c>
      <c r="E12" s="4">
        <f t="shared" si="0"/>
        <v>0.9</v>
      </c>
      <c r="F12">
        <f t="shared" si="1"/>
        <v>90</v>
      </c>
      <c r="G12">
        <f>LN(F12)/LN(F25)</f>
        <v>0.60329170613334682</v>
      </c>
      <c r="H12">
        <f t="shared" si="4"/>
        <v>0.39670829386665318</v>
      </c>
      <c r="I12">
        <f>LOG(F12,2)/LOG(F25,2)</f>
        <v>0.60329170613334682</v>
      </c>
      <c r="J12">
        <f t="shared" si="2"/>
        <v>0.39670829386665318</v>
      </c>
      <c r="K12" s="26">
        <f t="shared" si="3"/>
        <v>0.60329170613334682</v>
      </c>
    </row>
    <row r="13" spans="1:11" x14ac:dyDescent="0.2">
      <c r="A13" s="13" t="s">
        <v>16</v>
      </c>
      <c r="B13" s="1">
        <v>0.2</v>
      </c>
      <c r="C13" s="1">
        <v>0.4</v>
      </c>
      <c r="D13" s="1">
        <v>0.15</v>
      </c>
      <c r="E13" s="4">
        <f t="shared" si="0"/>
        <v>0.54999999999999993</v>
      </c>
      <c r="F13">
        <f t="shared" si="1"/>
        <v>54.999999999999993</v>
      </c>
      <c r="G13">
        <f>LN(F13)/LN(F25)</f>
        <v>0.53726514041342488</v>
      </c>
      <c r="H13">
        <f t="shared" si="4"/>
        <v>0.46273485958657512</v>
      </c>
      <c r="I13">
        <f>LOG(F13,2)/LOG(F25,2)</f>
        <v>0.53726514041342488</v>
      </c>
      <c r="J13">
        <f t="shared" si="2"/>
        <v>0.46273485958657512</v>
      </c>
      <c r="K13" s="26">
        <f t="shared" si="3"/>
        <v>0.53726514041342488</v>
      </c>
    </row>
    <row r="14" spans="1:11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">
        <f t="shared" si="0"/>
        <v>0.59999999999999987</v>
      </c>
      <c r="F14">
        <f t="shared" si="1"/>
        <v>59.999999999999986</v>
      </c>
      <c r="G14">
        <f>LN(F14)/LN(F25)</f>
        <v>0.54893079872408679</v>
      </c>
      <c r="H14">
        <f t="shared" si="4"/>
        <v>0.45106920127591321</v>
      </c>
      <c r="I14">
        <f>LOG(F14,2)/LOG(F25,2)</f>
        <v>0.54893079872408679</v>
      </c>
      <c r="J14">
        <f>1-I14</f>
        <v>0.45106920127591321</v>
      </c>
      <c r="K14" s="26">
        <f t="shared" si="3"/>
        <v>0.54893079872408679</v>
      </c>
    </row>
    <row r="15" spans="1:11" x14ac:dyDescent="0.2">
      <c r="A15" s="13" t="s">
        <v>18</v>
      </c>
      <c r="B15" s="1">
        <v>0.7</v>
      </c>
      <c r="C15" s="1">
        <v>0.3</v>
      </c>
      <c r="D15" s="1">
        <v>0</v>
      </c>
      <c r="E15" s="4">
        <f t="shared" si="0"/>
        <v>0.79999999999999993</v>
      </c>
      <c r="F15">
        <f t="shared" si="1"/>
        <v>80</v>
      </c>
      <c r="G15">
        <f>LN(F15)/LN(F25)</f>
        <v>0.58750047633906777</v>
      </c>
      <c r="H15">
        <f t="shared" si="4"/>
        <v>0.41249952366093223</v>
      </c>
      <c r="I15">
        <f>LOG(F15,2)/LOG(F25,2)</f>
        <v>0.58750047633906766</v>
      </c>
      <c r="J15">
        <f t="shared" si="2"/>
        <v>0.41249952366093234</v>
      </c>
      <c r="K15" s="26">
        <f t="shared" si="3"/>
        <v>0.58750047633906766</v>
      </c>
    </row>
    <row r="16" spans="1:11" x14ac:dyDescent="0.2">
      <c r="A16" s="13" t="s">
        <v>19</v>
      </c>
      <c r="B16" s="1">
        <v>0.75</v>
      </c>
      <c r="C16" s="1">
        <v>0.1</v>
      </c>
      <c r="D16" s="1">
        <v>0</v>
      </c>
      <c r="E16" s="4">
        <f t="shared" si="0"/>
        <v>0.8833333333333333</v>
      </c>
      <c r="F16">
        <f t="shared" si="1"/>
        <v>88.333333333333329</v>
      </c>
      <c r="G16">
        <f>LN(F16)/LN(F25)</f>
        <v>0.60078564262347722</v>
      </c>
      <c r="H16">
        <f t="shared" si="4"/>
        <v>0.39921435737652278</v>
      </c>
      <c r="I16">
        <f>LOG(F16,2)/LOG(F25,2)</f>
        <v>0.60078564262347711</v>
      </c>
      <c r="J16">
        <f t="shared" si="2"/>
        <v>0.39921435737652289</v>
      </c>
      <c r="K16" s="26">
        <f t="shared" si="3"/>
        <v>0.60078564262347722</v>
      </c>
    </row>
    <row r="17" spans="1:12" x14ac:dyDescent="0.2">
      <c r="A17" s="13" t="s">
        <v>20</v>
      </c>
      <c r="B17" s="1">
        <v>0.5</v>
      </c>
      <c r="C17" s="1">
        <v>0.35</v>
      </c>
      <c r="D17" s="1">
        <v>0.15</v>
      </c>
      <c r="E17" s="4">
        <f t="shared" si="0"/>
        <v>0.66666666666666663</v>
      </c>
      <c r="F17">
        <f t="shared" si="1"/>
        <v>66.666666666666657</v>
      </c>
      <c r="G17">
        <f>LN(F17)/LN(F25)</f>
        <v>0.56305653512342968</v>
      </c>
      <c r="H17">
        <f t="shared" si="4"/>
        <v>0.43694346487657032</v>
      </c>
      <c r="I17">
        <f>LOG(F17,2)/LOG(F25,2)</f>
        <v>0.56305653512342979</v>
      </c>
      <c r="J17">
        <f t="shared" si="2"/>
        <v>0.43694346487657021</v>
      </c>
      <c r="K17" s="26">
        <f t="shared" si="3"/>
        <v>0.56305653512342979</v>
      </c>
    </row>
    <row r="18" spans="1:12" x14ac:dyDescent="0.2">
      <c r="A18" s="13" t="s">
        <v>21</v>
      </c>
      <c r="B18" s="1">
        <v>0.35</v>
      </c>
      <c r="C18" s="1">
        <v>0.4</v>
      </c>
      <c r="D18" s="1">
        <v>0.2</v>
      </c>
      <c r="E18" s="4">
        <f t="shared" si="0"/>
        <v>0.58333333333333326</v>
      </c>
      <c r="F18">
        <f t="shared" si="1"/>
        <v>58.333333333333329</v>
      </c>
      <c r="G18">
        <f>LN(F18)/LN(F25)</f>
        <v>0.54515391532820234</v>
      </c>
      <c r="H18">
        <f>1-G18</f>
        <v>0.45484608467179766</v>
      </c>
      <c r="I18">
        <f>LOG(F18,2)/LOG(F25,2)</f>
        <v>0.54515391532820234</v>
      </c>
      <c r="J18">
        <f t="shared" si="2"/>
        <v>0.45484608467179766</v>
      </c>
      <c r="K18" s="26">
        <f>((0.5)*((G18*I18)^(1/2)))+((0.5)*((G18+I18)/2))</f>
        <v>0.54515391532820234</v>
      </c>
    </row>
    <row r="19" spans="1:12" x14ac:dyDescent="0.2">
      <c r="A19" s="13" t="s">
        <v>22</v>
      </c>
      <c r="B19" s="1">
        <v>0.2</v>
      </c>
      <c r="C19" s="1">
        <v>0.5</v>
      </c>
      <c r="D19" s="1">
        <v>0.25</v>
      </c>
      <c r="E19" s="4">
        <f t="shared" si="0"/>
        <v>0.48333333333333328</v>
      </c>
      <c r="F19">
        <f t="shared" si="1"/>
        <v>48.333333333333329</v>
      </c>
      <c r="G19">
        <f>LN(F19)/LN(F25)</f>
        <v>0.51994165972245254</v>
      </c>
      <c r="H19">
        <f t="shared" si="4"/>
        <v>0.48005834027754746</v>
      </c>
      <c r="I19">
        <f>LOG(F19,2)/LOG(F25,2)</f>
        <v>0.51994165972245254</v>
      </c>
      <c r="J19">
        <f t="shared" si="2"/>
        <v>0.48005834027754746</v>
      </c>
      <c r="K19" s="26">
        <f t="shared" si="3"/>
        <v>0.51994165972245254</v>
      </c>
    </row>
    <row r="20" spans="1:12" x14ac:dyDescent="0.2">
      <c r="A20" s="13" t="s">
        <v>23</v>
      </c>
      <c r="B20" s="1">
        <v>0.3</v>
      </c>
      <c r="C20" s="1">
        <v>0.3</v>
      </c>
      <c r="D20" s="3" t="s">
        <v>54</v>
      </c>
      <c r="E20" s="4">
        <f t="shared" si="0"/>
        <v>0.6</v>
      </c>
      <c r="F20">
        <f t="shared" si="1"/>
        <v>60</v>
      </c>
      <c r="G20">
        <f>LN(F20)/LN(F25)</f>
        <v>0.54893079872408679</v>
      </c>
      <c r="H20">
        <f t="shared" si="4"/>
        <v>0.45106920127591321</v>
      </c>
      <c r="I20">
        <f>LOG(F20,2)/LOG(F25,2)</f>
        <v>0.54893079872408679</v>
      </c>
      <c r="J20">
        <f t="shared" si="2"/>
        <v>0.45106920127591321</v>
      </c>
      <c r="K20" s="26">
        <f t="shared" si="3"/>
        <v>0.54893079872408679</v>
      </c>
    </row>
    <row r="21" spans="1:12" x14ac:dyDescent="0.2">
      <c r="A21" s="13" t="s">
        <v>24</v>
      </c>
      <c r="B21" s="1">
        <v>0.65</v>
      </c>
      <c r="C21" s="1">
        <v>0.2</v>
      </c>
      <c r="D21" s="1">
        <v>0.05</v>
      </c>
      <c r="E21" s="4">
        <f t="shared" si="0"/>
        <v>0.8</v>
      </c>
      <c r="F21">
        <f t="shared" si="1"/>
        <v>80</v>
      </c>
      <c r="G21">
        <f>LN(F21)/LN(F25)</f>
        <v>0.58750047633906777</v>
      </c>
      <c r="H21">
        <f t="shared" si="4"/>
        <v>0.41249952366093223</v>
      </c>
      <c r="I21">
        <f>LOG(F21,2)/LOG(F25,2)</f>
        <v>0.58750047633906766</v>
      </c>
      <c r="J21">
        <f t="shared" si="2"/>
        <v>0.41249952366093234</v>
      </c>
      <c r="K21" s="26">
        <f t="shared" si="3"/>
        <v>0.58750047633906766</v>
      </c>
    </row>
    <row r="22" spans="1:12" x14ac:dyDescent="0.2">
      <c r="A22" s="13" t="s">
        <v>25</v>
      </c>
      <c r="B22" s="1">
        <v>0.4</v>
      </c>
      <c r="C22" s="1">
        <v>0.35</v>
      </c>
      <c r="D22" s="1">
        <v>0.05</v>
      </c>
      <c r="E22" s="4">
        <f t="shared" si="0"/>
        <v>0.66666666666666663</v>
      </c>
      <c r="F22">
        <f t="shared" si="1"/>
        <v>66.666666666666657</v>
      </c>
      <c r="G22">
        <f>LN(F22)/LN(F25)</f>
        <v>0.56305653512342968</v>
      </c>
      <c r="H22">
        <f t="shared" si="4"/>
        <v>0.43694346487657032</v>
      </c>
      <c r="I22">
        <f>LOG(F22,2)/LOG(F25,2)</f>
        <v>0.56305653512342979</v>
      </c>
      <c r="J22">
        <f t="shared" si="2"/>
        <v>0.43694346487657021</v>
      </c>
      <c r="K22" s="26">
        <f t="shared" si="3"/>
        <v>0.56305653512342979</v>
      </c>
    </row>
    <row r="23" spans="1:12" x14ac:dyDescent="0.2">
      <c r="A23" s="13" t="s">
        <v>26</v>
      </c>
      <c r="B23" s="1">
        <v>0.8</v>
      </c>
      <c r="C23" s="1">
        <v>0.2</v>
      </c>
      <c r="D23" s="1">
        <v>0</v>
      </c>
      <c r="E23" s="4">
        <f t="shared" si="0"/>
        <v>0.8666666666666667</v>
      </c>
      <c r="F23">
        <f t="shared" si="1"/>
        <v>86.666666666666671</v>
      </c>
      <c r="G23">
        <f>LN(F23)/LN(F25)</f>
        <v>0.59823184171087396</v>
      </c>
      <c r="H23">
        <f t="shared" si="4"/>
        <v>0.40176815828912604</v>
      </c>
      <c r="I23">
        <f>LOG(F23,2)/LOG(F25,2)</f>
        <v>0.59823184171087396</v>
      </c>
      <c r="J23">
        <f t="shared" si="2"/>
        <v>0.40176815828912604</v>
      </c>
      <c r="K23" s="26">
        <f t="shared" si="3"/>
        <v>0.59823184171087396</v>
      </c>
    </row>
    <row r="24" spans="1:12" x14ac:dyDescent="0.2">
      <c r="A24" s="13" t="s">
        <v>27</v>
      </c>
      <c r="B24" s="1">
        <v>0.8</v>
      </c>
      <c r="C24" s="1">
        <v>0.1</v>
      </c>
      <c r="D24" s="1">
        <v>0.05</v>
      </c>
      <c r="E24" s="4">
        <f t="shared" si="0"/>
        <v>0.88333333333333341</v>
      </c>
      <c r="F24">
        <f t="shared" si="1"/>
        <v>88.333333333333343</v>
      </c>
      <c r="G24">
        <f>LN(F24)/LN(F25)</f>
        <v>0.60078564262347733</v>
      </c>
      <c r="H24">
        <f t="shared" si="4"/>
        <v>0.39921435737652267</v>
      </c>
      <c r="I24">
        <f>LOG(F24,2)/LOG(F25,2)</f>
        <v>0.60078564262347733</v>
      </c>
      <c r="J24">
        <f t="shared" si="2"/>
        <v>0.39921435737652267</v>
      </c>
      <c r="K24" s="26">
        <f t="shared" si="3"/>
        <v>0.60078564262347733</v>
      </c>
    </row>
    <row r="25" spans="1:12" x14ac:dyDescent="0.2">
      <c r="A25" s="13"/>
      <c r="B25">
        <f>SUM(B2:B24)</f>
        <v>13.75</v>
      </c>
      <c r="C25">
        <f>SUM(C2:C24)</f>
        <v>6.1</v>
      </c>
      <c r="D25">
        <f>SUM(D2:D24)</f>
        <v>1.4000000000000001</v>
      </c>
      <c r="F25">
        <f>SUM(F2:F24)</f>
        <v>1735</v>
      </c>
      <c r="K25" s="26"/>
    </row>
    <row r="26" spans="1:12" ht="17" thickBot="1" x14ac:dyDescent="0.25">
      <c r="A26" s="1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9" spans="1:12" x14ac:dyDescent="0.2">
      <c r="A29" s="6" t="s">
        <v>120</v>
      </c>
      <c r="B29" s="6"/>
      <c r="C29" s="6"/>
      <c r="G29" s="6" t="s">
        <v>128</v>
      </c>
      <c r="H29" s="6"/>
      <c r="I29" s="6"/>
      <c r="J29" s="6"/>
      <c r="K29" s="6"/>
      <c r="L29" s="6"/>
    </row>
    <row r="48" spans="1:6" x14ac:dyDescent="0.2">
      <c r="A48" s="6" t="s">
        <v>123</v>
      </c>
      <c r="B48" s="6"/>
      <c r="C48" s="6"/>
      <c r="D48" s="6"/>
      <c r="E48" s="6"/>
      <c r="F48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8442-EBC3-9041-A26D-FEDE3ED5C757}">
  <dimension ref="A1:J47"/>
  <sheetViews>
    <sheetView workbookViewId="0">
      <selection activeCell="D42" sqref="D42"/>
    </sheetView>
  </sheetViews>
  <sheetFormatPr baseColWidth="10" defaultRowHeight="16" x14ac:dyDescent="0.2"/>
  <cols>
    <col min="1" max="1" width="99.33203125" customWidth="1"/>
    <col min="2" max="2" width="24.1640625" customWidth="1"/>
    <col min="3" max="3" width="20.83203125" customWidth="1"/>
    <col min="4" max="4" width="22.1640625" customWidth="1"/>
    <col min="5" max="5" width="19.33203125" customWidth="1"/>
    <col min="6" max="6" width="17" customWidth="1"/>
    <col min="7" max="7" width="21.83203125" customWidth="1"/>
    <col min="8" max="8" width="25.6640625" customWidth="1"/>
    <col min="9" max="9" width="14.83203125" customWidth="1"/>
    <col min="10" max="10" width="17" customWidth="1"/>
  </cols>
  <sheetData>
    <row r="1" spans="1:10" ht="33" customHeight="1" x14ac:dyDescent="0.3">
      <c r="A1" s="43" t="s">
        <v>144</v>
      </c>
      <c r="B1" s="44" t="s">
        <v>1</v>
      </c>
      <c r="C1" s="73" t="s">
        <v>2</v>
      </c>
      <c r="D1" s="31" t="s">
        <v>3</v>
      </c>
      <c r="E1" s="46" t="s">
        <v>56</v>
      </c>
      <c r="F1" s="46" t="s">
        <v>129</v>
      </c>
      <c r="G1" s="46" t="s">
        <v>131</v>
      </c>
      <c r="H1" s="46" t="s">
        <v>147</v>
      </c>
    </row>
    <row r="2" spans="1:10" x14ac:dyDescent="0.2">
      <c r="A2" t="s">
        <v>5</v>
      </c>
      <c r="B2" s="1">
        <v>0.95</v>
      </c>
      <c r="C2" s="2">
        <v>0</v>
      </c>
      <c r="D2" s="1">
        <v>0</v>
      </c>
      <c r="E2" s="4">
        <f>D2/D25</f>
        <v>0</v>
      </c>
      <c r="F2">
        <f>((0.5)*((B2*D2)^(1/2)))+((0.5)*((B2+D2)/2))</f>
        <v>0.23749999999999999</v>
      </c>
      <c r="G2">
        <f>E2*F2</f>
        <v>0</v>
      </c>
      <c r="H2" t="s">
        <v>134</v>
      </c>
    </row>
    <row r="3" spans="1:10" x14ac:dyDescent="0.2">
      <c r="A3" t="s">
        <v>6</v>
      </c>
      <c r="B3" s="1">
        <v>0.65</v>
      </c>
      <c r="C3" s="2">
        <v>0.4</v>
      </c>
      <c r="D3" s="1">
        <v>0.05</v>
      </c>
      <c r="E3" s="4">
        <f>D3/D25</f>
        <v>3.5714285714285712E-2</v>
      </c>
      <c r="F3">
        <f t="shared" ref="F3:F24" si="0">((0.5)*((B3*D3)^(1/2)))+((0.5)*((B3+D3)/2))</f>
        <v>0.26513878188659978</v>
      </c>
      <c r="G3">
        <f t="shared" ref="G3:G24" si="1">E3*F3</f>
        <v>9.4692422102357066E-3</v>
      </c>
      <c r="H3" t="s">
        <v>134</v>
      </c>
    </row>
    <row r="4" spans="1:10" x14ac:dyDescent="0.2">
      <c r="A4" t="s">
        <v>7</v>
      </c>
      <c r="B4" s="1">
        <v>0.65</v>
      </c>
      <c r="C4" s="2">
        <v>0.35</v>
      </c>
      <c r="D4" s="1">
        <v>0</v>
      </c>
      <c r="E4" s="4">
        <f>D4/D25</f>
        <v>0</v>
      </c>
      <c r="F4">
        <f t="shared" si="0"/>
        <v>0.16250000000000001</v>
      </c>
      <c r="G4">
        <f t="shared" si="1"/>
        <v>0</v>
      </c>
      <c r="H4" t="s">
        <v>134</v>
      </c>
    </row>
    <row r="5" spans="1:10" x14ac:dyDescent="0.2">
      <c r="A5" t="s">
        <v>8</v>
      </c>
      <c r="B5" s="1">
        <v>0.85</v>
      </c>
      <c r="C5" s="2">
        <v>0.1</v>
      </c>
      <c r="D5" s="1">
        <v>0</v>
      </c>
      <c r="E5" s="4">
        <f>D5/D25</f>
        <v>0</v>
      </c>
      <c r="F5">
        <f t="shared" si="0"/>
        <v>0.21249999999999999</v>
      </c>
      <c r="G5">
        <f t="shared" si="1"/>
        <v>0</v>
      </c>
      <c r="H5" t="s">
        <v>134</v>
      </c>
    </row>
    <row r="6" spans="1:10" x14ac:dyDescent="0.2">
      <c r="A6" t="s">
        <v>9</v>
      </c>
      <c r="B6" s="1">
        <v>0.95</v>
      </c>
      <c r="C6" s="2">
        <v>0</v>
      </c>
      <c r="D6" s="1">
        <v>0</v>
      </c>
      <c r="E6" s="4">
        <f>D6/D25</f>
        <v>0</v>
      </c>
      <c r="F6">
        <f t="shared" si="0"/>
        <v>0.23749999999999999</v>
      </c>
      <c r="G6">
        <f t="shared" si="1"/>
        <v>0</v>
      </c>
      <c r="H6" t="s">
        <v>134</v>
      </c>
    </row>
    <row r="7" spans="1:10" x14ac:dyDescent="0.2">
      <c r="A7" t="s">
        <v>10</v>
      </c>
      <c r="B7" s="1">
        <v>0.35</v>
      </c>
      <c r="C7" s="2">
        <v>0.45</v>
      </c>
      <c r="D7" s="1">
        <v>0.1</v>
      </c>
      <c r="E7" s="4">
        <f>D7/D25</f>
        <v>7.1428571428571425E-2</v>
      </c>
      <c r="F7">
        <f t="shared" si="0"/>
        <v>0.20604143466934852</v>
      </c>
      <c r="G7">
        <f t="shared" si="1"/>
        <v>1.4717245333524894E-2</v>
      </c>
      <c r="H7" t="s">
        <v>134</v>
      </c>
    </row>
    <row r="8" spans="1:10" x14ac:dyDescent="0.2">
      <c r="A8" t="s">
        <v>11</v>
      </c>
      <c r="B8" s="1">
        <v>0.3</v>
      </c>
      <c r="C8" s="2">
        <v>0.35</v>
      </c>
      <c r="D8" s="1">
        <v>0.15</v>
      </c>
      <c r="E8" s="4">
        <f>D8/D25</f>
        <v>0.10714285714285712</v>
      </c>
      <c r="F8">
        <f t="shared" si="0"/>
        <v>0.21856601717798213</v>
      </c>
      <c r="G8">
        <f t="shared" si="1"/>
        <v>2.3417787554783794E-2</v>
      </c>
      <c r="H8" t="s">
        <v>134</v>
      </c>
    </row>
    <row r="9" spans="1:10" ht="12" customHeight="1" x14ac:dyDescent="0.2">
      <c r="A9" t="s">
        <v>12</v>
      </c>
      <c r="B9" s="1">
        <v>0.7</v>
      </c>
      <c r="C9" s="2">
        <v>0.15</v>
      </c>
      <c r="D9" s="1">
        <v>0.05</v>
      </c>
      <c r="E9" s="4">
        <f>D9/D25</f>
        <v>3.5714285714285712E-2</v>
      </c>
      <c r="F9">
        <f t="shared" si="0"/>
        <v>0.2810414346693485</v>
      </c>
      <c r="G9">
        <f t="shared" si="1"/>
        <v>1.0037194095333874E-2</v>
      </c>
      <c r="H9" t="s">
        <v>134</v>
      </c>
    </row>
    <row r="10" spans="1:10" ht="21" customHeight="1" thickBot="1" x14ac:dyDescent="0.25">
      <c r="A10" t="s">
        <v>13</v>
      </c>
      <c r="B10" s="1">
        <v>0.6</v>
      </c>
      <c r="C10" s="2">
        <v>0.35</v>
      </c>
      <c r="D10" s="1">
        <v>0.05</v>
      </c>
      <c r="E10" s="4">
        <f>D10/D25</f>
        <v>3.5714285714285712E-2</v>
      </c>
      <c r="F10">
        <f t="shared" si="0"/>
        <v>0.24910254037844387</v>
      </c>
      <c r="G10">
        <f t="shared" si="1"/>
        <v>8.8965192992301375E-3</v>
      </c>
      <c r="H10" t="s">
        <v>134</v>
      </c>
    </row>
    <row r="11" spans="1:10" ht="46" customHeight="1" x14ac:dyDescent="0.35">
      <c r="A11" t="s">
        <v>14</v>
      </c>
      <c r="B11" s="1">
        <v>0.85</v>
      </c>
      <c r="C11" s="2">
        <v>0.1</v>
      </c>
      <c r="D11" s="1">
        <v>0</v>
      </c>
      <c r="E11" s="4">
        <f>D11/D25</f>
        <v>0</v>
      </c>
      <c r="F11">
        <f t="shared" si="0"/>
        <v>0.21249999999999999</v>
      </c>
      <c r="G11">
        <f t="shared" si="1"/>
        <v>0</v>
      </c>
      <c r="H11" t="s">
        <v>134</v>
      </c>
      <c r="I11" s="56" t="s">
        <v>136</v>
      </c>
      <c r="J11" s="57">
        <f>SUM(G2:G11)</f>
        <v>6.6537988493108408E-2</v>
      </c>
    </row>
    <row r="12" spans="1:10" ht="50" customHeight="1" thickBot="1" x14ac:dyDescent="0.4">
      <c r="A12" t="s">
        <v>15</v>
      </c>
      <c r="B12" s="1">
        <v>0.85</v>
      </c>
      <c r="C12" s="2">
        <v>0.1</v>
      </c>
      <c r="D12" s="1">
        <v>0.05</v>
      </c>
      <c r="E12" s="4">
        <f>D12/D25</f>
        <v>3.5714285714285712E-2</v>
      </c>
      <c r="F12">
        <f t="shared" si="0"/>
        <v>0.32807764064044154</v>
      </c>
      <c r="G12">
        <f t="shared" si="1"/>
        <v>1.1717058594301482E-2</v>
      </c>
      <c r="H12" t="s">
        <v>133</v>
      </c>
      <c r="I12" s="58" t="s">
        <v>135</v>
      </c>
      <c r="J12" s="59">
        <f>SUM(G12:G24)</f>
        <v>0.21011794725618058</v>
      </c>
    </row>
    <row r="13" spans="1:10" ht="27" x14ac:dyDescent="0.35">
      <c r="A13" t="s">
        <v>16</v>
      </c>
      <c r="B13" s="1">
        <v>0.2</v>
      </c>
      <c r="C13" s="1">
        <v>0.4</v>
      </c>
      <c r="D13" s="1">
        <v>0.15</v>
      </c>
      <c r="E13" s="4">
        <f>D13/D25</f>
        <v>0.10714285714285712</v>
      </c>
      <c r="F13">
        <f t="shared" si="0"/>
        <v>0.17410254037844386</v>
      </c>
      <c r="G13">
        <f t="shared" si="1"/>
        <v>1.8653843611976126E-2</v>
      </c>
      <c r="H13" t="s">
        <v>133</v>
      </c>
      <c r="I13" s="10"/>
      <c r="J13" s="10"/>
    </row>
    <row r="14" spans="1:10" x14ac:dyDescent="0.2">
      <c r="A14" t="s">
        <v>17</v>
      </c>
      <c r="B14" s="1">
        <v>0.4</v>
      </c>
      <c r="C14" s="1">
        <v>0.55000000000000004</v>
      </c>
      <c r="D14" s="1">
        <v>0.05</v>
      </c>
      <c r="E14" s="4">
        <f>D14/D25</f>
        <v>3.5714285714285712E-2</v>
      </c>
      <c r="F14">
        <f t="shared" si="0"/>
        <v>0.18321067811865477</v>
      </c>
      <c r="G14">
        <f t="shared" si="1"/>
        <v>6.5432385042376697E-3</v>
      </c>
      <c r="H14" t="s">
        <v>133</v>
      </c>
    </row>
    <row r="15" spans="1:10" x14ac:dyDescent="0.2">
      <c r="A15" t="s">
        <v>18</v>
      </c>
      <c r="B15" s="1">
        <v>0.7</v>
      </c>
      <c r="C15" s="1">
        <v>0.3</v>
      </c>
      <c r="D15" s="1">
        <v>0</v>
      </c>
      <c r="E15" s="4">
        <f>D15/D25</f>
        <v>0</v>
      </c>
      <c r="F15">
        <f t="shared" si="0"/>
        <v>0.17499999999999999</v>
      </c>
      <c r="G15">
        <f t="shared" si="1"/>
        <v>0</v>
      </c>
      <c r="H15" t="s">
        <v>133</v>
      </c>
    </row>
    <row r="16" spans="1:10" x14ac:dyDescent="0.2">
      <c r="A16" t="s">
        <v>19</v>
      </c>
      <c r="B16" s="1">
        <v>0.75</v>
      </c>
      <c r="C16" s="1">
        <v>0.1</v>
      </c>
      <c r="D16" s="1">
        <v>0</v>
      </c>
      <c r="E16" s="4">
        <f>D16/D25</f>
        <v>0</v>
      </c>
      <c r="F16">
        <f t="shared" si="0"/>
        <v>0.1875</v>
      </c>
      <c r="G16">
        <f t="shared" si="1"/>
        <v>0</v>
      </c>
      <c r="H16" t="s">
        <v>133</v>
      </c>
    </row>
    <row r="17" spans="1:8" x14ac:dyDescent="0.2">
      <c r="A17" t="s">
        <v>20</v>
      </c>
      <c r="B17" s="1">
        <v>0.5</v>
      </c>
      <c r="C17" s="1">
        <v>0.35</v>
      </c>
      <c r="D17" s="1">
        <v>0.15</v>
      </c>
      <c r="E17" s="4">
        <f>D17/D25</f>
        <v>0.10714285714285712</v>
      </c>
      <c r="F17">
        <f t="shared" si="0"/>
        <v>0.29943063937629155</v>
      </c>
      <c r="G17">
        <f t="shared" si="1"/>
        <v>3.2081854218888373E-2</v>
      </c>
      <c r="H17" t="s">
        <v>133</v>
      </c>
    </row>
    <row r="18" spans="1:8" x14ac:dyDescent="0.2">
      <c r="A18" t="s">
        <v>21</v>
      </c>
      <c r="B18" s="1">
        <v>0.35</v>
      </c>
      <c r="C18" s="1">
        <v>0.4</v>
      </c>
      <c r="D18" s="1">
        <v>0.2</v>
      </c>
      <c r="E18" s="4">
        <f>D18/D25</f>
        <v>0.14285714285714285</v>
      </c>
      <c r="F18">
        <f>((0.5)*((B18*D18)^(1/2)))+((0.5)*((B18+D18)/2))</f>
        <v>0.26978756555322952</v>
      </c>
      <c r="G18">
        <f t="shared" si="1"/>
        <v>3.85410807933185E-2</v>
      </c>
      <c r="H18" t="s">
        <v>133</v>
      </c>
    </row>
    <row r="19" spans="1:8" x14ac:dyDescent="0.2">
      <c r="A19" t="s">
        <v>22</v>
      </c>
      <c r="B19" s="1">
        <v>0.2</v>
      </c>
      <c r="C19" s="1">
        <v>0.5</v>
      </c>
      <c r="D19" s="1">
        <v>0.25</v>
      </c>
      <c r="E19" s="4">
        <f>D19/D25</f>
        <v>0.17857142857142855</v>
      </c>
      <c r="F19">
        <f t="shared" si="0"/>
        <v>0.22430339887498948</v>
      </c>
      <c r="G19">
        <f t="shared" si="1"/>
        <v>4.0054178370533829E-2</v>
      </c>
      <c r="H19" t="s">
        <v>133</v>
      </c>
    </row>
    <row r="20" spans="1:8" x14ac:dyDescent="0.2">
      <c r="A20" t="s">
        <v>23</v>
      </c>
      <c r="B20" s="1">
        <v>0.3</v>
      </c>
      <c r="C20" s="1">
        <v>0.3</v>
      </c>
      <c r="D20" s="3" t="s">
        <v>54</v>
      </c>
      <c r="E20" s="4">
        <f>D20/D25</f>
        <v>0.14285714285714285</v>
      </c>
      <c r="F20">
        <f t="shared" si="0"/>
        <v>0.2474744871391589</v>
      </c>
      <c r="G20">
        <f t="shared" si="1"/>
        <v>3.5353498162736981E-2</v>
      </c>
      <c r="H20" t="s">
        <v>133</v>
      </c>
    </row>
    <row r="21" spans="1:8" x14ac:dyDescent="0.2">
      <c r="A21" t="s">
        <v>24</v>
      </c>
      <c r="B21" s="1">
        <v>0.65</v>
      </c>
      <c r="C21" s="1">
        <v>0.2</v>
      </c>
      <c r="D21" s="1">
        <v>0.05</v>
      </c>
      <c r="E21" s="4">
        <f>D21/D25</f>
        <v>3.5714285714285712E-2</v>
      </c>
      <c r="F21">
        <f t="shared" si="0"/>
        <v>0.26513878188659978</v>
      </c>
      <c r="G21">
        <f t="shared" si="1"/>
        <v>9.4692422102357066E-3</v>
      </c>
      <c r="H21" t="s">
        <v>133</v>
      </c>
    </row>
    <row r="22" spans="1:8" x14ac:dyDescent="0.2">
      <c r="A22" t="s">
        <v>25</v>
      </c>
      <c r="B22" s="1">
        <v>0.4</v>
      </c>
      <c r="C22" s="1">
        <v>0.35</v>
      </c>
      <c r="D22" s="1">
        <v>0.05</v>
      </c>
      <c r="E22" s="4">
        <f>D22/D25</f>
        <v>3.5714285714285712E-2</v>
      </c>
      <c r="F22">
        <f t="shared" si="0"/>
        <v>0.18321067811865477</v>
      </c>
      <c r="G22">
        <f t="shared" si="1"/>
        <v>6.5432385042376697E-3</v>
      </c>
      <c r="H22" t="s">
        <v>133</v>
      </c>
    </row>
    <row r="23" spans="1:8" x14ac:dyDescent="0.2">
      <c r="A23" t="s">
        <v>26</v>
      </c>
      <c r="B23" s="1">
        <v>0.8</v>
      </c>
      <c r="C23" s="1">
        <v>0.2</v>
      </c>
      <c r="D23" s="1">
        <v>0</v>
      </c>
      <c r="E23" s="4">
        <f>D23/D25</f>
        <v>0</v>
      </c>
      <c r="F23">
        <f t="shared" si="0"/>
        <v>0.2</v>
      </c>
      <c r="G23">
        <f t="shared" si="1"/>
        <v>0</v>
      </c>
      <c r="H23" t="s">
        <v>133</v>
      </c>
    </row>
    <row r="24" spans="1:8" x14ac:dyDescent="0.2">
      <c r="A24" t="s">
        <v>27</v>
      </c>
      <c r="B24" s="1">
        <v>0.8</v>
      </c>
      <c r="C24" s="1">
        <v>0.1</v>
      </c>
      <c r="D24" s="1">
        <v>0.05</v>
      </c>
      <c r="E24" s="4">
        <f>D24/D25</f>
        <v>3.5714285714285712E-2</v>
      </c>
      <c r="F24">
        <f t="shared" si="0"/>
        <v>0.3125</v>
      </c>
      <c r="G24">
        <f t="shared" si="1"/>
        <v>1.1160714285714284E-2</v>
      </c>
      <c r="H24" t="s">
        <v>133</v>
      </c>
    </row>
    <row r="25" spans="1:8" x14ac:dyDescent="0.2">
      <c r="B25">
        <f>SUM(B2:B24)</f>
        <v>13.75</v>
      </c>
      <c r="C25">
        <f>SUM(C2:C24)</f>
        <v>6.1</v>
      </c>
      <c r="D25">
        <f>SUM(D2:D24)</f>
        <v>1.4000000000000001</v>
      </c>
    </row>
    <row r="30" spans="1:8" x14ac:dyDescent="0.2">
      <c r="A30" s="6" t="s">
        <v>130</v>
      </c>
      <c r="B30" s="12"/>
      <c r="C30" s="12"/>
      <c r="D30" s="12"/>
      <c r="E30" s="12"/>
      <c r="F30" s="12"/>
    </row>
    <row r="46" spans="1:6" x14ac:dyDescent="0.2">
      <c r="B46" s="12"/>
      <c r="C46" s="12"/>
      <c r="D46" s="12"/>
      <c r="E46" s="12"/>
      <c r="F46" s="12"/>
    </row>
    <row r="47" spans="1:6" x14ac:dyDescent="0.2">
      <c r="A47" s="6" t="s">
        <v>132</v>
      </c>
      <c r="B47" s="12"/>
      <c r="C47" s="12"/>
      <c r="D47" s="12"/>
      <c r="E47" s="12"/>
      <c r="F4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TABLE</vt:lpstr>
      <vt:lpstr>STEP 1-2</vt:lpstr>
      <vt:lpstr>STEP 3</vt:lpstr>
      <vt:lpstr>STEP 4 </vt:lpstr>
      <vt:lpstr>STEP 5 </vt:lpstr>
      <vt:lpstr>STEP 6</vt:lpstr>
      <vt:lpstr>STEP 7 </vt:lpstr>
      <vt:lpstr>STEP 8 </vt:lpstr>
      <vt:lpstr>STEP 9 </vt:lpstr>
      <vt:lpstr>STEP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çağla çevik</dc:creator>
  <cp:lastModifiedBy>çağla çevik</cp:lastModifiedBy>
  <dcterms:created xsi:type="dcterms:W3CDTF">2025-06-06T11:54:06Z</dcterms:created>
  <dcterms:modified xsi:type="dcterms:W3CDTF">2025-06-10T05:58:02Z</dcterms:modified>
</cp:coreProperties>
</file>