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Form Responses 1" sheetId="1" r:id="rId4"/>
    <sheet state="hidden" name="Sheet11" sheetId="2" r:id="rId5"/>
    <sheet state="hidden" name="DB Web" sheetId="3" r:id="rId6"/>
    <sheet state="hidden" name="User Publikasi" sheetId="4" r:id="rId7"/>
    <sheet state="hidden" name="User BRS" sheetId="5" r:id="rId8"/>
    <sheet state="visible" name="test_1" sheetId="6" r:id="rId9"/>
    <sheet state="visible" name="Daftar Tamu per Bulan" sheetId="7" r:id="rId10"/>
    <sheet state="visible" name="Daftar Tamu per Triwulan" sheetId="8" r:id="rId11"/>
    <sheet state="visible" name="db" sheetId="9" r:id="rId12"/>
    <sheet state="visible" name="Rekap" sheetId="10" r:id="rId13"/>
    <sheet state="visible" name="report_pst_2024" sheetId="11" r:id="rId14"/>
    <sheet state="visible" name="Pengguna data via WA" sheetId="12" r:id="rId15"/>
    <sheet state="visible" name="Tindak Lanjut PST" sheetId="13" r:id="rId16"/>
    <sheet state="hidden" name="Sheet14" sheetId="14" r:id="rId17"/>
    <sheet state="visible" name="dbtamu" sheetId="15" r:id="rId18"/>
    <sheet state="visible" name="actionpetugas" sheetId="16" r:id="rId19"/>
    <sheet state="visible" name="dbpiket" sheetId="17" r:id="rId20"/>
    <sheet state="visible" name="dbnilaipetugas" sheetId="18" r:id="rId21"/>
    <sheet state="visible" name="trigerbulanan" sheetId="19" r:id="rId22"/>
    <sheet state="visible" name="dbnilai" sheetId="20" r:id="rId23"/>
    <sheet state="visible" name="master_nilai" sheetId="21" r:id="rId24"/>
    <sheet state="visible" name="dbpetugas" sheetId="22" r:id="rId25"/>
    <sheet state="visible" name="piket_hari_ini" sheetId="23" r:id="rId26"/>
    <sheet state="visible" name="dbtukarpiket" sheetId="24" r:id="rId27"/>
    <sheet state="visible" name="dbkunjungan" sheetId="25" r:id="rId28"/>
    <sheet state="visible" name="rating_layanan" sheetId="26" r:id="rId29"/>
    <sheet state="visible" name="antrian_hari_ini" sheetId="27" r:id="rId30"/>
    <sheet state="visible" name="dblayanan" sheetId="28" r:id="rId31"/>
    <sheet state="visible" name="statharian" sheetId="29" r:id="rId32"/>
    <sheet state="visible" name="statbulanan" sheetId="30" r:id="rId33"/>
    <sheet state="visible" name="Sheet23" sheetId="31" r:id="rId34"/>
    <sheet state="visible" name="dbjenislayanan" sheetId="32" r:id="rId35"/>
    <sheet state="visible" name="to do list" sheetId="33" r:id="rId36"/>
    <sheet state="visible" name="dbpengaduan" sheetId="34" r:id="rId37"/>
  </sheets>
  <definedNames/>
  <calcPr/>
</workbook>
</file>

<file path=xl/sharedStrings.xml><?xml version="1.0" encoding="utf-8"?>
<sst xmlns="http://schemas.openxmlformats.org/spreadsheetml/2006/main" count="16378" uniqueCount="5070">
  <si>
    <t>Timestamp</t>
  </si>
  <si>
    <t>Nama</t>
  </si>
  <si>
    <t>Nomor Whatsapp</t>
  </si>
  <si>
    <t>Alamat Email</t>
  </si>
  <si>
    <t>Asal Instansi</t>
  </si>
  <si>
    <t>Keperluan</t>
  </si>
  <si>
    <t>Foto</t>
  </si>
  <si>
    <t>Rincian Layanan/Data yang butuhkan</t>
  </si>
  <si>
    <t>Detail Instansi</t>
  </si>
  <si>
    <t>Anggara Sinurat</t>
  </si>
  <si>
    <t>OPD (Pemerintah Daerah)</t>
  </si>
  <si>
    <t>Koordinasi antar lembaga</t>
  </si>
  <si>
    <t>https://drive:google:com/open?id=18oPtkHlwVv-MPUokLfmsqJl6ubK6yoAz</t>
  </si>
  <si>
    <t>Konsultasi Data</t>
  </si>
  <si>
    <t>Diskominfo</t>
  </si>
  <si>
    <t>Mona Lidya Sianturi</t>
  </si>
  <si>
    <t>081264481228</t>
  </si>
  <si>
    <t>mandiritonauly@gmail:com</t>
  </si>
  <si>
    <t>https://drive:google:com/open?id=1utoMBeofm1oitp-XVMTv8Wb-Ii2WY26B</t>
  </si>
  <si>
    <t>konsultasi</t>
  </si>
  <si>
    <t>Kominfo</t>
  </si>
  <si>
    <t>Nasib Berutu</t>
  </si>
  <si>
    <t>082174591006</t>
  </si>
  <si>
    <t>https://drive:google:com/open?id=1lGTvy4h1hHeRwL_EdItbikAvgbcs4Flc</t>
  </si>
  <si>
    <t>Igo octavian simamora</t>
  </si>
  <si>
    <t>081222708998</t>
  </si>
  <si>
    <t>octaviansimamora65@gmail:com</t>
  </si>
  <si>
    <t>https://drive:google:com/open?id=1etbj47fwJT2rfNJ6PyVpGu84JBCiz0Kc</t>
  </si>
  <si>
    <t>Konsultasi</t>
  </si>
  <si>
    <t>Hotliana Lumbanbatu</t>
  </si>
  <si>
    <t>081375595898</t>
  </si>
  <si>
    <t>liana_jusminari@yahoo:com</t>
  </si>
  <si>
    <t>Pelayanan Statistik (Permintaan Data/Konsultasi)</t>
  </si>
  <si>
    <t>https://drive:google:com/open?id=1uawHkHQOvdPqdPtK-FoccJwnOYkthyMk</t>
  </si>
  <si>
    <t>Pertumbuhan Ekonomi</t>
  </si>
  <si>
    <t>Dinas Komunikasi Informasi dan Informatika</t>
  </si>
  <si>
    <t>Niko Sinaga</t>
  </si>
  <si>
    <t>081265180583</t>
  </si>
  <si>
    <t>https://drive:google:com/open?id=1aCNYmRIDKB_PkgC-xNTgWsWPys0ljphK</t>
  </si>
  <si>
    <t>POJ</t>
  </si>
  <si>
    <t>Elperida Sijabat</t>
  </si>
  <si>
    <t>082165804679</t>
  </si>
  <si>
    <t>sijabatelperida@gmail:com</t>
  </si>
  <si>
    <t>Mitra BPS</t>
  </si>
  <si>
    <t>Menjemput Dokumen</t>
  </si>
  <si>
    <t>https://drive:google:com/open?id=1LKz9q6N6AjUglUM1NQQqUXQN4DwJmu16</t>
  </si>
  <si>
    <t>Sukmawati Sembiring</t>
  </si>
  <si>
    <t>082165849178</t>
  </si>
  <si>
    <t>sukmawatisembiring@gmail:com</t>
  </si>
  <si>
    <t>https://drive:google:com/open?id=1kEVIrFNX5wOJE4evULcMUlGYq5JW4LSy</t>
  </si>
  <si>
    <t>Menjemput BPS</t>
  </si>
  <si>
    <t>Feraminta Ginting</t>
  </si>
  <si>
    <t>081360349809</t>
  </si>
  <si>
    <t>feraginting16@gmail:com</t>
  </si>
  <si>
    <t>https://drive:google:com/open?id=1CCvyIKMjBFv7S1C72NdTZzWyo80suIub</t>
  </si>
  <si>
    <t>melisa brutu</t>
  </si>
  <si>
    <t>082131380665</t>
  </si>
  <si>
    <t>melisabrutu223@gmail:com</t>
  </si>
  <si>
    <t>mitra bps</t>
  </si>
  <si>
    <t>menjemput dokumen</t>
  </si>
  <si>
    <t>https://drive:google:com/open?id=1eBqZzC4r9xhUsC_u00ITEkrSnSHSxxtM</t>
  </si>
  <si>
    <t>martha tobing</t>
  </si>
  <si>
    <t>081360244206</t>
  </si>
  <si>
    <t>dealoVA_AW@YAHOO:COM</t>
  </si>
  <si>
    <t>MITRA BPS</t>
  </si>
  <si>
    <t>https://drive:google:com/open?id=1o13CqMj8X2Jfb6j8Bf884ejsKYDLLpVy</t>
  </si>
  <si>
    <t>alfon sitanggang</t>
  </si>
  <si>
    <t>085296337369</t>
  </si>
  <si>
    <t>allfoniriositanggang@gmail:com</t>
  </si>
  <si>
    <t>https://drive:google:com/open?id=1F9Z5pj9fHUef2oNio4-_UjY5-0HvglwR</t>
  </si>
  <si>
    <t>anggrenia sihombing</t>
  </si>
  <si>
    <t>08388640871</t>
  </si>
  <si>
    <t>anggrenia1998@gmail:com</t>
  </si>
  <si>
    <t>https://drive:google:com/open?id=1HhGP1of8L7SX3a19QV2IaFR49PkjURta</t>
  </si>
  <si>
    <t>Maulana Siddiq</t>
  </si>
  <si>
    <t>081269605737</t>
  </si>
  <si>
    <t>maulana@siddiq@datascirp:co:id</t>
  </si>
  <si>
    <t>teknisi komputer</t>
  </si>
  <si>
    <t>pemasangan pc</t>
  </si>
  <si>
    <t>https://drive:google:com/open?id=1SnmXpqqzv23-Mt5KLbQYrdBHQjowG6Nf</t>
  </si>
  <si>
    <t>ruh malemma siburian</t>
  </si>
  <si>
    <t>085370863330</t>
  </si>
  <si>
    <t>ruhmalemnasiburian@gmail:com</t>
  </si>
  <si>
    <t>survey susenas</t>
  </si>
  <si>
    <t>https://drive:google:com/open?id=1MI_7J19IqPQ7RUgGKEsyAzU4dlmVRmwa</t>
  </si>
  <si>
    <t>MARTIN UANMART HUTASOIT</t>
  </si>
  <si>
    <t>085320477376</t>
  </si>
  <si>
    <t>martinuanmart@gmail:com</t>
  </si>
  <si>
    <t>mitra</t>
  </si>
  <si>
    <t>Keperluan susenas</t>
  </si>
  <si>
    <t>https://drive:google:com/open?id=1mW4Z15mhSEMLp72cTQSnc-feQwNtAoGu</t>
  </si>
  <si>
    <t>susenas</t>
  </si>
  <si>
    <t>Daniel Carolus Simanjorang</t>
  </si>
  <si>
    <t>082275021547</t>
  </si>
  <si>
    <t>carolusd52@gmail:com</t>
  </si>
  <si>
    <t>Susenas</t>
  </si>
  <si>
    <t>https://drive:google:com/open?id=1WLBmAWaDldquFOXN2vPoFS-RCQ4MFO0e</t>
  </si>
  <si>
    <t>Erna Rachmawati</t>
  </si>
  <si>
    <t>+62 896-1158-6805</t>
  </si>
  <si>
    <t>UGM</t>
  </si>
  <si>
    <t>Minta Data</t>
  </si>
  <si>
    <t>https://drive:google:com/open?id=17CI8GUK8femgDKd1T1kRpvgKAihthK6s</t>
  </si>
  <si>
    <t>Data TRF dan UHH</t>
  </si>
  <si>
    <t>Fisipol UGM</t>
  </si>
  <si>
    <t>eric emyr simamora</t>
  </si>
  <si>
    <t>085261239388</t>
  </si>
  <si>
    <t>eicemyr@gmail:com</t>
  </si>
  <si>
    <t>menjumpai koseka</t>
  </si>
  <si>
    <t>https://drive:google:com/open?id=1UQgH2zkJoYPVXR2uYMMFIHt4QX9Trkl2</t>
  </si>
  <si>
    <t>menjumpai karyawan bps</t>
  </si>
  <si>
    <t>Putri Nainggolan</t>
  </si>
  <si>
    <t>087895207736</t>
  </si>
  <si>
    <t>putringl2000@gmail:com</t>
  </si>
  <si>
    <t>Mengantar Dokumen Susenas</t>
  </si>
  <si>
    <t>https://drive:google:com/open?id=1QAINtknc1uM1NKjjiJd1ma3a6yMT6l_Q</t>
  </si>
  <si>
    <t>ester sinaga</t>
  </si>
  <si>
    <t>081263481723</t>
  </si>
  <si>
    <t>estersinaga768@gmail:com</t>
  </si>
  <si>
    <t>ngantar dokumen susenas</t>
  </si>
  <si>
    <t>https://drive:google:com/open?id=1500TiccaNfUjVFb17Rt7bU78kaNZUKqm</t>
  </si>
  <si>
    <t>mengantar dokumen susenas</t>
  </si>
  <si>
    <t>jenny titania sianturi</t>
  </si>
  <si>
    <t>082334239369</t>
  </si>
  <si>
    <t>jennysianturi1998@gmail:com</t>
  </si>
  <si>
    <t>https://drive:google:com/open?id=1b84CKwEz1lxsSwWmrI2lMOcqCa4l0duz</t>
  </si>
  <si>
    <t>mengatar dokumen susenas</t>
  </si>
  <si>
    <t>Martin uanmart hutasoit</t>
  </si>
  <si>
    <t>https://drive:google:com/open?id=18Yy2MnV2MJfqIAYQTIMiTaFFHULcD93W</t>
  </si>
  <si>
    <t>lamtota lumban gaol</t>
  </si>
  <si>
    <t>082280130481</t>
  </si>
  <si>
    <t>lamtota@gmail:com</t>
  </si>
  <si>
    <t>https://drive:google:com/open?id=13_ZBBUD4htjaNSqPqNw3FFFiewWkXd7-</t>
  </si>
  <si>
    <t>mITRA BPS</t>
  </si>
  <si>
    <t>FREDDI MANIK</t>
  </si>
  <si>
    <t>082370043343</t>
  </si>
  <si>
    <t>freddimanikraja15@gmail:com</t>
  </si>
  <si>
    <t>https://drive:google:com/open?id=1_oPQQKsYsv2nabT4ppuwNGveIYuU9WXp</t>
  </si>
  <si>
    <t>Peta Desa</t>
  </si>
  <si>
    <t>Desa Pegagan Julu 3</t>
  </si>
  <si>
    <t>Hiras L: Toruan</t>
  </si>
  <si>
    <t>085270353028</t>
  </si>
  <si>
    <t>hirasafrikelson@gmail:com</t>
  </si>
  <si>
    <t>BUMN/BUMD</t>
  </si>
  <si>
    <t>https://drive:google:com/open?id=1-sUm_SKGRXuNeBw8ZxR3DfCOF_lJ92ji</t>
  </si>
  <si>
    <t>Perjanjian Kerja Sama</t>
  </si>
  <si>
    <t>BRI Sidikalang</t>
  </si>
  <si>
    <t>Erika Purba</t>
  </si>
  <si>
    <t>085269750050</t>
  </si>
  <si>
    <t>raska1517@gmail:com</t>
  </si>
  <si>
    <t>https://drive:google:com/open?id=1pZF9USa0miTA-wRyclcOezSddDJ0vwSF</t>
  </si>
  <si>
    <t>Perjanjian Kerja</t>
  </si>
  <si>
    <t>Tahan Marulitua Simbolon</t>
  </si>
  <si>
    <t>081228599244</t>
  </si>
  <si>
    <t>marulituasimbolon40@gmail:com</t>
  </si>
  <si>
    <t>https://drive:google:com/open?id=1Lg59VhjoWMrUXyFnLHuXo743QjvG-xa9</t>
  </si>
  <si>
    <t>Permintaan Peta</t>
  </si>
  <si>
    <t>Desa Gundaling</t>
  </si>
  <si>
    <t>Olyver story munthe</t>
  </si>
  <si>
    <t>082164577953</t>
  </si>
  <si>
    <t>olyverstory993@gmail:com</t>
  </si>
  <si>
    <t>https://drive:google:com/open?id=1GWgZAucfOyYt7LcFkDJ61di2D4kxogha</t>
  </si>
  <si>
    <t>Permintaan Peta Desa Belang Malum</t>
  </si>
  <si>
    <t>Desa Belang Malum Kecamatan Sidikalang</t>
  </si>
  <si>
    <t>yolanda silalahi</t>
  </si>
  <si>
    <t>082272425576</t>
  </si>
  <si>
    <t>yolandafebriantisilalahi10@gmail:com</t>
  </si>
  <si>
    <t>Mengambil dokumen</t>
  </si>
  <si>
    <t>https://drive:google:com/open?id=1be2uD99PPTm3VJZsu_OOKG1AOML58Ujo</t>
  </si>
  <si>
    <t>mengambil dokumen sakernas</t>
  </si>
  <si>
    <t>Destini Manalu</t>
  </si>
  <si>
    <t>085320133777</t>
  </si>
  <si>
    <t>destinimanalu@gmail:com</t>
  </si>
  <si>
    <t>https://drive:google:com/open?id=1YFBUedNokLh4x85vMskEB-io-IXPwlJV</t>
  </si>
  <si>
    <t>Permintaan Data Penduduk Kabupaten Dairi</t>
  </si>
  <si>
    <t>Dinas Kesehatan Kabupaten Dairi</t>
  </si>
  <si>
    <t>Igo Octavian Simamora</t>
  </si>
  <si>
    <t>Pelatihan Evaluasi Penyelenggaraan Statistik Sektoral</t>
  </si>
  <si>
    <t>https://drive:google:com/open?id=1SHFhho3afrAzcf8l6hpGQVd2vpfbeEfA</t>
  </si>
  <si>
    <t>pelatihan evaluasi penyelangaraan statistik</t>
  </si>
  <si>
    <t>kominfo kab dairi</t>
  </si>
  <si>
    <t>tumpal pasaribu</t>
  </si>
  <si>
    <t>081375771000</t>
  </si>
  <si>
    <t>tumpaldaud05@gmail:com</t>
  </si>
  <si>
    <t>MENGIKUTI RAPAT</t>
  </si>
  <si>
    <t>https://drive:google:com/open?id=1icFPp40etSPLY2Odz11da6gL-JkpoweD</t>
  </si>
  <si>
    <t>mengikuti rapat</t>
  </si>
  <si>
    <t>dpd pemerintahan</t>
  </si>
  <si>
    <t>Desi C: Sianturi, ST:, M:A:P</t>
  </si>
  <si>
    <t>08126593082</t>
  </si>
  <si>
    <t>cianturidesi@gmail:com</t>
  </si>
  <si>
    <t>https://drive:google:com/open?id=1dOsFCS7uGGsNwoALWXXrbHimQWL35kJo</t>
  </si>
  <si>
    <t>vanda royerni manik</t>
  </si>
  <si>
    <t>082370543570</t>
  </si>
  <si>
    <t>dairikab11@gmail:com</t>
  </si>
  <si>
    <t>https://drive:google:com/open?id=1HGxB-1cUqSo5T_jFqHSm9DPTXzO_WFtp</t>
  </si>
  <si>
    <t>elsa triana sinaga</t>
  </si>
  <si>
    <t>082277340149</t>
  </si>
  <si>
    <t>elsasinaga2@GMAIL:com</t>
  </si>
  <si>
    <t>https://drive:google:com/open?id=1b4eZxL4HHIqnCGVTOHS5oVonZpqtsAfh</t>
  </si>
  <si>
    <t>opd</t>
  </si>
  <si>
    <t>Veranika Sitepu</t>
  </si>
  <si>
    <t>081370661167</t>
  </si>
  <si>
    <t>veranikabrsitepu@gmail:com</t>
  </si>
  <si>
    <t>https://drive:google:com/open?id=1d6YjJ2tkeaN8M_Q8i-WRRBx7wDbgeVbZ</t>
  </si>
  <si>
    <t>Disperindagkop</t>
  </si>
  <si>
    <t>Wahyu Susanto Akbar</t>
  </si>
  <si>
    <t>082260376204</t>
  </si>
  <si>
    <t>wsakbar81@gmail:com</t>
  </si>
  <si>
    <t>https://drive:google:com/open?id=1SevUzpanxloJT4Cz8HDOrrKB6Z1_xnYL</t>
  </si>
  <si>
    <t>Data TPK</t>
  </si>
  <si>
    <t>Dinas Pariwisata Kab Dairi</t>
  </si>
  <si>
    <t>KRISTONI SITUMORANG (Media nasional id)</t>
  </si>
  <si>
    <t>082124170234</t>
  </si>
  <si>
    <t>yrkristo@gmail:com</t>
  </si>
  <si>
    <t>Wartawan Media Nasional ID</t>
  </si>
  <si>
    <t>https://drive:google:com/open?id=1iak7M_apnOKxVZw22KYiCSJ89Y2dhGs1</t>
  </si>
  <si>
    <t xml:space="preserve">Permintaan Data Jumlah Populasi Agama </t>
  </si>
  <si>
    <t>Ganda</t>
  </si>
  <si>
    <t>Institusi Pendidikan</t>
  </si>
  <si>
    <t>Peta desa belang malum</t>
  </si>
  <si>
    <t>monica dherby sembiring</t>
  </si>
  <si>
    <t>081269944862</t>
  </si>
  <si>
    <t>dherbymonica@gmail:com</t>
  </si>
  <si>
    <t>rapat bulanan</t>
  </si>
  <si>
    <t>https://drive:google:com/open?id=1aJJ19EsR-W96TcLS74GIOUYJBaQfGfr7</t>
  </si>
  <si>
    <t>nangkot sinambela</t>
  </si>
  <si>
    <t>081370245509</t>
  </si>
  <si>
    <t>nangkotsinambela8@gmail:com</t>
  </si>
  <si>
    <t>https://drive:google:com/open?id=1ipG0mH5zLSFfGd9ROsecFMBnA6KJsM82</t>
  </si>
  <si>
    <t>chandra manik</t>
  </si>
  <si>
    <t>082367487190</t>
  </si>
  <si>
    <t>chandramanik5277@gmail:com</t>
  </si>
  <si>
    <t>miitra bps</t>
  </si>
  <si>
    <t>https://drive:google:com/open?id=14FWckWXY3txVtyKbeTBdrGDcDpidQYR0</t>
  </si>
  <si>
    <t>tito viller sidabutar</t>
  </si>
  <si>
    <t>081287853810</t>
  </si>
  <si>
    <t>titovillersidabutar@gmail:com</t>
  </si>
  <si>
    <t>https://drive:google:com/open?id=1ZJeCdBV7GRpkiPcDUKrWCMVq2RYctYX7</t>
  </si>
  <si>
    <t>Richad Mika Sinaga, S:Tr:IP</t>
  </si>
  <si>
    <t>081398631539</t>
  </si>
  <si>
    <t>richadsinaga23@gmail:com</t>
  </si>
  <si>
    <t>https://drive:google:com/open?id=18pZBRTDDEjAdXek8UMl32iqrZ0hgoQHJ</t>
  </si>
  <si>
    <t>mengantar dokumen pemetaan</t>
  </si>
  <si>
    <t>Sindy Silaban</t>
  </si>
  <si>
    <t>081264813009</t>
  </si>
  <si>
    <t>sindisilaban08@gmail:com</t>
  </si>
  <si>
    <t>Masyarakat</t>
  </si>
  <si>
    <t>Bertemu Pak Silaban</t>
  </si>
  <si>
    <t>https://drive:google:com/open?id=18xmrxO6Y9fnCMspd5UJxkVzYItF3oWYd</t>
  </si>
  <si>
    <t>Romedi N Bangun</t>
  </si>
  <si>
    <t>08126446194</t>
  </si>
  <si>
    <t>romedib5@gmail:com</t>
  </si>
  <si>
    <t>https://drive:google:com/open?id=1xM4hUDJOaedhOr5Trw89LmpzrsfUM4-t</t>
  </si>
  <si>
    <t>Bappeda</t>
  </si>
  <si>
    <t>Panal Sianturi</t>
  </si>
  <si>
    <t>08126437376</t>
  </si>
  <si>
    <t>-</t>
  </si>
  <si>
    <t>https://drive:google:com/open?id=1nEy3Vjavu0vQwMnaUaLA4c8etIr1AVLI</t>
  </si>
  <si>
    <t>Sekretaris Daerah</t>
  </si>
  <si>
    <t>anita</t>
  </si>
  <si>
    <t>082279730309</t>
  </si>
  <si>
    <t>anitasinambela27@gmail</t>
  </si>
  <si>
    <t>https://drive:google:com/open?id=1fmKRoYgv7Rk7PRmh-Mh8NwDXN0MNo_JO</t>
  </si>
  <si>
    <t>permintaan data</t>
  </si>
  <si>
    <t>Dedi Wahyudi Stp:Mp</t>
  </si>
  <si>
    <t>081260322525</t>
  </si>
  <si>
    <t>dedi:wahyudi msi@gmail:com</t>
  </si>
  <si>
    <t>kementrian pertanian</t>
  </si>
  <si>
    <t>https://drive:google:com/open?id=1h4Rs0qFVo4i2P7mIbOZB80XjWqBAOxIj</t>
  </si>
  <si>
    <t>M: Wasik Riyanto</t>
  </si>
  <si>
    <t>082163650951</t>
  </si>
  <si>
    <t>wasikrianto@gmail:com</t>
  </si>
  <si>
    <t>https://drive:google:com/open?id=10nKaSB0BkAItC2g6e-ZSCuJ8byrGkFKy</t>
  </si>
  <si>
    <t>Penyampaian Data</t>
  </si>
  <si>
    <t>Alwi Angkat</t>
  </si>
  <si>
    <t>085362443965</t>
  </si>
  <si>
    <t>https://drive:google:com/open?id=1wc44THdywS7122LjQolYMAsDnM0wi50E</t>
  </si>
  <si>
    <t>Mengambil Data</t>
  </si>
  <si>
    <t>janbakti pinayungan</t>
  </si>
  <si>
    <t>081360004519</t>
  </si>
  <si>
    <t>S Rajaguk-guk</t>
  </si>
  <si>
    <t>085296176584</t>
  </si>
  <si>
    <t>supernandorajagukguk@gmail:com</t>
  </si>
  <si>
    <t>TNI/POLRI</t>
  </si>
  <si>
    <t>https://drive:google:com/open?id=1FGLRTlzywLn-kM4LOC4K7CacoG2IW246</t>
  </si>
  <si>
    <t>Permintaan Data Jumlah Penduduk Berdasarkan Profesi</t>
  </si>
  <si>
    <t>Krisdayanti Manik</t>
  </si>
  <si>
    <t>081262989164</t>
  </si>
  <si>
    <t>krisdayantimanik100@gmail:com</t>
  </si>
  <si>
    <t>https://drive:google:com/open?id=1_mTh3XtDhXBqALdMEjGN0Qree1FiKM5E</t>
  </si>
  <si>
    <t>Pegadaian</t>
  </si>
  <si>
    <t>Valentina Angriani Pangaribuan</t>
  </si>
  <si>
    <t>082220388521</t>
  </si>
  <si>
    <t>valentinaangriani09@gmail:com</t>
  </si>
  <si>
    <t>https://drive:google:com/open?id=1FyQgCZ07mB00jAwcwR2P4eJnRzzkwRnV</t>
  </si>
  <si>
    <t>EDITA SILALAHI</t>
  </si>
  <si>
    <t>082276822277</t>
  </si>
  <si>
    <t>editasilalahi2017@gmail:com</t>
  </si>
  <si>
    <t>Denny</t>
  </si>
  <si>
    <t>082275724100</t>
  </si>
  <si>
    <t>dennysetyowiguna@gmail:com</t>
  </si>
  <si>
    <t>Kementrian Pemberdayaan Anak Perempuan</t>
  </si>
  <si>
    <t>https://drive:google:com/open?id=1jrZM74cOA2ruk-fcrLHUl2nbBSVuhjOg</t>
  </si>
  <si>
    <t>Agustina Nababan</t>
  </si>
  <si>
    <t>082139338536</t>
  </si>
  <si>
    <t>nababanagustina4@gmail:com</t>
  </si>
  <si>
    <t>KemenPPA</t>
  </si>
  <si>
    <t>https://drive:google:com/open?id=1jguCsnOxf_pU-CFTg8WTYuvekF9zpW9L</t>
  </si>
  <si>
    <t>Debora Gultom</t>
  </si>
  <si>
    <t>085759988290</t>
  </si>
  <si>
    <t>debora:frnscilia30@gmail:com</t>
  </si>
  <si>
    <t>https://drive:google:com/open?id=14rS-bg776W2atrTqYRZ121f6k6lWAggC</t>
  </si>
  <si>
    <t>Kamaludin Jamil</t>
  </si>
  <si>
    <t>087777769218</t>
  </si>
  <si>
    <t>kamaludinjamil21@gmail:com</t>
  </si>
  <si>
    <t>https://drive:google:com/open?id=1SgFlQaY9vxZ96Zs7Bkmvnmi4YPyjAPmI</t>
  </si>
  <si>
    <t>Ester Sinaga</t>
  </si>
  <si>
    <t>https://drive:google:com/open?id=1ycf8zxD-9CChzAIK17uCeMqAHNszXS8b</t>
  </si>
  <si>
    <t>Arya W</t>
  </si>
  <si>
    <t>082298060268</t>
  </si>
  <si>
    <t>arya:wimahes4@gmail:com</t>
  </si>
  <si>
    <t>https://drive:google:com/open?id=1RIrRRmDnGolhi9bDe1sMZRmjZklE-wNf</t>
  </si>
  <si>
    <t>Konsultasi Bagaimana Tata  Cara Pelaksanaan Survei</t>
  </si>
  <si>
    <t>PRIMUS EDWIN DANIEL SINAGA</t>
  </si>
  <si>
    <t>081267867377</t>
  </si>
  <si>
    <t>primussinaga02@gmail:com</t>
  </si>
  <si>
    <t>Mahasiswa USU ( S1 Ilmu Sejarah)</t>
  </si>
  <si>
    <t>https://drive:google:com/open?id=1s0SyrgEnpZvTU9vnuN5plbb6ong775yH</t>
  </si>
  <si>
    <t>Permintaan Data Pertanian Durian di kelurahan parongil (1980-2000)</t>
  </si>
  <si>
    <t>Agus Mansyah</t>
  </si>
  <si>
    <t>085261138371</t>
  </si>
  <si>
    <t>agusmansyah1990@gmail:com</t>
  </si>
  <si>
    <t>BPS Provinsi Sumatera Utara</t>
  </si>
  <si>
    <t>Kunjungan Kerja</t>
  </si>
  <si>
    <t>https://drive:google:com/open?id=1cSXyE-5XgiTnVjqsvI2iv-gH5jX79FH6</t>
  </si>
  <si>
    <t>Nurul Hasanudin</t>
  </si>
  <si>
    <t>082282553403</t>
  </si>
  <si>
    <t>Fitriani</t>
  </si>
  <si>
    <t>082181720723</t>
  </si>
  <si>
    <t>fitriyn03@gmail:com</t>
  </si>
  <si>
    <t>Supervisi SEP</t>
  </si>
  <si>
    <t>https://drive:google:com/open?id=1nXF1RzRTHsd0o2pvUeJp2BFl5ug6PqaH</t>
  </si>
  <si>
    <t>Nuroso</t>
  </si>
  <si>
    <t>081265733121</t>
  </si>
  <si>
    <t>nuroson42@gmail:com</t>
  </si>
  <si>
    <t>https://drive:google:com/open?id=16EBhunKe2kyEdufMaqP8ENkbJRTOPNH0</t>
  </si>
  <si>
    <t>Data Jumlah Penduduk Kab: Dairi Tahun 2024</t>
  </si>
  <si>
    <t>david hutagalun</t>
  </si>
  <si>
    <t>davidhutagalung348@gmail:co:id</t>
  </si>
  <si>
    <t>https://drive:google:com/open?id=1gC75YaNg9_0pckxMx-WJk51iD_qV858R</t>
  </si>
  <si>
    <t>bumn</t>
  </si>
  <si>
    <t>Mardianto</t>
  </si>
  <si>
    <t>082214608988</t>
  </si>
  <si>
    <t>ardy3101@gmail:com</t>
  </si>
  <si>
    <t>https://drive:google:com/open?id=1NEA_9bGs9DIRIRFtfmjrV_4x5xIHD6Xf</t>
  </si>
  <si>
    <t>Data Kependudukan</t>
  </si>
  <si>
    <t>Hotlina</t>
  </si>
  <si>
    <t>082276049882</t>
  </si>
  <si>
    <t>linasihombing42@gmail:com</t>
  </si>
  <si>
    <t>https://drive:google:com/open?id=1B3L2EhXJG6PBtY2tgdKe3yR7JDlypFlj</t>
  </si>
  <si>
    <t>Data Statistik  2024</t>
  </si>
  <si>
    <t>Selgia Sitohang</t>
  </si>
  <si>
    <t>082366578154</t>
  </si>
  <si>
    <t>selgia:sitohang@gmail:com</t>
  </si>
  <si>
    <t>https://drive:google:com/open?id=1Ge3egJmSFu3nR-3ao4EMD4xMPJ9lf0AM</t>
  </si>
  <si>
    <t>Permintaan Data Statistik 2024</t>
  </si>
  <si>
    <t>Surung Charles Bantjin</t>
  </si>
  <si>
    <t>085362329767</t>
  </si>
  <si>
    <t>bantjincharles@gmail:com</t>
  </si>
  <si>
    <t>https://drive:google:com/open?id=1mdWRwuLqpSsx6OdObUywnoI7E1sb4gdK</t>
  </si>
  <si>
    <t>Menghadiri Rilis Angka Kemiskinan Kab Dairi</t>
  </si>
  <si>
    <t>Samuel Simbolon</t>
  </si>
  <si>
    <t>085262806376</t>
  </si>
  <si>
    <t>evrant:samuel@gmail:com</t>
  </si>
  <si>
    <t>PT Mikrotek Komputindo</t>
  </si>
  <si>
    <t>Konsultasi dengan PBJ</t>
  </si>
  <si>
    <t>https://drive:google:com/open?id=1fHrUOrevB4SDc7BfuIFyEf0fho8wQz-e</t>
  </si>
  <si>
    <t>Joel Roy Perangin Angin</t>
  </si>
  <si>
    <t>081362105907</t>
  </si>
  <si>
    <t>joelroy@bps:go:id</t>
  </si>
  <si>
    <t>Pegawai BPS</t>
  </si>
  <si>
    <t>https://drive:google:com/open?id=1D4S6L8Ah64xYPMnjfXM8fHlCl6skw-lG</t>
  </si>
  <si>
    <t>tetty situmorang</t>
  </si>
  <si>
    <t>082167071275</t>
  </si>
  <si>
    <t>tetty71situmorang@gmail:com</t>
  </si>
  <si>
    <t>Dinas Pertanian</t>
  </si>
  <si>
    <t>Usmansyah</t>
  </si>
  <si>
    <t>085262798155</t>
  </si>
  <si>
    <t>usmansyah@bps:go:id</t>
  </si>
  <si>
    <t>Perjalanan Dinas</t>
  </si>
  <si>
    <t>https://drive:google:com/open?id=1Kc0VbvrjXPNRPsrnGZVMcE0lXJWtz0Wm</t>
  </si>
  <si>
    <t>Septina Silalahi</t>
  </si>
  <si>
    <t>082110918981</t>
  </si>
  <si>
    <t>septina109silalahi@gmail:com</t>
  </si>
  <si>
    <t>Mitra BPS Dairi</t>
  </si>
  <si>
    <t>Serahkan dokumen pemutahiran</t>
  </si>
  <si>
    <t>https://drive:google:com/open?id=12j05zMfdMkPjojossztS3qxYASbbCs9-</t>
  </si>
  <si>
    <t>Ida Kartini Sirait</t>
  </si>
  <si>
    <t>082164576150</t>
  </si>
  <si>
    <t>gabrietiny@gmail:com</t>
  </si>
  <si>
    <t>menyerahkan dokumen pemutahiran</t>
  </si>
  <si>
    <t>https://drive:google:com/open?id=1Z4FBWODwQg3c83OzLiCKuF0HYJGo7tVI</t>
  </si>
  <si>
    <t>Jubeletta  Lumban Gaol</t>
  </si>
  <si>
    <t>081396441344</t>
  </si>
  <si>
    <t>jubelettalumbangaol@gmail:com</t>
  </si>
  <si>
    <t>https://drive:google:com/open?id=1TpY0oySYGlntOdS5kPEReUPaBi1bq8LT</t>
  </si>
  <si>
    <t>Ibu bekerja disektor formal Kab: Dairi</t>
  </si>
  <si>
    <t>Sonta Siagian</t>
  </si>
  <si>
    <t>085206199198</t>
  </si>
  <si>
    <t>athasiagian85@gmail:com</t>
  </si>
  <si>
    <t>https://drive:google:com/open?id=1MRKTEo6CwEXAvjiO5DdF-f8gs4vG0Ruy</t>
  </si>
  <si>
    <t>sunta simorangkir</t>
  </si>
  <si>
    <t>081362805264</t>
  </si>
  <si>
    <t>suntasimorangkir2</t>
  </si>
  <si>
    <t>https://drive:google:com/open?id=1IogMhlF3AZImO5-NSyHohYsUKYlCFS5q</t>
  </si>
  <si>
    <t>Rohmantiana Banurea</t>
  </si>
  <si>
    <t>081396856250</t>
  </si>
  <si>
    <t>banurea:rohman84@gmail:com</t>
  </si>
  <si>
    <t>Monitoring Siswa PKL</t>
  </si>
  <si>
    <t>Ayu Hafizah Capah</t>
  </si>
  <si>
    <t>0882015653314</t>
  </si>
  <si>
    <t>capahayuhafizah@gmail:com</t>
  </si>
  <si>
    <t>SMA N 1 Sidikalang</t>
  </si>
  <si>
    <t>Meminta Data Jumlah Desa dan Kelurahan di Dairi</t>
  </si>
  <si>
    <t>https://drive:google:com/open?id=1vlW6Mf5LuAnFJWKMNFbyNNUBqkHcb6-F</t>
  </si>
  <si>
    <t>Vanessya Cinta Cristyani Saragih</t>
  </si>
  <si>
    <t>vanessyacintasaragih@gmail:com</t>
  </si>
  <si>
    <t>S</t>
  </si>
  <si>
    <t>Permintaan Data Kelurahan Desa Di Kabupaten Dairi</t>
  </si>
  <si>
    <t>https://drive:google:com/open?id=1cf79HT4iEimCw2_xqBOit0wRPQk_QGYZ</t>
  </si>
  <si>
    <t>Delima Simbolon</t>
  </si>
  <si>
    <t>081260190335</t>
  </si>
  <si>
    <t>delimasimbolon@gmail:com</t>
  </si>
  <si>
    <t>Permintaan Data Jumlah Kelurahaan Desa Dikabupaten Dairi</t>
  </si>
  <si>
    <t>https://drive:google:com/open?id=13ynSgWDvZC7GZ-1D1jASJO7pcW58NVgA</t>
  </si>
  <si>
    <t>Natasya Bintang</t>
  </si>
  <si>
    <t>083164318030</t>
  </si>
  <si>
    <t>SMA  N 1 Sidikalang</t>
  </si>
  <si>
    <t>https://drive:google:com/open?id=1ZMI30dMBhrx1nhz5iBiofJ3AZD7Z8dcv</t>
  </si>
  <si>
    <t>Rosmei Hutagaol</t>
  </si>
  <si>
    <t>088263957176</t>
  </si>
  <si>
    <t>Permintaan Data Jumlah Kelurahan dan Desa dikabupaten Dairi</t>
  </si>
  <si>
    <t>https://drive:google:com/open?id=1EhBeyHchqR2yNuh-kUdj62jb40TxwcWz</t>
  </si>
  <si>
    <t>Windy Siregar</t>
  </si>
  <si>
    <t>081262295906</t>
  </si>
  <si>
    <t>https://drive:google:com/open?id=1hwlYPf3FkfTpqWM68NT4aAwizyQMM0OQ</t>
  </si>
  <si>
    <t>Jumlah Desa/Kelurahan di Kab Dairi</t>
  </si>
  <si>
    <t>Mawar Sinaga</t>
  </si>
  <si>
    <t>https://drive:google:com/open?id=1wSOdO0gVBAmTP-b98fzbB_rOmmPHG5qI</t>
  </si>
  <si>
    <t>Angreini B Purba</t>
  </si>
  <si>
    <t>https://drive:google:com/open?id=1114UO4lQAokKsfbZNJL1Z10SoR_zzSJ7</t>
  </si>
  <si>
    <t>Elianto Charles Bancin</t>
  </si>
  <si>
    <t>081396806334</t>
  </si>
  <si>
    <t>charlesbancin1984@gmail:com</t>
  </si>
  <si>
    <t>https://drive:google:com/open?id=11UQjyXPxhtYN99kZOK1mWyrRo6DjRHzc</t>
  </si>
  <si>
    <t>Koordinasi Data SPH</t>
  </si>
  <si>
    <t>Rio Marbun</t>
  </si>
  <si>
    <t>085362059010</t>
  </si>
  <si>
    <t>rio:marbun:rm@gmail:com</t>
  </si>
  <si>
    <t>https://drive:google:com/open?id=1hqgAKsZErcNRPdukqlEsAkIvq81dbFtV</t>
  </si>
  <si>
    <t>Amos Simanjuntak</t>
  </si>
  <si>
    <t>082167930935</t>
  </si>
  <si>
    <t>amosjuntaknbp8@gmail:com</t>
  </si>
  <si>
    <t>https://drive:google:com/open?id=10exz3IFC41kFyTboBf44AhjE6IcrWJ1A</t>
  </si>
  <si>
    <t xml:space="preserve">Data Perekonomian </t>
  </si>
  <si>
    <t>Sabar Hasugian</t>
  </si>
  <si>
    <t>085370335238</t>
  </si>
  <si>
    <t>sabarlastro07@gmail:com</t>
  </si>
  <si>
    <t>https://drive:google:com/open?id=1lSGvFzdkapxt8KvzJPHM9ly6PivhzTkU</t>
  </si>
  <si>
    <t>Data Perekonomian</t>
  </si>
  <si>
    <t>Yoandra Sihombing</t>
  </si>
  <si>
    <t>085161028057</t>
  </si>
  <si>
    <t>Permintaan Data Jumlah Desa/Kelurahan di Kabupaten Dairi</t>
  </si>
  <si>
    <t>https://drive:google:com/open?id=1GgJSObUiMxyMd-cefi6RBekGcRosJ2ea</t>
  </si>
  <si>
    <t>Insaf Sagala</t>
  </si>
  <si>
    <t>0895337529165</t>
  </si>
  <si>
    <t>Permintaan Data Jumlah Desa/Kelurahan Di Kab Dairi</t>
  </si>
  <si>
    <t>https://drive:google:com/open?id=1H7vdHWkYqEyLtL2vYnK2rjU50l4vFfWd</t>
  </si>
  <si>
    <t>Theona Simanjuntak</t>
  </si>
  <si>
    <t>087853642360</t>
  </si>
  <si>
    <t>Permintaan Data Jumlah Desa/Kelurahan di Kab Dairi</t>
  </si>
  <si>
    <t>https://drive:google:com/open?id=1WoYBTXSHdALLrtw-68KfqANU4IAJRPPn</t>
  </si>
  <si>
    <t>Crisna Tarigan</t>
  </si>
  <si>
    <t>082211926002</t>
  </si>
  <si>
    <t>chrisnatarigan@gmail:com</t>
  </si>
  <si>
    <t>https://drive:google:com/open?id=1QGpwiZwVM-aibB597o1g5hxXhp-64kSb</t>
  </si>
  <si>
    <t>Data Jumlah Desa Kelurahan di Kab Dairi</t>
  </si>
  <si>
    <t>teresia lumban gaol</t>
  </si>
  <si>
    <t>082114490690</t>
  </si>
  <si>
    <t>theresiaylg@gmail:com</t>
  </si>
  <si>
    <t>https://drive:google:com/open?id=10UwZUSrgQ4f4HZsU_PW0h-b5edAojPTk</t>
  </si>
  <si>
    <t xml:space="preserve">kordinasi antar lembaga </t>
  </si>
  <si>
    <t>Adven Simbolon</t>
  </si>
  <si>
    <t>081360219786</t>
  </si>
  <si>
    <t>advendsimbolon07@gmail:com</t>
  </si>
  <si>
    <t>DialektiKopi Dairi</t>
  </si>
  <si>
    <t>Permintaan Data Sebaran Kopi Di Dairi</t>
  </si>
  <si>
    <t>https://drive:google:com/open?id=1WqZY5L39Ns7snOGLRV_qmZkJgRkvnust</t>
  </si>
  <si>
    <t>Nova Monalisa Situngkir</t>
  </si>
  <si>
    <t>081360006162</t>
  </si>
  <si>
    <t>monalisasitungkir76@gmail:com</t>
  </si>
  <si>
    <t>https://drive:google:com/open?id=1r4MgXyCWYdzEnAeBb-ZVDKROi-vXelMb</t>
  </si>
  <si>
    <t>Antar Lembaga</t>
  </si>
  <si>
    <t>henderi nadeak</t>
  </si>
  <si>
    <t>081253422406</t>
  </si>
  <si>
    <t>Wartawan</t>
  </si>
  <si>
    <t>https://drive:google:com/open?id=1HTOu08AOyCBxcQ6LXAUyoqWsdBYJG3En</t>
  </si>
  <si>
    <t>Trimaya Sinuraya</t>
  </si>
  <si>
    <t>082361556739</t>
  </si>
  <si>
    <t>KPPN Sidikalang</t>
  </si>
  <si>
    <t>https://drive:google:com/open?id=116M3yt1DxmJTUiLew8VpoI6k9ks7Ywkm</t>
  </si>
  <si>
    <t>Monev IKPA</t>
  </si>
  <si>
    <t>Iman Santoso Simanjuntak</t>
  </si>
  <si>
    <t>081398898638</t>
  </si>
  <si>
    <t>https://drive:google:com/open?id=1HRs2fK7tz9HyY3esdqsXrMwAFYC8V7nq</t>
  </si>
  <si>
    <t>Zulkifli Kudadiri</t>
  </si>
  <si>
    <t>082167946790</t>
  </si>
  <si>
    <t>zulkifli21@gmail:com</t>
  </si>
  <si>
    <t xml:space="preserve">KPPN </t>
  </si>
  <si>
    <t>https://drive:google:com/open?id=1bjinfJyvPaAif5DEXQjykp47e2mkO4Eo</t>
  </si>
  <si>
    <t>sindysilaban08@gmail:com</t>
  </si>
  <si>
    <t>Mengentry Ubinan</t>
  </si>
  <si>
    <t>https://drive:google:com/open?id=1r42f_WNluEXq0402I-eXqi64jg9p9Ocl</t>
  </si>
  <si>
    <t>Valentina Pangaribuan</t>
  </si>
  <si>
    <t>valentinaanggriyani@gmail:com</t>
  </si>
  <si>
    <t>Berkunjung</t>
  </si>
  <si>
    <t>https://drive:google:com/open?id=14_jKC3FewQJA-npf8Y7JDD5xeSW6wlYN</t>
  </si>
  <si>
    <t xml:space="preserve">david </t>
  </si>
  <si>
    <t>082276132713</t>
  </si>
  <si>
    <t>davidhutagalung348@yahoo:co:id</t>
  </si>
  <si>
    <t>https://drive:google:com/open?id=19tXv_cf4SXMFwQvXPbEGsTwEhhD-ggbf</t>
  </si>
  <si>
    <t>bri dairi</t>
  </si>
  <si>
    <t>Mona Sianturi</t>
  </si>
  <si>
    <t>https://drive:google:com/open?id=1dMl0T15FJgDFTlek3gnmT9eaGorvMcvM</t>
  </si>
  <si>
    <t>Igo Simamora</t>
  </si>
  <si>
    <t>https://drive:google:com/open?id=1XqnyOSJMyVKiAbpko5S2wkG-ZV1uIKoZ</t>
  </si>
  <si>
    <t>Aaron Zebua</t>
  </si>
  <si>
    <t>085275338891</t>
  </si>
  <si>
    <t>aaronsyhapz@gmail:com</t>
  </si>
  <si>
    <t>Konfirmasi terkait Alm Minda Flora Ginting</t>
  </si>
  <si>
    <t>https://drive:google:com/open?id=1OBPn6VSjkAs3ymMM2A4E0gpo7kAmFbYy</t>
  </si>
  <si>
    <t>Fani Yuda Widianto</t>
  </si>
  <si>
    <t>081315351655</t>
  </si>
  <si>
    <t>Sosialisasi</t>
  </si>
  <si>
    <t>https://drive:google:com/open?id=1QUAOkK1KK-QFmc2wcrkdvD6uhRBWYFSn</t>
  </si>
  <si>
    <t>Mardian</t>
  </si>
  <si>
    <t>083835361214</t>
  </si>
  <si>
    <t>BPS Pakpak Bharat</t>
  </si>
  <si>
    <t>https://drive:google:com/open?id=1AwHdPxstByAsCGxcaR8WPHl9h7fwAE59</t>
  </si>
  <si>
    <t>Wulandari Berasa</t>
  </si>
  <si>
    <t>082267709101</t>
  </si>
  <si>
    <t>https://drive:google:com/open?id=1UMuHLwfi9kY_B9Dr2OZEKZrbPTWC6QEX</t>
  </si>
  <si>
    <t>Permintaan Data</t>
  </si>
  <si>
    <t>Sindi Silaban</t>
  </si>
  <si>
    <t>Mitra</t>
  </si>
  <si>
    <t>Mengentry Dokumen</t>
  </si>
  <si>
    <t>https://drive:google:com/open?id=1-plzO0gD7YGL1ppKSany83kMnFHKD1mV</t>
  </si>
  <si>
    <t>ivan dikki</t>
  </si>
  <si>
    <t>081315129335</t>
  </si>
  <si>
    <t>ivandikki7@gmail:com</t>
  </si>
  <si>
    <t>mahasiswa universitas metodis</t>
  </si>
  <si>
    <t>minta data</t>
  </si>
  <si>
    <t>https://drive:google:com/open?id=1_kxj1123yVkuGj5wsR_z1hOhYpdPlf2y</t>
  </si>
  <si>
    <t>Silaturahmi</t>
  </si>
  <si>
    <t>https://drive:google:com/open?id=17TtL2cujckzDgfCMsn6T-uECFrudcgv8</t>
  </si>
  <si>
    <t>Sopan Sopian Sihaloho</t>
  </si>
  <si>
    <t>https://drive:google:com/open?id=1-ryd-3-uIGcSFjGjjMIWE2VzVAJAtVI7</t>
  </si>
  <si>
    <t>Manogu Hutasoit</t>
  </si>
  <si>
    <t>081264960771</t>
  </si>
  <si>
    <t>manoguhutasoit@bps:go:id</t>
  </si>
  <si>
    <t>Pegawai BPS Tapanuli Tengah</t>
  </si>
  <si>
    <t>Mengantar istri melapor ke BPS Dairi</t>
  </si>
  <si>
    <t>https://drive:google:com/open?id=1xy3rBhFPbiaMpWv0cH69X3B1pvZETV2R</t>
  </si>
  <si>
    <t>Wiwik Rahayuni</t>
  </si>
  <si>
    <t>082167692962</t>
  </si>
  <si>
    <t>wiwikrahayuni@bps:go:id</t>
  </si>
  <si>
    <t>BPS Sibolga</t>
  </si>
  <si>
    <t>Melapor ke  BPS Kab Dairi</t>
  </si>
  <si>
    <t>https://drive:google:com/open?id=14o7bTrPF6uyXmfy0aVevhe5PsOiyMyUm</t>
  </si>
  <si>
    <t>Sadariahta Maha</t>
  </si>
  <si>
    <t>085362852836</t>
  </si>
  <si>
    <t>mahasadariahta123@gmail:com</t>
  </si>
  <si>
    <t>Rekrutmen Mitra Susenas</t>
  </si>
  <si>
    <t>https://drive:google:com/open?id=1_WvHjfuCgtPOTEtNbtW_kkc4lf8c0aRu</t>
  </si>
  <si>
    <t>Sinta Naibaho</t>
  </si>
  <si>
    <t>082213945114</t>
  </si>
  <si>
    <t>sintanaibaho41@gmail:com</t>
  </si>
  <si>
    <t>Rekrutmen Susenas</t>
  </si>
  <si>
    <t>https://drive:google:com/open?id=1rJ1QW8Q7Rp5FsVaLyv2HwAAgs4l3Z8oL</t>
  </si>
  <si>
    <t>Yuli</t>
  </si>
  <si>
    <t>081220204868</t>
  </si>
  <si>
    <t>yuli:matondang:ym@gmail:com</t>
  </si>
  <si>
    <t>https://drive:google:com/open?id=14Qu5Nffutnssbsj1I5gmvcyXJlXQayF3</t>
  </si>
  <si>
    <t>Agus Purba</t>
  </si>
  <si>
    <t>081346252545</t>
  </si>
  <si>
    <t>Pelatihan SHP</t>
  </si>
  <si>
    <t>https://drive:google:com/open?id=1cRf7EynHr5iTxAWpJIUuOGbX6x6gU2fD</t>
  </si>
  <si>
    <t>Martin Hutasoit</t>
  </si>
  <si>
    <t>https://drive:google:com/open?id=1skbA2O0NqC-40Y6xnVHz7l3MUGUtpEfx</t>
  </si>
  <si>
    <t>Silvia</t>
  </si>
  <si>
    <t>082160918894</t>
  </si>
  <si>
    <t>silviaardianti52@gmail:com</t>
  </si>
  <si>
    <t>Mengambil Dokumen Pelatihan</t>
  </si>
  <si>
    <t>https://drive:google:com/open?id=15m83Fqqvdk16pWv_jV7no-b3TFN-QKKr</t>
  </si>
  <si>
    <t>hamaska silalahi</t>
  </si>
  <si>
    <t>085335339149</t>
  </si>
  <si>
    <t>hpardiantosilalahi@yahoo:co:id</t>
  </si>
  <si>
    <t>https://drive:google:com/open?id=1zqF2VWr4HRfbnm1_KP_YsMJb2yxaK3Hs</t>
  </si>
  <si>
    <t>opd pemerintah daerah</t>
  </si>
  <si>
    <t>Konsultasi Susenas</t>
  </si>
  <si>
    <t>https://drive:google:com/open?id=1iZLkroXJlGPCb4WbicK_8zbQR2-_kjyo</t>
  </si>
  <si>
    <t>yuli:matondang,ym@gmail:com</t>
  </si>
  <si>
    <t xml:space="preserve">Konsultasi Susenas </t>
  </si>
  <si>
    <t>https://drive:google:com/open?id=15NzRa-f-tZSQBBqCU0CLJGC2L6hJx6Yc</t>
  </si>
  <si>
    <t>Agus Lasmin Purba</t>
  </si>
  <si>
    <t>aguslasminpurba@gmail:com</t>
  </si>
  <si>
    <t>Penyerahan Dokumen Pemutakhiran Susenas</t>
  </si>
  <si>
    <t>https://drive:google:com/open?id=1E9d3pgZlUfH7SF0Cb3VXAwQDonVETxSo</t>
  </si>
  <si>
    <t>Alfonso Sitanggang</t>
  </si>
  <si>
    <t>alfonriositanggang@gmail:com</t>
  </si>
  <si>
    <t>https://drive:google:com/open?id=1jaoJoCrRVXsh9xO4t3Req05tXzQkBX9W</t>
  </si>
  <si>
    <t>Merli Siburian</t>
  </si>
  <si>
    <t>085835162797</t>
  </si>
  <si>
    <t>Permintaan Data Hotel di Kabupaten  Dairi</t>
  </si>
  <si>
    <t>https://drive:google:com/open?id=1c2jljMOgO0CtU7akovOGOcWw--wsgzqn</t>
  </si>
  <si>
    <t>Dedi Berutu</t>
  </si>
  <si>
    <t>081263046667</t>
  </si>
  <si>
    <t>Permintaan data hotel di kabupaten dairi</t>
  </si>
  <si>
    <t>https://drive:google:com/open?id=1vKWcEmP05cwyKxhQjklf8X20cK2-4J7f</t>
  </si>
  <si>
    <t>Mengantar dokumen susenas</t>
  </si>
  <si>
    <t>https://drive:google:com/open?id=15nMYKE4NdsPexhpCl5D4CH7BpRCUa9zi</t>
  </si>
  <si>
    <t>Anne Siburian</t>
  </si>
  <si>
    <t>082277456020</t>
  </si>
  <si>
    <t>siburiananne@gmail:com</t>
  </si>
  <si>
    <t>https://drive:google:com/open?id=1EgF5rg2zbBR4lStnAOimcPhO7qXcxsKN</t>
  </si>
  <si>
    <t>Terkait susenas</t>
  </si>
  <si>
    <t>https://drive:google:com/open?id=1FsppJMzV3G48uKM32TDzokvxvI4IvBEd</t>
  </si>
  <si>
    <t>anggara sinurat</t>
  </si>
  <si>
    <t>082160987894</t>
  </si>
  <si>
    <t>anggarasinurat@gmail:com</t>
  </si>
  <si>
    <t>https://drive:google:com/open?id=12KBAvTDP1roozr07Ie8db7b3pPswy9SM</t>
  </si>
  <si>
    <t>opd pemerintah</t>
  </si>
  <si>
    <t>rina wati tambunan</t>
  </si>
  <si>
    <t>082368242454</t>
  </si>
  <si>
    <t>rinawatitambunan123@gmail:com</t>
  </si>
  <si>
    <t>https://drive:google:com/open?id=1ZC3iuanWqIDBrrI-wuGVENFtqFUN7jY4</t>
  </si>
  <si>
    <t>Inspektorat</t>
  </si>
  <si>
    <t>elpi sembiring</t>
  </si>
  <si>
    <t>082370987858</t>
  </si>
  <si>
    <t>Elpiyonika_S@yahoo:com</t>
  </si>
  <si>
    <t>https://drive:google:com/open?id=10UDZXvbKv_mdSS5WgoPYTeinqm-U2PgN</t>
  </si>
  <si>
    <t>kominfo dairi(opd)</t>
  </si>
  <si>
    <t>deddy situmorang</t>
  </si>
  <si>
    <t>082160565656</t>
  </si>
  <si>
    <t>situmorangdeddy@gmail:com</t>
  </si>
  <si>
    <t>capil</t>
  </si>
  <si>
    <t>Dukcapil</t>
  </si>
  <si>
    <t>robin bintang</t>
  </si>
  <si>
    <t>082163754822</t>
  </si>
  <si>
    <t>bintangrobin1212@gmail:com</t>
  </si>
  <si>
    <t>pt poj</t>
  </si>
  <si>
    <t>korlap poj</t>
  </si>
  <si>
    <t>https://drive:google:com/open?id=1GD-Mg0Dg3Wo6QSwxwcMOtMiK5Emswx-N</t>
  </si>
  <si>
    <t>daniel piere sebayang</t>
  </si>
  <si>
    <t>+62 813-5007-6980</t>
  </si>
  <si>
    <t>https://drive.google.com/open?id=1LD4PMm_buzBG-jdsyKTW92KdUQ3hNsIE</t>
  </si>
  <si>
    <t>Permintaan Peta desa dan dusun Kuta gamber kecamatan tanah pinem</t>
  </si>
  <si>
    <t>tetty rr situmorang</t>
  </si>
  <si>
    <t xml:space="preserve"> tetty71situmorang@gmail.com</t>
  </si>
  <si>
    <t>Henni N Tumangger</t>
  </si>
  <si>
    <t>081366874656</t>
  </si>
  <si>
    <t>hennytumangger@gamai:com</t>
  </si>
  <si>
    <t>Kampus Universitas Samudera</t>
  </si>
  <si>
    <t>https://drive:google:com/open?id=1Kl0uWkDfu5K3DRU7hzouzBBICVMZEvF8</t>
  </si>
  <si>
    <t>Manontong Siagian</t>
  </si>
  <si>
    <t>085337772833</t>
  </si>
  <si>
    <t>kp2kpsidikalang@gmail:com</t>
  </si>
  <si>
    <t>Kantor Pajak Sidikalang</t>
  </si>
  <si>
    <t>Koordinasi dan Undangan Kegiatan Edukasi Perpajakan</t>
  </si>
  <si>
    <t>https://drive:google:com/open?id=18-0d0ipxxWF2Cz4HauSGK4uYso725_j0</t>
  </si>
  <si>
    <t>Fery Alberto Marpaung</t>
  </si>
  <si>
    <t>085280051265</t>
  </si>
  <si>
    <t>feryalberto@gmail:com</t>
  </si>
  <si>
    <t>KPKNL</t>
  </si>
  <si>
    <t>Pelaksanaan Lelang</t>
  </si>
  <si>
    <t>https://drive:google:com/open?id=1lOjsKF_Ct79gA-3KzH64di42e4qAx15U</t>
  </si>
  <si>
    <t>Tulus Pardamean Tarihoran</t>
  </si>
  <si>
    <t>085362842171</t>
  </si>
  <si>
    <t>tarihoran455@gmail:com</t>
  </si>
  <si>
    <t>Konfirmasi dengan Kepala Kantor</t>
  </si>
  <si>
    <t>https://drive:google:com/open?id=1RlCjoO89VZDljsjCKy9LBQV-K7Txmrma</t>
  </si>
  <si>
    <t>Yanne Berenadekta Hutasoit</t>
  </si>
  <si>
    <t>082271009952</t>
  </si>
  <si>
    <t>yannebernadekta02@gmail:com</t>
  </si>
  <si>
    <t>ITERA</t>
  </si>
  <si>
    <t>Pengambilan Data Penduduk</t>
  </si>
  <si>
    <t>https://drive:google:com/open?id=1-JtelwHMrvdxisP71KQQBlKBvVrGUZFM</t>
  </si>
  <si>
    <t>Intan Lumbangaol</t>
  </si>
  <si>
    <t>082230857313</t>
  </si>
  <si>
    <t>intanlumbangaol944@gmail:com</t>
  </si>
  <si>
    <t>SMA Negri 1 Sidikalang</t>
  </si>
  <si>
    <t>Permintaan Data Penduduk</t>
  </si>
  <si>
    <t>https://drive:google:com/open?id=1L-QhO03WhX_ztaWJP5WMtCyTyukj1IGp</t>
  </si>
  <si>
    <t>krisdayantimanik100@gmai:com</t>
  </si>
  <si>
    <t>Pengambilan Data Komposisi Pemerintahan Kab: Dairi</t>
  </si>
  <si>
    <t>https://drive:google:com/open?id=1OxXVnjiIwXtXUqTLtKoaN535TzNGT76g</t>
  </si>
  <si>
    <t>Lia Sembiring</t>
  </si>
  <si>
    <t>082160047267</t>
  </si>
  <si>
    <t>Liamarisa37@gmail:com</t>
  </si>
  <si>
    <t>Hotel Radison Medan</t>
  </si>
  <si>
    <t>Pengajuan Kerja Sama</t>
  </si>
  <si>
    <t>https://drive:google:com/open?id=1tiT_UfYDVOtK4xnpGN76vqd4cnFBHl9K</t>
  </si>
  <si>
    <t>Putra</t>
  </si>
  <si>
    <t>089643372353</t>
  </si>
  <si>
    <t>putralesmana68@gmail:com</t>
  </si>
  <si>
    <t>BPJS Ketenagakerjaan</t>
  </si>
  <si>
    <t>Sosialisa Data Petugas ST 2024</t>
  </si>
  <si>
    <t>https://drive:google:com/open?id=1mZFFzvdCNrGBXRQH8304MfBG6mXRwuD1</t>
  </si>
  <si>
    <t>Surya Lestari</t>
  </si>
  <si>
    <t>082361883367</t>
  </si>
  <si>
    <t>lesytarisurya76@yahoo:com</t>
  </si>
  <si>
    <t>Kordinasi Data DDA</t>
  </si>
  <si>
    <t>https://drive:google:com/open?id=1uU6jUXKY1IHu7uHgsdmQMBjOhpqUE8Ck</t>
  </si>
  <si>
    <t>Hendrik Tinambunan</t>
  </si>
  <si>
    <t>085296203882</t>
  </si>
  <si>
    <t>john_dayaxx@yahoo:com</t>
  </si>
  <si>
    <t>meminta data DDA</t>
  </si>
  <si>
    <t>https://drive:google:com/open?id=1zF_vfphiPDjIzW2yadi_sQ7p35aHDg0g</t>
  </si>
  <si>
    <t>Merni Novita Sinaga</t>
  </si>
  <si>
    <t>081269949874</t>
  </si>
  <si>
    <t>mernisinaga5@gmail:com</t>
  </si>
  <si>
    <t>Mahasiswa</t>
  </si>
  <si>
    <t xml:space="preserve">Pengambilan Data </t>
  </si>
  <si>
    <t>https://drive:google:com/open?id=1q5Z-AzssOZx4-uO2SCl0KgJcEM3yqbRd</t>
  </si>
  <si>
    <t>Soryalam Sianipar</t>
  </si>
  <si>
    <t>081262651513</t>
  </si>
  <si>
    <t>Desa Kalang</t>
  </si>
  <si>
    <t>https://drive:google:com/open?id=1GWWTl0qd7Y9hST9blzuO1Pa2K4xMYiuE</t>
  </si>
  <si>
    <t xml:space="preserve">Tomy Sembiring </t>
  </si>
  <si>
    <t>081263311001</t>
  </si>
  <si>
    <t>Tomycardo@gmail:com</t>
  </si>
  <si>
    <t xml:space="preserve">Permintaan data jumlah penduduk miskin dan jumlah produk domestik bruto </t>
  </si>
  <si>
    <t>https://drive:google:com/open?id=1M0F2UVF1fsQFSp8iE0ASp7Qx5skukYfQ</t>
  </si>
  <si>
    <t xml:space="preserve">Sartika Yuni Padang </t>
  </si>
  <si>
    <t>082185188248</t>
  </si>
  <si>
    <t xml:space="preserve">Mahasiswa </t>
  </si>
  <si>
    <t xml:space="preserve">Permintaan data pendidikan </t>
  </si>
  <si>
    <t>https://drive:google:com/open?id=1spHqRTt3Lj_aRKoQ_gwmRb_Zm0PTfLgR</t>
  </si>
  <si>
    <t>Anita sinambela</t>
  </si>
  <si>
    <t>anitasinambela27@gmail:com</t>
  </si>
  <si>
    <t>https://drive:google:com/open?id=1nTnFnkujcADQfuFqz9jg2LL22HC37-rM</t>
  </si>
  <si>
    <t>Data PDRB</t>
  </si>
  <si>
    <t>Dinas Lingkungan Hidup</t>
  </si>
  <si>
    <t>Elianto C: Bancin</t>
  </si>
  <si>
    <t>https://drive:google:com/open?id=1cWcgqtGSlW6_O8MT1sYwsRKaVsEuu5dd</t>
  </si>
  <si>
    <t>Permintaan Data Peta</t>
  </si>
  <si>
    <t>Dinas Pertanian, Ketahanan Pangan dan Perikanan</t>
  </si>
  <si>
    <t>Rikardo Situmorang</t>
  </si>
  <si>
    <t>081319953515</t>
  </si>
  <si>
    <t>cioustumorank@gmail:com</t>
  </si>
  <si>
    <t>https://drive:google:com/open?id=10TgP39QCqcSZFpQcwaMxAyg8jSUrD7Ow</t>
  </si>
  <si>
    <t>Hotlen Lumbangaol</t>
  </si>
  <si>
    <t>082181091862</t>
  </si>
  <si>
    <t>Permintaan peta</t>
  </si>
  <si>
    <t>https://drive:google:com/open?id=1W_uNFbWyv52_QQs4Qil2ffyABlEPv_-r</t>
  </si>
  <si>
    <t>Peta Desa Bunturaja</t>
  </si>
  <si>
    <t>Pemerintah Desa Bunturaja</t>
  </si>
  <si>
    <t>Joni Pantur Sinaga</t>
  </si>
  <si>
    <t>081377016478</t>
  </si>
  <si>
    <t>https://drive:google:com/open?id=1ZArQxbK7UH1lgeBKNsgcbSnnXK37kgJn</t>
  </si>
  <si>
    <t>Koordinasi Desa Cantik</t>
  </si>
  <si>
    <t>Desa Bakal Julu</t>
  </si>
  <si>
    <t>Johannes Simbolon</t>
  </si>
  <si>
    <t>081362456745</t>
  </si>
  <si>
    <t>johanrimbang@gmail:com</t>
  </si>
  <si>
    <t>https://drive:google:com/open?id=1naTRMv8Qqlg-PiKSfZsVSAu9QgrbqgXv</t>
  </si>
  <si>
    <t>FKP</t>
  </si>
  <si>
    <t>Polres Dairi</t>
  </si>
  <si>
    <t>Lasma Samosir</t>
  </si>
  <si>
    <t>081265494169</t>
  </si>
  <si>
    <t>samosirlasma657@gmail:com</t>
  </si>
  <si>
    <t>https://drive:google:com/open?id=1u7WpDVIDxbLdSScpqVy-qDJJMMLoCZR0</t>
  </si>
  <si>
    <t>Membahas Indikator Makro</t>
  </si>
  <si>
    <t>Ronald Panggabean</t>
  </si>
  <si>
    <t>081260818934</t>
  </si>
  <si>
    <t>ronald:rp43@gmail:com</t>
  </si>
  <si>
    <t>https://drive:google:com/open?id=1yQOzdybWhBsyQAX-JndNPRMdXkMKTT5z</t>
  </si>
  <si>
    <t>Data panjang jalan</t>
  </si>
  <si>
    <t>Dinas Pendidikan</t>
  </si>
  <si>
    <t xml:space="preserve">Yessica Thania Silaban </t>
  </si>
  <si>
    <t>085761292302</t>
  </si>
  <si>
    <t>yessicasilaban123@gmail:com</t>
  </si>
  <si>
    <t>https://drive:google:com/open?id=1qoZ6n6FjkxCAkQ6jQzSVSzm3k1AleUMh</t>
  </si>
  <si>
    <t>Mahasiswa USU</t>
  </si>
  <si>
    <t>Yuli Greace C: Turnip</t>
  </si>
  <si>
    <t>082280280905</t>
  </si>
  <si>
    <t>cesiliaturnip18@gmail:com</t>
  </si>
  <si>
    <t>https://drive:google:com/open?id=11gzLSSbKwIzSzY_05yHAa4wZ1rYI6HOK</t>
  </si>
  <si>
    <t>Melinda Angkat</t>
  </si>
  <si>
    <t>081265587429</t>
  </si>
  <si>
    <t>melindaangkat49@gmail:com</t>
  </si>
  <si>
    <t>https://drive:google:com/open?id=1zoJvgBnN4jB-R4zZOsb1e2BojBunif_3</t>
  </si>
  <si>
    <t>Universitas Negeri Medan</t>
  </si>
  <si>
    <t>Kevin Marzuki Sianturi</t>
  </si>
  <si>
    <t>085761774611</t>
  </si>
  <si>
    <t>kevinsianturi507@gmail:com</t>
  </si>
  <si>
    <t>https://drive:google:com/open?id=1Nkg8lndoF8taOmzsMP0OW6csAJi0lgEx</t>
  </si>
  <si>
    <t>Adesiana Sihombing</t>
  </si>
  <si>
    <t>082287137699</t>
  </si>
  <si>
    <t>adesianasihombing2020@gmail:com</t>
  </si>
  <si>
    <t>https://drive:google:com/open?id=1WjiYssm3eJ3wAvuAZvc2oBpggglNvMsN</t>
  </si>
  <si>
    <t>Ayu Lestari Sitohang</t>
  </si>
  <si>
    <t>082263782166</t>
  </si>
  <si>
    <t>sitohangayu5@gmail:cok</t>
  </si>
  <si>
    <t>https://drive:google:com/open?id=1jOFMcxFj1JFoltV_U9Hc8EC-4WDXPV9g</t>
  </si>
  <si>
    <t>Henra Esteria Lumban Gaol</t>
  </si>
  <si>
    <t>085245386310</t>
  </si>
  <si>
    <t>henraesterialg@gmail:com</t>
  </si>
  <si>
    <t>https://drive:google:com/open?id=15X-X_KNj88vABJili38WX_GSVuQEOS_F</t>
  </si>
  <si>
    <t>Dinas Pariwisata Kebudayaan Pemuda Dan Olahraga</t>
  </si>
  <si>
    <t>Irvin Siahaan</t>
  </si>
  <si>
    <t>081375628504</t>
  </si>
  <si>
    <t>https://drive:google:com/open?id=16Gy99HR88EMJfbfj787LOvDzpYP0XaFo</t>
  </si>
  <si>
    <t>Data geografi, penduduk, pertanian, potensi daerah</t>
  </si>
  <si>
    <t>SMA Pradita Dirgantara</t>
  </si>
  <si>
    <t>089611586805</t>
  </si>
  <si>
    <t>Erachmawati96@gmail:com</t>
  </si>
  <si>
    <t>https://drive:google:com/open?id=1353NiYyyDigvThe0zz31LuUJ-0_agdke</t>
  </si>
  <si>
    <t>PPKK FISIPOL UGM</t>
  </si>
  <si>
    <t>Modesta Sitepu</t>
  </si>
  <si>
    <t>081265750796</t>
  </si>
  <si>
    <t>modestasitepu3004@gmail:com</t>
  </si>
  <si>
    <t>Dinas Perpustakaan dan arsip provsu</t>
  </si>
  <si>
    <t>Terbitan Bps</t>
  </si>
  <si>
    <t>https://drive:google:com/open?id=1AigRVoh4mtEJBtzYktshwv94IVoPBs-o</t>
  </si>
  <si>
    <t>Dinas Perpustakaan Provsu</t>
  </si>
  <si>
    <t>Edy primsa brahmana</t>
  </si>
  <si>
    <t>08126445801</t>
  </si>
  <si>
    <t>primsaedy@gmail:com</t>
  </si>
  <si>
    <t>https://drive:google:com/open?id=1SLLqPPsIW87pxdotL5tv6nb9YhcSXiTN</t>
  </si>
  <si>
    <t>Bank Sumut</t>
  </si>
  <si>
    <t>088263782166</t>
  </si>
  <si>
    <t>sitohangayu5@gmail:com</t>
  </si>
  <si>
    <t>Mahasiswa Unimed</t>
  </si>
  <si>
    <t>https://drive:google:com/open?id=1SBIa-45lBhJNp0xVnNAEYxPESLOnXw9Z</t>
  </si>
  <si>
    <t>Kevin Sianturi</t>
  </si>
  <si>
    <t>kevinsianturi5@gmail:com</t>
  </si>
  <si>
    <t>https://drive:google:com/open?id=1WhZfmY6eDJiPyyqS-3z9N995mo6iDYCa</t>
  </si>
  <si>
    <t>Juniar Sinaga</t>
  </si>
  <si>
    <t>081260205262</t>
  </si>
  <si>
    <t>juniar_7naga@yahoo:com</t>
  </si>
  <si>
    <t>https://drive:google:com/open?id=1XRDkTfYslQPWPgv8A83DrHMeQMWhi6o6</t>
  </si>
  <si>
    <t>KCDA</t>
  </si>
  <si>
    <t>UPTD KPH WILAYAH XIV SIDIKALANG</t>
  </si>
  <si>
    <t>Maruari Sitompul</t>
  </si>
  <si>
    <t>081361396321</t>
  </si>
  <si>
    <t>maruaris@yahoo:co:id</t>
  </si>
  <si>
    <t>https://drive:google:com/open?id=15TLTKE47iHrxINti3zmX8EwmFbr9gMQ3</t>
  </si>
  <si>
    <t>Poltak Sitanggang</t>
  </si>
  <si>
    <t>082247424514</t>
  </si>
  <si>
    <t>poltaksitanggang1235@gmail:com</t>
  </si>
  <si>
    <t>https://drive:google:com/open?id=1WA9LGcy-haOBYRtxMHEfk3GPt3TXhWRm</t>
  </si>
  <si>
    <t>Cristian bonar togatorop</t>
  </si>
  <si>
    <t>087890402305</t>
  </si>
  <si>
    <t>cristianbonart@gmail:com</t>
  </si>
  <si>
    <t>SMA NEGERI 1 SIDIKALANG</t>
  </si>
  <si>
    <t>https://drive:google:com/open?id=1G2F_kkgawHJsWwd17RlHLmkN59opSu6f</t>
  </si>
  <si>
    <t>Pendapatan perkapita 5 tahun terahir</t>
  </si>
  <si>
    <t>Reyvan Limbong</t>
  </si>
  <si>
    <t>082160754269</t>
  </si>
  <si>
    <t>reyvanlimbong2007@gmail:com</t>
  </si>
  <si>
    <t>https://drive:google:com/open?id=1vsIBjXUgt_eIyiZyVYhPQIbQqrjLJdN8</t>
  </si>
  <si>
    <t>Gaberiel jordan hutauruk</t>
  </si>
  <si>
    <t>083138466215</t>
  </si>
  <si>
    <t>hutaurukgaberiel@gmail:com</t>
  </si>
  <si>
    <t>https://drive:google:com/open?id=1xNtStJkJkiH47FxAOIvwpKo9rwqAxRs1</t>
  </si>
  <si>
    <t xml:space="preserve">Rachel C Piter </t>
  </si>
  <si>
    <t>089526474538</t>
  </si>
  <si>
    <t>pitercaca70@gmail:com</t>
  </si>
  <si>
    <t>Tugas Ekonomi</t>
  </si>
  <si>
    <t>https://drive:google:com/open?id=1lZ8ePE-OLx0lNToZTAOYbIIJKtMydgyC</t>
  </si>
  <si>
    <t>Manuel Hadinata Purba</t>
  </si>
  <si>
    <t>081360933567</t>
  </si>
  <si>
    <t>manuelhadinata92@yahoo:com</t>
  </si>
  <si>
    <t>Konsultasi dengan sangap</t>
  </si>
  <si>
    <t>https://drive:google:com/open?id=18JdD6i0oKzK9WI8d4D1jf1ZVeXa8Iwan</t>
  </si>
  <si>
    <t>Romedi Bangun</t>
  </si>
  <si>
    <t>https://drive:google:com/open?id=1y4VCvfCc1n-TRllAgMsxqm9kInE56TF0</t>
  </si>
  <si>
    <t>Sudah Lengkap</t>
  </si>
  <si>
    <t>Gabriel Simamora</t>
  </si>
  <si>
    <t>087868816287</t>
  </si>
  <si>
    <t>gabrielsimamora51@gmail:com</t>
  </si>
  <si>
    <t>https://drive:google:com/open?id=1auz4qjogylOU60bN-sBlqVYUn3_En4nq</t>
  </si>
  <si>
    <t>Pian Waruwu</t>
  </si>
  <si>
    <t>082276867742</t>
  </si>
  <si>
    <t>oktapianuswar@gmail:com</t>
  </si>
  <si>
    <t>https://drive:google:com/open?id=1bJRv5ZzsxUsFXzHTxIaKgNQ5rELx6svV</t>
  </si>
  <si>
    <t>OPD</t>
  </si>
  <si>
    <t>Saulina Damanik</t>
  </si>
  <si>
    <t>085360933877</t>
  </si>
  <si>
    <t>dinasaormanik@gmail:com</t>
  </si>
  <si>
    <t>https://drive:google:com/open?id=1dQRisUm6wvn_k2duwDtvydUXMTzeR-iV</t>
  </si>
  <si>
    <t>Badan Pendapatan Daerah</t>
  </si>
  <si>
    <t>Vivian sihombing</t>
  </si>
  <si>
    <t>081269394997</t>
  </si>
  <si>
    <t>vivianjunita2001@gmail:com</t>
  </si>
  <si>
    <t>https://drive:google:com/open?id=1DlRks6juhaKyAs4WApmjpDGGBoAeUxEc</t>
  </si>
  <si>
    <t>iman:simanjuntak@kemenkeu:go:id</t>
  </si>
  <si>
    <t>https://drive:google:com/open?id=125rZeaQ-I6OlIFSa90-T-m0BQlZEYrd6</t>
  </si>
  <si>
    <t>Lengkap</t>
  </si>
  <si>
    <t>Tetty Situmorang</t>
  </si>
  <si>
    <t>https://drive:google:com/open?id=1FsRowd7wYFla-F_WGQ0cbK3Kql3seA6I</t>
  </si>
  <si>
    <t>Data Penduduk</t>
  </si>
  <si>
    <t>Elfrida Sihombing</t>
  </si>
  <si>
    <t>08126379130</t>
  </si>
  <si>
    <t>efridasihombing4@gmail:com</t>
  </si>
  <si>
    <t>https://drive:google:com/open?id=1BNlLSMsLB3kjtRp8WORMbIXraHYCa7K2</t>
  </si>
  <si>
    <t>dediisnani@gmail:com</t>
  </si>
  <si>
    <t>https://drive:google:com/open?id=1ByOcKIo2PImVtqdYqyXqAAcCpEV81t99</t>
  </si>
  <si>
    <t>Rekomendasi Statistik</t>
  </si>
  <si>
    <t>Dinas Pariwisata</t>
  </si>
  <si>
    <t>0812667876543</t>
  </si>
  <si>
    <t>desisusanto@gamil:com</t>
  </si>
  <si>
    <t>https://drive:google:com/open?id=1xUazERywyMdb0KWCd9iYsHvBVHqobqY2</t>
  </si>
  <si>
    <t>Nova Situngkir</t>
  </si>
  <si>
    <t>novasitungkir@gnail:com</t>
  </si>
  <si>
    <t>https://drive:google:com/open?id=1IFLy9cnk0jRF60P7f6piL1WVeHj8oHJG</t>
  </si>
  <si>
    <t xml:space="preserve">Rekomendasi Statistik </t>
  </si>
  <si>
    <t xml:space="preserve">Dinas Pariwisata </t>
  </si>
  <si>
    <t>Saorlenny Sianturi</t>
  </si>
  <si>
    <t>081365735191</t>
  </si>
  <si>
    <t>lennysianturi60@gmail:com</t>
  </si>
  <si>
    <t>Utusan dari Dinas untuk kelapangan</t>
  </si>
  <si>
    <t>https://drive:google:com/open?id=18u9DU2vruuyQ5MLX5HqIZp49dZguEacb</t>
  </si>
  <si>
    <t>Sensus kelapangan</t>
  </si>
  <si>
    <t>Disperindakop</t>
  </si>
  <si>
    <t>Desi Natasari Berutu</t>
  </si>
  <si>
    <t>082274035257</t>
  </si>
  <si>
    <t>nathasari:berutu@gmail:com</t>
  </si>
  <si>
    <t>Utusan Dari Dinas Ke lapangan</t>
  </si>
  <si>
    <t>https://drive:google:com/open?id=154rUyBsa-qI1tj5ApFgGWyFKDTW5UQOw</t>
  </si>
  <si>
    <t>Turun Sensus kelapangan</t>
  </si>
  <si>
    <t>Lolo romianna angkat</t>
  </si>
  <si>
    <t>081262947291</t>
  </si>
  <si>
    <t>lolo:r:angkat@gmail:com</t>
  </si>
  <si>
    <t>Utusan dari dinas untuk ke lapangan</t>
  </si>
  <si>
    <t>https://drive:google:com/open?id=1CSg8RCTGmbbtkrT1ZO97vpUTag0wS1T7</t>
  </si>
  <si>
    <t>Utusan dari dinas untuk turun kelapangan</t>
  </si>
  <si>
    <t>Benget silitonga</t>
  </si>
  <si>
    <t>082246987648</t>
  </si>
  <si>
    <t>benget:silitonga12@gmail:com</t>
  </si>
  <si>
    <t>https://drive:google:com/open?id=1Vj9yM9euTXPxuSt7YsB4P1CtiRj1sYE1</t>
  </si>
  <si>
    <t>:</t>
  </si>
  <si>
    <t>David Hutasoit</t>
  </si>
  <si>
    <t>0895622907390</t>
  </si>
  <si>
    <t>davidhutasoitd@gmail:com</t>
  </si>
  <si>
    <t>https://drive:google:com/open?id=1A5-KT4VmrPwIyYG99N8mMKPLeYru7b0d</t>
  </si>
  <si>
    <t>Nelson mordehai samosir</t>
  </si>
  <si>
    <t>082274293082</t>
  </si>
  <si>
    <t>nelsonsamosir36@gmail:com</t>
  </si>
  <si>
    <t>https://drive:google:com/open?id=1yhYtHjjeV21KMnxuCK9zyPQ_3xBZAzIY</t>
  </si>
  <si>
    <t>Imam Setiawan</t>
  </si>
  <si>
    <t>085276934604</t>
  </si>
  <si>
    <t>Iemmaem@gmail:com</t>
  </si>
  <si>
    <t>PT: POJ</t>
  </si>
  <si>
    <t>https://drive:google:com/open?id=1KqZYJ9qrytkaQ62vAUixB5RM8vvgKQB9</t>
  </si>
  <si>
    <t>Sosialisasi TAD</t>
  </si>
  <si>
    <t>PT: Pesonna Optima Jasa</t>
  </si>
  <si>
    <t>Hotliana Lumban Batu</t>
  </si>
  <si>
    <t>https://drive:google:com/open?id=1S8BjAXbL8Za7j0HPNOmnphsBmGpKgiek</t>
  </si>
  <si>
    <t>Dinas Kominfo</t>
  </si>
  <si>
    <t>Irvi Munthe</t>
  </si>
  <si>
    <t>082163662312</t>
  </si>
  <si>
    <t>irvimunte98@gmail:com</t>
  </si>
  <si>
    <t>https://drive:google:com/open?id=1wfhbnfPKQL4QOIPoA3fgubAYkSu4pAH8</t>
  </si>
  <si>
    <t>https://drive:google:com/open?id=1HGjFvykXKNzkGBICe5AG1YatlFIMfHDy</t>
  </si>
  <si>
    <t>https://drive:google:com/open?id=1oyX3QdcDi0mdHavPbeNBPpplkUSGmkJS</t>
  </si>
  <si>
    <t>Anggi Pratiwi</t>
  </si>
  <si>
    <t>082277306594</t>
  </si>
  <si>
    <t>pratiwianggi555@gmail:com</t>
  </si>
  <si>
    <t>https://drive:google:com/open?id=1s-DlkD4twFR2I6bQC4y0ZUqvb0pw_K9X</t>
  </si>
  <si>
    <t>Sarmila Siregar</t>
  </si>
  <si>
    <t>082363131662</t>
  </si>
  <si>
    <t>sarmilaaregar@gmail:com</t>
  </si>
  <si>
    <t>https://drive:google:com/open?id=1gijBv5PYLyD910qdbb9wVSfQBGaGEp-_</t>
  </si>
  <si>
    <t>Tina vanioleta Ginting</t>
  </si>
  <si>
    <t>081375316825</t>
  </si>
  <si>
    <t>tinavanioleta@gmail:com</t>
  </si>
  <si>
    <t>https://drive:google:com/open?id=1gBfu2T_e0dgJqd6wGM2UA4d5Zvg0zOQ_</t>
  </si>
  <si>
    <t>https://drive:google:com/open?id=17M-xxZ02a1QDFGOctVrBJDpcAztLo45K</t>
  </si>
  <si>
    <t>masyarakat</t>
  </si>
  <si>
    <t>https://drive:google:com/open?id=1whbhXEQgqS8OWSUHqMdKuRfBBNRm3-mC</t>
  </si>
  <si>
    <t>Pebrianta Bangun</t>
  </si>
  <si>
    <t>081262886200</t>
  </si>
  <si>
    <t>febrifebrian240@gmail:com</t>
  </si>
  <si>
    <t>https://drive:google:com/open?id=1KcJXRA3iCSvDn3Zukv0aS6i42VCtsNEQ</t>
  </si>
  <si>
    <t>Joel Siburian</t>
  </si>
  <si>
    <t>082166289422</t>
  </si>
  <si>
    <t>joelsiburian241100@gmail:com</t>
  </si>
  <si>
    <t>https://drive:google:com/open?id=17t3AMWxumrMqBk3YIec4NtnQaWW87Rda</t>
  </si>
  <si>
    <t>Idris memori simamora</t>
  </si>
  <si>
    <t>085372768785</t>
  </si>
  <si>
    <t>simamoraaaidrisss@gmail:com</t>
  </si>
  <si>
    <t>https://drive:google:com/open?id=1vCR_aqt5T9K7zuKM4qlyvuIeCA_C-gjr</t>
  </si>
  <si>
    <t>Terkait umat agama katolik yang ada di dairi</t>
  </si>
  <si>
    <t>UNIMED</t>
  </si>
  <si>
    <t>Sara Junita Simangunsong</t>
  </si>
  <si>
    <t>0895369788181</t>
  </si>
  <si>
    <t>sarahjunita186@gmail:com</t>
  </si>
  <si>
    <t>Konsultasi Tentang Mitra</t>
  </si>
  <si>
    <t>Konsultasi Administrasi Mitra</t>
  </si>
  <si>
    <t>https://drive:google:com/open?id=1meh_3qL2i1zcP3-hBbr8MaXXL9pSNjZb</t>
  </si>
  <si>
    <t>tes</t>
  </si>
  <si>
    <t>Margaretta Simangunsong</t>
  </si>
  <si>
    <t>085366764992</t>
  </si>
  <si>
    <t>margarettasong@gmail:com</t>
  </si>
  <si>
    <t>Sekretariat Daerah</t>
  </si>
  <si>
    <t>Mendampingi Bupati Dairi</t>
  </si>
  <si>
    <t>Hadir</t>
  </si>
  <si>
    <t>Sekda</t>
  </si>
  <si>
    <t>Nuraida Tumangger</t>
  </si>
  <si>
    <t>Kemenag</t>
  </si>
  <si>
    <t>Reni Pratiwi</t>
  </si>
  <si>
    <t>https://drive:google:com/open?id=1yyXwxZuB1yyaAolnz1XmWbBHrrn5B0S8</t>
  </si>
  <si>
    <t>https://drive:google:com/open?id=1oMnXp-Nk_B5qi24TeFc58D__MAH4tQ9u</t>
  </si>
  <si>
    <t>Zulkifly Kudadiri</t>
  </si>
  <si>
    <t>dementaria21@gmail:com</t>
  </si>
  <si>
    <t>https://drive:google:com/open?id=1p9gUFZF2Wo59agANFkQdMO8D2IxEgGrY</t>
  </si>
  <si>
    <t>KPPN</t>
  </si>
  <si>
    <t>Marta simamora</t>
  </si>
  <si>
    <t>082167663423</t>
  </si>
  <si>
    <t>marthasimamora23@gmail:com</t>
  </si>
  <si>
    <t>KPPN SIDIKALANG</t>
  </si>
  <si>
    <t>https://drive:google:com/open?id=1yfQYbZ-2I_qM1fUzQ77CMR2NT7Bxrn3L</t>
  </si>
  <si>
    <t>Sharing FI WBBM</t>
  </si>
  <si>
    <t xml:space="preserve">Reni wahyuni ningsih </t>
  </si>
  <si>
    <t>085297282877</t>
  </si>
  <si>
    <t>reniwahyu:kantor@gmail:com</t>
  </si>
  <si>
    <t>https://drive:google:com/open?id=1xwkmYf4kp_3eTphvxyVuVh3OVJd5r7vP</t>
  </si>
  <si>
    <t>Nova juliana sianturi</t>
  </si>
  <si>
    <t>081297668814</t>
  </si>
  <si>
    <t>novasianturi@gmail:com</t>
  </si>
  <si>
    <t>https://drive:google:com/open?id=1Nfs26TcRGqPBuv00jxfTu7c1QZ-xWkJf</t>
  </si>
  <si>
    <t>Siska panjaitan</t>
  </si>
  <si>
    <t>081315233962</t>
  </si>
  <si>
    <t>sisca:pjtn@gmail:com</t>
  </si>
  <si>
    <t>https://drive:google:com/open?id=1--vIkQ-L87Z7UNl9O0wnzzmVV93Loh_n</t>
  </si>
  <si>
    <t>David Sitompul</t>
  </si>
  <si>
    <t>082369472230</t>
  </si>
  <si>
    <t>https://drive:google:com/open?id=1B66fTRb3ekelSWtL4mguNRujw8zhBRIt</t>
  </si>
  <si>
    <t>Pander Sinaga</t>
  </si>
  <si>
    <t>08116333393</t>
  </si>
  <si>
    <t>vandersinaga@gmail:com</t>
  </si>
  <si>
    <t>Media</t>
  </si>
  <si>
    <t>https://drive:google:com/open?id=1LU0IZlgHex04jU-2oSGlebDBVZBqfKU4</t>
  </si>
  <si>
    <t>Permintaan Data Balita Per Kecamatan</t>
  </si>
  <si>
    <t>Rizal Sitompul</t>
  </si>
  <si>
    <t xml:space="preserve">Permintaan Data </t>
  </si>
  <si>
    <t>prio arif budiman</t>
  </si>
  <si>
    <t>085736556682</t>
  </si>
  <si>
    <t>prio:arif@bps:gi:id</t>
  </si>
  <si>
    <t>kunjungan ke bps kab dairi</t>
  </si>
  <si>
    <t>https://drive:google:com/open?id=11E3AsTPBJNt83sv2yegGbh23PDCRLvbX</t>
  </si>
  <si>
    <t>kunjumgan dinas</t>
  </si>
  <si>
    <t>azan taro</t>
  </si>
  <si>
    <t>08552555</t>
  </si>
  <si>
    <t>azantaro@bps:go:id</t>
  </si>
  <si>
    <t>https://drive:google:com/open?id=1LIQv4sb_iTYimgzBs-Q1_q1P27H5C1wn</t>
  </si>
  <si>
    <t>kunjungan dinas ke bps kab dairi</t>
  </si>
  <si>
    <t>badan pusat statistik sumatera utara</t>
  </si>
  <si>
    <t>azan sagala</t>
  </si>
  <si>
    <t>08126410312</t>
  </si>
  <si>
    <t>KEMENAK</t>
  </si>
  <si>
    <t>https://drive:google:com/open?id=17J7s7MyX0Q-Qf_fY7G5i6qqRcTNSLDyA</t>
  </si>
  <si>
    <t>Saukum Piliang</t>
  </si>
  <si>
    <t>082364080791</t>
  </si>
  <si>
    <t>Saukumpiliang@gmail:com</t>
  </si>
  <si>
    <t>https://drive:google:com/open?id=1CsUHmCI6wSo29n2bZTLN7S24cxZ8JkAT</t>
  </si>
  <si>
    <t>Rizky Fajar solin</t>
  </si>
  <si>
    <t>081324583377</t>
  </si>
  <si>
    <t>rizki:solin17@gmail:com</t>
  </si>
  <si>
    <t>https://drive:google:com/open?id=17AplDjnHKbHc8PReRM5p7vg7EeBq9_Fx</t>
  </si>
  <si>
    <t>Arif Hakim</t>
  </si>
  <si>
    <t>085723135666</t>
  </si>
  <si>
    <t>arifhakim721@gmail:com</t>
  </si>
  <si>
    <t>https://drive:google:com/open?id=1D_IPUmbQfUhbZX7yDZ7QYvj01PnzAKNI</t>
  </si>
  <si>
    <t>Rudol tamba</t>
  </si>
  <si>
    <t>082282209770</t>
  </si>
  <si>
    <t>rudol:tamba@gmail:com</t>
  </si>
  <si>
    <t>Buku Dairi dalam Angka</t>
  </si>
  <si>
    <t>Terpenuhi</t>
  </si>
  <si>
    <t>LUBER SIANTURI</t>
  </si>
  <si>
    <t>081265848282</t>
  </si>
  <si>
    <t>lubersianturi@gmail:com</t>
  </si>
  <si>
    <t>https://drive:google:com/open?id=1vKrKlvutHgFv-rsDCHcHDtgADxT0dbWv</t>
  </si>
  <si>
    <t>Badpeda</t>
  </si>
  <si>
    <t>akbar:verary91@gmail:com</t>
  </si>
  <si>
    <t>Kabupaten Dairi Dalam Angka 2016</t>
  </si>
  <si>
    <t>Publikasi</t>
  </si>
  <si>
    <t>Kabupaten Dairi Dalam Angka 2017</t>
  </si>
  <si>
    <t>arigenatix26@gmail:com</t>
  </si>
  <si>
    <t>Kabupaten Dairi Dalam Angka 2021</t>
  </si>
  <si>
    <t>Kabupaten Dairi Dalam Angka 2024</t>
  </si>
  <si>
    <t>ratihsihite028@gmail:com</t>
  </si>
  <si>
    <t>rinawati16sibuea@gmail:com</t>
  </si>
  <si>
    <t>srichardo762@gmail:com</t>
  </si>
  <si>
    <t>sinaga:gunawan@gmail:com</t>
  </si>
  <si>
    <t>yosephine:2010@gmail:com</t>
  </si>
  <si>
    <t>tomi:situmorang@gmail:com</t>
  </si>
  <si>
    <t>manarsarmarisihalomoansiburian@gmail:com</t>
  </si>
  <si>
    <t>alvanriussembiring@gmail:com</t>
  </si>
  <si>
    <t>Kecamatan Gunung Sitember Dalam Angka 2024</t>
  </si>
  <si>
    <t>faucouldnahampun@gmail:com</t>
  </si>
  <si>
    <t>Kecamatan Sidikalang Dalam Angka 2020</t>
  </si>
  <si>
    <t>nahampuncharles1491@gmail:com</t>
  </si>
  <si>
    <t>Kecamatan Tanah Pinem Dalam Angka 2024</t>
  </si>
  <si>
    <t>Kecamatan Tiga Lingga Dalam Angka 2024</t>
  </si>
  <si>
    <t>lendiraselvy22@gmail:com</t>
  </si>
  <si>
    <t>juando:siallagan@bps:go:id</t>
  </si>
  <si>
    <t>Indeks Pembangunan Manusia (IPM) Kabupaten Dairi Tahun 2024</t>
  </si>
  <si>
    <t>BRS</t>
  </si>
  <si>
    <t>gracesigalingging922@gmail:com</t>
  </si>
  <si>
    <t>Indikator Kesejahteraan Rakyat Kabupaten Dairi Tahun 2024</t>
  </si>
  <si>
    <t>gracelusyanasigalingging@gmail:com</t>
  </si>
  <si>
    <t>gracesigalingging822@gmail:com</t>
  </si>
  <si>
    <t>enjelnadya9@gmail:com</t>
  </si>
  <si>
    <t>gracesigalingging822@gmail:con</t>
  </si>
  <si>
    <t>dwi030902@gmail:com</t>
  </si>
  <si>
    <t>Kecamatan Parbuluan Dalam Angka 2024</t>
  </si>
  <si>
    <t>smartinaelfira@gmail:com</t>
  </si>
  <si>
    <t>evelinngln123@gmail:com</t>
  </si>
  <si>
    <t>Hasil Pencacahan Lengkap Sensus Pertanian 2024 - Tahap I Kabupaten Dairi</t>
  </si>
  <si>
    <t>juando:siallagan@gmail:com</t>
  </si>
  <si>
    <t>pengawas1210@gmail:com</t>
  </si>
  <si>
    <t>jokosuhada@gmail:com</t>
  </si>
  <si>
    <t>hartami:kautsar@kubika:id</t>
  </si>
  <si>
    <t>mardossitorus85@gmail:com</t>
  </si>
  <si>
    <t>Kecamatan Sidikalang Dalam Angka 2021</t>
  </si>
  <si>
    <t>Kecamatan Sidikalang Dalam Angka 2022</t>
  </si>
  <si>
    <t>Kecamatan Sidikalang Dalam Angka 2024</t>
  </si>
  <si>
    <t>fransujung92@gmail:com</t>
  </si>
  <si>
    <t>Kabupaten Dairi Dalam Angka 2020</t>
  </si>
  <si>
    <t>azhrioktavian@gmail:com</t>
  </si>
  <si>
    <t>Kabupaten Dairi Dalam Angka 2022</t>
  </si>
  <si>
    <t>sartikapdng@gmail:com</t>
  </si>
  <si>
    <t>herdianpurba2018@gmail:com</t>
  </si>
  <si>
    <t>rivaldi@bps:go:id</t>
  </si>
  <si>
    <t>anak_ik@yahoo:com</t>
  </si>
  <si>
    <t>free4nto@yahoo:co:id</t>
  </si>
  <si>
    <t>john_dayax@yahoo:com</t>
  </si>
  <si>
    <t>ipdsdairikab@gmail:com</t>
  </si>
  <si>
    <t>david:pasaribu@bps:go:id</t>
  </si>
  <si>
    <t>afifaaaassss@gmail:com</t>
  </si>
  <si>
    <t>jenny79:siagian@gmail:com</t>
  </si>
  <si>
    <t>katarinasianipar01@gmail:com</t>
  </si>
  <si>
    <t>benrisipayung373@yahoo:com</t>
  </si>
  <si>
    <t>pmstoba@gmail:com</t>
  </si>
  <si>
    <t>ortaladairikab@gmail:com</t>
  </si>
  <si>
    <t>mangihutpakpahan@gmail:com</t>
  </si>
  <si>
    <t>jeksonbutar2903@gmail:com</t>
  </si>
  <si>
    <t>bintangmelva9@gmail:com</t>
  </si>
  <si>
    <t>Bintangmelva9@gmail:com</t>
  </si>
  <si>
    <t>handokosidabutar18@gmail:com</t>
  </si>
  <si>
    <t>bps1216@gmail:com</t>
  </si>
  <si>
    <t>Ekonomi Kabupaten Dairi Tahun-2022 terhadap Tahun-2021 mengalami pertumbuhan sebesar 4,21 persen (y-on-y)</t>
  </si>
  <si>
    <t>ekahermawan1991@gmail:com</t>
  </si>
  <si>
    <t>davidpasaribu1982@gmail:com</t>
  </si>
  <si>
    <t>tegguhpratama4@gmail:com</t>
  </si>
  <si>
    <t>Kabupaten Dairi Dalam Angka 2019</t>
  </si>
  <si>
    <t>ekondairi@gmail:com</t>
  </si>
  <si>
    <t>sihombingeriko@gmail:com</t>
  </si>
  <si>
    <t>sotung:tum@gmail:com</t>
  </si>
  <si>
    <t>panjaitansonia3@gmail:com</t>
  </si>
  <si>
    <t>bertonsigalingging@gmail:com</t>
  </si>
  <si>
    <t>avans1209@gmail:com</t>
  </si>
  <si>
    <t>sabay_turi@yahoo:co:id</t>
  </si>
  <si>
    <t>DJJAL@DADKJ:COM</t>
  </si>
  <si>
    <t>juliawansamsir@yahoo:com</t>
  </si>
  <si>
    <t>212011478@stis:ac:id</t>
  </si>
  <si>
    <t>franciscawenny@gmail:com</t>
  </si>
  <si>
    <t>advendsimbolon07@Gmail:com</t>
  </si>
  <si>
    <t>situmorangellys4@gmail:com</t>
  </si>
  <si>
    <t>axioapr@duck:com</t>
  </si>
  <si>
    <t>almabrurah0702@gmail:com</t>
  </si>
  <si>
    <t>Kecamatan Berampu Dalam Angka 2022</t>
  </si>
  <si>
    <t>Kecamatan Berampu Dalam Angka 2024</t>
  </si>
  <si>
    <t>gloriasoeur12veous@gmail:com</t>
  </si>
  <si>
    <t>Kecamatan Sumbul Dalam Angka 2024</t>
  </si>
  <si>
    <t>imaasadiah@gmail:com</t>
  </si>
  <si>
    <t>Statistik Kesejahteraan Rakyat Kabupaten Dairi 2024</t>
  </si>
  <si>
    <t>Analisis Hasil Survei Kebutuhan Data BPS Kabupaten Dairi 2024</t>
  </si>
  <si>
    <t>Buklet Hasil Pencacahan Lengkap Sensus Pertanian 2024 - Tahap I Kabupaten Dairi</t>
  </si>
  <si>
    <t>njg@gmail:co:id</t>
  </si>
  <si>
    <t>Kabupaten Dairi Dalam Angka 2014</t>
  </si>
  <si>
    <t>Kabupaten Dairi Dalam Angka 2015</t>
  </si>
  <si>
    <t>Kabupaten Dairi Dalam Angka 2018</t>
  </si>
  <si>
    <t>112112093@stis:ac:id</t>
  </si>
  <si>
    <t>222111900@stis:ac:id</t>
  </si>
  <si>
    <t>junitaputrisagala@gmail:com</t>
  </si>
  <si>
    <t>bapemmaspddairi@gmail:com</t>
  </si>
  <si>
    <t>zaratul:saputri@bni:co:id</t>
  </si>
  <si>
    <t>gloriamanurung536@students:usu:ac:id</t>
  </si>
  <si>
    <t>rafifalvaro:com@gmail:com</t>
  </si>
  <si>
    <t>Statistik Hortikultura Kabupaten Dairi Tahun 2022</t>
  </si>
  <si>
    <t>Statistik Tanaman Pangan (Padi dan Palawija) Kabupaten Dairi 2021</t>
  </si>
  <si>
    <t>Statistik Tanaman Pangan (Padi dan Palawija) Kabupaten Dairi 2022</t>
  </si>
  <si>
    <t>sahnasaisyiahmaha@gmail:com</t>
  </si>
  <si>
    <t>Indikator Kesejahteraan Rakyat Kabupaten Dairi Tahun 2022</t>
  </si>
  <si>
    <t>sahnasmaha042@gmail:com</t>
  </si>
  <si>
    <t>Aalvindito@gmail:com</t>
  </si>
  <si>
    <t>nababanbertha061@gmail:com</t>
  </si>
  <si>
    <t>azzahradalvi8@gmail:com</t>
  </si>
  <si>
    <t>octavianurhasanah30@gmail:com</t>
  </si>
  <si>
    <t>dumakristanti@gmail:com</t>
  </si>
  <si>
    <t>nona:wijaya14@gmail:com</t>
  </si>
  <si>
    <t>Kecamatan Siempat Nempu Dalam Angka 2024</t>
  </si>
  <si>
    <t>gunawanheri534@gmail:com</t>
  </si>
  <si>
    <t>Statistik Daerah Kabupaten Dairi 2024</t>
  </si>
  <si>
    <t>indahmanaluuuu@gmail:com</t>
  </si>
  <si>
    <t>niofanny01@gmail:com</t>
  </si>
  <si>
    <t>Statistik Hortikultura Kabupaten Dairi Tahun 2021</t>
  </si>
  <si>
    <t>Statistik Lahan Bukan Sawah Kabupaten Dairi 2017</t>
  </si>
  <si>
    <t>Tingkat Penghunian Kamar Akomodasi Dairi 2022</t>
  </si>
  <si>
    <t>sidomidcen@gmail:com</t>
  </si>
  <si>
    <t>soeurveous@gmail:com</t>
  </si>
  <si>
    <t>marlinasarijasya@gmail:com</t>
  </si>
  <si>
    <t>hendraputranta00@gmail:com</t>
  </si>
  <si>
    <t>rindianisanurr@gmail:com</t>
  </si>
  <si>
    <t>28823014@mahasiswa:itb:ac:id</t>
  </si>
  <si>
    <t>mikoxlon@gmail:com</t>
  </si>
  <si>
    <t>titosiagian2@gmail:com</t>
  </si>
  <si>
    <t>marisiintan@gmail:com</t>
  </si>
  <si>
    <t>a@b:com</t>
  </si>
  <si>
    <t>Kecamatan Lae Parira Dalam Angka 2024</t>
  </si>
  <si>
    <t>cindikenara@gmail:com</t>
  </si>
  <si>
    <t>siraitgihon@gmail:com</t>
  </si>
  <si>
    <t>gloriamanurung536@gmail:com</t>
  </si>
  <si>
    <t>Kecamatan Sumbul Dalam Angka 2021</t>
  </si>
  <si>
    <t>Produk Domestik Regional Bruto Menurut Lapangan Usaha Kabupaten Dairi 2016 - 2020</t>
  </si>
  <si>
    <t>Statistik Daerah Kabupaten Dairi 2015</t>
  </si>
  <si>
    <t>a@bps:go:id</t>
  </si>
  <si>
    <t>malumsiregar71@gmail:com</t>
  </si>
  <si>
    <t>junjun:wijaya@bps:go:id</t>
  </si>
  <si>
    <t>dwiputrayudhistira:DPY@gmail:com</t>
  </si>
  <si>
    <t>perdanaginting1@gmail:com</t>
  </si>
  <si>
    <t>benrisipayung373@gmail:com</t>
  </si>
  <si>
    <t>budimanjejaka1@gmail:com</t>
  </si>
  <si>
    <t>rivaldi:s159@gmail:com</t>
  </si>
  <si>
    <t>paulinajoko:ari@a:ca</t>
  </si>
  <si>
    <t>mikeervanspurba@bps:go:id</t>
  </si>
  <si>
    <t>a@bps:go</t>
  </si>
  <si>
    <t>juagan1798@gmail:com</t>
  </si>
  <si>
    <t>jeny:siregar1980@gmail:com</t>
  </si>
  <si>
    <t>Kecamatan Berampu Dalam Angka 2021</t>
  </si>
  <si>
    <t>pransihotang21@gmail:com</t>
  </si>
  <si>
    <t>annisa:r:lestari@gmail:com</t>
  </si>
  <si>
    <t>Kecamatan Silahisabungan Dalam Angka 2021</t>
  </si>
  <si>
    <t>Kemiskinan Kabupaten Dairi Tahun 2024</t>
  </si>
  <si>
    <t>wasikcool2000@gmail:com</t>
  </si>
  <si>
    <t>Profil Kependudukan dan Ketenagakerjaan Kabupaten Dairi 2022</t>
  </si>
  <si>
    <t>Kaelkingdom@gmail:com</t>
  </si>
  <si>
    <t>Indeks Pembangunan Manusia (IPM) Sumatera Utara tahun 2024 mencapai 75,13, meningkat 0,62 (0,83 persen) dibandingkan tahun sebelumnya (74,51):</t>
  </si>
  <si>
    <t>ulinasembiring81@gmail:com</t>
  </si>
  <si>
    <t>adelianovalianti@gmail:com</t>
  </si>
  <si>
    <t>Kabupaten Dairi Dalam Angka 2013</t>
  </si>
  <si>
    <t>diansuriadiginting@gmail:com</t>
  </si>
  <si>
    <t>bpsniasutara@gmail:com</t>
  </si>
  <si>
    <t>ribka:anggina@gmail:com</t>
  </si>
  <si>
    <t>abc@gmail:com</t>
  </si>
  <si>
    <t>Dindatpsitumeang@gmail:com</t>
  </si>
  <si>
    <t>Kecamatan Berampu Dalam Angka 2018</t>
  </si>
  <si>
    <t>Produk Domestik Regional Bruto Kabupaten Dairi Menurut Lapangan Usaha 2014 - 2018</t>
  </si>
  <si>
    <t>pangihutanujung@gmail:com</t>
  </si>
  <si>
    <t>Statistik Daerah Kabupaten Dairi 2021</t>
  </si>
  <si>
    <t>carolineyessica@gmail:com</t>
  </si>
  <si>
    <t>deshot999@gmail:com</t>
  </si>
  <si>
    <t>rullymarbun0@gmail:com</t>
  </si>
  <si>
    <t>mesobsjbt@gmail:com</t>
  </si>
  <si>
    <t>dev_srg@yahoo:com</t>
  </si>
  <si>
    <t>tiar123malau@gmail:com</t>
  </si>
  <si>
    <t>aaa@g:com</t>
  </si>
  <si>
    <t>Keadaan Ketenagakerjaan Dairi Agustus 2024</t>
  </si>
  <si>
    <t>tiranlestariagroforestry@gmail:com</t>
  </si>
  <si>
    <t>carecarekkkgut345@yahoo:com</t>
  </si>
  <si>
    <t>Dairi DALAM ANGKA 2007</t>
  </si>
  <si>
    <t>Kabupaten Dairi Dalam Angka 2008</t>
  </si>
  <si>
    <t>mangaturgandas@gmail:com</t>
  </si>
  <si>
    <t>Kabupaten Dairi dalam angka tahun 2009</t>
  </si>
  <si>
    <t>bps1210@bps:go:id</t>
  </si>
  <si>
    <t>tettysaorma2024@gmail:com</t>
  </si>
  <si>
    <t>Kecamatan Silima Pungga-Pungga Dalam Angka 2024</t>
  </si>
  <si>
    <t>tettysaorma@bps:go:id</t>
  </si>
  <si>
    <t>lisna_chox@yahoo:com</t>
  </si>
  <si>
    <t>[Sumatera Utara] Januari 2024 inflasi Year on Year (y-on-y) Provinsi Sumatera Utara sebesar 2,16 persen</t>
  </si>
  <si>
    <t>asndf@klajd:kljsdf</t>
  </si>
  <si>
    <t>elsasihombing2002@gmail:com</t>
  </si>
  <si>
    <t>Kecamatan Tiga Lingga Dalam Angka 2021</t>
  </si>
  <si>
    <t>dadad@koko:com</t>
  </si>
  <si>
    <t>[Sumatera Utara] Ekonomi Sumatera Utara Tahun 2024 tumbuh sebesar 5,01 persen (c-to-c)</t>
  </si>
  <si>
    <t>duduttanjung5@gmail:com</t>
  </si>
  <si>
    <t>Olajessica90@gmail:com</t>
  </si>
  <si>
    <t>nadyasimanjuntak9@gmail:com</t>
  </si>
  <si>
    <t>alv230999@gmail:com</t>
  </si>
  <si>
    <t>Kenaikan Harga Beras Pemicu Inflasi Tahunan Oktober 2024</t>
  </si>
  <si>
    <t>November 2024, inflasi Year on Year (yoy) gabungan lima kota IHK di Sumatera Utara sebesar 3,20 persen</t>
  </si>
  <si>
    <t>eriskamurnisimamora@yahoo:co:id</t>
  </si>
  <si>
    <t>Produk Domestik Regional Bruto Kabupaten Dairi Menurut Lapangan Usaha 2018 - 2022</t>
  </si>
  <si>
    <t>atatak78@gmail:com</t>
  </si>
  <si>
    <t>yuniatimonica@gmail:com</t>
  </si>
  <si>
    <t>lailatulfaridah1987@gmail:com</t>
  </si>
  <si>
    <t>marinaitosinaga@gmail:com</t>
  </si>
  <si>
    <t>marlonaritonang@bps:go:id</t>
  </si>
  <si>
    <t>sitibasyariahputri@gmail:com</t>
  </si>
  <si>
    <t>lilsyam00@gmail:com</t>
  </si>
  <si>
    <t>zefamora02@gmail:com</t>
  </si>
  <si>
    <t>a@bps:god</t>
  </si>
  <si>
    <t>abdulgb531@gmail:com</t>
  </si>
  <si>
    <t>Kecamatan Silahisabungan Dalam Angka 2024</t>
  </si>
  <si>
    <t>Kecamatan Sitinjo Dalam Angka 2024</t>
  </si>
  <si>
    <t>Kecamatan Tigalingga Dalam Angka 2018</t>
  </si>
  <si>
    <t>lilsyam@gmail:com</t>
  </si>
  <si>
    <t>auliwardani40@gmail:com</t>
  </si>
  <si>
    <t>trivaulfami1906@gmail:com</t>
  </si>
  <si>
    <t>auliawardani1404@gmail:com</t>
  </si>
  <si>
    <t>ratnauli@bps:go:id</t>
  </si>
  <si>
    <t>Indeks Pembangunan Manusia Kabupaten Dairi 2024</t>
  </si>
  <si>
    <t>jordansiburian2003@gmail:com</t>
  </si>
  <si>
    <t>kutanangka74@gmail:com</t>
  </si>
  <si>
    <t>Produk Domestik Regional Bruto Kabupaten Dairi Menurut Pengeluaran 2018 - 2022</t>
  </si>
  <si>
    <t>deshot:sh@gmail:com</t>
  </si>
  <si>
    <t>evelyshatumanggor@gmail:com</t>
  </si>
  <si>
    <t>meridebora82@gmail:com</t>
  </si>
  <si>
    <t>rolinasitumorang24@gmail:com</t>
  </si>
  <si>
    <t>Kecamatan Lae Parira Dalam Angka 2021</t>
  </si>
  <si>
    <t>jans:juve@gmail:com</t>
  </si>
  <si>
    <t>wmahardika20@gmail:com</t>
  </si>
  <si>
    <t>ototix@gmail:com</t>
  </si>
  <si>
    <t>Kecamatan Berampu Dalam Angka 2020</t>
  </si>
  <si>
    <t>tigohmursa@gmail:com</t>
  </si>
  <si>
    <t>aksjdhaksjd@gmail:com</t>
  </si>
  <si>
    <t>Kabupaten Dairi Dalam Angka 2010</t>
  </si>
  <si>
    <t>nn214311040@gmail:com</t>
  </si>
  <si>
    <t>golda_patricia@student:ub:ac:id</t>
  </si>
  <si>
    <t>Kecamatan Parbuluan Dalam Angka 2021</t>
  </si>
  <si>
    <t>jj@gmail:com</t>
  </si>
  <si>
    <t>riyadma1000@gmail:com</t>
  </si>
  <si>
    <t>Booklet Hasil Long Form Sensus Penduduk 2020 Kabupaten Dairi</t>
  </si>
  <si>
    <t>irne:bintang@gmail:com</t>
  </si>
  <si>
    <t>mikoxlon@gmial:com</t>
  </si>
  <si>
    <t>Hrcjie@gmail:com</t>
  </si>
  <si>
    <t>Kecamatan Tanah Pinem Dalam Angka 2021</t>
  </si>
  <si>
    <t>greekplasmona@gmail:com</t>
  </si>
  <si>
    <t>[Sumatera Utara] Nilai Tukar Petani Provinsi Sumatera Utara Desember 2024 sebesar 129,04</t>
  </si>
  <si>
    <t>212212902@stis:ac:id</t>
  </si>
  <si>
    <t>doninababan1299@gmail:com</t>
  </si>
  <si>
    <t>cemara23@gmail:com</t>
  </si>
  <si>
    <t>Kecamatan Siempat Nempu Hilir Dalam Angka 2024</t>
  </si>
  <si>
    <t>Kecamatan Siempat Nempu Hulu Dalam Angka 2024</t>
  </si>
  <si>
    <t>putri:siburian@student:uhn:ac:id</t>
  </si>
  <si>
    <t>nunutdsitumorang@gmail:com</t>
  </si>
  <si>
    <t>igosullivan142@gmail:com</t>
  </si>
  <si>
    <t>Muliarifanit@gmail:com</t>
  </si>
  <si>
    <t>jhonny:ujung@yahoo:com</t>
  </si>
  <si>
    <t>ziziakenia@gmail:com</t>
  </si>
  <si>
    <t>[Sumatera Utara] Jumlah penumpang domestik yang berangkat dari Sumatera Utara melalui Bandara Internasional Kualanamu selama Desember 2024 mencapai 187:584 orang, atau naik 0,19 persen dibanding November 2024</t>
  </si>
  <si>
    <t>joba:esri@gmail:com</t>
  </si>
  <si>
    <t>willy:haqiqi24@gmail:com</t>
  </si>
  <si>
    <t>nainggolanvalentina4@gmal:com</t>
  </si>
  <si>
    <t>alexandersimatupang10@gmail:com</t>
  </si>
  <si>
    <t>cristinasinaga31@gmail:com</t>
  </si>
  <si>
    <t>Kecamatan Parbuluan Dalam Angka 2019</t>
  </si>
  <si>
    <t>Kecamatan Pegagan Hilir Dalam Angka 2024</t>
  </si>
  <si>
    <t>Kecamatan Sitinjo Dalam Angka 2021</t>
  </si>
  <si>
    <t>emisinaga97@gmail:com</t>
  </si>
  <si>
    <t>bagasfahriansyah16@gmail:com</t>
  </si>
  <si>
    <t>Muhammad:Facruddin@fmc:com</t>
  </si>
  <si>
    <t>juwelismail@gmail:com</t>
  </si>
  <si>
    <t>Statistik Kesejahteraan Rakyat Kabupaten Dairi 2022</t>
  </si>
  <si>
    <t>Tingkat Pengangguran Terbuka (TPT) sebesar 5,24 persen</t>
  </si>
  <si>
    <t>lukman:barboet@gmail:com</t>
  </si>
  <si>
    <t>indraagusriyanto@unmaha:ac:id</t>
  </si>
  <si>
    <t>rinamawardahbatubaraa@gmail:com</t>
  </si>
  <si>
    <t>mcayudinauli@gmail:com</t>
  </si>
  <si>
    <t>rizkisamoramuliana24@gmail:com</t>
  </si>
  <si>
    <t>jekson:butar@bps:go:id</t>
  </si>
  <si>
    <t>raeartby@gmail:com</t>
  </si>
  <si>
    <t>alramadani1710@gmail:com</t>
  </si>
  <si>
    <t>indrasitepu260788@gmail:com</t>
  </si>
  <si>
    <t>daniel:amosbintang@gmail:com</t>
  </si>
  <si>
    <t>ritamawarsianturi:81@gmail:com</t>
  </si>
  <si>
    <t>chiciozs:luck@gmail:com</t>
  </si>
  <si>
    <t>zunkiflisiahaan80@gmail:com</t>
  </si>
  <si>
    <t>Iralolosaragih16@gmail:com</t>
  </si>
  <si>
    <t>ernawatipadang9@gmail:com</t>
  </si>
  <si>
    <t>lamtotalumbangaol95@gmail:com</t>
  </si>
  <si>
    <t>asady:junior@icloud:com</t>
  </si>
  <si>
    <t>hot64gul@gmail:com</t>
  </si>
  <si>
    <t>irvanbintang1978@gmail:com</t>
  </si>
  <si>
    <t>Yuli:matondang:ym@gmail:com</t>
  </si>
  <si>
    <t>pasaribualexander5@gmail:com</t>
  </si>
  <si>
    <t>redisianturi385@gmail:com</t>
  </si>
  <si>
    <t>kpps1211012013-0013@mail:com</t>
  </si>
  <si>
    <t>emmimanurung@bps:go:id</t>
  </si>
  <si>
    <t>rindiwsimbolon@gmail:com</t>
  </si>
  <si>
    <t>monika:yuniati@bps:go:id</t>
  </si>
  <si>
    <t>hkun774@gmail:com</t>
  </si>
  <si>
    <t>bagrenpolresdairi@gmail:com</t>
  </si>
  <si>
    <t>monikasvymm@gmail:com</t>
  </si>
  <si>
    <t>nofeliaputri3004@gmail:com</t>
  </si>
  <si>
    <t>Kecamatan Pegagan Hilir Dalam Angka 2016</t>
  </si>
  <si>
    <t>rendihamdani2019@gmail:com</t>
  </si>
  <si>
    <t>Kecamatan Sumbul Dalam Angka 2016</t>
  </si>
  <si>
    <t>esrisimbolon@gmail:com</t>
  </si>
  <si>
    <t>esrinsimbolon18@gmail:com</t>
  </si>
  <si>
    <t>sitepuharmonis@gmail:com</t>
  </si>
  <si>
    <t>jm@gmail:com</t>
  </si>
  <si>
    <t>frianto:nbh@gmail:com</t>
  </si>
  <si>
    <t>edyriwando04@gmail:com</t>
  </si>
  <si>
    <t>mizwark19@gmail:com</t>
  </si>
  <si>
    <t>Kecamatan Pegagan Hilir Dalam Angka 2022</t>
  </si>
  <si>
    <t>drbooz04@gmail:com</t>
  </si>
  <si>
    <t>Kecamatan Silahisabungan Dalam Angka 2022</t>
  </si>
  <si>
    <t>Kecamatan Silima Pungga-Pungga Dalam Angka 2021</t>
  </si>
  <si>
    <t>Kecamatan Silima Pungga-Pungga Dalam Angka 2022</t>
  </si>
  <si>
    <t>Davinshahreza123@gmail:com</t>
  </si>
  <si>
    <t>romaapriandiharefa@gmail:com</t>
  </si>
  <si>
    <t>davidsimbolon84@gmail:com</t>
  </si>
  <si>
    <t>widjaya:harahap@gmail:com</t>
  </si>
  <si>
    <t>ahmadrizkiharahap@gmail:com</t>
  </si>
  <si>
    <t>Kabupaten Dairi Dalam Angka 2012</t>
  </si>
  <si>
    <t>davidpadangtujuh@gmail:com</t>
  </si>
  <si>
    <t>sihombingagusto@gmail:com</t>
  </si>
  <si>
    <t>ruth@student:uhn:ac:id</t>
  </si>
  <si>
    <t>Kecamatan Silahisabungan Dalam Angka 2020</t>
  </si>
  <si>
    <t>ahmadrizkihrp@unds:ac:id</t>
  </si>
  <si>
    <t>Produk Domestik Regional Bruto Kabupaten Dairi Menurut Lapangan Usaha 2013-2017</t>
  </si>
  <si>
    <t>Tingkat Pengangguran Terbuka (TPT) sebesar 5,47 persen</t>
  </si>
  <si>
    <t>Tingkat Pengangguran Terbuka (TPT) Sumatera Utara 2021 sebesar 6,33 persen</t>
  </si>
  <si>
    <t>gilangabizaifa15@gmail:com</t>
  </si>
  <si>
    <t>putrisalsabilaacc@gmail:com</t>
  </si>
  <si>
    <t>nurulizzaaah14@gmail:com</t>
  </si>
  <si>
    <t>iccongl04@gmail:com</t>
  </si>
  <si>
    <t>Tabithahutabarar24@gmail:com</t>
  </si>
  <si>
    <t>tobingmurniati@gmail:com</t>
  </si>
  <si>
    <t>luke:gabe2@gmail:com</t>
  </si>
  <si>
    <t>Kecamatan Siempat Nempu Hilir Dalam Angka 2019</t>
  </si>
  <si>
    <t>Kecamatan Siempat Nempu Hilir Dalam Angka 2021</t>
  </si>
  <si>
    <t>Kecamatan Sumbul Dalam Angka 2018</t>
  </si>
  <si>
    <t>rahmanida@fe:unsri:ac:id</t>
  </si>
  <si>
    <t>faizakhrns@gmail:com</t>
  </si>
  <si>
    <t>nabilahfarisah26@gmail:com</t>
  </si>
  <si>
    <t>khairinita@bpodt:id</t>
  </si>
  <si>
    <t>j:panggabean:10@gmail:com</t>
  </si>
  <si>
    <t>a@gmail:com</t>
  </si>
  <si>
    <t>anjelezanias@gmail:com</t>
  </si>
  <si>
    <t>albertludi@gmail:com</t>
  </si>
  <si>
    <t>suprialiyansah06@gmail:com</t>
  </si>
  <si>
    <t>frengkimunte780@gmail:com</t>
  </si>
  <si>
    <t>dortaulimarbun@gmail:com</t>
  </si>
  <si>
    <t>fauzifahriyan@gmail:com</t>
  </si>
  <si>
    <t>Rabd40807@gmail:com</t>
  </si>
  <si>
    <t>marchelinoyudea@gmail:com</t>
  </si>
  <si>
    <t>Kecamatan Parbuluan Dalam Angka 2020</t>
  </si>
  <si>
    <t>haramjadahscatter@gmail:com</t>
  </si>
  <si>
    <t>Kecamatan Sidikalang Dalam Angka 2019</t>
  </si>
  <si>
    <t>intanzuhra15@gmail:com</t>
  </si>
  <si>
    <t>musyfirahali@gmail:com</t>
  </si>
  <si>
    <t>hendrialfa97@gmail:com</t>
  </si>
  <si>
    <t>koculee@gmail:com</t>
  </si>
  <si>
    <t>liana_jusminari_pde@yahoo:com</t>
  </si>
  <si>
    <t>Ekonomi Sumatera Utara Triwulan I 2024 Terkontraksi 0,45 persen (q-to-q)</t>
  </si>
  <si>
    <t>fransmbakkara@gmail:com</t>
  </si>
  <si>
    <t>Azhimah91@gmail:com</t>
  </si>
  <si>
    <t>esraaritonang7@gmail:com</t>
  </si>
  <si>
    <t>saragiholim@gmai:com</t>
  </si>
  <si>
    <t>nerwilis1210@gmail:com</t>
  </si>
  <si>
    <t>A@BPS:GO</t>
  </si>
  <si>
    <t>ardikemanik@gmail:com</t>
  </si>
  <si>
    <t>tapanuliutara:sitinjo@amartha:com</t>
  </si>
  <si>
    <t>Kecamatan Pegagan Hilir Dalam Angka 2021</t>
  </si>
  <si>
    <t>tes@gmail:com</t>
  </si>
  <si>
    <t>rullymarbun012@gmail:com</t>
  </si>
  <si>
    <t>elfridasimarmata550@gmail:com</t>
  </si>
  <si>
    <t>ramli:pandi24@gmail:com</t>
  </si>
  <si>
    <t>anggrek:ginting25@gmail:com</t>
  </si>
  <si>
    <t>asdf@asdf:com</t>
  </si>
  <si>
    <t>fathimah571@gmail:com</t>
  </si>
  <si>
    <t>rizkyanandap304@gmail:com</t>
  </si>
  <si>
    <t>turedopardede28@gmail:com</t>
  </si>
  <si>
    <t>sriarina81@gmail:com</t>
  </si>
  <si>
    <t>lolaputrisaing@gmail:com</t>
  </si>
  <si>
    <t>kksigalingging@gmail:com</t>
  </si>
  <si>
    <t>soparb:marpaung@gmail:com</t>
  </si>
  <si>
    <t>Kecamatan Sumbul Dalam Angka 2019</t>
  </si>
  <si>
    <t>Kecamatan Sumbul Dalam Angka 2020</t>
  </si>
  <si>
    <t>tsabina2701@gmail:com</t>
  </si>
  <si>
    <t>backtiarpp@gmail:com</t>
  </si>
  <si>
    <t>raishanadine287@gmail:com</t>
  </si>
  <si>
    <t>novebri:spd@gmail:com</t>
  </si>
  <si>
    <t>anitariani:ba@gmail:com</t>
  </si>
  <si>
    <t>teriyaniyulas@gmail:com</t>
  </si>
  <si>
    <t>hotliana:lumbanbatu@student:uhn:ac:id</t>
  </si>
  <si>
    <t>lisbetrizonasianturi@gmail:com</t>
  </si>
  <si>
    <t>deo:datus@bps:go:id</t>
  </si>
  <si>
    <t>esenmicrosoft@gmail:com</t>
  </si>
  <si>
    <t>dennysiringoringo89@gmail:com</t>
  </si>
  <si>
    <t>ado_aja@yahoo:com</t>
  </si>
  <si>
    <t>siskapratiwi2018m@gmail:com</t>
  </si>
  <si>
    <t>Statistik Tanaman Pangan (Padi dan Palawija) Kabupaten Dairi 2020</t>
  </si>
  <si>
    <t>Direktori Perusahaan Konstruksi Kabupaten Dairi 2022</t>
  </si>
  <si>
    <t>Indeks Pembangunan Manusia Kabupaten Dairi 2022</t>
  </si>
  <si>
    <t>hennytumangger@gmail:com</t>
  </si>
  <si>
    <t>sampeberutu@gmail:com</t>
  </si>
  <si>
    <t>hennitumangger55@gmail:com</t>
  </si>
  <si>
    <t>aparhusip@ymail:com</t>
  </si>
  <si>
    <t>mikaelpurba98@yahoo:co:id</t>
  </si>
  <si>
    <t>Nilai Tukar Petani Provinsi Sumatera Utara November 2024 sebesar 127,81:</t>
  </si>
  <si>
    <t>serlymonikasembiring@yahoo:co:id</t>
  </si>
  <si>
    <t>riduan:keloko@mail:com</t>
  </si>
  <si>
    <t>ririssilalahi933@gmail:com</t>
  </si>
  <si>
    <t>Analisis Hasil Survei Kebutuhan Data BPS Kabupaten Dairi 2021</t>
  </si>
  <si>
    <t>Analisis Hasil Survei Kebutuhan Data Kabupaten Dairi 2020</t>
  </si>
  <si>
    <t>darwin@usi:ac:id</t>
  </si>
  <si>
    <t>mey:naibaho@gmail:com</t>
  </si>
  <si>
    <t>ahsanbintang@gmail:com</t>
  </si>
  <si>
    <t>mhdayub793@gmail:com</t>
  </si>
  <si>
    <t>dellaindriana21@gmail:com</t>
  </si>
  <si>
    <t>[Sumatera Utara] November 2024, Ekspor Sumatera Utara mengalami penurunan sebesar 6,80 persen dan , Impor Sumatera Utara mengalami kenaikan sebesar 17,70 persen</t>
  </si>
  <si>
    <t>muhammadzuhriadi9@gmail:com</t>
  </si>
  <si>
    <t>Ekonomi Dairi Tahun 2020 mengalami Kontraksi Sebesar 0,94 Persen</t>
  </si>
  <si>
    <t>zulfanroy7@gmail:com</t>
  </si>
  <si>
    <t>aditiaplubis@gmail:com</t>
  </si>
  <si>
    <t>anhash16@gmail:com</t>
  </si>
  <si>
    <t>Kecamatan Siempat Nempu Hulu Dalam Angka 2021</t>
  </si>
  <si>
    <t>william:rawson:bredemeyer@census:gov</t>
  </si>
  <si>
    <t>sultanfaishal60@gmail:com</t>
  </si>
  <si>
    <t>anandafita22@gmail:com</t>
  </si>
  <si>
    <t>marlonartonang@bps:go:id</t>
  </si>
  <si>
    <t>ada@gmail:com</t>
  </si>
  <si>
    <t>mhakim@bps:go:id</t>
  </si>
  <si>
    <t>harrison:stmr@gmail:com</t>
  </si>
  <si>
    <t>thinking24@ymail:com</t>
  </si>
  <si>
    <t>siregarrio21@gmail:com</t>
  </si>
  <si>
    <t>elsalagii@gmail:com</t>
  </si>
  <si>
    <t>lathifaifa12@gmail:com</t>
  </si>
  <si>
    <t>sorrie_muda@yahoo:co:id</t>
  </si>
  <si>
    <t>timaelman@gmail:com</t>
  </si>
  <si>
    <t>niconainggolanraja@gmail:com</t>
  </si>
  <si>
    <t>Kecamatan Tiga Lingga Dalam Angka 2022</t>
  </si>
  <si>
    <t>toom766hi@gmail:com</t>
  </si>
  <si>
    <t>redymiraz27@gmail:com</t>
  </si>
  <si>
    <t>punguanhutagalung2@gmail:com</t>
  </si>
  <si>
    <t>mulyadimulyadi60@gmail:com</t>
  </si>
  <si>
    <t>riani_rriani@apps:ipb:ac:id</t>
  </si>
  <si>
    <t>myadimm@rocketmail:com</t>
  </si>
  <si>
    <t>Kecamatan Sumbul Dalam Angka 2017</t>
  </si>
  <si>
    <t>Kecamatan Sumbul Dalam Angka 2022</t>
  </si>
  <si>
    <t>Sumbul Dalam Angka 2015</t>
  </si>
  <si>
    <t>hananirahel21@gmail:com</t>
  </si>
  <si>
    <t>Tingkat Pengangguran Terbuka Kabupaten Dairi 2022 sebesar 0,88 persen</t>
  </si>
  <si>
    <t>febiolapardede13@gmail:com</t>
  </si>
  <si>
    <t>ferlan:kakashi@yahoo:com</t>
  </si>
  <si>
    <t>retnoanjelina98@gmail:com</t>
  </si>
  <si>
    <t>Statistik Daerah Kabupaten Dairi 2019</t>
  </si>
  <si>
    <t>yusufelu@gmail:com</t>
  </si>
  <si>
    <t>Direktori Perusahaan Konstruksi Tahun 2021</t>
  </si>
  <si>
    <t>nopitasarisembiring55@gmail:com</t>
  </si>
  <si>
    <t>nisrinalailyzakia@gmail:com</t>
  </si>
  <si>
    <t>wirabintang007@gmail:com</t>
  </si>
  <si>
    <t>Rezafahri10@gmail:com</t>
  </si>
  <si>
    <t>mbayak@mikroskil:ac:id</t>
  </si>
  <si>
    <t>menarasitumorang49@gmail:com</t>
  </si>
  <si>
    <t>officialvalerieshoess@gmail:com</t>
  </si>
  <si>
    <t>pranata:spi:mas@gmail:com</t>
  </si>
  <si>
    <t>Kecamatan Gunung Sitember Dalam Angka 2022</t>
  </si>
  <si>
    <t>Kecamatan Parbuluan Dalam Angka 2022</t>
  </si>
  <si>
    <t>Kecamatan Siempat Nempu Hulu Dalam Angka 2022</t>
  </si>
  <si>
    <t>irma:lidia@amartha:com</t>
  </si>
  <si>
    <t>irmaajalah76@gmail:com</t>
  </si>
  <si>
    <t>Kecamatan Sitinjo Dalam Angka 2022</t>
  </si>
  <si>
    <t>Kecamatan Tanah Pinem Dalam Angka 2022</t>
  </si>
  <si>
    <t>nelsonsibagariang5@gmail:com</t>
  </si>
  <si>
    <t>Indikator Kesejahteraan Rakyat Kabupaten Dairi 2021</t>
  </si>
  <si>
    <t>nadhiarizki99@gmail:com</t>
  </si>
  <si>
    <t>Kecamatan Lae Parira Dalam Angka 2022</t>
  </si>
  <si>
    <t>hoirul188220139@gmail:com</t>
  </si>
  <si>
    <t>Kecamatan Siempat Nempu Dalam Angka 2022</t>
  </si>
  <si>
    <t>Kecamatan Siempat Nempu Hilir Dalam Angka 2022</t>
  </si>
  <si>
    <t>desysiregar1206@gmail:com</t>
  </si>
  <si>
    <t>Profil Kependudukan dan Ketenagakerjaan Kabupaten Dairi 2021</t>
  </si>
  <si>
    <t>Statistik Kesejahteraan Rakyat Kabupaten Dairi 2021</t>
  </si>
  <si>
    <t>siswatisolin11@gmail:com</t>
  </si>
  <si>
    <t>Krisdayantimanik100@gmail:com</t>
  </si>
  <si>
    <t>prio:abu@gmail:com</t>
  </si>
  <si>
    <t>devikaro585@gmail:com</t>
  </si>
  <si>
    <t>Produk Domestik Regional Bruto Menurut Pengeluaran Kabupaten Dairi  2016 - 2020</t>
  </si>
  <si>
    <t>Statistik Padi dan Palawija Kabupaten Dairi 2015</t>
  </si>
  <si>
    <t>kwinsito@gmail:com</t>
  </si>
  <si>
    <t>sirait:rosdiana@gmail:com</t>
  </si>
  <si>
    <t>Statistik Daerah Kecamatan Sumbul 2016</t>
  </si>
  <si>
    <t>viazputry@gmail:com</t>
  </si>
  <si>
    <t>Kabupaten Dairi Dalam Angka 2011</t>
  </si>
  <si>
    <t>gloriajesikajesika268@gmail:com</t>
  </si>
  <si>
    <t>dinarpuspita22@yahoo:com</t>
  </si>
  <si>
    <t>Cicillia123456@gmail:com</t>
  </si>
  <si>
    <t>defrianysagala@gmail:com</t>
  </si>
  <si>
    <t>syafrilabs@gmail:com</t>
  </si>
  <si>
    <t>nikenmilana21@gmail:com</t>
  </si>
  <si>
    <t>Statistik Daerah Kabupaten Dairi 2011</t>
  </si>
  <si>
    <t>Statistik Daerah Kecamatan Sidikalang 2011</t>
  </si>
  <si>
    <t>Analisis Survei Kebutuhan Data Kabupaten Dairi 2022</t>
  </si>
  <si>
    <t>letarenababann@gmail:com</t>
  </si>
  <si>
    <t>Indikator Kesejahteraan Rakyat Kabupaten Dairi 2018</t>
  </si>
  <si>
    <t>yosialubis1@gmail:com</t>
  </si>
  <si>
    <t>Indikator Kesejahteraan Rakyat Kabupaten Dairi 2019</t>
  </si>
  <si>
    <t>Kecamatan Parbuluan Dalam Angka 2016</t>
  </si>
  <si>
    <t>fenisianturi363@gmail:com</t>
  </si>
  <si>
    <t>Kecamatan Parbuluan Dalam Angka 2017</t>
  </si>
  <si>
    <t>Kecamatan Sidikalang Dalam Angka 2017</t>
  </si>
  <si>
    <t>santatamba24@gmail:com</t>
  </si>
  <si>
    <t>abed_gabriel@yahoo:com</t>
  </si>
  <si>
    <t>Kecamatan Sitinjo Dalam Angka 2016</t>
  </si>
  <si>
    <t>hendra:sda@gmail:com</t>
  </si>
  <si>
    <t>Oktober 2022, inflasi Year on Year (yoy) gabungan lima kota IHK di Sumatera Utara sebesar 5,66 persen</t>
  </si>
  <si>
    <t>Produk Domestik Regional Bruto Kabupaten Dairi Menurut Pengeluaran 2017 - 2021</t>
  </si>
  <si>
    <t>anti:virus:bagus8@gmail:com</t>
  </si>
  <si>
    <t>Indeks Pembangunan Manusia (IPM) Kabupaten Dairi 2022 mencapai 72,56</t>
  </si>
  <si>
    <t>statsektoraldariri@gmail:com</t>
  </si>
  <si>
    <t>ani95867@gmail:com</t>
  </si>
  <si>
    <t>Indeks Pembangunan Manusia Kabupaten Dairi 2019</t>
  </si>
  <si>
    <t>bimamarbun78@gmail:com</t>
  </si>
  <si>
    <t>ghozali:ibnubadri@gmail:com</t>
  </si>
  <si>
    <t>ambaritamegawati@gmail:com</t>
  </si>
  <si>
    <t>ekaborutarigan@gmail:com</t>
  </si>
  <si>
    <t>safa2309@gmail:com</t>
  </si>
  <si>
    <t>Kecamatan Sidikalang Dalam Angka 2016</t>
  </si>
  <si>
    <t>Gabrielabednego04@gmail:com</t>
  </si>
  <si>
    <t>Kecamatan Tiga Lingga Dalam Angka 2016</t>
  </si>
  <si>
    <t>Profil Kependudukan dan Ketenagakerjaan Kabupaten Dairi 2020</t>
  </si>
  <si>
    <t>Profil Penduduk dan Ketenagakerjaan Kabupaten Dairi 2019</t>
  </si>
  <si>
    <t>Statistik Daerah Kabupaten Dairi 2016</t>
  </si>
  <si>
    <t>Statistik Daerah Kabupaten Dairi 2022</t>
  </si>
  <si>
    <t>ym15092000@gmail:com</t>
  </si>
  <si>
    <t>anrisinaga12@yahoo:com</t>
  </si>
  <si>
    <t>Jumlah Wisman ke Sumatera Utara pada Oktober 2022 sebanyak 11:454 Kunjungan</t>
  </si>
  <si>
    <t>alyans1945@gmail:com</t>
  </si>
  <si>
    <t>faturohman:taufik18@gmail:com</t>
  </si>
  <si>
    <t>saptugala@gmail:com</t>
  </si>
  <si>
    <t>Oktober 2022, Ekspor Sumatera Utara mengalami penurunan sebesar 6,27 persen</t>
  </si>
  <si>
    <t>rafiladien@gmail:com</t>
  </si>
  <si>
    <t>mbardansalam@gmail:com</t>
  </si>
  <si>
    <t>gajahtobanews@gmail:com</t>
  </si>
  <si>
    <t>Persentase Penduduk Miskin (Po) Kabupaten Dairi Maret 2022 sebesar 7,88 persen</t>
  </si>
  <si>
    <t>de_bagack@yahoo:com</t>
  </si>
  <si>
    <t>faridawatipardede5@gmail:com</t>
  </si>
  <si>
    <t>Tingkat Pengangguran Terbuka (TPT) sebesar 6,16 persen</t>
  </si>
  <si>
    <t>roni:afrianto83@gmail:com</t>
  </si>
  <si>
    <t>zendratoTEAM@gmail:com</t>
  </si>
  <si>
    <t>taufiq@gmail:com</t>
  </si>
  <si>
    <t>pionir:ryuputra@gmail:com</t>
  </si>
  <si>
    <t>gigihdharmaperbawa@gmail:com</t>
  </si>
  <si>
    <t>thiomchi@yahoo:co:id</t>
  </si>
  <si>
    <t>Produk Domestik Regional Bruto Kabupaten Dairi Menurut Lapangan Usaha 2017 - 2021</t>
  </si>
  <si>
    <t>juanthanuel90@gmail:com</t>
  </si>
  <si>
    <t>novriadi1011@gmail:com</t>
  </si>
  <si>
    <t>Karuniagea130801@gmail:com</t>
  </si>
  <si>
    <t>dwiaryani:da88@gmail:com</t>
  </si>
  <si>
    <t>aruwisama@gmail:com</t>
  </si>
  <si>
    <t>yantoniuslase30@gmail:com</t>
  </si>
  <si>
    <t>Kecamatan Tanah Pinem Dalam Angka 2020</t>
  </si>
  <si>
    <t>Kecamatan Tiga Lingga Dalam Angka 2020</t>
  </si>
  <si>
    <t>ginsuflora1269@gmail:com</t>
  </si>
  <si>
    <t>velixferli@gmail:com</t>
  </si>
  <si>
    <t>ayuunormann@gmail:com</t>
  </si>
  <si>
    <t>robert7tumorang@gmail:com</t>
  </si>
  <si>
    <t>annelitamorina@gmail:com</t>
  </si>
  <si>
    <t>musa:sembiring@yahoo:com</t>
  </si>
  <si>
    <t>Kecamatan Gunung Sitember Dalam Angka 2019</t>
  </si>
  <si>
    <t>naelsensai9@gmail:com</t>
  </si>
  <si>
    <t>happy:julius@ymail:com</t>
  </si>
  <si>
    <t>marketingapit@gmail:com</t>
  </si>
  <si>
    <t>mayangm097@gmail:com</t>
  </si>
  <si>
    <t>agustinasihombing37@gmail:com</t>
  </si>
  <si>
    <t>panjisatrio220599@gmail:com</t>
  </si>
  <si>
    <t>wiwikrahayunilumbangaol@gmail:com</t>
  </si>
  <si>
    <t>Ekonomi Kabupaten Dairi Tahun 2021 Meningkat Sebesar 2,05 Persen</t>
  </si>
  <si>
    <t>Indeks Pembangunan Manusia (IPM) Kabupaten Dairi pada tahun 2021 mencapai 71,84</t>
  </si>
  <si>
    <t>Indeks Pembangunan Manusia Kabupaten Dairi 2021</t>
  </si>
  <si>
    <t>devista:purba@gmail:com</t>
  </si>
  <si>
    <t>rajaingotpardede@bps:go:id</t>
  </si>
  <si>
    <t>bancindwiyanti@gmail:com</t>
  </si>
  <si>
    <t>ririoktavani@yahoo:co:id</t>
  </si>
  <si>
    <t>tinendungjaya@gmail:com</t>
  </si>
  <si>
    <t>Kecamatan Silahisabungan Dalam Angka 2019</t>
  </si>
  <si>
    <t>inboxjkt@gmail:com</t>
  </si>
  <si>
    <t>ardiantinendung90@gmail:com</t>
  </si>
  <si>
    <t>raraberampu26@gmail:com</t>
  </si>
  <si>
    <t>lusiadebora08@gmail:com</t>
  </si>
  <si>
    <t>jekodream@gmail:com</t>
  </si>
  <si>
    <t>Kecamatan Sitinjo Dalam Angka 2019</t>
  </si>
  <si>
    <t>dinarotuasiagian@gmail:com</t>
  </si>
  <si>
    <t>prolapdairi@gmail:com</t>
  </si>
  <si>
    <t>alie:rahangiar@gmail:com</t>
  </si>
  <si>
    <t>jhonphilipsginting@gmail:com</t>
  </si>
  <si>
    <t>williamsihombing@bankmandiri:co:id</t>
  </si>
  <si>
    <t>azrilingga95@gmail:com</t>
  </si>
  <si>
    <t>williamiskandarsihombing@gmail:com</t>
  </si>
  <si>
    <t>Pada 2022, luas panen padi diperkirakan sebesar 423,52 ribu hektare dengan produksi sekitar 2,13 juta ton GKG</t>
  </si>
  <si>
    <t>boangjang@gmail:com</t>
  </si>
  <si>
    <t>felixthaginting@gmail:com</t>
  </si>
  <si>
    <t>paulussimamora04@gmail:com</t>
  </si>
  <si>
    <t>Kecamatan Siempat Nempu Dalam Angka 2021</t>
  </si>
  <si>
    <t>jonathansinaga244@gmail:com</t>
  </si>
  <si>
    <t>erasari518@gmail:com</t>
  </si>
  <si>
    <t>arifsuroso2009@gmail:com</t>
  </si>
  <si>
    <t>Rentakarlinda400@gmail:com</t>
  </si>
  <si>
    <t>suryaninaibaho25@gmail:com</t>
  </si>
  <si>
    <t>abfg_asas@gmail:com</t>
  </si>
  <si>
    <t>mardipasaribu1982@gmail:com</t>
  </si>
  <si>
    <t>surya07909@gmail:com</t>
  </si>
  <si>
    <t>boni_bonaventura@yahoo:com</t>
  </si>
  <si>
    <t>a34303048@yahoo:com</t>
  </si>
  <si>
    <t>ade:irma7511@gmail:com</t>
  </si>
  <si>
    <t>simanjuntaknaya7@gmail:com</t>
  </si>
  <si>
    <t>darapuspitaa6688@gmail:com</t>
  </si>
  <si>
    <t>suri@bps:go:id</t>
  </si>
  <si>
    <t>mikroplus:ho@bina-artha:co:id</t>
  </si>
  <si>
    <t>daryanto:marbun@gmail:com</t>
  </si>
  <si>
    <t>erpina:herawati@gmail:com</t>
  </si>
  <si>
    <t>midiantapurba@yahoo:co:id</t>
  </si>
  <si>
    <t>jimkidz@gmail:com</t>
  </si>
  <si>
    <t>ai_ibas@yahoo:com</t>
  </si>
  <si>
    <t>sondangtpb84@gmail:com</t>
  </si>
  <si>
    <t>angrenisiska066@gmail:com</t>
  </si>
  <si>
    <t>noeltampubolon77@gmail:com</t>
  </si>
  <si>
    <t>noeltampubolon@yahoo:com</t>
  </si>
  <si>
    <t>tengkuakbar6@gmail:com</t>
  </si>
  <si>
    <t>husinibrahim03@gmail:com</t>
  </si>
  <si>
    <t>gapadityapratama@gmail:com</t>
  </si>
  <si>
    <t>Nilai Tukar Petani Provinsi Sumatera Utara Oktober 2022 sebesar 121,12</t>
  </si>
  <si>
    <t>anrickson45@gmail:com</t>
  </si>
  <si>
    <t>jonapurba22@gmail:com</t>
  </si>
  <si>
    <t>nila:onesar30@gmail:com</t>
  </si>
  <si>
    <t>skripsiwr@gmail:com</t>
  </si>
  <si>
    <t>aldaanm28@gmail:com</t>
  </si>
  <si>
    <t>juliancleonita99@gmail:com</t>
  </si>
  <si>
    <t>ovieyanaodiya@gmail:com</t>
  </si>
  <si>
    <t>roro:dyah@ymail:com</t>
  </si>
  <si>
    <t>ribka:anggina@bps:go:id</t>
  </si>
  <si>
    <t>anriangkat2017@gmail:com</t>
  </si>
  <si>
    <t>mhdalwipasaribu@gmail:com</t>
  </si>
  <si>
    <t>rphasibuan@gmail:com</t>
  </si>
  <si>
    <t>prio:arif@bps:go:id</t>
  </si>
  <si>
    <t>noone@gmail:com</t>
  </si>
  <si>
    <t>karuniagea130801@gmail:com</t>
  </si>
  <si>
    <t>agung:wre2000@gmail:com</t>
  </si>
  <si>
    <t>pietnoorch@gmail:com</t>
  </si>
  <si>
    <t>ahmat:amini@bps:go:id</t>
  </si>
  <si>
    <t>tatimalau153@gmail:com</t>
  </si>
  <si>
    <t>Siempat Nempu Dalam Angka 2015</t>
  </si>
  <si>
    <t>Siempat Nempu Hulu Dalam Angka 2015</t>
  </si>
  <si>
    <t>Silima Pungga-Pungga Dalam Angka 2015</t>
  </si>
  <si>
    <t>Email</t>
  </si>
  <si>
    <t>Publikasi yang Didownload</t>
  </si>
  <si>
    <t>PIC</t>
  </si>
  <si>
    <t>sangap</t>
  </si>
  <si>
    <t>Emmi</t>
  </si>
  <si>
    <t>junjun</t>
  </si>
  <si>
    <t>Sahnas</t>
  </si>
  <si>
    <t>BRS Yang Didownload</t>
  </si>
  <si>
    <t>Status</t>
  </si>
  <si>
    <t>Petugas</t>
  </si>
  <si>
    <t>No Antrian</t>
  </si>
  <si>
    <t>Nelson Sibagariang</t>
  </si>
  <si>
    <t>nelson@bps:go:id</t>
  </si>
  <si>
    <t>BPS</t>
  </si>
  <si>
    <t>Testing</t>
  </si>
  <si>
    <t>https://drive:google:com/file/d/1jhhMLzotuxrje5xvqCy8E9yYi_GUyzgg/view?usp=drivesdk</t>
  </si>
  <si>
    <t>Test</t>
  </si>
  <si>
    <t>inline</t>
  </si>
  <si>
    <t>tea</t>
  </si>
  <si>
    <t>https://drive:google:com/file/d/1V-InmDzDthudVAkD7hrCAtvIHBQ7QdAl/view?usp=drivesdk</t>
  </si>
  <si>
    <t>test</t>
  </si>
  <si>
    <t>aswet</t>
  </si>
  <si>
    <t>Mike Ervans</t>
  </si>
  <si>
    <t>mikemikeko@bps:go:id</t>
  </si>
  <si>
    <t>BPS Dairi</t>
  </si>
  <si>
    <t>https://drive:google:com/file/d/1iQvhQxODhoRAFKFZuUM-RMcz-Kp022m2/view?usp=drivesdk</t>
  </si>
  <si>
    <t>Anwar Sinaga</t>
  </si>
  <si>
    <t>sadfi@gmail:com</t>
  </si>
  <si>
    <t>jsahds</t>
  </si>
  <si>
    <t>jakdfh</t>
  </si>
  <si>
    <t>https://drive:google:com/file/d/1KMY99aV2aHeymNgqj_ASvT-D19qDRsx6/view?usp=drivesdk</t>
  </si>
  <si>
    <t>fdnafh</t>
  </si>
  <si>
    <t>fnjkafa</t>
  </si>
  <si>
    <t>adi</t>
  </si>
  <si>
    <t>wasiadi@gmail:com</t>
  </si>
  <si>
    <t>polres dairi</t>
  </si>
  <si>
    <t>koordinasi</t>
  </si>
  <si>
    <t>https://drive:google:com/file/d/1JV4tkpg_ouDHnNEz2nh-MRixM06QqDDt/view?usp=drivesdk</t>
  </si>
  <si>
    <t>data kependudukan 2024</t>
  </si>
  <si>
    <t>Boas</t>
  </si>
  <si>
    <t>mr:anwarsinaga@gmail:com</t>
  </si>
  <si>
    <t xml:space="preserve">Konsultasi </t>
  </si>
  <si>
    <t>Ksksns</t>
  </si>
  <si>
    <t>Djsjja</t>
  </si>
  <si>
    <t>Bappeda Kabupaten Dairi</t>
  </si>
  <si>
    <t>Penyusunan dokumen perencanaan</t>
  </si>
  <si>
    <t>IPM, IGR, Pertumbuhan Ekonomi, Tkt: Kemiskinan, Tingkat Pengangguran Terbuka</t>
  </si>
  <si>
    <t>Jekta M P Hutapea</t>
  </si>
  <si>
    <t>jektamphutapea@gmail:com</t>
  </si>
  <si>
    <t>Dinas Pekerjaan Umum dan Tata Ruang Kabupaten Dairi</t>
  </si>
  <si>
    <t>Penyerahan Data Sektoral</t>
  </si>
  <si>
    <t>Penyerahan Surat Data Sektoral</t>
  </si>
  <si>
    <t>DPUTR Kab Dairi</t>
  </si>
  <si>
    <t xml:space="preserve">Reynard Baringbing </t>
  </si>
  <si>
    <t>reynadbaringbing@gmail:com</t>
  </si>
  <si>
    <t>Universitas HKBP Nommensen Medan</t>
  </si>
  <si>
    <t xml:space="preserve">Untuk melengkapi data skripsi </t>
  </si>
  <si>
    <t xml:space="preserve">Data luas lahan panen tanaman jeruk </t>
  </si>
  <si>
    <t xml:space="preserve">Mahasiswa universitas HKBP Nommensen Medan </t>
  </si>
  <si>
    <t>HENDRIK JOHN PIRHOT TINAMBUNAN, SE</t>
  </si>
  <si>
    <t>Permintaan data</t>
  </si>
  <si>
    <t>Data keuangan Daerah dan indikator data makro terbaru</t>
  </si>
  <si>
    <t>Bidang Perencanaan</t>
  </si>
  <si>
    <t>Mei Simanjuntak</t>
  </si>
  <si>
    <t>Sekretariat Daerah Kab: Dairi</t>
  </si>
  <si>
    <t>Permohonan Data IPH Kabupaten Dairi</t>
  </si>
  <si>
    <t>Bulan Februari Minggu ke 2 dan 3</t>
  </si>
  <si>
    <t>Bagian Perekonomian</t>
  </si>
  <si>
    <t>Data IPH Kabupaten Dairi</t>
  </si>
  <si>
    <t>IPH Bulan Februari Minggu 2 dan 3</t>
  </si>
  <si>
    <t>Ramses Naingggolan</t>
  </si>
  <si>
    <t>tidakadagmail@gmail:com</t>
  </si>
  <si>
    <t>Dinas PMD</t>
  </si>
  <si>
    <t>Data Regsosek</t>
  </si>
  <si>
    <t>https://drive:google:com/file/d/16Ha5WuiIx3ZkvuVSwh8Qrzy9TD3cZ5Uk/view?usp=drivesdk</t>
  </si>
  <si>
    <t>Konsultasi dan Permintaan Data Regsosek</t>
  </si>
  <si>
    <t>DAVID K SIMBOLON</t>
  </si>
  <si>
    <t>Pemerintah Kabupaten Dairi</t>
  </si>
  <si>
    <t>Meminta data</t>
  </si>
  <si>
    <t>Tingkat Kemiskinan</t>
  </si>
  <si>
    <t>Bagian Organisasi Pemerintah Kabupaten Dairi</t>
  </si>
  <si>
    <t>Lasma R: Samosir</t>
  </si>
  <si>
    <t>Koordinasi terkait Indikator Utama Pembangunan</t>
  </si>
  <si>
    <t>IPM, IGR, TPT, Pertumbuhan Ekonomi, Tkt: Kemiskinan</t>
  </si>
  <si>
    <t>Koordinasi Data Indikator Makro Pembangunan</t>
  </si>
  <si>
    <t>Data ibutuhkan sebagai data makro dalam penyusunan dokumen perencannan sesuai tupoksi Bappeda</t>
  </si>
  <si>
    <t>morina annelita</t>
  </si>
  <si>
    <t>dinas pendidikan kabupaten dairi</t>
  </si>
  <si>
    <t>Angka Melek Huruf umur 15-45 tahun pada tahun 2024</t>
  </si>
  <si>
    <t>dinas pendidikan kab: dairi</t>
  </si>
  <si>
    <t>Erpi Entelina berutu</t>
  </si>
  <si>
    <t>erpi:berutu78@gmail:com</t>
  </si>
  <si>
    <t>Dinas perindagkopukm kab Dairi</t>
  </si>
  <si>
    <t xml:space="preserve">Permintaan data </t>
  </si>
  <si>
    <t>Permintaan data PDRB industri</t>
  </si>
  <si>
    <t>Dinas Perindagkop kab dairi</t>
  </si>
  <si>
    <t xml:space="preserve">Dwi oktaria Tumanggor </t>
  </si>
  <si>
    <t>octaria:tumanggor@gmail:com</t>
  </si>
  <si>
    <t>Badan Pendapatan Daerah Kab: Dairi</t>
  </si>
  <si>
    <t>Pembinaan Kegiatan Statistik Sektoral Tahub 2025</t>
  </si>
  <si>
    <t>Bapenda Kab: Dairi</t>
  </si>
  <si>
    <t>Lena simamora</t>
  </si>
  <si>
    <t>lena:ipb43@gmail:com</t>
  </si>
  <si>
    <t>Dukcapil Dairi</t>
  </si>
  <si>
    <t>Konsultasi penyusunan dokumen statistik</t>
  </si>
  <si>
    <t>Adminduk</t>
  </si>
  <si>
    <t xml:space="preserve">Valentina Anggriyani Pangaribuan </t>
  </si>
  <si>
    <t>valentinanggriyanii@gmail:com</t>
  </si>
  <si>
    <t xml:space="preserve">PT Pegadaian Sidikalang </t>
  </si>
  <si>
    <t xml:space="preserve">Kunjungan </t>
  </si>
  <si>
    <t xml:space="preserve">Kemitraan </t>
  </si>
  <si>
    <t>Agel Siregar</t>
  </si>
  <si>
    <t>Agelsiregar@gmail:com</t>
  </si>
  <si>
    <t>Dinas Sosial</t>
  </si>
  <si>
    <t xml:space="preserve">Undangan Kepala BPS </t>
  </si>
  <si>
    <t>https://drive:google:com/file/d/1RczIXfRW7f7zTenMGMY8jcxOHr4z5XjI/view?usp=drivesdk</t>
  </si>
  <si>
    <t>Terkait DTSEN</t>
  </si>
  <si>
    <t xml:space="preserve">  </t>
  </si>
  <si>
    <t>Alia</t>
  </si>
  <si>
    <t>lia486598@gmail:com</t>
  </si>
  <si>
    <t>SMA N 2 Sidikalang</t>
  </si>
  <si>
    <t>https://drive:google:com/file/d/1FNHsYc1JZziEe1XbkPLBTGC051aEqEax/view?usp=drivesdk</t>
  </si>
  <si>
    <t>Konsultasi Terkait Data DTKS</t>
  </si>
  <si>
    <t>Bulan</t>
  </si>
  <si>
    <t>No</t>
  </si>
  <si>
    <t>Tanggal Kunjungan</t>
  </si>
  <si>
    <t>Instansi</t>
  </si>
  <si>
    <t>TW 3</t>
  </si>
  <si>
    <t>bulan</t>
  </si>
  <si>
    <t>tanggal</t>
  </si>
  <si>
    <t>TW</t>
  </si>
  <si>
    <t>Rivaldi</t>
  </si>
  <si>
    <t>Juando</t>
  </si>
  <si>
    <t>Sangap</t>
  </si>
  <si>
    <t>Produksi</t>
  </si>
  <si>
    <t>Pengunjung</t>
  </si>
  <si>
    <t>Jumlah</t>
  </si>
  <si>
    <t>Tanggal</t>
  </si>
  <si>
    <t>WA</t>
  </si>
  <si>
    <t>Keterangan Layanan</t>
  </si>
  <si>
    <t>Rincian Layanan Yang Diberikan</t>
  </si>
  <si>
    <t>David Simbolon</t>
  </si>
  <si>
    <t>+62 822-1041-5662</t>
  </si>
  <si>
    <t>Ortala Kabupaten Dairi</t>
  </si>
  <si>
    <t>Nelfita Tanjung</t>
  </si>
  <si>
    <t>Dinas Perpustakaan dan kearsipan Dairi</t>
  </si>
  <si>
    <t>Permintaan Data Jumlah Sekolah SD-SMA Sederajat</t>
  </si>
  <si>
    <t>no kunjungan</t>
  </si>
  <si>
    <t>petugas yang melayani</t>
  </si>
  <si>
    <t>jenis layanan yang diberikan</t>
  </si>
  <si>
    <t>Dokumentasi</t>
  </si>
  <si>
    <t>Posisi</t>
  </si>
  <si>
    <t>Atasan</t>
  </si>
  <si>
    <t>Pelayanan Statistik Terpadu
BPS Kabupaten Dairi</t>
  </si>
  <si>
    <t>Perpustakaan</t>
  </si>
  <si>
    <t>OPAC</t>
  </si>
  <si>
    <t>Allstats BPS</t>
  </si>
  <si>
    <t>Halaman Admin Perpustakaan</t>
  </si>
  <si>
    <t>Buku Tamu Online</t>
  </si>
  <si>
    <t>Publikasi Online</t>
  </si>
  <si>
    <t>ROMANTIK</t>
  </si>
  <si>
    <t>Konsultasi Langsung</t>
  </si>
  <si>
    <t>Konsultasi Statistik</t>
  </si>
  <si>
    <t>Konsultasi WhatsApp</t>
  </si>
  <si>
    <t>Konsultasi Telegram</t>
  </si>
  <si>
    <t>Pojok Statistik</t>
  </si>
  <si>
    <t>Form Konsultasi Online</t>
  </si>
  <si>
    <t>Metadata</t>
  </si>
  <si>
    <t>Informasi Publik</t>
  </si>
  <si>
    <t>PPID</t>
  </si>
  <si>
    <t>Instagram</t>
  </si>
  <si>
    <t>Facebook</t>
  </si>
  <si>
    <t>Threads</t>
  </si>
  <si>
    <t>Website</t>
  </si>
  <si>
    <t>Wadah Layanan Terintegrasi</t>
  </si>
  <si>
    <t>Pengaduan dan Pelaporan</t>
  </si>
  <si>
    <t>Lapor:go:id</t>
  </si>
  <si>
    <t>Whistle Blowing System (WBS) BPS</t>
  </si>
  <si>
    <t>Evaluasi Online</t>
  </si>
  <si>
    <t>ID Pengguna</t>
  </si>
  <si>
    <t>Jenis Kelamin</t>
  </si>
  <si>
    <t>085360408417</t>
  </si>
  <si>
    <t>Perempuan</t>
  </si>
  <si>
    <t>kordinasi antar lembaga</t>
  </si>
  <si>
    <t>david</t>
  </si>
  <si>
    <t>Mitra Statistik</t>
  </si>
  <si>
    <t>Yuli Matondang</t>
  </si>
  <si>
    <t>121</t>
  </si>
  <si>
    <t>Reindhard Harve</t>
  </si>
  <si>
    <t>082156779288</t>
  </si>
  <si>
    <t>dummy@gmail:com</t>
  </si>
  <si>
    <t>Kejaksaan Negeri Dairi</t>
  </si>
  <si>
    <t>122</t>
  </si>
  <si>
    <t>Saut Lingga</t>
  </si>
  <si>
    <t>085276799915</t>
  </si>
  <si>
    <t>sautlingga62@gmail:com</t>
  </si>
  <si>
    <t>123</t>
  </si>
  <si>
    <t>richard manalu</t>
  </si>
  <si>
    <t>085261182736</t>
  </si>
  <si>
    <t>richardbastian3@gmail:com</t>
  </si>
  <si>
    <t>STT Okumene Injili Sidikalang</t>
  </si>
  <si>
    <t>124</t>
  </si>
  <si>
    <t>jese purba</t>
  </si>
  <si>
    <t>081262422234</t>
  </si>
  <si>
    <t>jejepurba164@gmail:com</t>
  </si>
  <si>
    <t>STT Okumene Injili</t>
  </si>
  <si>
    <t>125</t>
  </si>
  <si>
    <t>Deddy Situmorang</t>
  </si>
  <si>
    <t>Dinas Dukcappil</t>
  </si>
  <si>
    <t>126</t>
  </si>
  <si>
    <t>Christina Padang</t>
  </si>
  <si>
    <t>082273563662</t>
  </si>
  <si>
    <t>christinaclpadang@gmail:com</t>
  </si>
  <si>
    <t>Petrasa</t>
  </si>
  <si>
    <t>127</t>
  </si>
  <si>
    <t>Alvi Syahrin Najib Suwitra</t>
  </si>
  <si>
    <t>082166422180</t>
  </si>
  <si>
    <t>suwitraalvi@gmail:com</t>
  </si>
  <si>
    <t>Tribun Medan</t>
  </si>
  <si>
    <t>128</t>
  </si>
  <si>
    <t>129</t>
  </si>
  <si>
    <t>monazyantoery@ymail:com</t>
  </si>
  <si>
    <t>130</t>
  </si>
  <si>
    <t>Elpi Sembiring</t>
  </si>
  <si>
    <t>elpisembiring576@gmail:com</t>
  </si>
  <si>
    <t>131</t>
  </si>
  <si>
    <t>Mesrida Rumahorbo</t>
  </si>
  <si>
    <t>082164574669</t>
  </si>
  <si>
    <t>mesridarumahorbo@gmail:com</t>
  </si>
  <si>
    <t>132</t>
  </si>
  <si>
    <t>082164577768</t>
  </si>
  <si>
    <t>Dinas Perhubungan</t>
  </si>
  <si>
    <t>133</t>
  </si>
  <si>
    <t>Daulat M Pakpahan</t>
  </si>
  <si>
    <t>082272152802</t>
  </si>
  <si>
    <t>daulatMpakpahan@gmail:com</t>
  </si>
  <si>
    <t>BAPPEDA Kabupaten Dairi</t>
  </si>
  <si>
    <t>134</t>
  </si>
  <si>
    <t>135</t>
  </si>
  <si>
    <t>Pardomuan Lumban Gaol</t>
  </si>
  <si>
    <t>081262249635</t>
  </si>
  <si>
    <t>pardomuanlumbangaol42@gmail:com</t>
  </si>
  <si>
    <t>Laki-laki</t>
  </si>
  <si>
    <t>136</t>
  </si>
  <si>
    <t>Sri Uliana Limbong</t>
  </si>
  <si>
    <t>082163486393</t>
  </si>
  <si>
    <t>sriulianalimbong1214@gmail:com</t>
  </si>
  <si>
    <t>137</t>
  </si>
  <si>
    <t>Maria Junita Sigiro</t>
  </si>
  <si>
    <t>081268751396</t>
  </si>
  <si>
    <t>mariajunitasigiro@gmail:com</t>
  </si>
  <si>
    <t>KSP Makmur Mandiri Cabang Sidikalang</t>
  </si>
  <si>
    <t>138</t>
  </si>
  <si>
    <t>Claudia Silaban</t>
  </si>
  <si>
    <t>082165034773</t>
  </si>
  <si>
    <t>claudiasilaban01@gmail:com</t>
  </si>
  <si>
    <t>139</t>
  </si>
  <si>
    <t>perwira ginting</t>
  </si>
  <si>
    <t>081269006361</t>
  </si>
  <si>
    <t>khelmiginting@gmail:com</t>
  </si>
  <si>
    <t>prangkat desa renun</t>
  </si>
  <si>
    <t>140</t>
  </si>
  <si>
    <t>ika roulina</t>
  </si>
  <si>
    <t>082362672560</t>
  </si>
  <si>
    <t>ikaroulinahutasoit@gmail:com</t>
  </si>
  <si>
    <t>BKAD KAB: DAIRI</t>
  </si>
  <si>
    <t>141</t>
  </si>
  <si>
    <t>Donna Sagala</t>
  </si>
  <si>
    <t>081397968191</t>
  </si>
  <si>
    <t>donnaherawatisagala@gmail:com</t>
  </si>
  <si>
    <t>142</t>
  </si>
  <si>
    <t>Damayanti</t>
  </si>
  <si>
    <t>081214443832</t>
  </si>
  <si>
    <t>damayantisitumorang8388@gmail:com</t>
  </si>
  <si>
    <t>143</t>
  </si>
  <si>
    <t>Mora Setia Bako</t>
  </si>
  <si>
    <t>082370168517</t>
  </si>
  <si>
    <t>morasetia:123@gmail:com</t>
  </si>
  <si>
    <t>144</t>
  </si>
  <si>
    <t>Rudi samosir</t>
  </si>
  <si>
    <t>085359305938</t>
  </si>
  <si>
    <t>rudi@dairikab:go:id</t>
  </si>
  <si>
    <t>145</t>
  </si>
  <si>
    <t>Sadiana Pasaribu</t>
  </si>
  <si>
    <t>081376464871</t>
  </si>
  <si>
    <t>dianipasaribu1980@gmail:com</t>
  </si>
  <si>
    <t>BKAD Kab: Dairi</t>
  </si>
  <si>
    <t>146</t>
  </si>
  <si>
    <t>Emelia Naibaho</t>
  </si>
  <si>
    <t>082289057829</t>
  </si>
  <si>
    <t>emelianaibaho@gmail:com</t>
  </si>
  <si>
    <t>147</t>
  </si>
  <si>
    <t>Asrina Daulay</t>
  </si>
  <si>
    <t>081370343566</t>
  </si>
  <si>
    <t>asrinadaulay00@gmail:com</t>
  </si>
  <si>
    <t>Dinas Dukcapil</t>
  </si>
  <si>
    <t>148</t>
  </si>
  <si>
    <t>Lena Simamora</t>
  </si>
  <si>
    <t>081911923743</t>
  </si>
  <si>
    <t>149</t>
  </si>
  <si>
    <t>Dosma Sianipar</t>
  </si>
  <si>
    <t>082160957544</t>
  </si>
  <si>
    <t>dosma:sianipar@gmail:com</t>
  </si>
  <si>
    <t>150</t>
  </si>
  <si>
    <t>085956086575</t>
  </si>
  <si>
    <t>ememaialsf@gmail:com</t>
  </si>
  <si>
    <t>emailmai</t>
  </si>
  <si>
    <t>151</t>
  </si>
  <si>
    <t>Iswanto Wiraja Togatorop</t>
  </si>
  <si>
    <t>082271944587</t>
  </si>
  <si>
    <t>iswan_pert@yahoo:co:id</t>
  </si>
  <si>
    <t>152</t>
  </si>
  <si>
    <t>Jenni Sianturi</t>
  </si>
  <si>
    <t>jennisianturi632@gmail:com</t>
  </si>
  <si>
    <t>153</t>
  </si>
  <si>
    <t>Rindi Simbolon</t>
  </si>
  <si>
    <t>0882015935340</t>
  </si>
  <si>
    <t>154</t>
  </si>
  <si>
    <t>Hotlen pasigod Sianturi</t>
  </si>
  <si>
    <t>082165478947</t>
  </si>
  <si>
    <t>hotlenpsianturi89@gmail:com</t>
  </si>
  <si>
    <t>Mitra bps</t>
  </si>
  <si>
    <t>155</t>
  </si>
  <si>
    <t>Hendriko</t>
  </si>
  <si>
    <t>082370719800</t>
  </si>
  <si>
    <t>hendriko@gmail:com</t>
  </si>
  <si>
    <t>156</t>
  </si>
  <si>
    <t>esrinawati simbolon</t>
  </si>
  <si>
    <t>081285130583</t>
  </si>
  <si>
    <t>157</t>
  </si>
  <si>
    <t>Hanipah Bintang</t>
  </si>
  <si>
    <t>082273546110</t>
  </si>
  <si>
    <t>hanipahbintang91@gmal:co</t>
  </si>
  <si>
    <t>158</t>
  </si>
  <si>
    <t>159</t>
  </si>
  <si>
    <t>Hotma Nainggolan</t>
  </si>
  <si>
    <t>082166542297</t>
  </si>
  <si>
    <t>nainggolanjaya@gmail:com</t>
  </si>
  <si>
    <t>160</t>
  </si>
  <si>
    <t>MARNAULYANTI PADANG</t>
  </si>
  <si>
    <t>081263485982</t>
  </si>
  <si>
    <t>marnaulyantipadang@gmail:com</t>
  </si>
  <si>
    <t>SMKN 1 PGGS</t>
  </si>
  <si>
    <t>161</t>
  </si>
  <si>
    <t>LAUDIAN SURBAKTI</t>
  </si>
  <si>
    <t>082276193695</t>
  </si>
  <si>
    <t>wulandarilaudian@gmail:com</t>
  </si>
  <si>
    <t>162</t>
  </si>
  <si>
    <t>DIANA AGUSTINA BOANGMANALU</t>
  </si>
  <si>
    <t>085372888386</t>
  </si>
  <si>
    <t>dianaboangmanalu48@gmail:com</t>
  </si>
  <si>
    <t>02/06/2025 13.19.51</t>
  </si>
  <si>
    <t>163</t>
  </si>
  <si>
    <t>Natanael Tarigan</t>
  </si>
  <si>
    <t>081317765743</t>
  </si>
  <si>
    <t>natanael@gmail.com</t>
  </si>
  <si>
    <t>Perangkat Desa Rante Besi</t>
  </si>
  <si>
    <t>02/06/2025 16.29.06</t>
  </si>
  <si>
    <t>164</t>
  </si>
  <si>
    <t>Elisa Arinda Putri Simbolon</t>
  </si>
  <si>
    <t>085179531911</t>
  </si>
  <si>
    <t>-@gmail.com</t>
  </si>
  <si>
    <t>Universitas Sumatera Utara</t>
  </si>
  <si>
    <t>03/06/2025 09.08.38</t>
  </si>
  <si>
    <t>165</t>
  </si>
  <si>
    <t>Junjun W</t>
  </si>
  <si>
    <t>083292394</t>
  </si>
  <si>
    <t>junjunemail@gmail.com</t>
  </si>
  <si>
    <t>bps</t>
  </si>
  <si>
    <t>04/06/2025 07.53.07</t>
  </si>
  <si>
    <t>166</t>
  </si>
  <si>
    <t>Kristina Simanullang</t>
  </si>
  <si>
    <t>082163466809</t>
  </si>
  <si>
    <t>krisrinasimanullang993@gmail.com</t>
  </si>
  <si>
    <t>04/06/2025 07.54.22</t>
  </si>
  <si>
    <t>167</t>
  </si>
  <si>
    <t>Sari Yunita Panjaitan</t>
  </si>
  <si>
    <t>082273170862</t>
  </si>
  <si>
    <t>panjaitansari84@gmail.com</t>
  </si>
  <si>
    <t>04/06/2025 07.56.09</t>
  </si>
  <si>
    <t>168</t>
  </si>
  <si>
    <t>Jenny Rosmita Marsaulina Sihombing</t>
  </si>
  <si>
    <t>085270113749</t>
  </si>
  <si>
    <t>jennysihombing1982@gmail.com</t>
  </si>
  <si>
    <t>04/06/2025 07.58.37</t>
  </si>
  <si>
    <t>169</t>
  </si>
  <si>
    <t>Rista Hidayah Pasi</t>
  </si>
  <si>
    <t>082304329332</t>
  </si>
  <si>
    <t>ristapasi07@gmail.com</t>
  </si>
  <si>
    <t>04/06/2025 07.59.51</t>
  </si>
  <si>
    <t>170</t>
  </si>
  <si>
    <t>Nurjanah Lingga</t>
  </si>
  <si>
    <t>082267691866</t>
  </si>
  <si>
    <t>jannahlingga6@gmail.com</t>
  </si>
  <si>
    <t>04/06/2025 08.01.36</t>
  </si>
  <si>
    <t>171</t>
  </si>
  <si>
    <t>Junus Lumban Gaol</t>
  </si>
  <si>
    <t>0858262772472</t>
  </si>
  <si>
    <t>yunusmarbun0105@gmail.com</t>
  </si>
  <si>
    <t>04/06/2025 08.02.56</t>
  </si>
  <si>
    <t>172</t>
  </si>
  <si>
    <t>Eko Bona Ventus Lubis</t>
  </si>
  <si>
    <t>083183386284</t>
  </si>
  <si>
    <t>ekolubis01@gmail.com</t>
  </si>
  <si>
    <t>04/06/2025 08.04.07</t>
  </si>
  <si>
    <t>173</t>
  </si>
  <si>
    <t>Pierre Daniel Sebayang</t>
  </si>
  <si>
    <t>081350076980</t>
  </si>
  <si>
    <t>n2.sebayang@gmail.com</t>
  </si>
  <si>
    <t>04/06/2025 08.05.26</t>
  </si>
  <si>
    <t>174</t>
  </si>
  <si>
    <t>Sefrin Sitanggang</t>
  </si>
  <si>
    <t>082174259989</t>
  </si>
  <si>
    <t>sefrinsitanggang@gmail.com</t>
  </si>
  <si>
    <t>04/06/2025 08.07.28</t>
  </si>
  <si>
    <t>175</t>
  </si>
  <si>
    <t>Baktiar Saragi</t>
  </si>
  <si>
    <t>081260042407</t>
  </si>
  <si>
    <t>baktiarsaragi0@gmail.com</t>
  </si>
  <si>
    <t>04/06/2025 08.08.43</t>
  </si>
  <si>
    <t>176</t>
  </si>
  <si>
    <t>Anggita Hotmariana Nainggolan</t>
  </si>
  <si>
    <t>082277855440</t>
  </si>
  <si>
    <t>anggitanainggolan71@gmail.com</t>
  </si>
  <si>
    <t>04/06/2025 08.09.58</t>
  </si>
  <si>
    <t>177</t>
  </si>
  <si>
    <t>Anjelina Sianturi</t>
  </si>
  <si>
    <t>081360913119</t>
  </si>
  <si>
    <t>anjelinasianturi5@gmail.com</t>
  </si>
  <si>
    <t>04/06/2025 08.11.06</t>
  </si>
  <si>
    <t>178</t>
  </si>
  <si>
    <t>Jungjung J P Sipayung</t>
  </si>
  <si>
    <t>081263445438</t>
  </si>
  <si>
    <t>zzaps_leo@yahoo.com</t>
  </si>
  <si>
    <t>04/06/2025 08.12.25</t>
  </si>
  <si>
    <t>179</t>
  </si>
  <si>
    <t>Elisar H Sagala</t>
  </si>
  <si>
    <t>082268787809</t>
  </si>
  <si>
    <t>elisarsagalaofficial@gmail.com</t>
  </si>
  <si>
    <t>04/06/2025 08.13.54</t>
  </si>
  <si>
    <t>180</t>
  </si>
  <si>
    <t>Beatrix Febrita Sitohang</t>
  </si>
  <si>
    <t>087735230518</t>
  </si>
  <si>
    <t>beatrixfebritasitohang@gmail.com</t>
  </si>
  <si>
    <t>04/06/2025 08.38.04</t>
  </si>
  <si>
    <t>181</t>
  </si>
  <si>
    <t>Indra Simanjuntak</t>
  </si>
  <si>
    <t>081260002399</t>
  </si>
  <si>
    <t>indra_stak@yahoo.com</t>
  </si>
  <si>
    <t>Disdukcapil</t>
  </si>
  <si>
    <t>12/06/2025 12.41.03</t>
  </si>
  <si>
    <t>182</t>
  </si>
  <si>
    <t>Nazaruddin</t>
  </si>
  <si>
    <t>081376021662</t>
  </si>
  <si>
    <t>nazaruddin110160@gmail.com</t>
  </si>
  <si>
    <t>pengurus mesjid jamik kebun bunga medan petisa</t>
  </si>
  <si>
    <t>13/06/2025 14.23.07</t>
  </si>
  <si>
    <t>183</t>
  </si>
  <si>
    <t>Febrianta Bangun</t>
  </si>
  <si>
    <t>082171298812</t>
  </si>
  <si>
    <t>febrifebrian240@gmail.com</t>
  </si>
  <si>
    <t>17/06/2025 07.56.27</t>
  </si>
  <si>
    <t>184</t>
  </si>
  <si>
    <t>Uli Hesty Situmorang</t>
  </si>
  <si>
    <t>082294297281</t>
  </si>
  <si>
    <t>ulihesty.1978@gmail.com</t>
  </si>
  <si>
    <t>Dinas Pemberdayaan Perempuan Perlindungan Anak Pengendalian Penduduk dan KB</t>
  </si>
  <si>
    <t>18/06/2025 10.34.07</t>
  </si>
  <si>
    <t>185</t>
  </si>
  <si>
    <t>Hartanty Surya Ningsih</t>
  </si>
  <si>
    <t>082164336240</t>
  </si>
  <si>
    <t>hartantysuryaningsih@gmail.com</t>
  </si>
  <si>
    <t>19/06/2025 11.58.17</t>
  </si>
  <si>
    <t>186</t>
  </si>
  <si>
    <t>Deswina Tumangger</t>
  </si>
  <si>
    <t>085277906317</t>
  </si>
  <si>
    <t>deswinatumangger425@gmail.com</t>
  </si>
  <si>
    <t>Siswa SMK  N 1 PGGS</t>
  </si>
  <si>
    <t>19/06/2025 12.00.35</t>
  </si>
  <si>
    <t>187</t>
  </si>
  <si>
    <t>Remilla Manik</t>
  </si>
  <si>
    <t>082268410125</t>
  </si>
  <si>
    <t>Remillamanik@gmail.com</t>
  </si>
  <si>
    <t>Siswa SMK N 1 PGGS</t>
  </si>
  <si>
    <t>20/06/2025 09.12.23</t>
  </si>
  <si>
    <t>188</t>
  </si>
  <si>
    <t>Sri Dewi Napitupulu</t>
  </si>
  <si>
    <t>081361309462</t>
  </si>
  <si>
    <t>sridewi@gmail.com</t>
  </si>
  <si>
    <t>DWP</t>
  </si>
  <si>
    <t>20/06/2025 09.14.12</t>
  </si>
  <si>
    <t>189</t>
  </si>
  <si>
    <t>Dahlia Nila Krisna Hutagalung</t>
  </si>
  <si>
    <t>085270974512</t>
  </si>
  <si>
    <t>nilakrisnahutagalung@gmail.com</t>
  </si>
  <si>
    <t>20/06/2025 10.07.08</t>
  </si>
  <si>
    <t>190</t>
  </si>
  <si>
    <t>ASIM SAPUTRA</t>
  </si>
  <si>
    <t>99999999</t>
  </si>
  <si>
    <t>sumut@bps.go.id</t>
  </si>
  <si>
    <t>BPS SUMUT</t>
  </si>
  <si>
    <t>20/06/2025 16.09.04</t>
  </si>
  <si>
    <t>191</t>
  </si>
  <si>
    <t>Ririn Hidayati</t>
  </si>
  <si>
    <t>8888</t>
  </si>
  <si>
    <t>ririn@gmail.com</t>
  </si>
  <si>
    <t>DWP BPS Provinsi Sumatera Utara</t>
  </si>
  <si>
    <t>25/06/2025 09.44.36</t>
  </si>
  <si>
    <t>192</t>
  </si>
  <si>
    <t>Sri Rehulina Batubara</t>
  </si>
  <si>
    <t>081370752933</t>
  </si>
  <si>
    <t>batubarasri96@gmail.com</t>
  </si>
  <si>
    <t>25/06/2025 09.49.33</t>
  </si>
  <si>
    <t>193</t>
  </si>
  <si>
    <t>Riry engrina simamora</t>
  </si>
  <si>
    <t>081377028351</t>
  </si>
  <si>
    <t>riry03@gmail.com</t>
  </si>
  <si>
    <t>30/06/2025 09.35.26</t>
  </si>
  <si>
    <t>194</t>
  </si>
  <si>
    <t>Aminudin Manik</t>
  </si>
  <si>
    <t>082365079999</t>
  </si>
  <si>
    <t>aminudinmanik@gmail.com</t>
  </si>
  <si>
    <t>Dinas Perindagkop</t>
  </si>
  <si>
    <t>01/07/2025 15.12.56</t>
  </si>
  <si>
    <t>195</t>
  </si>
  <si>
    <t>Paulina Tobing</t>
  </si>
  <si>
    <t>08126523405</t>
  </si>
  <si>
    <t>paulina.tobing@ptdpm.co.id</t>
  </si>
  <si>
    <t>PT. Dairi Prima Mineral</t>
  </si>
  <si>
    <t>02/07/2025 10.10.30</t>
  </si>
  <si>
    <t>196</t>
  </si>
  <si>
    <t>Benedikta Ujung</t>
  </si>
  <si>
    <t>081347079587</t>
  </si>
  <si>
    <t>ettiujung@gmail.com</t>
  </si>
  <si>
    <t>04/07/2025 08.16.31</t>
  </si>
  <si>
    <t>197</t>
  </si>
  <si>
    <t>Arifah</t>
  </si>
  <si>
    <t>0812345678</t>
  </si>
  <si>
    <t>arifah@bps.go.id</t>
  </si>
  <si>
    <t>BPS Medan</t>
  </si>
  <si>
    <t>10/07/2025 16.06.49</t>
  </si>
  <si>
    <t>198</t>
  </si>
  <si>
    <t>Riduan Sitanggang</t>
  </si>
  <si>
    <t>081396155058</t>
  </si>
  <si>
    <t>bps1210@bps.go.id</t>
  </si>
  <si>
    <t>KORAMIL02 Sidikalang</t>
  </si>
  <si>
    <t>16/07/2025 08.31.09</t>
  </si>
  <si>
    <t>199</t>
  </si>
  <si>
    <t>Nikmat Anak ampun</t>
  </si>
  <si>
    <t>082362568949</t>
  </si>
  <si>
    <t>nikmatanakampun@gmail.com</t>
  </si>
  <si>
    <t>16/07/2025 15.36.44</t>
  </si>
  <si>
    <t>200</t>
  </si>
  <si>
    <t>Mutia Lubis</t>
  </si>
  <si>
    <t>082161804826</t>
  </si>
  <si>
    <t>mutialubis321@gmail.com</t>
  </si>
  <si>
    <t>mahasiwi Universitas Syiah Kuala, aceh</t>
  </si>
  <si>
    <t>17/07/2025 11.09.08</t>
  </si>
  <si>
    <t>201</t>
  </si>
  <si>
    <t>Julianto Dabutar</t>
  </si>
  <si>
    <t>082264334420</t>
  </si>
  <si>
    <t>juliantodabutar90@gmail.com</t>
  </si>
  <si>
    <t>PERUMDA AM Lae Nciho</t>
  </si>
  <si>
    <t>24/07/2025 08.27.07</t>
  </si>
  <si>
    <t>202</t>
  </si>
  <si>
    <t>Nuryani Pasaribu</t>
  </si>
  <si>
    <t>085360264830</t>
  </si>
  <si>
    <t>nuryanipasaribu@gmail.com</t>
  </si>
  <si>
    <t>29/07/2025 08.23.22</t>
  </si>
  <si>
    <t>203</t>
  </si>
  <si>
    <t>Jungjung JP Sipayung</t>
  </si>
  <si>
    <t>29/07/2025 09.16.28</t>
  </si>
  <si>
    <t>204</t>
  </si>
  <si>
    <t>Nelly Bako</t>
  </si>
  <si>
    <t>08126318716</t>
  </si>
  <si>
    <t>nellybako17@gmail.com</t>
  </si>
  <si>
    <t>Puskesmas Hutarakyat</t>
  </si>
  <si>
    <t>29/07/2025 10.20.07</t>
  </si>
  <si>
    <t>205</t>
  </si>
  <si>
    <t>halimuth</t>
  </si>
  <si>
    <t>081280467015</t>
  </si>
  <si>
    <t>imuthsw@bps.go.id</t>
  </si>
  <si>
    <t>04/08/2025 16.22.04</t>
  </si>
  <si>
    <t>206</t>
  </si>
  <si>
    <t>Aman Pasaribu</t>
  </si>
  <si>
    <t>085297463079</t>
  </si>
  <si>
    <t>0@gmail.com</t>
  </si>
  <si>
    <t>Masyarakat Umum</t>
  </si>
  <si>
    <t>06/08/2025 12.22.43</t>
  </si>
  <si>
    <t>207</t>
  </si>
  <si>
    <t>Swando Capah</t>
  </si>
  <si>
    <t>081364140981</t>
  </si>
  <si>
    <t>swandocapah13@gmail.com</t>
  </si>
  <si>
    <t>06/08/2025 12.25.17</t>
  </si>
  <si>
    <t>208</t>
  </si>
  <si>
    <t>Sariwati Capah</t>
  </si>
  <si>
    <t>082267299749</t>
  </si>
  <si>
    <t>-bps1210@gmail.com</t>
  </si>
  <si>
    <t>07/08/2025 09.09.17</t>
  </si>
  <si>
    <t>209</t>
  </si>
  <si>
    <t>Sugeng</t>
  </si>
  <si>
    <t>082453543543</t>
  </si>
  <si>
    <t>Universitas Ternama</t>
  </si>
  <si>
    <t>07/08/2025 14.13.42</t>
  </si>
  <si>
    <t>210</t>
  </si>
  <si>
    <t>Yusri</t>
  </si>
  <si>
    <t>081294583205</t>
  </si>
  <si>
    <t>yusriharahap73@gmail.com</t>
  </si>
  <si>
    <t>PT. DPM</t>
  </si>
  <si>
    <t>11/08/2025 08.31.26</t>
  </si>
  <si>
    <t>211</t>
  </si>
  <si>
    <t>Eka Lina</t>
  </si>
  <si>
    <t>085276515459</t>
  </si>
  <si>
    <t>11/08/2025 09.12.09</t>
  </si>
  <si>
    <t>212</t>
  </si>
  <si>
    <t>sandy boang manalu</t>
  </si>
  <si>
    <t>081365180856</t>
  </si>
  <si>
    <t>sandyboang@gmail.com</t>
  </si>
  <si>
    <t>kominfo</t>
  </si>
  <si>
    <t>12/08/2025 07.13.41</t>
  </si>
  <si>
    <t>213</t>
  </si>
  <si>
    <t>Sawal Dabutar</t>
  </si>
  <si>
    <t>085362031827</t>
  </si>
  <si>
    <t>bps1210@gmail.com</t>
  </si>
  <si>
    <t>KUA Kementerian Agama Sidikalang</t>
  </si>
  <si>
    <t>12/08/2025 08.08.21</t>
  </si>
  <si>
    <t>214</t>
  </si>
  <si>
    <t>simon tonny malau</t>
  </si>
  <si>
    <t>085297988026</t>
  </si>
  <si>
    <t>tonnnymalau@gmail.com</t>
  </si>
  <si>
    <t>dinas pmd</t>
  </si>
  <si>
    <t>12/08/2025 08.10.59</t>
  </si>
  <si>
    <t>215</t>
  </si>
  <si>
    <t>Untung R.B Nahampun</t>
  </si>
  <si>
    <t>082297520478</t>
  </si>
  <si>
    <t>untungroynahampun@gmail.com</t>
  </si>
  <si>
    <t>Kantor Camat Sitinjo</t>
  </si>
  <si>
    <t>12/08/2025 08.48.50</t>
  </si>
  <si>
    <t>216</t>
  </si>
  <si>
    <t>Umum Sukarjo Bako</t>
  </si>
  <si>
    <t>082367336959</t>
  </si>
  <si>
    <t>Desa Sitinjo II</t>
  </si>
  <si>
    <t>12/08/2025 08.50.09</t>
  </si>
  <si>
    <t>217</t>
  </si>
  <si>
    <t>Rhintin Munthe</t>
  </si>
  <si>
    <t>082185196997</t>
  </si>
  <si>
    <t>12/08/2025 08.52.31</t>
  </si>
  <si>
    <t>218</t>
  </si>
  <si>
    <t>Romiana Bako</t>
  </si>
  <si>
    <t>082274894004</t>
  </si>
  <si>
    <t>12/08/2025 08.55.18</t>
  </si>
  <si>
    <t>219</t>
  </si>
  <si>
    <t>Slamat Lumban Gaol</t>
  </si>
  <si>
    <t>081372692753</t>
  </si>
  <si>
    <t>12/08/2025 08.56.57</t>
  </si>
  <si>
    <t>220</t>
  </si>
  <si>
    <t>Paradep Bako</t>
  </si>
  <si>
    <t>081263749990</t>
  </si>
  <si>
    <t>12/08/2025 08.58.50</t>
  </si>
  <si>
    <t>221</t>
  </si>
  <si>
    <t>Erni Dora Trisnawaty Sianturi</t>
  </si>
  <si>
    <t>081264338287</t>
  </si>
  <si>
    <t>Sitinjo II</t>
  </si>
  <si>
    <t>12/08/2025 09.06.30</t>
  </si>
  <si>
    <t>222</t>
  </si>
  <si>
    <t>Andrianus Sitorus</t>
  </si>
  <si>
    <t>085297128612</t>
  </si>
  <si>
    <t>12/08/2025 09.07.40</t>
  </si>
  <si>
    <t>223</t>
  </si>
  <si>
    <t>Arles Pakpahan</t>
  </si>
  <si>
    <t>081362777517</t>
  </si>
  <si>
    <t>Desa Bangun I</t>
  </si>
  <si>
    <t>12/08/2025 09.08.28</t>
  </si>
  <si>
    <t>224</t>
  </si>
  <si>
    <t>Damianus Silaban</t>
  </si>
  <si>
    <t>082213184149</t>
  </si>
  <si>
    <t>Desa Sungai Raya</t>
  </si>
  <si>
    <t>12/08/2025 09.12.19</t>
  </si>
  <si>
    <t>225</t>
  </si>
  <si>
    <t>Ferry G Naibaho</t>
  </si>
  <si>
    <t>081396143612</t>
  </si>
  <si>
    <t>12/08/2025 10.38.05</t>
  </si>
  <si>
    <t>226</t>
  </si>
  <si>
    <t>Sahala Boiler</t>
  </si>
  <si>
    <t>082165040167</t>
  </si>
  <si>
    <t>Bakal Julu</t>
  </si>
  <si>
    <t>13/08/2025 09.51.21</t>
  </si>
  <si>
    <t>227</t>
  </si>
  <si>
    <t>Morina Airtonang</t>
  </si>
  <si>
    <t>085261684828</t>
  </si>
  <si>
    <t>Dinas Pendidikan Kab Dairi</t>
  </si>
  <si>
    <t>15/08/2025 08.30.03</t>
  </si>
  <si>
    <t>228</t>
  </si>
  <si>
    <t>Agung Santoso</t>
  </si>
  <si>
    <t>082241003992</t>
  </si>
  <si>
    <t>agung.santoso@bps.go.id</t>
  </si>
  <si>
    <t>25/08/2025 11.58.46</t>
  </si>
  <si>
    <t>229</t>
  </si>
  <si>
    <t>Mangihut Silaban</t>
  </si>
  <si>
    <t>081269963814</t>
  </si>
  <si>
    <t>28/08/2025 07.50.22</t>
  </si>
  <si>
    <t>230</t>
  </si>
  <si>
    <t>Ester Bita Yoka S</t>
  </si>
  <si>
    <t>085261804305</t>
  </si>
  <si>
    <t>esterbithayoka@gmail.com</t>
  </si>
  <si>
    <t>28/08/2025 08.05.49</t>
  </si>
  <si>
    <t>231</t>
  </si>
  <si>
    <t>Ira Lolo Saragih</t>
  </si>
  <si>
    <t>081362194157</t>
  </si>
  <si>
    <t>iralolosaragih16@gmail.com</t>
  </si>
  <si>
    <t>28/08/2025 08.07.01</t>
  </si>
  <si>
    <t>232</t>
  </si>
  <si>
    <t>Vivi Nova Yanti Maha</t>
  </si>
  <si>
    <t>0822676985210</t>
  </si>
  <si>
    <t>vivimaha02@gmail.com</t>
  </si>
  <si>
    <t>29/08/2025 09.19.47</t>
  </si>
  <si>
    <t>233</t>
  </si>
  <si>
    <t>Frisda Turnip</t>
  </si>
  <si>
    <t>082273891943</t>
  </si>
  <si>
    <t>29/08/2025 11.26.08</t>
  </si>
  <si>
    <t>234</t>
  </si>
  <si>
    <t>Esra Sianipar</t>
  </si>
  <si>
    <t>082185714022</t>
  </si>
  <si>
    <t>esrasianita@gmail.com</t>
  </si>
  <si>
    <t>29/08/2025 12.58.39</t>
  </si>
  <si>
    <t>235</t>
  </si>
  <si>
    <t>Raya Nadapdap</t>
  </si>
  <si>
    <t>089652816195</t>
  </si>
  <si>
    <t>yosesimamora581@gmail.com</t>
  </si>
  <si>
    <t>Responden Susenas</t>
  </si>
  <si>
    <t>29/08/2025 13.02.06</t>
  </si>
  <si>
    <t>236</t>
  </si>
  <si>
    <t>Sri Handayani Padang</t>
  </si>
  <si>
    <t>082162539307</t>
  </si>
  <si>
    <t>sryhandayani@gmail.com</t>
  </si>
  <si>
    <t>29/08/2025 13.18.14</t>
  </si>
  <si>
    <t>237</t>
  </si>
  <si>
    <t>Herlina Sitanggang</t>
  </si>
  <si>
    <t>081370347554</t>
  </si>
  <si>
    <t>Responden Roleplaying Susenas</t>
  </si>
  <si>
    <t>29/08/2025 13.20.12</t>
  </si>
  <si>
    <t>238</t>
  </si>
  <si>
    <t>Marice Sitanggang</t>
  </si>
  <si>
    <t>081262926503</t>
  </si>
  <si>
    <t>29/08/2025 13.29.58</t>
  </si>
  <si>
    <t>239</t>
  </si>
  <si>
    <t>Nurma Friska</t>
  </si>
  <si>
    <t>085761380902</t>
  </si>
  <si>
    <t>29/08/2025 13.35.23</t>
  </si>
  <si>
    <t>240</t>
  </si>
  <si>
    <t>Merry Anne Silaban</t>
  </si>
  <si>
    <t>082161272898</t>
  </si>
  <si>
    <t>Responden susenas roleplaying</t>
  </si>
  <si>
    <t>29/08/2025 13.40.05</t>
  </si>
  <si>
    <t>241</t>
  </si>
  <si>
    <t>Frima Karolina Munthe</t>
  </si>
  <si>
    <t>081265504450</t>
  </si>
  <si>
    <t>Responden Susenas Roleplaying</t>
  </si>
  <si>
    <t>01/09/2025 09.54.57</t>
  </si>
  <si>
    <t>242</t>
  </si>
  <si>
    <t>Saman Ujung</t>
  </si>
  <si>
    <t>083894250837</t>
  </si>
  <si>
    <t>01/09/2025 16.08.14</t>
  </si>
  <si>
    <t>244</t>
  </si>
  <si>
    <t>Roswita Situmorang</t>
  </si>
  <si>
    <t>0852-1216-1879</t>
  </si>
  <si>
    <t>rsitumorang80@gmail.com</t>
  </si>
  <si>
    <t>04/09/2025 08.44.20</t>
  </si>
  <si>
    <t>245</t>
  </si>
  <si>
    <t>Herlin Sianturi</t>
  </si>
  <si>
    <t>082294481501</t>
  </si>
  <si>
    <t>herlinsianturi48@gmail.com</t>
  </si>
  <si>
    <t>Mahasiswa Program Studi Agribisnis, Universitas Jambi</t>
  </si>
  <si>
    <t>04/09/2025 09.32.08</t>
  </si>
  <si>
    <t>246</t>
  </si>
  <si>
    <t>Henriko Pandiangan</t>
  </si>
  <si>
    <t>082246474463</t>
  </si>
  <si>
    <t>04/09/2025 10.22.41</t>
  </si>
  <si>
    <t>247</t>
  </si>
  <si>
    <t>Siti Rafika Ujung</t>
  </si>
  <si>
    <t>081272041005</t>
  </si>
  <si>
    <t>10/09/2025 10.19.46</t>
  </si>
  <si>
    <t>248</t>
  </si>
  <si>
    <t>handayani kudadiri</t>
  </si>
  <si>
    <t>082267875542</t>
  </si>
  <si>
    <t>handayanikudadiri60@gmail.com</t>
  </si>
  <si>
    <t>dinas pariwisata</t>
  </si>
  <si>
    <t>10/09/2025 11.20.04</t>
  </si>
  <si>
    <t>249</t>
  </si>
  <si>
    <t>indah permatasri ketaren</t>
  </si>
  <si>
    <t>081269463369</t>
  </si>
  <si>
    <t>indahcoelphah2@ymail.com</t>
  </si>
  <si>
    <t>disain interior</t>
  </si>
  <si>
    <t>10/09/2025 11.33.46</t>
  </si>
  <si>
    <t>250</t>
  </si>
  <si>
    <t>lamria sm manik</t>
  </si>
  <si>
    <t>082275143359</t>
  </si>
  <si>
    <t>11/09/2025 08.12.57</t>
  </si>
  <si>
    <t>251</t>
  </si>
  <si>
    <t>Drs.Misfaruddin, M.Si.</t>
  </si>
  <si>
    <t>081365473567</t>
  </si>
  <si>
    <t>statistisi ahli utama bps provinsi sumut</t>
  </si>
  <si>
    <t>11/09/2025 08.24.08</t>
  </si>
  <si>
    <t>252</t>
  </si>
  <si>
    <t>Bima kebangkitan naibaho</t>
  </si>
  <si>
    <t>082277894567</t>
  </si>
  <si>
    <t>PEGAWAI BPS PROVINSI SUMUT</t>
  </si>
  <si>
    <t>11/09/2025 13.18.05</t>
  </si>
  <si>
    <t>253</t>
  </si>
  <si>
    <t>Risdo Silaban</t>
  </si>
  <si>
    <t>085811112258</t>
  </si>
  <si>
    <t>risdosilaban178@gamil.com</t>
  </si>
  <si>
    <t>16/09/2025 12.08.31</t>
  </si>
  <si>
    <t>254</t>
  </si>
  <si>
    <t>Landong Napitu</t>
  </si>
  <si>
    <t>081376576777</t>
  </si>
  <si>
    <t>Kantor Camat Parbuluan</t>
  </si>
  <si>
    <t>id</t>
  </si>
  <si>
    <t>Nama Action</t>
  </si>
  <si>
    <t>Keterangan</t>
  </si>
  <si>
    <t>Tambah Pengunjung Baru</t>
  </si>
  <si>
    <t>Digunakan untuk menambahkan data pengunjung yang belum pernah terekam di ULAHON</t>
  </si>
  <si>
    <t>Tambah Kunjungan</t>
  </si>
  <si>
    <t>Digunakan untuk menambahkan data kunjungan melalui aplikasi pesan instan (WA) maupun kunjungan langsung</t>
  </si>
  <si>
    <t>Buat Laporan Pelayanan</t>
  </si>
  <si>
    <t>Digunakan untuk melaporkan hasil pelayanan, baik kunjungan virtual atau langsung</t>
  </si>
  <si>
    <t>Ajukan Pertukaran Jadwal</t>
  </si>
  <si>
    <t>Digunakan untuk mengajukan perubahan pada jadwal piket petugas</t>
  </si>
  <si>
    <t>ID piket</t>
  </si>
  <si>
    <t>Shift</t>
  </si>
  <si>
    <t>ID PETUGAS</t>
  </si>
  <si>
    <t>Nama Petugas</t>
  </si>
  <si>
    <t>Kendala</t>
  </si>
  <si>
    <t>cek_in</t>
  </si>
  <si>
    <t>cek_out</t>
  </si>
  <si>
    <t>202505201</t>
  </si>
  <si>
    <t>340059765</t>
  </si>
  <si>
    <t>202505202</t>
  </si>
  <si>
    <t>340015839</t>
  </si>
  <si>
    <t>202505211</t>
  </si>
  <si>
    <t>340062686</t>
  </si>
  <si>
    <t>202505212</t>
  </si>
  <si>
    <t>340059530</t>
  </si>
  <si>
    <t>202505221</t>
  </si>
  <si>
    <t>340060890</t>
  </si>
  <si>
    <t>202505222</t>
  </si>
  <si>
    <t>340018977</t>
  </si>
  <si>
    <t>202505231</t>
  </si>
  <si>
    <t>340019638</t>
  </si>
  <si>
    <t>202505232</t>
  </si>
  <si>
    <t>340020014</t>
  </si>
  <si>
    <t>202505261</t>
  </si>
  <si>
    <t>340056421</t>
  </si>
  <si>
    <t>202505262</t>
  </si>
  <si>
    <t>340062190</t>
  </si>
  <si>
    <t>202505271</t>
  </si>
  <si>
    <t>340018242</t>
  </si>
  <si>
    <t>202505272</t>
  </si>
  <si>
    <t>340059093</t>
  </si>
  <si>
    <t>202505281</t>
  </si>
  <si>
    <t>340061421</t>
  </si>
  <si>
    <t>202505282</t>
  </si>
  <si>
    <t>340013678</t>
  </si>
  <si>
    <t>202506021</t>
  </si>
  <si>
    <t>340061216</t>
  </si>
  <si>
    <t>202506022</t>
  </si>
  <si>
    <t>340061848</t>
  </si>
  <si>
    <t>202506031</t>
  </si>
  <si>
    <t>340062799</t>
  </si>
  <si>
    <t>202506032</t>
  </si>
  <si>
    <t>340018609</t>
  </si>
  <si>
    <t>202506041</t>
  </si>
  <si>
    <t>340060771</t>
  </si>
  <si>
    <t>202506042</t>
  </si>
  <si>
    <t>340054822</t>
  </si>
  <si>
    <t>202506051</t>
  </si>
  <si>
    <t>340013893</t>
  </si>
  <si>
    <t>202506052</t>
  </si>
  <si>
    <t>340018247</t>
  </si>
  <si>
    <t>202506061</t>
  </si>
  <si>
    <t>202506062</t>
  </si>
  <si>
    <t>202506101</t>
  </si>
  <si>
    <t>202506102</t>
  </si>
  <si>
    <t>202506111</t>
  </si>
  <si>
    <t>202506112</t>
  </si>
  <si>
    <t>202506121</t>
  </si>
  <si>
    <t>202506122</t>
  </si>
  <si>
    <t>202506131</t>
  </si>
  <si>
    <t>202506132</t>
  </si>
  <si>
    <t>Tidak ada pengunjung yang datang</t>
  </si>
  <si>
    <t>dbpiket_Images/202505201.Dokumentasi.084419.jpg</t>
  </si>
  <si>
    <t>202506161</t>
  </si>
  <si>
    <t>202506162</t>
  </si>
  <si>
    <t>202506171</t>
  </si>
  <si>
    <t>202506172</t>
  </si>
  <si>
    <t>202506181</t>
  </si>
  <si>
    <t>202506182</t>
  </si>
  <si>
    <t>202506191</t>
  </si>
  <si>
    <t>202506192</t>
  </si>
  <si>
    <t>202506201</t>
  </si>
  <si>
    <t>202506202</t>
  </si>
  <si>
    <t>202506231</t>
  </si>
  <si>
    <t>202506232</t>
  </si>
  <si>
    <t>202506241</t>
  </si>
  <si>
    <t>202506242</t>
  </si>
  <si>
    <t>202506251</t>
  </si>
  <si>
    <t>Tidak ada pengunjung layanan statistik</t>
  </si>
  <si>
    <t>dbpiket_Images/202506251.Dokumentasi.050230.jpg</t>
  </si>
  <si>
    <t>202506252</t>
  </si>
  <si>
    <t>202506261</t>
  </si>
  <si>
    <t>202506262</t>
  </si>
  <si>
    <t>202506301</t>
  </si>
  <si>
    <t>202506302</t>
  </si>
  <si>
    <t>202507011</t>
  </si>
  <si>
    <t>202507012</t>
  </si>
  <si>
    <t>202507021</t>
  </si>
  <si>
    <t>202507022</t>
  </si>
  <si>
    <t>202507031</t>
  </si>
  <si>
    <t>202507032</t>
  </si>
  <si>
    <t>202507041</t>
  </si>
  <si>
    <t>202507042</t>
  </si>
  <si>
    <t>202507071</t>
  </si>
  <si>
    <t>202507072</t>
  </si>
  <si>
    <t>202507081</t>
  </si>
  <si>
    <t>202507082</t>
  </si>
  <si>
    <t>202507091</t>
  </si>
  <si>
    <t>202507092</t>
  </si>
  <si>
    <t>202507101</t>
  </si>
  <si>
    <t>202507102</t>
  </si>
  <si>
    <t>202507111</t>
  </si>
  <si>
    <t>202507112</t>
  </si>
  <si>
    <t>202507141</t>
  </si>
  <si>
    <t>202507142</t>
  </si>
  <si>
    <t>202507151</t>
  </si>
  <si>
    <t>202507152</t>
  </si>
  <si>
    <t>202507161</t>
  </si>
  <si>
    <t>202507162</t>
  </si>
  <si>
    <t>202507171</t>
  </si>
  <si>
    <t>202507172</t>
  </si>
  <si>
    <t>202507181</t>
  </si>
  <si>
    <t>202507182</t>
  </si>
  <si>
    <t>202507211</t>
  </si>
  <si>
    <t>202507212</t>
  </si>
  <si>
    <t>202507221</t>
  </si>
  <si>
    <t>202507222</t>
  </si>
  <si>
    <t>202507231</t>
  </si>
  <si>
    <t>202507232</t>
  </si>
  <si>
    <t>202507241</t>
  </si>
  <si>
    <t>202507242</t>
  </si>
  <si>
    <t>202507251</t>
  </si>
  <si>
    <t>202507252</t>
  </si>
  <si>
    <t>202507281</t>
  </si>
  <si>
    <t>202507282</t>
  </si>
  <si>
    <t>202507291</t>
  </si>
  <si>
    <t>202507292</t>
  </si>
  <si>
    <t>202507301</t>
  </si>
  <si>
    <t>202507302</t>
  </si>
  <si>
    <t>202507311</t>
  </si>
  <si>
    <t>202507312</t>
  </si>
  <si>
    <t>202508011</t>
  </si>
  <si>
    <t>01/08/2025 07.50.00</t>
  </si>
  <si>
    <t>01/08/2025 12.05.20</t>
  </si>
  <si>
    <t>202508012</t>
  </si>
  <si>
    <t>01/08/2025 12.08.30</t>
  </si>
  <si>
    <t>01/08/2025 16.06.04</t>
  </si>
  <si>
    <t>202508041</t>
  </si>
  <si>
    <t>04/08/2025 07.50.00</t>
  </si>
  <si>
    <t>04/08/2025 12.05.20</t>
  </si>
  <si>
    <t>202508042</t>
  </si>
  <si>
    <t>04/08/2025 12.08.30</t>
  </si>
  <si>
    <t>0408/2025 16.06.04</t>
  </si>
  <si>
    <t>202508051</t>
  </si>
  <si>
    <t>05/08/2025 07.50.00</t>
  </si>
  <si>
    <t>05/08/2025 12.05.20</t>
  </si>
  <si>
    <t>202508052</t>
  </si>
  <si>
    <t>05/08/2025 12.08.30</t>
  </si>
  <si>
    <t>05/08/2025 16.06.04</t>
  </si>
  <si>
    <t>202508061</t>
  </si>
  <si>
    <t>Tidak ada tamu</t>
  </si>
  <si>
    <t>dbpiket_Images/202508061.Dokumentasi.143252.jpg</t>
  </si>
  <si>
    <t>06/08/2025 07.50.00</t>
  </si>
  <si>
    <t>06/08/2025 12.05.20</t>
  </si>
  <si>
    <t>202508062</t>
  </si>
  <si>
    <t>06/08/2025 12.08.30</t>
  </si>
  <si>
    <t>06/08/2025 16.06.04</t>
  </si>
  <si>
    <t>202508071</t>
  </si>
  <si>
    <t>dbpiket_Images/202508071.Dokumentasi.050508.jpg</t>
  </si>
  <si>
    <t>07/08/2025 07.50.00</t>
  </si>
  <si>
    <t>07/08/2025 12.05.20</t>
  </si>
  <si>
    <t>202508072</t>
  </si>
  <si>
    <t>Tidak Ada Kendala</t>
  </si>
  <si>
    <t>dbpiket_Images/202508072.Dokumentasi.090529.jpg</t>
  </si>
  <si>
    <t>07/08/2025 12.08.30</t>
  </si>
  <si>
    <t>07/08/2025 16.06.04</t>
  </si>
  <si>
    <t>202508081</t>
  </si>
  <si>
    <t>Tidak ada tamu maupun pesan di whatsapp</t>
  </si>
  <si>
    <t>dbpiket_Images/202508081.Dokumentasi.050412.jpg</t>
  </si>
  <si>
    <t>08/08/2025 07.54.02</t>
  </si>
  <si>
    <t>08/08/2025 12.04.20</t>
  </si>
  <si>
    <t>202508082</t>
  </si>
  <si>
    <t>Belum ada pengunjung baik langsung maupun Online, dari siang sampai sore ini</t>
  </si>
  <si>
    <t>dbpiket_Images/202508082.Dokumentasi.092918.jpg</t>
  </si>
  <si>
    <t>08/08/2025 14.15.40</t>
  </si>
  <si>
    <t>08/08/2025 16.29.27</t>
  </si>
  <si>
    <t>202508111</t>
  </si>
  <si>
    <t>Tidak ada pengunjung</t>
  </si>
  <si>
    <t>dbpiket_Images/202508111.Dokumentasi.050242.jpg</t>
  </si>
  <si>
    <t>11/08/2025 07.53.13</t>
  </si>
  <si>
    <t>11/08/2025 12.03.04</t>
  </si>
  <si>
    <t>202508112</t>
  </si>
  <si>
    <t>202508121</t>
  </si>
  <si>
    <t>Tidak ada kendala pelayanan, hanya kendala teknis pengoperasian aplikasi</t>
  </si>
  <si>
    <t>dbpiket_Images/202508121.Dokumentasi.050028.jpg</t>
  </si>
  <si>
    <t>12/08/2025 07.55.58</t>
  </si>
  <si>
    <t>12/08/2025 12.00.39</t>
  </si>
  <si>
    <t>202508122</t>
  </si>
  <si>
    <t>dbpiket_Images/202508122.Dokumentasi.092856.jpg</t>
  </si>
  <si>
    <t>12/08/2025 11.57.16</t>
  </si>
  <si>
    <t>12/08/2025 16.29.09</t>
  </si>
  <si>
    <t>202508131</t>
  </si>
  <si>
    <t>tidak ada</t>
  </si>
  <si>
    <t>dbpiket_Images/202508131.Dokumentasi.050410.jpg</t>
  </si>
  <si>
    <t>13/08/2025 07.54.23</t>
  </si>
  <si>
    <t>13/08/2025 12.04.25</t>
  </si>
  <si>
    <t>202508132</t>
  </si>
  <si>
    <t>tidak ada tamu baik langsung maupun online</t>
  </si>
  <si>
    <t>dbpiket_Images/202508132.Dokumentasi.092254.jpg</t>
  </si>
  <si>
    <t>13/08/2025 12.09.46</t>
  </si>
  <si>
    <t>13/08/2025 16.23.04</t>
  </si>
  <si>
    <t>202508141</t>
  </si>
  <si>
    <t>202508142</t>
  </si>
  <si>
    <t>Tidak ada kendala</t>
  </si>
  <si>
    <t>dbpiket_Images/202508142.Dokumentasi.091016.jpg</t>
  </si>
  <si>
    <t>14/08/2025 11.50.32</t>
  </si>
  <si>
    <t>14/08/2025 16.10.32</t>
  </si>
  <si>
    <t>202508151</t>
  </si>
  <si>
    <t>Tidak ada pengunjung PST</t>
  </si>
  <si>
    <t>dbpiket_Images/202508151.Dokumentasi.045305.jpg</t>
  </si>
  <si>
    <t>15/08/2025 08.02.56</t>
  </si>
  <si>
    <t>15/08/2025 12.03.18</t>
  </si>
  <si>
    <t>202508152</t>
  </si>
  <si>
    <t>dbpiket_Images/202508152.Dokumentasi.095233.jpg</t>
  </si>
  <si>
    <t>15/08/2025 11.47.06</t>
  </si>
  <si>
    <t>15/08/2025 16.52.45</t>
  </si>
  <si>
    <t>202508181</t>
  </si>
  <si>
    <t>202508182</t>
  </si>
  <si>
    <t>202508191</t>
  </si>
  <si>
    <t>dbpiket_Images/19 Agustus 2025-PiketPST-anwar.jpeg</t>
  </si>
  <si>
    <t>19/08/2025 07.54.25</t>
  </si>
  <si>
    <t>19/08/2025 12.07.56</t>
  </si>
  <si>
    <t>202508192</t>
  </si>
  <si>
    <t>dbpiket_Images/202508192.Dokumentasi.090310.jpg</t>
  </si>
  <si>
    <t>19/08/2025 12.08.15</t>
  </si>
  <si>
    <t>19/08/2025 16.03.26</t>
  </si>
  <si>
    <t>202508201</t>
  </si>
  <si>
    <t>dbpiket_Images/202508201.Dokumentasi.050146.jpg</t>
  </si>
  <si>
    <t>20/08/2025 07.52.12</t>
  </si>
  <si>
    <t>20/08/2025 12.01.56</t>
  </si>
  <si>
    <t>202508202</t>
  </si>
  <si>
    <t>dbpiket_Images/202508202.Dokumentasi.092202.jpg</t>
  </si>
  <si>
    <t>20/08/2025 12.04.14</t>
  </si>
  <si>
    <t>20/08/2025 16.22.13</t>
  </si>
  <si>
    <t>202508211</t>
  </si>
  <si>
    <t>dbpiket_Images/202508211.Dokumentasi.050149.jpg</t>
  </si>
  <si>
    <t>21/08/2025 07.54.44</t>
  </si>
  <si>
    <t>21/08/2025 12.02.06</t>
  </si>
  <si>
    <t>202508212</t>
  </si>
  <si>
    <t>dbpiket_Images/202508212.Dokumentasi.090512.jpg</t>
  </si>
  <si>
    <t>21/08/2025 12.02.19</t>
  </si>
  <si>
    <t>21/08/2025 16.05.41</t>
  </si>
  <si>
    <t>202508221</t>
  </si>
  <si>
    <t>Tidak ada pengunjung, lupa presensi padahal sudah datang tepat waktu</t>
  </si>
  <si>
    <t>dbpiket_Images/202508221.Dokumentasi.050204.jpg</t>
  </si>
  <si>
    <t>22/08/2025 08.00.18</t>
  </si>
  <si>
    <t>22/08/2025 12.02.09</t>
  </si>
  <si>
    <t>202508222</t>
  </si>
  <si>
    <t>Tidak ada kendala, ada pengunjung melalui pesan instan yang puas</t>
  </si>
  <si>
    <t>dbpiket_Images/202508222.Dokumentasi.085122.jpg</t>
  </si>
  <si>
    <t>22/08/2025 12.00.20</t>
  </si>
  <si>
    <t>22/08/2025 16.01.28</t>
  </si>
  <si>
    <t>202508251</t>
  </si>
  <si>
    <t>Tidak ada pengunjung konsultasi statistik</t>
  </si>
  <si>
    <t>dbpiket_Images/202508251.Dokumentasi.052023.jpg</t>
  </si>
  <si>
    <t>25/08/2025 07.58.19</t>
  </si>
  <si>
    <t>25/08/2025 12.20.28</t>
  </si>
  <si>
    <t>202508252</t>
  </si>
  <si>
    <t>tidak ada pelayanan pst hari ini</t>
  </si>
  <si>
    <t>dbpiket_Images/202508252.Dokumentasi.090211.jpg</t>
  </si>
  <si>
    <t>25/08/2025 12.07.06</t>
  </si>
  <si>
    <t>25/08/2025 16.02.18</t>
  </si>
  <si>
    <t>202508261</t>
  </si>
  <si>
    <t>tidak ada tamu</t>
  </si>
  <si>
    <t>dbpiket_Images/202508261.Dokumentasi.045525.jpg</t>
  </si>
  <si>
    <t>26/08/2025 08.00.52</t>
  </si>
  <si>
    <t>26/08/2025 11.55.30</t>
  </si>
  <si>
    <t>202508262</t>
  </si>
  <si>
    <t>dbpiket_Images/202508262.Dokumentasi.091033.jpg</t>
  </si>
  <si>
    <t>26/08/2025 11.59.51</t>
  </si>
  <si>
    <t>26/08/2025 16.10.39</t>
  </si>
  <si>
    <t>202508271</t>
  </si>
  <si>
    <t>dbpiket_Images/202508271.Dokumentasi.050519.jpg</t>
  </si>
  <si>
    <t>27/08/2025 07.57.25</t>
  </si>
  <si>
    <t>27/08/2025 12.05.29</t>
  </si>
  <si>
    <t>202508272</t>
  </si>
  <si>
    <t>Tidak ada</t>
  </si>
  <si>
    <t>dbpiket_Images/202508272.Dokumentasi.090904.jpg</t>
  </si>
  <si>
    <t>27/08/2025 12.02.37</t>
  </si>
  <si>
    <t>27/08/2025 16.09.17</t>
  </si>
  <si>
    <t>202508281</t>
  </si>
  <si>
    <t>dbpiket_Images/202508281.Dokumentasi.050618.jpg</t>
  </si>
  <si>
    <t>28/08/2025 07.57.21</t>
  </si>
  <si>
    <t>28/08/2025 12.06.31</t>
  </si>
  <si>
    <t>202508282</t>
  </si>
  <si>
    <t>tidak ada pengunjung</t>
  </si>
  <si>
    <t>dbpiket_Images/202508282.Dokumentasi.090104.jpg</t>
  </si>
  <si>
    <t>28/08/2025 11.55.29</t>
  </si>
  <si>
    <t>28/08/2025 16.01.11</t>
  </si>
  <si>
    <t>202508291</t>
  </si>
  <si>
    <t>dbpiket_Images/202508291.Dokumentasi.045517.jpg</t>
  </si>
  <si>
    <t>29/08/2025 08.00.54</t>
  </si>
  <si>
    <t>29/08/2025 11.55.22</t>
  </si>
  <si>
    <t>202508292</t>
  </si>
  <si>
    <t>dbpiket_Images/202508292.Dokumentasi.091725.jpg</t>
  </si>
  <si>
    <t>29/08/2025 11.52.39</t>
  </si>
  <si>
    <t>29/08/2025 16.07.30</t>
  </si>
  <si>
    <t>202509011</t>
  </si>
  <si>
    <t>Permintaan data sertifikat sedang dalam proses tindaklanjut</t>
  </si>
  <si>
    <t>dbpiket_Images/202509011.Dokumentasi.052610.jpg</t>
  </si>
  <si>
    <t>01/09/2025 08.00.17</t>
  </si>
  <si>
    <t>01/09/2025 12.10.23</t>
  </si>
  <si>
    <t>202509012</t>
  </si>
  <si>
    <t>Menindaklanjuti permintaan sertifikat mantan Mitra BPS Kab. Dairi</t>
  </si>
  <si>
    <t>dbpiket_Images/202509012.Dokumentasi.091720.jpg</t>
  </si>
  <si>
    <t>01/09/2025 12.02.26</t>
  </si>
  <si>
    <t>01/09/2025 16.17.26</t>
  </si>
  <si>
    <t>202509021</t>
  </si>
  <si>
    <t>tidak ada kunjungan tamu</t>
  </si>
  <si>
    <t>dbpiket_Images/202509021.Dokumentasi.050044.jpg</t>
  </si>
  <si>
    <t>02/09/2025 07.50.00</t>
  </si>
  <si>
    <t>02/09/2025 12.00.50</t>
  </si>
  <si>
    <t>202509022</t>
  </si>
  <si>
    <t>TIDAK ADA KENDALA</t>
  </si>
  <si>
    <t>dbpiket_Images/202509022.Dokumentasi.090305.jpg</t>
  </si>
  <si>
    <t>02/09/2025 12.01.50</t>
  </si>
  <si>
    <t>02/09/2025 16.03.15</t>
  </si>
  <si>
    <t>202509031</t>
  </si>
  <si>
    <t>dbpiket_Images/202509031.Dokumentasi.050234.jpg</t>
  </si>
  <si>
    <t>03/09/2025 07.51.26</t>
  </si>
  <si>
    <t>03/09/2025 12.02.38</t>
  </si>
  <si>
    <t>202509032</t>
  </si>
  <si>
    <t>dbpiket_Images/202509032.Dokumentasi.092016.jpg</t>
  </si>
  <si>
    <t>03/09/2025 12.00.17</t>
  </si>
  <si>
    <t>03/09/2025 16.20.22</t>
  </si>
  <si>
    <t>202509041</t>
  </si>
  <si>
    <t>Tidak ada kendala, ada 2 pengguna layanan dan bisa dilayani dengan baik</t>
  </si>
  <si>
    <t>dbpiket_Images/202509041.Dokumentasi.045421.jpg</t>
  </si>
  <si>
    <t>04/09/2025 07.50.32</t>
  </si>
  <si>
    <t>04/09/2025 11.54.26</t>
  </si>
  <si>
    <t>202509042</t>
  </si>
  <si>
    <t>tidak ada pengunjung tamu</t>
  </si>
  <si>
    <t>dbpiket_Images/202509042.Dokumentasi.090105.jpg</t>
  </si>
  <si>
    <t>04/09/2025 11.55.20</t>
  </si>
  <si>
    <t>04/09/2025 16.01.10</t>
  </si>
  <si>
    <t>202509081</t>
  </si>
  <si>
    <t>tidak ada kendala</t>
  </si>
  <si>
    <t>dbpiket_Images/202509081.Dokumentasi.045613.jpg</t>
  </si>
  <si>
    <t>08/09/2025 07.52.19</t>
  </si>
  <si>
    <t>08/09/2025 11.56.19</t>
  </si>
  <si>
    <t>202509082</t>
  </si>
  <si>
    <t>dbpiket_Images/202509082.Dokumentasi.090245.jpg</t>
  </si>
  <si>
    <t>08/09/2025 11.57.05</t>
  </si>
  <si>
    <t>08/09/2025 16.02.52</t>
  </si>
  <si>
    <t>202509091</t>
  </si>
  <si>
    <t>dbpiket_Images/202509091.Dokumentasi.050308.jpg</t>
  </si>
  <si>
    <t>09/09/2025 07.58.46</t>
  </si>
  <si>
    <t>09/09/2025 12.03.15</t>
  </si>
  <si>
    <t>202509092</t>
  </si>
  <si>
    <t>dbpiket_Images/202509092.Dokumentasi.090036.jpg</t>
  </si>
  <si>
    <t>09/09/2025 11.52.34</t>
  </si>
  <si>
    <t>09/09/2025 16.00.44</t>
  </si>
  <si>
    <t>202509101</t>
  </si>
  <si>
    <t>340054551</t>
  </si>
  <si>
    <t>dbpiket_Images/202509101.Dokumentasi.050332.jpg</t>
  </si>
  <si>
    <t>10/09/2025 07.58.49</t>
  </si>
  <si>
    <t>10/09/2025 12.03.40</t>
  </si>
  <si>
    <t>202509102</t>
  </si>
  <si>
    <t>Tidak ada pelayanan</t>
  </si>
  <si>
    <t>dbpiket_Images/202509102.Dokumentasi.090302.jpg</t>
  </si>
  <si>
    <t>10/09/2025 12.12.20</t>
  </si>
  <si>
    <t>10/09/2025 16.03.09</t>
  </si>
  <si>
    <t>202509111</t>
  </si>
  <si>
    <t>dbpiket_Images/202509111.Dokumentasi.045338.jpg</t>
  </si>
  <si>
    <t>11/09/2025 07.48.44</t>
  </si>
  <si>
    <t>11/09/2025 11.53.44</t>
  </si>
  <si>
    <t>202509112</t>
  </si>
  <si>
    <t>dbpiket_Images/202509112.Dokumentasi.091015.jpg</t>
  </si>
  <si>
    <t>11/09/2025 11.54.23</t>
  </si>
  <si>
    <t>11/09/2025 16.10.22</t>
  </si>
  <si>
    <t>202509121</t>
  </si>
  <si>
    <t>dbpiket_Images/202509121.Dokumentasi.050158.jpg</t>
  </si>
  <si>
    <t>12/09/2025 07.48.09</t>
  </si>
  <si>
    <t>12/09/2025 12.02.03</t>
  </si>
  <si>
    <t>202509122</t>
  </si>
  <si>
    <t>dbpiket_Images/202509122.Dokumentasi.093358.jpg</t>
  </si>
  <si>
    <t>12/09/2025 12.04.13</t>
  </si>
  <si>
    <t>12/09/2025 16.34.03</t>
  </si>
  <si>
    <t>202509151</t>
  </si>
  <si>
    <t>Gak ada tamu</t>
  </si>
  <si>
    <t>dbpiket_Images/202509151.Dokumentasi.050621.jpg</t>
  </si>
  <si>
    <t>15/09/2025 07.55.05</t>
  </si>
  <si>
    <t>15/09/2025 12.06.25</t>
  </si>
  <si>
    <t>202509152</t>
  </si>
  <si>
    <t>dbpiket_Images/202509152.Dokumentasi.092839.jpg</t>
  </si>
  <si>
    <t>15/09/2025 12.02.03</t>
  </si>
  <si>
    <t>15/09/2025 16.28.44</t>
  </si>
  <si>
    <t>202509161</t>
  </si>
  <si>
    <t>dbpiket_Images/202509161.Dokumentasi.050746.jpg</t>
  </si>
  <si>
    <t>16/09/2025 07.58.13</t>
  </si>
  <si>
    <t>16/09/2025 12.07.52</t>
  </si>
  <si>
    <t>202509162</t>
  </si>
  <si>
    <t>dbpiket_Images/202509162.Dokumentasi.091145.jpg</t>
  </si>
  <si>
    <t>16/09/2025 11.54.00</t>
  </si>
  <si>
    <t>16/09/2025 16.11.50</t>
  </si>
  <si>
    <t>202509171</t>
  </si>
  <si>
    <t>dbpiket_Images/202509171.Dokumentasi.045558.jpg</t>
  </si>
  <si>
    <t>17/09/2025 07.48.47</t>
  </si>
  <si>
    <t>17/09/2025 11.56.04</t>
  </si>
  <si>
    <t>202509172</t>
  </si>
  <si>
    <t>dbpiket_Images/202509172.Dokumentasi.090500.jpg</t>
  </si>
  <si>
    <t>17/09/2025 12.01.16</t>
  </si>
  <si>
    <t>17/09/2025 16.05.06</t>
  </si>
  <si>
    <t>202509181</t>
  </si>
  <si>
    <t>18/09/2025 07.55.34</t>
  </si>
  <si>
    <t>202509182</t>
  </si>
  <si>
    <t>202509191</t>
  </si>
  <si>
    <t>202509192</t>
  </si>
  <si>
    <t>202509221</t>
  </si>
  <si>
    <t>202509222</t>
  </si>
  <si>
    <t>202509231</t>
  </si>
  <si>
    <t>202509232</t>
  </si>
  <si>
    <t>202509241</t>
  </si>
  <si>
    <t>202509242</t>
  </si>
  <si>
    <t>202509251</t>
  </si>
  <si>
    <t>202509252</t>
  </si>
  <si>
    <t>202509261</t>
  </si>
  <si>
    <t>202509262</t>
  </si>
  <si>
    <t>202509291</t>
  </si>
  <si>
    <t>202509292</t>
  </si>
  <si>
    <t>202509301</t>
  </si>
  <si>
    <t>202509302</t>
  </si>
  <si>
    <t>202510011</t>
  </si>
  <si>
    <t>202510012</t>
  </si>
  <si>
    <t>202510021</t>
  </si>
  <si>
    <t>202510022</t>
  </si>
  <si>
    <t>202510031</t>
  </si>
  <si>
    <t>202510032</t>
  </si>
  <si>
    <t>202510061</t>
  </si>
  <si>
    <t>202510062</t>
  </si>
  <si>
    <t>202510071</t>
  </si>
  <si>
    <t>202510072</t>
  </si>
  <si>
    <t>202510081</t>
  </si>
  <si>
    <t>202510082</t>
  </si>
  <si>
    <t>202510091</t>
  </si>
  <si>
    <t>202510092</t>
  </si>
  <si>
    <t>202510101</t>
  </si>
  <si>
    <t>202510102</t>
  </si>
  <si>
    <t>202510131</t>
  </si>
  <si>
    <t>202510132</t>
  </si>
  <si>
    <t>202510141</t>
  </si>
  <si>
    <t>202510142</t>
  </si>
  <si>
    <t>202510151</t>
  </si>
  <si>
    <t>202510152</t>
  </si>
  <si>
    <t>202510161</t>
  </si>
  <si>
    <t>202510162</t>
  </si>
  <si>
    <t>202510171</t>
  </si>
  <si>
    <t>202510172</t>
  </si>
  <si>
    <t>202510201</t>
  </si>
  <si>
    <t>202510202</t>
  </si>
  <si>
    <t>202510211</t>
  </si>
  <si>
    <t>202510212</t>
  </si>
  <si>
    <t>202510221</t>
  </si>
  <si>
    <t>202510222</t>
  </si>
  <si>
    <t>202510231</t>
  </si>
  <si>
    <t>202510232</t>
  </si>
  <si>
    <t>202510241</t>
  </si>
  <si>
    <t>202510242</t>
  </si>
  <si>
    <t>202510271</t>
  </si>
  <si>
    <t>202510272</t>
  </si>
  <si>
    <t>202510281</t>
  </si>
  <si>
    <t>202510282</t>
  </si>
  <si>
    <t>202510291</t>
  </si>
  <si>
    <t>202510292</t>
  </si>
  <si>
    <t>202510301</t>
  </si>
  <si>
    <t>202510302</t>
  </si>
  <si>
    <t>202510311</t>
  </si>
  <si>
    <t>202510312</t>
  </si>
  <si>
    <t>202511031</t>
  </si>
  <si>
    <t>202511032</t>
  </si>
  <si>
    <t>202511041</t>
  </si>
  <si>
    <t>202511042</t>
  </si>
  <si>
    <t>202511051</t>
  </si>
  <si>
    <t>202511052</t>
  </si>
  <si>
    <t>202511061</t>
  </si>
  <si>
    <t>202511062</t>
  </si>
  <si>
    <t>202511071</t>
  </si>
  <si>
    <t>202511072</t>
  </si>
  <si>
    <t>202511101</t>
  </si>
  <si>
    <t>202511102</t>
  </si>
  <si>
    <t>202511111</t>
  </si>
  <si>
    <t>202511112</t>
  </si>
  <si>
    <t>202511121</t>
  </si>
  <si>
    <t>202511122</t>
  </si>
  <si>
    <t>202511131</t>
  </si>
  <si>
    <t>202511132</t>
  </si>
  <si>
    <t>202511141</t>
  </si>
  <si>
    <t>202511142</t>
  </si>
  <si>
    <t>202511171</t>
  </si>
  <si>
    <t>202511172</t>
  </si>
  <si>
    <t>202511181</t>
  </si>
  <si>
    <t>202511182</t>
  </si>
  <si>
    <t>202511191</t>
  </si>
  <si>
    <t>202511192</t>
  </si>
  <si>
    <t>202511201</t>
  </si>
  <si>
    <t>202511202</t>
  </si>
  <si>
    <t>202511211</t>
  </si>
  <si>
    <t>202511212</t>
  </si>
  <si>
    <t>202511241</t>
  </si>
  <si>
    <t>202511242</t>
  </si>
  <si>
    <t>202511251</t>
  </si>
  <si>
    <t>202511252</t>
  </si>
  <si>
    <t>202511261</t>
  </si>
  <si>
    <t>202511262</t>
  </si>
  <si>
    <t>202511271</t>
  </si>
  <si>
    <t>202511272</t>
  </si>
  <si>
    <t>202511281</t>
  </si>
  <si>
    <t>202511282</t>
  </si>
  <si>
    <t>202512011</t>
  </si>
  <si>
    <t>202512012</t>
  </si>
  <si>
    <t>202512021</t>
  </si>
  <si>
    <t>202512022</t>
  </si>
  <si>
    <t>202512031</t>
  </si>
  <si>
    <t>202512032</t>
  </si>
  <si>
    <t>202512041</t>
  </si>
  <si>
    <t>202512042</t>
  </si>
  <si>
    <t>202512051</t>
  </si>
  <si>
    <t>202512052</t>
  </si>
  <si>
    <t>202512081</t>
  </si>
  <si>
    <t>202512082</t>
  </si>
  <si>
    <t>202512091</t>
  </si>
  <si>
    <t>202512092</t>
  </si>
  <si>
    <t>202512101</t>
  </si>
  <si>
    <t>202512102</t>
  </si>
  <si>
    <t>202512111</t>
  </si>
  <si>
    <t>202512112</t>
  </si>
  <si>
    <t>202512121</t>
  </si>
  <si>
    <t>202512122</t>
  </si>
  <si>
    <t>202512151</t>
  </si>
  <si>
    <t>202512152</t>
  </si>
  <si>
    <t>202512161</t>
  </si>
  <si>
    <t>202512162</t>
  </si>
  <si>
    <t>202512171</t>
  </si>
  <si>
    <t>202512172</t>
  </si>
  <si>
    <t>202512181</t>
  </si>
  <si>
    <t>202512182</t>
  </si>
  <si>
    <t>202512191</t>
  </si>
  <si>
    <t>202512192</t>
  </si>
  <si>
    <t>202512221</t>
  </si>
  <si>
    <t>202512222</t>
  </si>
  <si>
    <t>202512231</t>
  </si>
  <si>
    <t>202512232</t>
  </si>
  <si>
    <t>202512241</t>
  </si>
  <si>
    <t>202512242</t>
  </si>
  <si>
    <t>202512291</t>
  </si>
  <si>
    <t>202512292</t>
  </si>
  <si>
    <t>202512301</t>
  </si>
  <si>
    <t>202512302</t>
  </si>
  <si>
    <t>202512311</t>
  </si>
  <si>
    <t>202512312</t>
  </si>
  <si>
    <t>202601021</t>
  </si>
  <si>
    <t>202601022</t>
  </si>
  <si>
    <t>202601051</t>
  </si>
  <si>
    <t>202601052</t>
  </si>
  <si>
    <t>202601061</t>
  </si>
  <si>
    <t>202601062</t>
  </si>
  <si>
    <t>202601071</t>
  </si>
  <si>
    <t>202601072</t>
  </si>
  <si>
    <t>202601081</t>
  </si>
  <si>
    <t>202601082</t>
  </si>
  <si>
    <t>202601091</t>
  </si>
  <si>
    <t>202601092</t>
  </si>
  <si>
    <t>202601121</t>
  </si>
  <si>
    <t>202601122</t>
  </si>
  <si>
    <t>202601131</t>
  </si>
  <si>
    <t>202601132</t>
  </si>
  <si>
    <t>202601141</t>
  </si>
  <si>
    <t>202601142</t>
  </si>
  <si>
    <t>202601151</t>
  </si>
  <si>
    <t>202601152</t>
  </si>
  <si>
    <t>202601161</t>
  </si>
  <si>
    <t>202601162</t>
  </si>
  <si>
    <t>202601191</t>
  </si>
  <si>
    <t>202601192</t>
  </si>
  <si>
    <t>202601202</t>
  </si>
  <si>
    <t>202601201</t>
  </si>
  <si>
    <t>202601212</t>
  </si>
  <si>
    <t>202601211</t>
  </si>
  <si>
    <t>202601222</t>
  </si>
  <si>
    <t>202601221</t>
  </si>
  <si>
    <t>202601232</t>
  </si>
  <si>
    <t>202601233</t>
  </si>
  <si>
    <t>202601234</t>
  </si>
  <si>
    <t>202601262</t>
  </si>
  <si>
    <t>202601271</t>
  </si>
  <si>
    <t>202601272</t>
  </si>
  <si>
    <t>202601281</t>
  </si>
  <si>
    <t>202601282</t>
  </si>
  <si>
    <t>202601291</t>
  </si>
  <si>
    <t>202601292</t>
  </si>
  <si>
    <t>202601301</t>
  </si>
  <si>
    <t>202601302</t>
  </si>
  <si>
    <t>202602021</t>
  </si>
  <si>
    <t>202602022</t>
  </si>
  <si>
    <t>202602031</t>
  </si>
  <si>
    <t>202602032</t>
  </si>
  <si>
    <t>202602042</t>
  </si>
  <si>
    <t>202602041</t>
  </si>
  <si>
    <t>202602052</t>
  </si>
  <si>
    <t>202602051</t>
  </si>
  <si>
    <t>202602062</t>
  </si>
  <si>
    <t>202602061</t>
  </si>
  <si>
    <t>202602092</t>
  </si>
  <si>
    <t>202602091</t>
  </si>
  <si>
    <t>202602102</t>
  </si>
  <si>
    <t>202602101</t>
  </si>
  <si>
    <t>202602112</t>
  </si>
  <si>
    <t>202602111</t>
  </si>
  <si>
    <t>202602122</t>
  </si>
  <si>
    <t>202602121</t>
  </si>
  <si>
    <t>202602132</t>
  </si>
  <si>
    <t>202602131</t>
  </si>
  <si>
    <t>202602162</t>
  </si>
  <si>
    <t>202602161</t>
  </si>
  <si>
    <t>202602172</t>
  </si>
  <si>
    <t>202602171</t>
  </si>
  <si>
    <t>202602182</t>
  </si>
  <si>
    <t>202602181</t>
  </si>
  <si>
    <t>202602192</t>
  </si>
  <si>
    <t>202602191</t>
  </si>
  <si>
    <t>202602202</t>
  </si>
  <si>
    <t>202602201</t>
  </si>
  <si>
    <t>202602232</t>
  </si>
  <si>
    <t>202602231</t>
  </si>
  <si>
    <t>202602242</t>
  </si>
  <si>
    <t>202602241</t>
  </si>
  <si>
    <t>202602251</t>
  </si>
  <si>
    <t>202602252</t>
  </si>
  <si>
    <t>202602261</t>
  </si>
  <si>
    <t>202602262</t>
  </si>
  <si>
    <t>202602271</t>
  </si>
  <si>
    <t>202602272</t>
  </si>
  <si>
    <t>idpetugas</t>
  </si>
  <si>
    <t>340013678202508</t>
  </si>
  <si>
    <t>340013893202508</t>
  </si>
  <si>
    <t>340015839202508</t>
  </si>
  <si>
    <t>340018247202508</t>
  </si>
  <si>
    <t>340054537202508</t>
  </si>
  <si>
    <t>340054537</t>
  </si>
  <si>
    <t>340018609202508</t>
  </si>
  <si>
    <t>340019638202508</t>
  </si>
  <si>
    <t>340020395202508</t>
  </si>
  <si>
    <t>340020395</t>
  </si>
  <si>
    <t>340020014202508</t>
  </si>
  <si>
    <t>340018242202508</t>
  </si>
  <si>
    <t>340062799202508</t>
  </si>
  <si>
    <t>340056421202508</t>
  </si>
  <si>
    <t>340061421202508</t>
  </si>
  <si>
    <t>340059093202508</t>
  </si>
  <si>
    <t>340059765202508</t>
  </si>
  <si>
    <t>340061848202508</t>
  </si>
  <si>
    <t>340060890202508</t>
  </si>
  <si>
    <t>340060771202508</t>
  </si>
  <si>
    <t>340062686202508</t>
  </si>
  <si>
    <t>340062190202508</t>
  </si>
  <si>
    <t>340018977202508</t>
  </si>
  <si>
    <t>340059530202508</t>
  </si>
  <si>
    <t>340061216202508</t>
  </si>
  <si>
    <t>340054822202508</t>
  </si>
  <si>
    <t>tahun</t>
  </si>
  <si>
    <t>202501</t>
  </si>
  <si>
    <t>Januari</t>
  </si>
  <si>
    <t>202502</t>
  </si>
  <si>
    <t>Februari</t>
  </si>
  <si>
    <t>202503</t>
  </si>
  <si>
    <t>Maret</t>
  </si>
  <si>
    <t>202504</t>
  </si>
  <si>
    <t>April</t>
  </si>
  <si>
    <t>202505</t>
  </si>
  <si>
    <t>Mei</t>
  </si>
  <si>
    <t>202506</t>
  </si>
  <si>
    <t>Juni</t>
  </si>
  <si>
    <t>202507</t>
  </si>
  <si>
    <t>Juli</t>
  </si>
  <si>
    <t>202508</t>
  </si>
  <si>
    <t>Agustus</t>
  </si>
  <si>
    <t>202509</t>
  </si>
  <si>
    <t>September</t>
  </si>
  <si>
    <t>202510</t>
  </si>
  <si>
    <t>Oktober</t>
  </si>
  <si>
    <t>202511</t>
  </si>
  <si>
    <t>November</t>
  </si>
  <si>
    <t>202512</t>
  </si>
  <si>
    <t>Desember</t>
  </si>
  <si>
    <t>202601</t>
  </si>
  <si>
    <t>202602</t>
  </si>
  <si>
    <t>202603</t>
  </si>
  <si>
    <t>202604</t>
  </si>
  <si>
    <t>202605</t>
  </si>
  <si>
    <t>202606</t>
  </si>
  <si>
    <t>202607</t>
  </si>
  <si>
    <t>202608</t>
  </si>
  <si>
    <t>202609</t>
  </si>
  <si>
    <t>202610</t>
  </si>
  <si>
    <t>202611</t>
  </si>
  <si>
    <t>202612</t>
  </si>
  <si>
    <t>idpiket</t>
  </si>
  <si>
    <t>nilai_meja</t>
  </si>
  <si>
    <t>nilai_atribut</t>
  </si>
  <si>
    <t>nilai_sopan</t>
  </si>
  <si>
    <t>nilai_sibuk</t>
  </si>
  <si>
    <t>nilai_standby</t>
  </si>
  <si>
    <t>e6rdhf</t>
  </si>
  <si>
    <t>r6r5dg</t>
  </si>
  <si>
    <t>4eyg5d</t>
  </si>
  <si>
    <t>58idut</t>
  </si>
  <si>
    <t>dyij7ss5</t>
  </si>
  <si>
    <t>idkondisi</t>
  </si>
  <si>
    <t>variabel_nilai</t>
  </si>
  <si>
    <t>nilai</t>
  </si>
  <si>
    <t>kondisi</t>
  </si>
  <si>
    <t>Meja rapi, Papan Nama sesuai</t>
  </si>
  <si>
    <t>65utyjd</t>
  </si>
  <si>
    <t>Meja rapi, Papan Nama tidak sesuai</t>
  </si>
  <si>
    <t>e6rtdfh</t>
  </si>
  <si>
    <t>Tidak ada foto/informasi</t>
  </si>
  <si>
    <t>Pakaian sesuai regulasi, idcard dan selempang digunakan</t>
  </si>
  <si>
    <t>dctc6d</t>
  </si>
  <si>
    <t>Pakaian sesuai regulasi, idcard atau selempang tidak digunakan</t>
  </si>
  <si>
    <t>5y45rgg</t>
  </si>
  <si>
    <t>Pakaian sesuai regulasi, idcard dan selempang tidak digunakan</t>
  </si>
  <si>
    <t>5ry4y5</t>
  </si>
  <si>
    <t>Petugas menyapa rekan/pengunjung dengan sopan</t>
  </si>
  <si>
    <t>r5yr68s</t>
  </si>
  <si>
    <t>Petugas tidak menyapa rekan/pengunjung dengan sopan</t>
  </si>
  <si>
    <t>Petugas bersikap siaga atau mengerjakan sesuatu</t>
  </si>
  <si>
    <t>6doityj</t>
  </si>
  <si>
    <t>Petugas terlihat santai dan bermain HP</t>
  </si>
  <si>
    <t>Petugas tetap berjaga dan tidak meninggalkan meja pelayanan tanpa pemberitahuan</t>
  </si>
  <si>
    <t>ry45yrh</t>
  </si>
  <si>
    <t>Petugas meninggalkan meja pelayanan tanpa pemberitahuan</t>
  </si>
  <si>
    <t>ID Petugas</t>
  </si>
  <si>
    <t>Jabatan</t>
  </si>
  <si>
    <t>NIP</t>
  </si>
  <si>
    <t>user</t>
  </si>
  <si>
    <t>fotox</t>
  </si>
  <si>
    <t>foto</t>
  </si>
  <si>
    <t>role</t>
  </si>
  <si>
    <t>340016942</t>
  </si>
  <si>
    <t>Joel Roy Perangin-angin, SST</t>
  </si>
  <si>
    <t>Kepala BPS Kabupaten Dairi</t>
  </si>
  <si>
    <t>197701212003121006</t>
  </si>
  <si>
    <t>joelroy</t>
  </si>
  <si>
    <t>dbpetugas_Images/Joel:jpg</t>
  </si>
  <si>
    <t>Supervisor Layanan</t>
  </si>
  <si>
    <t>Marudut Silaban, SE, MM</t>
  </si>
  <si>
    <t>Statistisi Ahli Muda</t>
  </si>
  <si>
    <t>197111141993031001</t>
  </si>
  <si>
    <t>marudutsilaban</t>
  </si>
  <si>
    <t>dbpetugas_Images/Marudut:jpg</t>
  </si>
  <si>
    <t>https://ppid.bps.go.id/upload/doc/Foto_Pegawai_Marudut_1748395009.png</t>
  </si>
  <si>
    <t>Operator Layanan</t>
  </si>
  <si>
    <t>Efendy Girsang, SP</t>
  </si>
  <si>
    <t>Statistisi Ahli Pertama</t>
  </si>
  <si>
    <t>197410241994011001</t>
  </si>
  <si>
    <t>efendygirsang</t>
  </si>
  <si>
    <t>dbpetugas_Images/Efendy:jpg</t>
  </si>
  <si>
    <t>https://ppid.bps.go.id/upload/doc/Foto_Pegawai_Efendy_1748395130.png</t>
  </si>
  <si>
    <t>Emmi Manurung, S.E.</t>
  </si>
  <si>
    <t>197607061999032001</t>
  </si>
  <si>
    <t>emmimanurung</t>
  </si>
  <si>
    <t>dbpetugas_Images/Emmi:jpg</t>
  </si>
  <si>
    <t>https://ppid.bps.go.id/upload/doc/Foto_Pegawai_Emmi_Manurung_1748395166.png</t>
  </si>
  <si>
    <t>Tetty Saorma Hasiholan, S.Si</t>
  </si>
  <si>
    <t>197705242006042002</t>
  </si>
  <si>
    <t>tettysaorma</t>
  </si>
  <si>
    <t>dbpetugas_Images/Tetty:jpg</t>
  </si>
  <si>
    <t>https://ppid.bps.go.id/upload/doc/Foto_Pegawai_Tetty_Simanjuntak_1750063784.png</t>
  </si>
  <si>
    <t>Marlon Aritonang, S.Si.,M.M.</t>
  </si>
  <si>
    <t>Kepala Subbagian Umum</t>
  </si>
  <si>
    <t>197708162011011004</t>
  </si>
  <si>
    <t>marlonaritonang</t>
  </si>
  <si>
    <t>dbpetugas_Images/Marlon:jpg</t>
  </si>
  <si>
    <t>https://ppid.bps.go.id/upload/doc/Foto_Pegawai_Marlon_Aritonang_1750063354.png</t>
  </si>
  <si>
    <t>Zunkifli Haryanto Yoko Ningrat Siahaan</t>
  </si>
  <si>
    <t>Statistisi Terampil</t>
  </si>
  <si>
    <t>198001312006041005</t>
  </si>
  <si>
    <t>zunkiflisiahaan</t>
  </si>
  <si>
    <t>dbpetugas_Images/Zunkifli:jpg</t>
  </si>
  <si>
    <t>https://ppid.bps.go.id/upload/doc/Foto_Pegawai_Zunkifli_Siahaan_1750063830.png</t>
  </si>
  <si>
    <t>Richardo Tober Sihombing, S.Si</t>
  </si>
  <si>
    <t>198403122011011014</t>
  </si>
  <si>
    <t>richardo</t>
  </si>
  <si>
    <t>dbpetugas_Images/Richardo:jpg</t>
  </si>
  <si>
    <t>https://ppid.bps.go.id/upload/doc/Foto_Pegawai_Richardo_Sihombing_1750063596.png</t>
  </si>
  <si>
    <t>Marisi Theresa E.D.</t>
  </si>
  <si>
    <t>Fungsional umum/Pengolah Data</t>
  </si>
  <si>
    <t>198408172008012004</t>
  </si>
  <si>
    <t>marisi.simamora</t>
  </si>
  <si>
    <t>dbpetugas_Images/Marisi:jpg</t>
  </si>
  <si>
    <t>https://ppid.bps.go.id/upload/doc/Foto_Pegawai_Marisi_Theresa_1750063291.png</t>
  </si>
  <si>
    <t>Jesica Kristiyani Butar Butar</t>
  </si>
  <si>
    <t>198701192008012001</t>
  </si>
  <si>
    <t>jcsando</t>
  </si>
  <si>
    <t>dbpetugas_Images/Jesica:jpg</t>
  </si>
  <si>
    <t>https://ppid.bps.go.id/upload/doc/Foto_Pegawai_Jesica_Butar_Butar_1750063187.png</t>
  </si>
  <si>
    <t>Ratih Kurniawati, S.E.</t>
  </si>
  <si>
    <t>198705282006042002</t>
  </si>
  <si>
    <t>ratihkurniawati</t>
  </si>
  <si>
    <t>dbpetugas_Images/Ratih:jpg</t>
  </si>
  <si>
    <t>https://ppid.bps.go.id/upload/doc/Foto_Pegawai_Ratih_Kurniawati_1750063540.png</t>
  </si>
  <si>
    <t>Anwar Sinaga, A.Md.</t>
  </si>
  <si>
    <t>Pranata Komputer Terampil</t>
  </si>
  <si>
    <t>199002092024211001</t>
  </si>
  <si>
    <t>anwarsinaga-pppk</t>
  </si>
  <si>
    <t>dbpetugas_Images/Anwar:jpg</t>
  </si>
  <si>
    <t>https://ppid.bps.go.id/upload/doc/_1750062963.jpeg</t>
  </si>
  <si>
    <t>Ribka Anggina Tarigan, SST</t>
  </si>
  <si>
    <t>199007012013112001</t>
  </si>
  <si>
    <t>ribka.anggina</t>
  </si>
  <si>
    <t>dbpetugas_Images/Ribka:jpg</t>
  </si>
  <si>
    <t>https://ppid.bps.go.id/upload/doc/Foto_Pegawai_Ribka_T_1748330110.png</t>
  </si>
  <si>
    <t>Monika Yuniati Tampubolon, A.Md.</t>
  </si>
  <si>
    <t>199506062022032021</t>
  </si>
  <si>
    <t>monika.yuniati</t>
  </si>
  <si>
    <t>dbpetugas_Images/Monikat:jpg</t>
  </si>
  <si>
    <t>https://ppid.bps.go.id/upload/doc/Foto_Pegawai_Monika_T_1748394965.png</t>
  </si>
  <si>
    <t>Junjun Wijaya, S.Stat.</t>
  </si>
  <si>
    <t>199604112019031001</t>
  </si>
  <si>
    <t>junjun.wijaya</t>
  </si>
  <si>
    <t>dbpetugas_Images/Junjun:jpg</t>
  </si>
  <si>
    <t>https://ppid.bps.go.id/upload/doc/Foto_Pegawai_Junjun_Wijaya_1750063247.png</t>
  </si>
  <si>
    <t>Sangaptua Deo Datus Sagala, S.Tr.Stat.</t>
  </si>
  <si>
    <t>199701062019121002</t>
  </si>
  <si>
    <t>deo.datus</t>
  </si>
  <si>
    <t>dbpetugas_Images/Sangap:jpg</t>
  </si>
  <si>
    <t>https://ppid.bps.go.id/upload/doc/Foto_Pegawai_Sangaptua_Sagala_1757401638.png</t>
  </si>
  <si>
    <t>Juando Siallagan, S.Tr.Stat.</t>
  </si>
  <si>
    <t>199807012023021001</t>
  </si>
  <si>
    <t>juando.siallagan</t>
  </si>
  <si>
    <t>dbpetugas_Images/Juando:jpg</t>
  </si>
  <si>
    <t>https://ppid.bps.go.id/upload/doc/Foto_Pegawai_Juando_Siallagan_1750062558.png</t>
  </si>
  <si>
    <t>Rivaldi, S.Tr.Stat.</t>
  </si>
  <si>
    <t>Pranata Komputer Ahli Pertama</t>
  </si>
  <si>
    <t>199809062022011001</t>
  </si>
  <si>
    <t>rivaldi</t>
  </si>
  <si>
    <t>dbpetugas_Images/Rivaldi:jpg</t>
  </si>
  <si>
    <t>https://ppid.bps.go.id/upload/doc/Foto_Pegawai_Rivaldi_1750063641.png</t>
  </si>
  <si>
    <t>Monika Stevany Manurung, S.Tr.Stat.</t>
  </si>
  <si>
    <t>199902012022012003</t>
  </si>
  <si>
    <t>monika.manurung</t>
  </si>
  <si>
    <t>dbpetugas_Images/Monikam:jpg</t>
  </si>
  <si>
    <t>https://ppid.bps.go.id/upload/doc/Foto_Pegawai_Monika_Manurung_1750063492.png</t>
  </si>
  <si>
    <t>Sahnas Aisyiah Maha, S.Tr.Stat.</t>
  </si>
  <si>
    <t>200107032023102003</t>
  </si>
  <si>
    <t>sahnas.aisyiah</t>
  </si>
  <si>
    <t>dbpetugas_Images/Sahnas:jpg</t>
  </si>
  <si>
    <t>https://ppid.bps.go.id/upload/doc/Foto_Pegawai_Sahnas_Maha_1750063692.png</t>
  </si>
  <si>
    <t>Mike Ervans Purba, A.Md.Stat.</t>
  </si>
  <si>
    <t>200110262023021005</t>
  </si>
  <si>
    <t>mikepurba</t>
  </si>
  <si>
    <t>dbpetugas_Images/Mike:jpg</t>
  </si>
  <si>
    <t>https://ppid.bps.go.id/upload/doc/Foto_Pegawai_Mike_Purba_1750063449.png</t>
  </si>
  <si>
    <t>Jaksen Ferry Judo Lingga S.Si</t>
  </si>
  <si>
    <t>198310012006041009</t>
  </si>
  <si>
    <t>jaksenlingga</t>
  </si>
  <si>
    <t>dbpetugas_Images/Jekson:jpg</t>
  </si>
  <si>
    <t>https://ppid.bps.go.id/upload/doc/Foto_Pegawai_Jaksen_Lingga_1750063115.png</t>
  </si>
  <si>
    <t>Frisca Ulina Br Munthe,S.Tr.Stat.</t>
  </si>
  <si>
    <t>199707262019122001</t>
  </si>
  <si>
    <t>frisca.ulina</t>
  </si>
  <si>
    <t>dbpetugas_Images/Frisca:jpg</t>
  </si>
  <si>
    <t>https://ppid.bps.go.id/upload/doc/Foto_Pegawai_Frisca_Munthe_1750062899.jpeg</t>
  </si>
  <si>
    <t>Binara Tua Simanjuntak</t>
  </si>
  <si>
    <t>198811012022031004</t>
  </si>
  <si>
    <t>binara.simanjuntak</t>
  </si>
  <si>
    <t>dbpetugas_Images/Binara:jpg</t>
  </si>
  <si>
    <t>https://ppid.bps.go.id/upload/doc/Foto_Pegawai_Binara_Simanjuntak_1750063062.png</t>
  </si>
  <si>
    <t>Wiwik Rahayuni Lumban Gaol, A.Md</t>
  </si>
  <si>
    <t>Pranata Komputer Mahir</t>
  </si>
  <si>
    <t>198604022011012022</t>
  </si>
  <si>
    <t>wiwikrahayuni@bps go.id</t>
  </si>
  <si>
    <t>dbpetugas_Images/Wiwik:jpg</t>
  </si>
  <si>
    <t>https://ppid.bps.go.id/upload/doc/Foto_Pegawai_Wiwik_Lumban_Gaol_1750063865.jpeg</t>
  </si>
  <si>
    <t>999900001</t>
  </si>
  <si>
    <t>Roganda Pasaribu</t>
  </si>
  <si>
    <t>TAD</t>
  </si>
  <si>
    <t>ganda</t>
  </si>
  <si>
    <t>dbpetugas_Images/Ganda:jpg</t>
  </si>
  <si>
    <t>Operator Kunjungan</t>
  </si>
  <si>
    <t>999900002</t>
  </si>
  <si>
    <t>Nelson Adriansyah Sibagariang</t>
  </si>
  <si>
    <t>nelson</t>
  </si>
  <si>
    <t>dbpetugas_Images/Nelson:jpg</t>
  </si>
  <si>
    <t>999900003</t>
  </si>
  <si>
    <t>Trio Linawati Tinambunan</t>
  </si>
  <si>
    <t>trio</t>
  </si>
  <si>
    <t>dbpetugas_Images/Trio:jpg</t>
  </si>
  <si>
    <t>999900004</t>
  </si>
  <si>
    <t>Boas Matanari</t>
  </si>
  <si>
    <t>boas</t>
  </si>
  <si>
    <t>dbpetugas_Images/Boas:jpg</t>
  </si>
  <si>
    <t>999900005</t>
  </si>
  <si>
    <t>Niko Rodes Sinaga</t>
  </si>
  <si>
    <t>niko</t>
  </si>
  <si>
    <t>dbpetugas_Images/Niko:jpg</t>
  </si>
  <si>
    <t>IDtukar</t>
  </si>
  <si>
    <t>Petugas Awal</t>
  </si>
  <si>
    <t>ID piket awal</t>
  </si>
  <si>
    <t>Tanggal Awal</t>
  </si>
  <si>
    <t>Sesi Awal</t>
  </si>
  <si>
    <t>ID piket tukar</t>
  </si>
  <si>
    <t>Tanggal Tukar</t>
  </si>
  <si>
    <t>Sesi Tukar</t>
  </si>
  <si>
    <t>Petugas Tukar</t>
  </si>
  <si>
    <t>Alasan</t>
  </si>
  <si>
    <t>Label Piket Awal</t>
  </si>
  <si>
    <t>Label Piket Tukar</t>
  </si>
  <si>
    <t>2251a2f2</t>
  </si>
  <si>
    <t>2</t>
  </si>
  <si>
    <t>Pelatihan Podes</t>
  </si>
  <si>
    <t>Disetujui</t>
  </si>
  <si>
    <t>0f2c4980</t>
  </si>
  <si>
    <t>1</t>
  </si>
  <si>
    <t>lapangan</t>
  </si>
  <si>
    <t>89e690c3</t>
  </si>
  <si>
    <t>pelatihan supas</t>
  </si>
  <si>
    <t>38bd8ad7</t>
  </si>
  <si>
    <t>Melayat</t>
  </si>
  <si>
    <t>0fb8f1e3</t>
  </si>
  <si>
    <t>202506075</t>
  </si>
  <si>
    <t>340015841</t>
  </si>
  <si>
    <t>Kegiatan lain</t>
  </si>
  <si>
    <t>f29a4010</t>
  </si>
  <si>
    <t>Kegiatan lainnya</t>
  </si>
  <si>
    <t>ea768471</t>
  </si>
  <si>
    <t>Kunjungan Provinsi</t>
  </si>
  <si>
    <t>f9eabc69</t>
  </si>
  <si>
    <t>Tidak dapat menjaga PST hari ini</t>
  </si>
  <si>
    <t>8a6f927a</t>
  </si>
  <si>
    <t>Rapat PKA</t>
  </si>
  <si>
    <t>3bc374fd</t>
  </si>
  <si>
    <t>Pengawasan Lapangan</t>
  </si>
  <si>
    <t>3a3090ff</t>
  </si>
  <si>
    <t>rapat PPID</t>
  </si>
  <si>
    <t>9f0a4480</t>
  </si>
  <si>
    <t>PSS</t>
  </si>
  <si>
    <t>80648d8f</t>
  </si>
  <si>
    <t>Pelatihan</t>
  </si>
  <si>
    <t>2ecbdc4b</t>
  </si>
  <si>
    <t>pelatihan</t>
  </si>
  <si>
    <t>c4f24940</t>
  </si>
  <si>
    <t>pelantikan</t>
  </si>
  <si>
    <t>a736d704</t>
  </si>
  <si>
    <t>83c5f5c6</t>
  </si>
  <si>
    <t>c0dbf85b</t>
  </si>
  <si>
    <t>3bf104b7</t>
  </si>
  <si>
    <t>Lapangan</t>
  </si>
  <si>
    <t>b234db0d</t>
  </si>
  <si>
    <t>LAPANGAN</t>
  </si>
  <si>
    <t>220bf247</t>
  </si>
  <si>
    <t>Rencana Cuti</t>
  </si>
  <si>
    <t>05 January 2026, 12.00 - 16.00 WIB, Sangaptua Deo Datus Sagala, S.Tr.Stat.</t>
  </si>
  <si>
    <t>09 January 2026, 08.00 - 12.00 WIB, Juando Siallagan, S.Tr.Stat.</t>
  </si>
  <si>
    <t>604b3506</t>
  </si>
  <si>
    <t>ke lapangan</t>
  </si>
  <si>
    <t>08 Agustus 2025, 12.00 - 16.00 WIB, Zunkifli Haryanto Yoko Ningrat Siahaan</t>
  </si>
  <si>
    <t>11 Agustus 2025, 08.00 - 12.00 WIB, Binara Tua Simanjuntak</t>
  </si>
  <si>
    <t>9a8bc577</t>
  </si>
  <si>
    <t>31 Desember 2025, 08.00 - 12.00 WIB, Binara Tua Simanjuntak</t>
  </si>
  <si>
    <t>17 Desember 2025, 12.00 - 16.00 WIB, Sahnas Aisyiah Maha, S.Tr.Stat.</t>
  </si>
  <si>
    <t>0c95c635</t>
  </si>
  <si>
    <t>Pengawasan MBG</t>
  </si>
  <si>
    <t>13 August 2025, 12.00 - 16.00 WIB, Tetty Saorma Hasiholan, S.Si</t>
  </si>
  <si>
    <t>19 August 2025, 08.00 - 12.00 WIB, Juando Siallagan, S.Tr.Stat.</t>
  </si>
  <si>
    <t>510aaa3c</t>
  </si>
  <si>
    <t>ada kegiatan pengawasan lapangan</t>
  </si>
  <si>
    <t>12 August 2025, 12.00 - 16.00 WIB, Tetty Saorma Hasiholan, S.Si</t>
  </si>
  <si>
    <t>12 August 2025, 08.00 - 12.00 WIB, Efendy Girsang, SP</t>
  </si>
  <si>
    <t>45ba5dd6</t>
  </si>
  <si>
    <t>pengawasan MBG</t>
  </si>
  <si>
    <t>764c7626</t>
  </si>
  <si>
    <t>Pertemuan Sosialisasi Penggunaan SIMAN oleh KPKNL Pematang Siantar di KPPN Sidikalang Fullday</t>
  </si>
  <si>
    <t>14 August 2025, 12.00 - 16.00 WIB, Sahnas Aisyiah Maha, S.Tr.Stat.</t>
  </si>
  <si>
    <t>13 August 2025, 08.00 - 12.00 WIB, Emmi Manurung, S.E.</t>
  </si>
  <si>
    <t>235ad73f</t>
  </si>
  <si>
    <t>karena ada rapat pembinaan statistik agenda ke 2</t>
  </si>
  <si>
    <t>20 Agustus 2025, 12.00 - 16.00 WIB, Wiwik Rahayuni Lumban Gaol, A.Md</t>
  </si>
  <si>
    <t>29 Agustus 2025, 08.00 - 12.00 WIB, Monika Stevany Manurung, S.Tr.Stat.</t>
  </si>
  <si>
    <t>dc29c652</t>
  </si>
  <si>
    <t>SAKIT</t>
  </si>
  <si>
    <t>25 August 2025, 12.00 - 16.00 WIB, Sahnas Aisyiah Maha, S.Tr.Stat.</t>
  </si>
  <si>
    <t>28 August 2025, 12.00 - 16.00 WIB, Ribka Anggina Tarigan, SST</t>
  </si>
  <si>
    <t>468cd9a4</t>
  </si>
  <si>
    <t>panitia pelatihan</t>
  </si>
  <si>
    <t>29 September 2025, 08.00 - 12.00 WIB, Wiwik Rahayuni Lumban Gaol, A.Md</t>
  </si>
  <si>
    <t>01 September 2025, 08.00 - 12.00 WIB, Zunkifli Haryanto Yoko Ningrat Siahaan</t>
  </si>
  <si>
    <t>2a89e411</t>
  </si>
  <si>
    <t>pelatihan petugas susenas</t>
  </si>
  <si>
    <t>29 Agustus 2025, 12.00 - 16.00 WIB, Ratih Kurniawati, S.E.</t>
  </si>
  <si>
    <t>01 September 2025, 12.00 - 16.00 WIB, Anwar Sinaga, A.Md.</t>
  </si>
  <si>
    <t>ab4e557c</t>
  </si>
  <si>
    <t>Pelatihan Petugas SUSENAS</t>
  </si>
  <si>
    <t>26 August 2025, 12.00 - 16.00 WIB, Rivaldi, S.Tr.Stat.</t>
  </si>
  <si>
    <t>29 August 2025, 12.00 - 16.00 WIB, Anwar Sinaga, A.Md.</t>
  </si>
  <si>
    <t>78595a5d</t>
  </si>
  <si>
    <t>ujian PBJP</t>
  </si>
  <si>
    <t>03 September 2025, 12.00 - 16.00 WIB, Emmi Manurung, S.E.</t>
  </si>
  <si>
    <t>11 September 2025, 12.00 - 16.00 WIB, Mike Ervans Purba, A.Md.Stat.</t>
  </si>
  <si>
    <t>d088815d</t>
  </si>
  <si>
    <t>Tugas lapangan</t>
  </si>
  <si>
    <t>04 September 2025, 12.00 - 16.00 WIB, Frisca Ulina Br Munthe,S.Tr.Stat.</t>
  </si>
  <si>
    <t>16 September 2025, 12.00 - 16.00 WIB, Wiwik Rahayuni Lumban Gaol, A.Md</t>
  </si>
  <si>
    <t>ff7fccdc</t>
  </si>
  <si>
    <t>cuti</t>
  </si>
  <si>
    <t>08 September 2025, 12.00 - 16.00 WIB, Jaksen Ferry Judo Lingga S.Si</t>
  </si>
  <si>
    <t>10 September 2025, 12.00 - 16.00 WIB, Marudut Silaban, SE, MM</t>
  </si>
  <si>
    <t>82d9eb1e</t>
  </si>
  <si>
    <t>09 September 2025, 12.00 - 16.00 WIB, Juando Siallagan, S.Tr.Stat.</t>
  </si>
  <si>
    <t>18 September 2025, 12.00 - 16.00 WIB, Sangaptua Deo Datus Sagala, S.Tr.Stat.</t>
  </si>
  <si>
    <t>b4172e1d</t>
  </si>
  <si>
    <t>10 September 2025, 12.00 - 16.00 WIB, Jaksen Ferry Judo Lingga S.Si</t>
  </si>
  <si>
    <t>25 September 2025, 08.00 - 12.00 WIB, Monika Stevany Manurung, S.Tr.Stat.</t>
  </si>
  <si>
    <t>c632f8ef</t>
  </si>
  <si>
    <t>Diajukan</t>
  </si>
  <si>
    <t>19 September 2025, 08.00 - 12.00 WIB, Jaksen Ferry Judo Lingga S.Si</t>
  </si>
  <si>
    <t>23 September 2025, 08.00 - 12.00 WIB, Marudut Silaban, SE, MM</t>
  </si>
  <si>
    <t>Timestamp berkunjung</t>
  </si>
  <si>
    <t>Moda Kunjungan</t>
  </si>
  <si>
    <t>Tujuan Kunjungan</t>
  </si>
  <si>
    <t>Jenis Layanan yang digunakan</t>
  </si>
  <si>
    <t>Foto (kunjungan langsung)</t>
  </si>
  <si>
    <t>Nomor Antrian</t>
  </si>
  <si>
    <t>ID Kunjungan</t>
  </si>
  <si>
    <t>Pegawai yang ingin ditemui</t>
  </si>
  <si>
    <t>user_submit</t>
  </si>
  <si>
    <t>tanggal_fix</t>
  </si>
  <si>
    <t>status antrian</t>
  </si>
  <si>
    <t>timestamp dilayani</t>
  </si>
  <si>
    <t>id_kunjungan</t>
  </si>
  <si>
    <t>10/01/2024 12.31.55</t>
  </si>
  <si>
    <t>121000115</t>
  </si>
  <si>
    <t>PST offline</t>
  </si>
  <si>
    <t>K-01</t>
  </si>
  <si>
    <t>10/01/2024 13.18.03</t>
  </si>
  <si>
    <t>121000001</t>
  </si>
  <si>
    <t>Koordinasi</t>
  </si>
  <si>
    <t>K-02</t>
  </si>
  <si>
    <t>10/01/2024 13.19.17</t>
  </si>
  <si>
    <t>121000002</t>
  </si>
  <si>
    <t>Konsul</t>
  </si>
  <si>
    <t>K-03</t>
  </si>
  <si>
    <t>10/01/2024 13.21.13</t>
  </si>
  <si>
    <t>121000003</t>
  </si>
  <si>
    <t>12/01/2024 10.59.20</t>
  </si>
  <si>
    <t>121000004</t>
  </si>
  <si>
    <t>24/01/2024 9.49.13</t>
  </si>
  <si>
    <t>121000005</t>
  </si>
  <si>
    <t>30/01/2024 8.19.04</t>
  </si>
  <si>
    <t>121000006</t>
  </si>
  <si>
    <t>30/01/2024 8.47.33</t>
  </si>
  <si>
    <t>121000007</t>
  </si>
  <si>
    <t>30/01/2024 8.49.29</t>
  </si>
  <si>
    <t>121000008</t>
  </si>
  <si>
    <t>30/01/2024 9.29.17</t>
  </si>
  <si>
    <t>121000009</t>
  </si>
  <si>
    <t>30/01/2024 12.21.30</t>
  </si>
  <si>
    <t>121000010</t>
  </si>
  <si>
    <t>30/01/2024 14.08.33</t>
  </si>
  <si>
    <t>121000011</t>
  </si>
  <si>
    <t>30/01/2024 14.19.10</t>
  </si>
  <si>
    <t>121000012</t>
  </si>
  <si>
    <t>31/01/2024 9.49.38</t>
  </si>
  <si>
    <t>121000013</t>
  </si>
  <si>
    <t>31/01/2024 9.56.39</t>
  </si>
  <si>
    <t>121000014</t>
  </si>
  <si>
    <t>31/01/2024 10.59.51</t>
  </si>
  <si>
    <t>121000015</t>
  </si>
  <si>
    <t>31/01/2024 11.01.52</t>
  </si>
  <si>
    <t>121000016</t>
  </si>
  <si>
    <t>31/01/2024 14.57.08</t>
  </si>
  <si>
    <t>121000017</t>
  </si>
  <si>
    <t>06/02/2024 8.29.20</t>
  </si>
  <si>
    <t>121000018</t>
  </si>
  <si>
    <t>07/02/2024 9.36.29</t>
  </si>
  <si>
    <t>121000019</t>
  </si>
  <si>
    <t>07/02/2024 10.08.08</t>
  </si>
  <si>
    <t>121000020</t>
  </si>
  <si>
    <t>07/02/2024 10.13.45</t>
  </si>
  <si>
    <t>121000021</t>
  </si>
  <si>
    <t>07/02/2024 11.27.23</t>
  </si>
  <si>
    <t>07/02/2024 13.41.49</t>
  </si>
  <si>
    <t>121000022</t>
  </si>
  <si>
    <t>12/02/2024 14.01.30</t>
  </si>
  <si>
    <t>121000023</t>
  </si>
  <si>
    <t>15/02/2024 16.53.17</t>
  </si>
  <si>
    <t>121000024</t>
  </si>
  <si>
    <t>15/02/2024 17.13.53</t>
  </si>
  <si>
    <t>121000025</t>
  </si>
  <si>
    <t>22/02/2024 14.30.09</t>
  </si>
  <si>
    <t>121000026</t>
  </si>
  <si>
    <t>23/02/2024 11.26.06</t>
  </si>
  <si>
    <t>121000027</t>
  </si>
  <si>
    <t>27/02/2024 9.10.45</t>
  </si>
  <si>
    <t>121000028</t>
  </si>
  <si>
    <t>28/02/2024 8.30.34</t>
  </si>
  <si>
    <t>121000029</t>
  </si>
  <si>
    <t>29/02/2024 8.51.27</t>
  </si>
  <si>
    <t>29/02/2024 9.07.12</t>
  </si>
  <si>
    <t>121000030</t>
  </si>
  <si>
    <t>29/02/2024 9.09.43</t>
  </si>
  <si>
    <t>121000031</t>
  </si>
  <si>
    <t>29/02/2024 9.12.58</t>
  </si>
  <si>
    <t>121000032</t>
  </si>
  <si>
    <t>29/02/2024 9.23.24</t>
  </si>
  <si>
    <t>121000033</t>
  </si>
  <si>
    <t>01/03/2024 9.17.19</t>
  </si>
  <si>
    <t>121000034</t>
  </si>
  <si>
    <t>01/03/2024 15.00.00</t>
  </si>
  <si>
    <t>121000035</t>
  </si>
  <si>
    <t>15/03/2024 10.06.16</t>
  </si>
  <si>
    <t>121000036</t>
  </si>
  <si>
    <t>19/03/2024 8.14.18</t>
  </si>
  <si>
    <t>121000037</t>
  </si>
  <si>
    <t>19/03/2024 8.27.11</t>
  </si>
  <si>
    <t>121000038</t>
  </si>
  <si>
    <t>19/03/2024 8.29.14</t>
  </si>
  <si>
    <t>121000039</t>
  </si>
  <si>
    <t>19/03/2024 8.32.51</t>
  </si>
  <si>
    <t>121000040</t>
  </si>
  <si>
    <t>21/03/2024 9.30.26</t>
  </si>
  <si>
    <t>121000041</t>
  </si>
  <si>
    <t>22/03/2024 11.03.12</t>
  </si>
  <si>
    <t>121000042</t>
  </si>
  <si>
    <t>22/03/2024 11.22.59</t>
  </si>
  <si>
    <t>121000043</t>
  </si>
  <si>
    <t>22/03/2024 12.16.10</t>
  </si>
  <si>
    <t>121000044</t>
  </si>
  <si>
    <t>25/03/2024 14.17.22</t>
  </si>
  <si>
    <t>121000045</t>
  </si>
  <si>
    <t>26/03/2024 14.50.18</t>
  </si>
  <si>
    <t>121000046</t>
  </si>
  <si>
    <t>27/03/2024 9.00.17</t>
  </si>
  <si>
    <t>121000047</t>
  </si>
  <si>
    <t>27/03/2024 10.59.30</t>
  </si>
  <si>
    <t>121000048</t>
  </si>
  <si>
    <t>15/05/2024 11.13.12</t>
  </si>
  <si>
    <t>121000049</t>
  </si>
  <si>
    <t>15/05/2024 11.16.33</t>
  </si>
  <si>
    <t>121000050</t>
  </si>
  <si>
    <t>16/05/2024 11.13.06</t>
  </si>
  <si>
    <t>121000051</t>
  </si>
  <si>
    <t>16/05/2024 11.15.43</t>
  </si>
  <si>
    <t>121000052</t>
  </si>
  <si>
    <t>28/05/2024 11.10.45</t>
  </si>
  <si>
    <t>121000053</t>
  </si>
  <si>
    <t>31/05/2024 10.51.44</t>
  </si>
  <si>
    <t>121000054</t>
  </si>
  <si>
    <t>31/05/2024 11.32.22</t>
  </si>
  <si>
    <t>121000055</t>
  </si>
  <si>
    <t>31/05/2024 11.34.09</t>
  </si>
  <si>
    <t>121000056</t>
  </si>
  <si>
    <t>31/05/2024 11.35.36</t>
  </si>
  <si>
    <t>121000057</t>
  </si>
  <si>
    <t>31/05/2024 11.36.44</t>
  </si>
  <si>
    <t>03/06/2024 8.53.59</t>
  </si>
  <si>
    <t>121000058</t>
  </si>
  <si>
    <t>06/06/2024 9.55.33</t>
  </si>
  <si>
    <t>121000059</t>
  </si>
  <si>
    <t>12/06/2024 14.52.46</t>
  </si>
  <si>
    <t>121000060</t>
  </si>
  <si>
    <t>13/06/2024 14.59.37</t>
  </si>
  <si>
    <t>121000061</t>
  </si>
  <si>
    <t>20/06/2024 9.13.04</t>
  </si>
  <si>
    <t>121000062</t>
  </si>
  <si>
    <t>05/07/2024 11.31.49</t>
  </si>
  <si>
    <t>121000063</t>
  </si>
  <si>
    <t>15/07/2024 10.25.20</t>
  </si>
  <si>
    <t>121000098</t>
  </si>
  <si>
    <t>24/07/2024 11.59.26</t>
  </si>
  <si>
    <t>121000064</t>
  </si>
  <si>
    <t>25/07/2024 10.40.42</t>
  </si>
  <si>
    <t>121000065</t>
  </si>
  <si>
    <t>25/07/2024 10.41.56</t>
  </si>
  <si>
    <t>121000066</t>
  </si>
  <si>
    <t>02/08/2024 9.26.53</t>
  </si>
  <si>
    <t>121000067</t>
  </si>
  <si>
    <t>07/08/2024 9.36.20</t>
  </si>
  <si>
    <t>121000068</t>
  </si>
  <si>
    <t>27/08/2024 7.35.28</t>
  </si>
  <si>
    <t>121000069</t>
  </si>
  <si>
    <t>11/09/2024 14.41.13</t>
  </si>
  <si>
    <t>121000070</t>
  </si>
  <si>
    <t>13/09/2024 8.52.50</t>
  </si>
  <si>
    <t>121000071</t>
  </si>
  <si>
    <t>17/09/2024 10.29.13</t>
  </si>
  <si>
    <t>121000072</t>
  </si>
  <si>
    <t>17/09/2024 10.30.38</t>
  </si>
  <si>
    <t>121000073</t>
  </si>
  <si>
    <t>23/09/2024 10.00.28</t>
  </si>
  <si>
    <t>121000074</t>
  </si>
  <si>
    <t>23/09/2024 10.01.31</t>
  </si>
  <si>
    <t>121000075</t>
  </si>
  <si>
    <t>03/10/2024 11.30.35</t>
  </si>
  <si>
    <t>121000076</t>
  </si>
  <si>
    <t>04/10/2024 11.19.17</t>
  </si>
  <si>
    <t>121000077</t>
  </si>
  <si>
    <t>08/10/2024 14.02.52</t>
  </si>
  <si>
    <t>121000078</t>
  </si>
  <si>
    <t>08/10/2024 14.21.01</t>
  </si>
  <si>
    <t>121000079</t>
  </si>
  <si>
    <t>08/10/2024 14.24.39</t>
  </si>
  <si>
    <t>121000080</t>
  </si>
  <si>
    <t>08/10/2024 14.48.26</t>
  </si>
  <si>
    <t>121000081</t>
  </si>
  <si>
    <t>09/10/2024 14.02.50</t>
  </si>
  <si>
    <t>121000082</t>
  </si>
  <si>
    <t>09/10/2024 14.13.52</t>
  </si>
  <si>
    <t>121000083</t>
  </si>
  <si>
    <t>09/10/2024 14.15.05</t>
  </si>
  <si>
    <t>121000084</t>
  </si>
  <si>
    <t>09/10/2024 14.24.51</t>
  </si>
  <si>
    <t>121000085</t>
  </si>
  <si>
    <t>09/10/2024 14.26.17</t>
  </si>
  <si>
    <t>121000086</t>
  </si>
  <si>
    <t>11/10/2024 11.57.10</t>
  </si>
  <si>
    <t>121000087</t>
  </si>
  <si>
    <t>11/10/2024 11.58.31</t>
  </si>
  <si>
    <t>121000088</t>
  </si>
  <si>
    <t>11/10/2024 12.13.39</t>
  </si>
  <si>
    <t>121000089</t>
  </si>
  <si>
    <t>11/10/2024 12.15.24</t>
  </si>
  <si>
    <t>121000090</t>
  </si>
  <si>
    <t>31/10/2024 17.17.57</t>
  </si>
  <si>
    <t>121000091</t>
  </si>
  <si>
    <t>05/11/2024 14.14.05</t>
  </si>
  <si>
    <t>121000092</t>
  </si>
  <si>
    <t>11/11/2024 10.27.57</t>
  </si>
  <si>
    <t>121000093</t>
  </si>
  <si>
    <t>11/11/2024 12.26.50</t>
  </si>
  <si>
    <t>121000094</t>
  </si>
  <si>
    <t>20/11/2024 9.27.15</t>
  </si>
  <si>
    <t>121000095</t>
  </si>
  <si>
    <t>20/11/2024 9.28.14</t>
  </si>
  <si>
    <t>121000096</t>
  </si>
  <si>
    <t>20/11/2024 9.29.29</t>
  </si>
  <si>
    <t>121000097</t>
  </si>
  <si>
    <t>20/11/2024 11.10.55</t>
  </si>
  <si>
    <t>21/11/2024 9.38.10</t>
  </si>
  <si>
    <t>26/11/2024 15.04.26</t>
  </si>
  <si>
    <t>28/11/2024 14.47.07</t>
  </si>
  <si>
    <t>28/11/2024 14.48.06</t>
  </si>
  <si>
    <t>02/12/2024 14.52.43</t>
  </si>
  <si>
    <t>121000099</t>
  </si>
  <si>
    <t>04/12/2024 9.07.39</t>
  </si>
  <si>
    <t>121000100</t>
  </si>
  <si>
    <t>04/12/2024 10.02.22</t>
  </si>
  <si>
    <t>121000101</t>
  </si>
  <si>
    <t>06/12/2024 10.27.37</t>
  </si>
  <si>
    <t>121000102</t>
  </si>
  <si>
    <t>19/12/2024 10.25.12</t>
  </si>
  <si>
    <t>06/01/2025 14.20.37</t>
  </si>
  <si>
    <t>121000103</t>
  </si>
  <si>
    <t>07/01/2025 11.07.36</t>
  </si>
  <si>
    <t>13/01/2025 8.39.58</t>
  </si>
  <si>
    <t>121000104</t>
  </si>
  <si>
    <t>13/01/2025 8.41.44</t>
  </si>
  <si>
    <t>121000105</t>
  </si>
  <si>
    <t>13/01/2025 9.06.15</t>
  </si>
  <si>
    <t>121000106</t>
  </si>
  <si>
    <t>13/01/2025 9.50.39</t>
  </si>
  <si>
    <t>121000107</t>
  </si>
  <si>
    <t>13/01/2025 10.01.47</t>
  </si>
  <si>
    <t>121000108</t>
  </si>
  <si>
    <t>14/01/2025 7.59.17</t>
  </si>
  <si>
    <t>121000109</t>
  </si>
  <si>
    <t>14/01/2025 7.59.57</t>
  </si>
  <si>
    <t>15/01/2025 11.27.21</t>
  </si>
  <si>
    <t>121000110</t>
  </si>
  <si>
    <t>20/01/2025 10.46.57</t>
  </si>
  <si>
    <t>121000111</t>
  </si>
  <si>
    <t>03/02/2025 14.39.47</t>
  </si>
  <si>
    <t>03/02/2025 14.41.33</t>
  </si>
  <si>
    <t>03/02/2025 15.14.42</t>
  </si>
  <si>
    <t>03/02/2025 15.16.56</t>
  </si>
  <si>
    <t>06/02/2025 9.41.11</t>
  </si>
  <si>
    <t>121000112</t>
  </si>
  <si>
    <t>06/02/2025 9.54.42</t>
  </si>
  <si>
    <t>121000113</t>
  </si>
  <si>
    <t>06/02/2025 14.22.56</t>
  </si>
  <si>
    <t>06/02/2025 15.56.43</t>
  </si>
  <si>
    <t>121000114</t>
  </si>
  <si>
    <t>11/02/2025 8.49.14</t>
  </si>
  <si>
    <t>12/02/2025 9.35.54</t>
  </si>
  <si>
    <t>12/02/2025 9.52.50</t>
  </si>
  <si>
    <t>121000116</t>
  </si>
  <si>
    <t>12/02/2025 9.59.11</t>
  </si>
  <si>
    <t>121000117</t>
  </si>
  <si>
    <t>12/03/2025 9.34.16</t>
  </si>
  <si>
    <t>121000118</t>
  </si>
  <si>
    <t>03/04/2025 21.09.30</t>
  </si>
  <si>
    <t>121000119</t>
  </si>
  <si>
    <t>28/04/2025 9.00.46</t>
  </si>
  <si>
    <t>1210016</t>
  </si>
  <si>
    <t>Kunjungan Langsung</t>
  </si>
  <si>
    <t>Pekerjaan Statistik (Mitra)</t>
  </si>
  <si>
    <t>dbkunjungan_Images/04-28-2025 09-00-46:Foto (kunjungan langsung):020232:jpg</t>
  </si>
  <si>
    <t>28 April 2025_1_1210016</t>
  </si>
  <si>
    <t>28/04/2025 9.04.45</t>
  </si>
  <si>
    <t>dbkunjungan_Images/04-28-2025 09-04-45:Foto (kunjungan langsung):020603:jpg</t>
  </si>
  <si>
    <t>28 April 2025_2_122</t>
  </si>
  <si>
    <t>28/04/2025 9.23.38</t>
  </si>
  <si>
    <t>dbkunjungan_Images/04-28-2025 09-23-38:Foto (kunjungan langsung):022426:jpg</t>
  </si>
  <si>
    <t>3</t>
  </si>
  <si>
    <t>28 April 2025_3_123</t>
  </si>
  <si>
    <t>28/04/2025 9.25.53</t>
  </si>
  <si>
    <t>dbkunjungan_Images/04-28-2025 09-25-53:Foto (kunjungan langsung):022635:jpg</t>
  </si>
  <si>
    <t>4</t>
  </si>
  <si>
    <t>28 April 2025_4_124</t>
  </si>
  <si>
    <t>28/04/2025 9.30.04</t>
  </si>
  <si>
    <t>dbkunjungan_Images/04-28-2025 09-30-04:Foto (kunjungan langsung):023038:jpg</t>
  </si>
  <si>
    <t>5</t>
  </si>
  <si>
    <t>28 April 2025_5_125</t>
  </si>
  <si>
    <t>28/04/2025 9.31.48</t>
  </si>
  <si>
    <t>1210015</t>
  </si>
  <si>
    <t>dbkunjungan_Images/04-28-2025 09-31-48:Foto (kunjungan langsung):023210:jpg</t>
  </si>
  <si>
    <t>6</t>
  </si>
  <si>
    <t>28 April 2025_6_1210015</t>
  </si>
  <si>
    <t>28/04/2025 9.33.56</t>
  </si>
  <si>
    <t>dbkunjungan_Images/04-28-2025 09-33-56:Foto (kunjungan langsung):023428:jpg</t>
  </si>
  <si>
    <t>7</t>
  </si>
  <si>
    <t>28 April 2025_7_126</t>
  </si>
  <si>
    <t>28/04/2025 9.37.41</t>
  </si>
  <si>
    <t>dbkunjungan_Images/04-28-2025 09-37-41:Foto (kunjungan langsung):023813:jpg</t>
  </si>
  <si>
    <t>8</t>
  </si>
  <si>
    <t>28 April 2025_8_127</t>
  </si>
  <si>
    <t>28/04/2025 9.45.13</t>
  </si>
  <si>
    <t>dbkunjungan_Images/04-28-2025 09-45-13:Foto (kunjungan langsung):024619:jpg</t>
  </si>
  <si>
    <t>9</t>
  </si>
  <si>
    <t>28 April 2025_9_128</t>
  </si>
  <si>
    <t>28/04/2025 9.48.40</t>
  </si>
  <si>
    <t>dbkunjungan_Images/04-28-2025 09-48-40:Foto (kunjungan langsung):024957:jpg</t>
  </si>
  <si>
    <t>10</t>
  </si>
  <si>
    <t>28 April 2025_10_129</t>
  </si>
  <si>
    <t>28/04/2025 9.50.47</t>
  </si>
  <si>
    <t>dbkunjungan_Images/04-28-2025 09-50-47:Foto (kunjungan langsung):025111:jpg</t>
  </si>
  <si>
    <t>11</t>
  </si>
  <si>
    <t>28 April 2025_11_130</t>
  </si>
  <si>
    <t>28/04/2025 9.51.53</t>
  </si>
  <si>
    <t>dbkunjungan_Images/04-28-2025 09-51-53:Foto (kunjungan langsung):025220:jpg</t>
  </si>
  <si>
    <t>12</t>
  </si>
  <si>
    <t>28 April 2025_12_131</t>
  </si>
  <si>
    <t>28/04/2025 10.45.16</t>
  </si>
  <si>
    <t>dbkunjungan_Images/04-28-2025 10-45-16:Foto (kunjungan langsung):034547:jpg</t>
  </si>
  <si>
    <t>13</t>
  </si>
  <si>
    <t>28 April 2025_13_132</t>
  </si>
  <si>
    <t>29/04/2025 14.12.55</t>
  </si>
  <si>
    <t>Pesan Instan</t>
  </si>
  <si>
    <t>Pelayanan Publik</t>
  </si>
  <si>
    <t>https://ppid.bps.go.id/upload/doc/Logo_Whatsapp_PST_1753258005.png</t>
  </si>
  <si>
    <t>29 April 2025_1_133</t>
  </si>
  <si>
    <t>02/05/2025 13.26.41</t>
  </si>
  <si>
    <t>1210007</t>
  </si>
  <si>
    <t>dbkunjungan_Images/05-02-2025 13-26-41:Foto (kunjungan langsung):062731:jpg</t>
  </si>
  <si>
    <t>02 Mei 2025_1_134</t>
  </si>
  <si>
    <t>07/05/2025 16.27.38</t>
  </si>
  <si>
    <t>dbkunjungan_Images/05-07-2025 16-27-38:Foto (kunjungan langsung):092826:jpg</t>
  </si>
  <si>
    <t>07 May 2025_1_1210015</t>
  </si>
  <si>
    <t>08/05/2025 8.09.42</t>
  </si>
  <si>
    <t>dbkunjungan_Images/05-08-2025 08-09-42:Foto (kunjungan langsung):061929:jpg</t>
  </si>
  <si>
    <t>08 May 2025_1_135</t>
  </si>
  <si>
    <t>09/05/2025 10.40.31</t>
  </si>
  <si>
    <t>1210053</t>
  </si>
  <si>
    <t>09 May 2025_1_1210053</t>
  </si>
  <si>
    <t>14/05/2025 8.00.29</t>
  </si>
  <si>
    <t>dbkunjungan_Images/05-14-2025 08-00-29:Foto (kunjungan langsung):010246:jpg</t>
  </si>
  <si>
    <t>14 May 2025_1_136</t>
  </si>
  <si>
    <t>14/05/2025 11.17.12</t>
  </si>
  <si>
    <t>dbkunjungan_Images/05-14-2025 11-17-12:Foto (kunjungan langsung):042025:jpg</t>
  </si>
  <si>
    <t>14 May 2025_2_137</t>
  </si>
  <si>
    <t>14/05/2025 12.04.32</t>
  </si>
  <si>
    <t>dbkunjungan_Images/05-14-2025 12-04-32:Foto (kunjungan langsung):050555:jpg</t>
  </si>
  <si>
    <t>14 May 2025_3_138</t>
  </si>
  <si>
    <t>14/05/2025 14.10.02</t>
  </si>
  <si>
    <t>dbkunjungan_Images/05-14-2025 14-10-02:Foto (kunjungan langsung):071132:jpg</t>
  </si>
  <si>
    <t>14 May 2025_4_1210015</t>
  </si>
  <si>
    <t>14/05/2025 14.13.30</t>
  </si>
  <si>
    <t>1210110</t>
  </si>
  <si>
    <t>dbkunjungan_Images/05-14-2025 14-13-30:Foto (kunjungan langsung):071430:jpg</t>
  </si>
  <si>
    <t>14 May 2025_5_1210110</t>
  </si>
  <si>
    <t>14/05/2025 14.45.34</t>
  </si>
  <si>
    <t>dbkunjungan_Images/05-14-2025 14-45-34:Foto (kunjungan langsung):081922:jpg</t>
  </si>
  <si>
    <t>14 May 2025_6_139</t>
  </si>
  <si>
    <t>16/05/2025 8.37.35</t>
  </si>
  <si>
    <t>112</t>
  </si>
  <si>
    <t>dbkunjungan_Images/05-16-2025 08-37-35:Foto (kunjungan langsung):014422:jpg</t>
  </si>
  <si>
    <t>16 May 2025_1_140</t>
  </si>
  <si>
    <t>16/05/2025 8.45.29</t>
  </si>
  <si>
    <t>dbkunjungan_Images/05-16-2025 08-45-29:Foto (kunjungan langsung):014805:jpg</t>
  </si>
  <si>
    <t>16 May 2025_2_141</t>
  </si>
  <si>
    <t>16/05/2025 8.48.12</t>
  </si>
  <si>
    <t>dbkunjungan_Images/05-16-2025 08-48-12:Foto (kunjungan langsung):014904:jpg</t>
  </si>
  <si>
    <t>16 May 2025_3_142</t>
  </si>
  <si>
    <t>16/05/2025 8.49.32</t>
  </si>
  <si>
    <t>dbkunjungan_Images/05-16-2025 08-49-32:Foto (kunjungan langsung):015119:jpg</t>
  </si>
  <si>
    <t>16 May 2025_4_143</t>
  </si>
  <si>
    <t>16/05/2025 8.51.17</t>
  </si>
  <si>
    <t>1210048</t>
  </si>
  <si>
    <t>dbkunjungan_Images/05-16-2025 08-51-17:Foto (kunjungan langsung):015202:jpg</t>
  </si>
  <si>
    <t>16 May 2025_5_1210048</t>
  </si>
  <si>
    <t>16/05/2025 8.54.57</t>
  </si>
  <si>
    <t>dbkunjungan_Images/05-16-2025 08-54-57:Foto (kunjungan langsung):015711:jpg</t>
  </si>
  <si>
    <t>16 May 2025_6_144</t>
  </si>
  <si>
    <t>16/05/2025 8.57.16</t>
  </si>
  <si>
    <t>1210003</t>
  </si>
  <si>
    <t>dbkunjungan_Images/05-16-2025 08-57-16:Foto (kunjungan langsung):015758:jpg</t>
  </si>
  <si>
    <t>16 May 2025_7_1210003</t>
  </si>
  <si>
    <t>16/05/2025 8.58.24</t>
  </si>
  <si>
    <t>dbkunjungan_Images/05-16-2025 08-58-24:Foto (kunjungan langsung):015901:jpg</t>
  </si>
  <si>
    <t>16 May 2025_8_130</t>
  </si>
  <si>
    <t>16/05/2025 8.59.09</t>
  </si>
  <si>
    <t>dbkunjungan_Images/05-16-2025 08-59-09:Foto (kunjungan langsung):015926:jpg</t>
  </si>
  <si>
    <t>16 May 2025_9_131</t>
  </si>
  <si>
    <t>16/05/2025 9.03.17</t>
  </si>
  <si>
    <t>dbkunjungan_Images/05-16-2025 09-03-17:Foto (kunjungan langsung):020436:jpg</t>
  </si>
  <si>
    <t>16 May 2025_10_145</t>
  </si>
  <si>
    <t>16/05/2025 9.04.46</t>
  </si>
  <si>
    <t>dbkunjungan_Images/05-16-2025 09-04-46:Foto (kunjungan langsung):020543:jpg</t>
  </si>
  <si>
    <t>16 May 2025_11_146</t>
  </si>
  <si>
    <t>16/05/2025 9.10.45</t>
  </si>
  <si>
    <t>dbkunjungan_Images/05-16-2025 09-10-45:Foto (kunjungan langsung):021123:jpg</t>
  </si>
  <si>
    <t>16 May 2025_12_125</t>
  </si>
  <si>
    <t>16/05/2025 9.11.32</t>
  </si>
  <si>
    <t>dbkunjungan_Images/05-16-2025 09-11-32:Foto (kunjungan langsung):021227:jpg</t>
  </si>
  <si>
    <t>16 May 2025_13_147</t>
  </si>
  <si>
    <t>16/05/2025 9.12.34</t>
  </si>
  <si>
    <t>dbkunjungan_Images/05-16-2025 09-12-34:Foto (kunjungan langsung):021609:jpg</t>
  </si>
  <si>
    <t>14</t>
  </si>
  <si>
    <t>16 May 2025_14_148</t>
  </si>
  <si>
    <t>16/05/2025 9.28.08</t>
  </si>
  <si>
    <t>1210116</t>
  </si>
  <si>
    <t>dbkunjungan_Images/05-16-2025 09-28-08:Foto (kunjungan langsung):023115:jpg</t>
  </si>
  <si>
    <t>15</t>
  </si>
  <si>
    <t>16 May 2025_15_1210116</t>
  </si>
  <si>
    <t>16/05/2025 9.37.52</t>
  </si>
  <si>
    <t>dbkunjungan_Images/05-16-2025 09-37-52:Foto (kunjungan langsung):023847:jpg</t>
  </si>
  <si>
    <t>16</t>
  </si>
  <si>
    <t>16 May 2025_16_149</t>
  </si>
  <si>
    <t>20/05/2025 13.09.17</t>
  </si>
  <si>
    <t>20 Mei 2025_1_1210110</t>
  </si>
  <si>
    <t>20/05/2025 13.10.27</t>
  </si>
  <si>
    <t>1210012</t>
  </si>
  <si>
    <t>20 Mei 2025_2_1210012</t>
  </si>
  <si>
    <t>20/05/2025 13.10.45</t>
  </si>
  <si>
    <t>20 Mei 2025_3_1210016</t>
  </si>
  <si>
    <t>20/05/2025 15.02.39</t>
  </si>
  <si>
    <t>dbkunjungan_Images/05-20-2025 15-02-39:Foto (kunjungan langsung):080403:jpg</t>
  </si>
  <si>
    <t>20 May 2025_7_138</t>
  </si>
  <si>
    <t>20/05/2025 15.04.03</t>
  </si>
  <si>
    <t>dbkunjungan_Images/05-20-2025 15-04-03:Foto (kunjungan langsung):080542:jpg</t>
  </si>
  <si>
    <t>20 May 2025_8_136</t>
  </si>
  <si>
    <t>22/05/2025 12.04.42</t>
  </si>
  <si>
    <t>111</t>
  </si>
  <si>
    <t>dbkunjungan_Images/05-22-2025 12-04-42:Foto (kunjungan langsung):050737:jpg</t>
  </si>
  <si>
    <t>22 Mei 2025_1_151</t>
  </si>
  <si>
    <t>26/05/2025 7.50.04</t>
  </si>
  <si>
    <t>dbkunjungan_Images/05-26-2025 07-50-04:Foto (kunjungan langsung):005311:jpg</t>
  </si>
  <si>
    <t>05/26/2025_1_152</t>
  </si>
  <si>
    <t>Dilayani</t>
  </si>
  <si>
    <t>26/05/2025 7.53.19</t>
  </si>
  <si>
    <t>dbkunjungan_Images/05-26-2025 07-53-19:Foto (kunjungan langsung):005446:jpg</t>
  </si>
  <si>
    <t>05/26/2025_2_153</t>
  </si>
  <si>
    <t>26/05/2025 7.57.15</t>
  </si>
  <si>
    <t>dbkunjungan_Images/05-26-2025 07-57-15:Foto (kunjungan langsung):005934:jpg</t>
  </si>
  <si>
    <t>05/26/2025_3_154</t>
  </si>
  <si>
    <t>26/05/2025 7.58.29</t>
  </si>
  <si>
    <t>dbkunjungan_Images/05-26-2025 07-58-29:Foto (kunjungan langsung):010003:jpg</t>
  </si>
  <si>
    <t>05/26/2025_4_155</t>
  </si>
  <si>
    <t>26/05/2025 8.01.39</t>
  </si>
  <si>
    <t>dbkunjungan_Images/05-26-2025 08-01-39:Foto (kunjungan langsung):010510:jpg</t>
  </si>
  <si>
    <t>05/26/2025_5_156</t>
  </si>
  <si>
    <t>26/05/2025 8.08.20</t>
  </si>
  <si>
    <t>dbkunjungan_Images/05-26-2025 08-08-20:Foto (kunjungan langsung):011130:jpg</t>
  </si>
  <si>
    <t>05/26/2025_6_158</t>
  </si>
  <si>
    <t>26/05/2025 9.02.59</t>
  </si>
  <si>
    <t>dbkunjungan_Images/05-26-2025 09-02-59:Foto (kunjungan langsung):020408:jpg</t>
  </si>
  <si>
    <t>05/26/2025_7_1210110</t>
  </si>
  <si>
    <t>27/05/2025 10.28.25</t>
  </si>
  <si>
    <t>dbkunjungan_Images/05-27-2025 10-28-25:Foto (kunjungan langsung):034632:jpg</t>
  </si>
  <si>
    <t>05/27/2025_1_159</t>
  </si>
  <si>
    <t>27/05/2025 10.46.34</t>
  </si>
  <si>
    <t>dbkunjungan_Images/05-27-2025 10-46-34:Foto (kunjungan langsung):034717:jpg</t>
  </si>
  <si>
    <t>05/27/2025_2_144</t>
  </si>
  <si>
    <t>27/05/2025 10.52.18</t>
  </si>
  <si>
    <t>dbkunjungan_Images/05-27-2025 10-52-18:Foto (kunjungan langsung):035349:jpg</t>
  </si>
  <si>
    <t>05/27/2025_3_1210016</t>
  </si>
  <si>
    <t>27/05/2025 11.55.56</t>
  </si>
  <si>
    <t>dbkunjungan_Images/05-27-2025 11-55-56:Foto (kunjungan langsung):045701:jpg</t>
  </si>
  <si>
    <t>05/27/2025_4_150</t>
  </si>
  <si>
    <t>28/05/2025 9.01.00</t>
  </si>
  <si>
    <t>dbkunjungan_Images/05-28-2025 09-01-00:Foto (kunjungan langsung):020202:jpg</t>
  </si>
  <si>
    <t>05/28/2025_1_1210016</t>
  </si>
  <si>
    <t>28/05/2025 9.52.00</t>
  </si>
  <si>
    <t>dbkunjungan_Images/05-28-2025 09-52-00:Foto (kunjungan langsung):025310:jpg</t>
  </si>
  <si>
    <t>05/28/2025_2_1210007</t>
  </si>
  <si>
    <t>28/05/2025 11.38.00</t>
  </si>
  <si>
    <t>dbkunjungan_Images/05-28-2025 11-38-00:Foto (kunjungan langsung):044150:jpg</t>
  </si>
  <si>
    <t>05/28/2025_3_160</t>
  </si>
  <si>
    <t>28/05/2025 11.41.00</t>
  </si>
  <si>
    <t>dbkunjungan_Images/05-28-2025 11-41-00:Foto (kunjungan langsung):044356:jpg</t>
  </si>
  <si>
    <t>05/28/2025_4_161</t>
  </si>
  <si>
    <t>28/05/2025 11.43.00</t>
  </si>
  <si>
    <t>dbkunjungan_Images/05-28-2025 11-43-00:Foto (kunjungan langsung):044545:jpg</t>
  </si>
  <si>
    <t>05/28/2025_5_162</t>
  </si>
  <si>
    <t>02/06/2025 13.19.00</t>
  </si>
  <si>
    <t>06/02/2025_1_163</t>
  </si>
  <si>
    <t>02/06/2025 13.22.44</t>
  </si>
  <si>
    <t>02/06/2025 14.30.00</t>
  </si>
  <si>
    <t>1210017</t>
  </si>
  <si>
    <t>dbkunjungan_Images/06-02-2025 14-30-00.Foto (kunjungan langsung).073225.jpg</t>
  </si>
  <si>
    <t>06/02/2025_2_1210017</t>
  </si>
  <si>
    <t>02/06/2025 14.32.26</t>
  </si>
  <si>
    <t>03/06/2025 17.04.00</t>
  </si>
  <si>
    <t>dbkunjungan_Images/06-03-2025 17-04-00.Foto (kunjungan langsung).100521.jpg</t>
  </si>
  <si>
    <t>06/03/2025_1_136</t>
  </si>
  <si>
    <t>03/06/2025 17.06.25</t>
  </si>
  <si>
    <t>03/06/2025 17.05.00</t>
  </si>
  <si>
    <t>dbkunjungan_Images/06-03-2025 17-05-00.Foto (kunjungan langsung).100613.jpg</t>
  </si>
  <si>
    <t>06/03/2025_2_138</t>
  </si>
  <si>
    <t>03/06/2025 17.06.26</t>
  </si>
  <si>
    <t>04/06/2025 7.47.00</t>
  </si>
  <si>
    <t>1210011</t>
  </si>
  <si>
    <t>dbkunjungan_Images/06-04-2025 07-47-00.Foto (kunjungan langsung).004918.jpg</t>
  </si>
  <si>
    <t>06/04/2025_1_1210011</t>
  </si>
  <si>
    <t>04/06/2025 07.49.20</t>
  </si>
  <si>
    <t>04/06/2025 7.49.00</t>
  </si>
  <si>
    <t>1210008</t>
  </si>
  <si>
    <t>dbkunjungan_Images/06-04-2025 07-49-00.Foto (kunjungan langsung).005219.jpg</t>
  </si>
  <si>
    <t>06/04/2025_2_1210008</t>
  </si>
  <si>
    <t>04/06/2025 07.52.20</t>
  </si>
  <si>
    <t>04/06/2025 7.52.00</t>
  </si>
  <si>
    <t>dbkunjungan_Images/06-04-2025 07-52-00.Foto (kunjungan langsung).005416.jpg</t>
  </si>
  <si>
    <t>06/04/2025_3_166</t>
  </si>
  <si>
    <t>04/06/2025 07.54.17</t>
  </si>
  <si>
    <t>04/06/2025 7.54.00</t>
  </si>
  <si>
    <t>dbkunjungan_Images/06-04-2025 07-54-00.Foto (kunjungan langsung).005543.jpg</t>
  </si>
  <si>
    <t>06/04/2025_4_167</t>
  </si>
  <si>
    <t>04/06/2025 07.55.43</t>
  </si>
  <si>
    <t>04/06/2025 7.56.00</t>
  </si>
  <si>
    <t>dbkunjungan_Images/06-04-2025 07-56-00.Foto (kunjungan langsung).005734.jpg</t>
  </si>
  <si>
    <t>06/04/2025_5_168</t>
  </si>
  <si>
    <t>04/06/2025 07.57.53</t>
  </si>
  <si>
    <t>04/06/2025 7.57.00</t>
  </si>
  <si>
    <t>1210038</t>
  </si>
  <si>
    <t>dbkunjungan_Images/06-04-2025 07-57-00.Foto (kunjungan langsung).005751.jpg</t>
  </si>
  <si>
    <t>06/04/2025_6_1210038</t>
  </si>
  <si>
    <t>04/06/2025 07.57.54</t>
  </si>
  <si>
    <t>04/06/2025 7.58.00</t>
  </si>
  <si>
    <t>dbkunjungan_Images/06-04-2025 07-58-00.Foto (kunjungan langsung).005949.jpg</t>
  </si>
  <si>
    <t>06/04/2025_7_169</t>
  </si>
  <si>
    <t>04/06/2025 07.59.47</t>
  </si>
  <si>
    <t>04/06/2025 7.59.00</t>
  </si>
  <si>
    <t>dbkunjungan_Images/06-04-2025 07-59-00.Foto (kunjungan langsung).010112.jpg</t>
  </si>
  <si>
    <t>06/04/2025_8_170</t>
  </si>
  <si>
    <t>04/06/2025 08.01.12</t>
  </si>
  <si>
    <t>04/06/2025 8.01.00</t>
  </si>
  <si>
    <t>dbkunjungan_Images/06-04-2025 08-01-00.Foto (kunjungan langsung).010239.jpg</t>
  </si>
  <si>
    <t>06/04/2025_9_171</t>
  </si>
  <si>
    <t>04/06/2025 08.02.38</t>
  </si>
  <si>
    <t>04/06/2025 8.02.00</t>
  </si>
  <si>
    <t>dbkunjungan_Images/06-04-2025 08-02-00.Foto (kunjungan langsung).010353.jpg</t>
  </si>
  <si>
    <t>06/04/2025_10_172</t>
  </si>
  <si>
    <t>04/06/2025 08.16.21</t>
  </si>
  <si>
    <t>04/06/2025 8.04.00</t>
  </si>
  <si>
    <t>dbkunjungan_Images/06-04-2025 08-04-00.Foto (kunjungan langsung).010514.jpg</t>
  </si>
  <si>
    <t>06/04/2025_11_173</t>
  </si>
  <si>
    <t>04/06/2025 08.16.18</t>
  </si>
  <si>
    <t>04/06/2025 8.05.00</t>
  </si>
  <si>
    <t>dbkunjungan_Images/06-04-2025 08-05-00.Foto (kunjungan langsung).010615.jpg</t>
  </si>
  <si>
    <t>06/04/2025_12_174</t>
  </si>
  <si>
    <t>04/06/2025 08.16.17</t>
  </si>
  <si>
    <t>04/06/2025 8.06.00</t>
  </si>
  <si>
    <t>1210041</t>
  </si>
  <si>
    <t>dbkunjungan_Images/06-04-2025 08-06-00.Foto (kunjungan langsung).010654.jpg</t>
  </si>
  <si>
    <t>06/04/2025_13_1210041</t>
  </si>
  <si>
    <t>04/06/2025 08.16.16</t>
  </si>
  <si>
    <t>04/06/2025 8.07.00</t>
  </si>
  <si>
    <t>dbkunjungan_Images/06-04-2025 08-07-00.Foto (kunjungan langsung).010837.jpg</t>
  </si>
  <si>
    <t>06/04/2025_14_175</t>
  </si>
  <si>
    <t>04/06/2025 08.16.14</t>
  </si>
  <si>
    <t>04/06/2025 8.08.00</t>
  </si>
  <si>
    <t>dbkunjungan_Images/06-04-2025 08-08-00.Foto (kunjungan langsung).010945.jpg</t>
  </si>
  <si>
    <t>06/04/2025_15_176</t>
  </si>
  <si>
    <t>04/06/2025 08.16.13</t>
  </si>
  <si>
    <t>04/06/2025 8.09.00</t>
  </si>
  <si>
    <t>dbkunjungan_Images/06-04-2025 08-09-00.Foto (kunjungan langsung).011054.jpg</t>
  </si>
  <si>
    <t>06/04/2025_16_177</t>
  </si>
  <si>
    <t>04/06/2025 08.16.11</t>
  </si>
  <si>
    <t>04/06/2025 8.11.00</t>
  </si>
  <si>
    <t>dbkunjungan_Images/06-04-2025 08-11-00.Foto (kunjungan langsung).011204.jpg</t>
  </si>
  <si>
    <t>17</t>
  </si>
  <si>
    <t>06/04/2025_17_178</t>
  </si>
  <si>
    <t>04/06/2025 08.16.09</t>
  </si>
  <si>
    <t>04/06/2025 8.12.00</t>
  </si>
  <si>
    <t>dbkunjungan_Images/06-04-2025 08-12-00.Foto (kunjungan langsung).011341.jpg</t>
  </si>
  <si>
    <t>18</t>
  </si>
  <si>
    <t>06/04/2025_18_179</t>
  </si>
  <si>
    <t>04/06/2025 8.13.00</t>
  </si>
  <si>
    <t>dbkunjungan_Images/06-04-2025 08-13-00.Foto (kunjungan langsung).011511.jpg</t>
  </si>
  <si>
    <t>19</t>
  </si>
  <si>
    <t>06/04/2025_19_180</t>
  </si>
  <si>
    <t>04/06/2025 08.16.08</t>
  </si>
  <si>
    <t>04/06/2025 8.15.00</t>
  </si>
  <si>
    <t>1210109</t>
  </si>
  <si>
    <t>dbkunjungan_Images/06-04-2025 08-15-00.Foto (kunjungan langsung).011548.jpg</t>
  </si>
  <si>
    <t>20</t>
  </si>
  <si>
    <t>06/04/2025_20_1210109</t>
  </si>
  <si>
    <t>04/06/2025 08.16.07</t>
  </si>
  <si>
    <t>04/06/2025 8.25.00</t>
  </si>
  <si>
    <t>dbkunjungan_Images/06-04-2025 08-25-00.Foto (kunjungan langsung).012603.jpg</t>
  </si>
  <si>
    <t>21</t>
  </si>
  <si>
    <t>06/04/2025_21_163</t>
  </si>
  <si>
    <t>04/06/2025 08.26.05</t>
  </si>
  <si>
    <t>04/06/2025 8.38.00</t>
  </si>
  <si>
    <t>dbkunjungan_Images/06-04-2025 08-38-00.Foto (kunjungan langsung).013927.jpg</t>
  </si>
  <si>
    <t>22</t>
  </si>
  <si>
    <t>06/04/2025_22_181</t>
  </si>
  <si>
    <t>04/06/2025 08.56.44</t>
  </si>
  <si>
    <t>10/06/2025 9.00.00</t>
  </si>
  <si>
    <t>06/10/2025_1_173</t>
  </si>
  <si>
    <t>10/06/2025 09.00.28</t>
  </si>
  <si>
    <t>12/06/2025 13.19.00</t>
  </si>
  <si>
    <t>dbkunjungan_Images/06-12-2025 13-19-00.Foto (kunjungan langsung).062121.jpg</t>
  </si>
  <si>
    <t>06/12/2025_1_182</t>
  </si>
  <si>
    <t>06/12/2025</t>
  </si>
  <si>
    <t>12/06/2025 13.20.59</t>
  </si>
  <si>
    <t>13/06/2025 14.13.00</t>
  </si>
  <si>
    <t>dbkunjungan_Images/06-13-2025_2_156.Foto (kunjungan langsung).071343.jpg</t>
  </si>
  <si>
    <t>06/13/2025_2_156</t>
  </si>
  <si>
    <t>13/06/2025 14.13.46</t>
  </si>
  <si>
    <t>13/06/2025 14.22.00</t>
  </si>
  <si>
    <t>dbkunjungan_Images/06-13-2025_2_183.Foto (kunjungan langsung).072435.jpg</t>
  </si>
  <si>
    <t>06/13/2025_2_183</t>
  </si>
  <si>
    <t>13/06/2025 14.24.34</t>
  </si>
  <si>
    <t>16/06/2025 14.17.00</t>
  </si>
  <si>
    <t>dbkunjungan_Images/06-16-2025_1_1210015.Foto (kunjungan langsung).071822.jpg</t>
  </si>
  <si>
    <t>06/16/2025_1_1210015</t>
  </si>
  <si>
    <t>16/06/2025 14.20.04</t>
  </si>
  <si>
    <t>16/06/2025 14.19.00</t>
  </si>
  <si>
    <t>dbkunjungan_Images/06-16-2025_2_1210012.Foto (kunjungan langsung).072004.jpg</t>
  </si>
  <si>
    <t>06/16/2025_2_1210012</t>
  </si>
  <si>
    <t>16/06/2025 14.20.06</t>
  </si>
  <si>
    <t>17/06/2025 8.03.00</t>
  </si>
  <si>
    <t>06/17/2025_1_184</t>
  </si>
  <si>
    <t>17/06/2025 08.03.41</t>
  </si>
  <si>
    <t>17/06/2025 9.02.00</t>
  </si>
  <si>
    <t>1210108</t>
  </si>
  <si>
    <t>dbkunjungan_Images/06-17-2025_2_1210108.Foto (kunjungan langsung).020321.jpg</t>
  </si>
  <si>
    <t>06/17/2025_2_1210108</t>
  </si>
  <si>
    <t>17/06/2025 09.03.24</t>
  </si>
  <si>
    <t>17/06/2025 11.37.00</t>
  </si>
  <si>
    <t>dbkunjungan_Images/06-17-2025_3_1210007.Foto (kunjungan langsung).043852.jpg</t>
  </si>
  <si>
    <t>06/17/2025_3_1210007</t>
  </si>
  <si>
    <t>17/06/2025 11.38.53</t>
  </si>
  <si>
    <t>18/06/2025 10.25.00</t>
  </si>
  <si>
    <t>dbkunjungan_Images/06-18-2025_1_144.Foto (kunjungan langsung).032550.jpg</t>
  </si>
  <si>
    <t>06/18/2025_1_144</t>
  </si>
  <si>
    <t>18/06/2025 10.26.47</t>
  </si>
  <si>
    <t>dbkunjungan_Images/06-18-2025_1_129.Foto (kunjungan langsung).032614.jpg</t>
  </si>
  <si>
    <t>06/18/2025_1_129</t>
  </si>
  <si>
    <t>18/06/2025 10.26.49</t>
  </si>
  <si>
    <t>18/06/2025 10.26.00</t>
  </si>
  <si>
    <t>dbkunjungan_Images/06-18-2025_3_131.Foto (kunjungan langsung).032645.jpg</t>
  </si>
  <si>
    <t>06/18/2025_3_131</t>
  </si>
  <si>
    <t>18/06/2025 10.26.48</t>
  </si>
  <si>
    <t>18/06/2025 10.33.00</t>
  </si>
  <si>
    <t>dbkunjungan_Images/06-18-2025_4_185.Foto (kunjungan langsung).033526.jpg</t>
  </si>
  <si>
    <t>06/18/2025_4_185</t>
  </si>
  <si>
    <t>18/06/2025 10.38.29</t>
  </si>
  <si>
    <t>19/06/2025 11.37.00</t>
  </si>
  <si>
    <t>dbkunjungan_Images/06-19-2025_1_186.Foto (kunjungan langsung).050031.jpg</t>
  </si>
  <si>
    <t>06/19/2025_1_186</t>
  </si>
  <si>
    <t>19/06/2025 12.02.40</t>
  </si>
  <si>
    <t>19/06/2025 12.00.00</t>
  </si>
  <si>
    <t>dbkunjungan_Images/06-19-2025_2_187.Foto (kunjungan langsung).050239.jpg</t>
  </si>
  <si>
    <t>06/19/2025_2_187</t>
  </si>
  <si>
    <t>19/06/2025 12.02.39</t>
  </si>
  <si>
    <t>20/06/2025 9.12.00</t>
  </si>
  <si>
    <t>dbkunjungan_Images/06-20-2025_1_188.Foto (kunjungan langsung).021402.jpg</t>
  </si>
  <si>
    <t>06/20/2025_1_188</t>
  </si>
  <si>
    <t>20/06/2025 09.13.57</t>
  </si>
  <si>
    <t>20/06/2025 9.13.00</t>
  </si>
  <si>
    <t>dbkunjungan_Images/06-20-2025_2_189.Foto (kunjungan langsung).021547.jpg</t>
  </si>
  <si>
    <t>06/20/2025_2_189</t>
  </si>
  <si>
    <t>20/06/2025 09.15.28</t>
  </si>
  <si>
    <t>20/06/2025 10.07.55</t>
  </si>
  <si>
    <t>dbkunjungan_Images/06-20-2025_3_190.Foto (kunjungan langsung).052516.jpg</t>
  </si>
  <si>
    <t>06/20/2025_3_190</t>
  </si>
  <si>
    <t>20/06/2025 16.09.02</t>
  </si>
  <si>
    <t>dbkunjungan_Images/06-20-2025_4_191.Foto (kunjungan langsung).091339.jpg</t>
  </si>
  <si>
    <t>06/20/2025_4_191</t>
  </si>
  <si>
    <t>20/06/2025 16.13.34</t>
  </si>
  <si>
    <t>25/06/2025 09.46.07</t>
  </si>
  <si>
    <t>dbkunjungan_Images/06-25-2025_1_192.Foto (kunjungan langsung).024914.jpg</t>
  </si>
  <si>
    <t>06/25/2025_1_192</t>
  </si>
  <si>
    <t>25/06/2025 09.51.14</t>
  </si>
  <si>
    <t>25/06/2025 09.50.31</t>
  </si>
  <si>
    <t>dbkunjungan_Images/06-25-2025_2_193.Foto (kunjungan langsung).025055.jpg</t>
  </si>
  <si>
    <t>06/25/2025_2_193</t>
  </si>
  <si>
    <t>25/06/2025 09.51.16</t>
  </si>
  <si>
    <t>25/06/2025 14.00.08</t>
  </si>
  <si>
    <t>dbkunjungan_Images/06-25-2025_3_1210015.Foto (kunjungan langsung).070031.jpg</t>
  </si>
  <si>
    <t>06/25/2025_3_1210015</t>
  </si>
  <si>
    <t>30/06/2025 09.35.21</t>
  </si>
  <si>
    <t>dbkunjungan_Images/06-30-2025_1_194.Foto (kunjungan langsung).023839.jpg</t>
  </si>
  <si>
    <t>06/30/2025_1_194</t>
  </si>
  <si>
    <t>01/07/2025 09.38.34</t>
  </si>
  <si>
    <t>dbkunjungan_Images/07-01-2025_1_1210015.Foto (kunjungan langsung).023900.jpg</t>
  </si>
  <si>
    <t>07/01/2025_1_1210015</t>
  </si>
  <si>
    <t>01/07/2025 09.39.01</t>
  </si>
  <si>
    <t>01/07/2025 10.15.48</t>
  </si>
  <si>
    <t>dbkunjungan_Images/07-01-2025_2_1210012.Foto (kunjungan langsung).031613.jpg</t>
  </si>
  <si>
    <t>07/01/2025_2_1210012</t>
  </si>
  <si>
    <t>01/07/2025 10.16.09</t>
  </si>
  <si>
    <t>01/07/2025 14.57.51</t>
  </si>
  <si>
    <t>dbkunjungan_Images/07-01-2025_3_138.Foto (kunjungan langsung).075847.jpg</t>
  </si>
  <si>
    <t>07/01/2025_3_138</t>
  </si>
  <si>
    <t>01/07/2025 15.14.17</t>
  </si>
  <si>
    <t>01/07/2025 15.12.35</t>
  </si>
  <si>
    <t>dbkunjungan_Images/07-01-2025_4_195.Foto (kunjungan langsung).081415.jpg</t>
  </si>
  <si>
    <t>07/01/2025_4_195</t>
  </si>
  <si>
    <t>01/07/2025 15.14.15</t>
  </si>
  <si>
    <t>02/07/2025 10.10.13</t>
  </si>
  <si>
    <t>dbkunjungan_Images/07-02-2025_1_196.Foto (kunjungan langsung).031152.jpg</t>
  </si>
  <si>
    <t>07/02/2025_1_196</t>
  </si>
  <si>
    <t>02/07/2025 10.11.52</t>
  </si>
  <si>
    <t>02/07/2025 10.11.53</t>
  </si>
  <si>
    <t>1210071</t>
  </si>
  <si>
    <t>dbkunjungan_Images/07-02-2025_2_1210071.Foto (kunjungan langsung).031214.jpg</t>
  </si>
  <si>
    <t>07/02/2025_2_1210071</t>
  </si>
  <si>
    <t>02/07/2025 10.12.15</t>
  </si>
  <si>
    <t>02/07/2025 10.44.39</t>
  </si>
  <si>
    <t>1210022</t>
  </si>
  <si>
    <t>dbkunjungan_Images/07-02-2025_3_1210022.Foto (kunjungan langsung).034508.jpg</t>
  </si>
  <si>
    <t>07/02/2025_3_1210022</t>
  </si>
  <si>
    <t>02/07/2025 10.45.10</t>
  </si>
  <si>
    <t>03/07/2025 09.25.57</t>
  </si>
  <si>
    <t>dbkunjungan_Images/07-03-2025_1_153.Foto (kunjungan langsung).022621.jpg</t>
  </si>
  <si>
    <t>07/03/2025_1_153</t>
  </si>
  <si>
    <t>03/07/2025 09.26.22</t>
  </si>
  <si>
    <t>03/07/2025 14.10.38</t>
  </si>
  <si>
    <t>dbkunjungan_Images/07-03-2025_2_136.Foto (kunjungan langsung).071106.jpg</t>
  </si>
  <si>
    <t>07/03/2025_2_136</t>
  </si>
  <si>
    <t>03/07/2025 14.11.45</t>
  </si>
  <si>
    <t>03/07/2025 14.11.07</t>
  </si>
  <si>
    <t>dbkunjungan_Images/07-03-2025_3_138.Foto (kunjungan langsung).071142.jpg</t>
  </si>
  <si>
    <t>07/03/2025_3_138</t>
  </si>
  <si>
    <t>03/07/2025 14.11.46</t>
  </si>
  <si>
    <t>04/07/2025 08.16.22</t>
  </si>
  <si>
    <t>dbkunjungan_Images/07-04-2025_1_197.Foto (kunjungan langsung).011802.jpg</t>
  </si>
  <si>
    <t>07/04/2025_1_197</t>
  </si>
  <si>
    <t>08/07/2025 10.03.08</t>
  </si>
  <si>
    <t>dbkunjungan_Images/07-08-2025_1_1210015.Foto (kunjungan langsung).030623.jpg</t>
  </si>
  <si>
    <t>07/08/2025_1_1210015</t>
  </si>
  <si>
    <t>08/07/2025 12.18.46</t>
  </si>
  <si>
    <t>09/07/2025 09.04.12</t>
  </si>
  <si>
    <t>dbkunjungan_Images/07-09-2025_1_1210015.Foto (kunjungan langsung).020624.jpg</t>
  </si>
  <si>
    <t>07/09/2025_1_1210015</t>
  </si>
  <si>
    <t>09/07/2025 09.39.25</t>
  </si>
  <si>
    <t>09/07/2025 09.38.29</t>
  </si>
  <si>
    <t>dbkunjungan_Images/07-09-2025_2_138.Foto (kunjungan langsung).023902.jpg</t>
  </si>
  <si>
    <t>07/09/2025_2_138</t>
  </si>
  <si>
    <t>09/07/2025 09.39.26</t>
  </si>
  <si>
    <t>09/07/2025 09.39.03</t>
  </si>
  <si>
    <t>dbkunjungan_Images/07-09-2025_3_136.Foto (kunjungan langsung).023923.jpg</t>
  </si>
  <si>
    <t>07/09/2025_3_136</t>
  </si>
  <si>
    <t>09/07/2025 09.39.27</t>
  </si>
  <si>
    <t>09/07/2025 10.01.41</t>
  </si>
  <si>
    <t>dbkunjungan_Images/07-09-2025_4_1210007.Foto (kunjungan langsung).030201.jpg</t>
  </si>
  <si>
    <t>07/09/2025_4_1210007</t>
  </si>
  <si>
    <t>09/07/2025 10.02.02</t>
  </si>
  <si>
    <t>10/07/2025 10.36.45</t>
  </si>
  <si>
    <t>dbkunjungan_Images/07-10-2025_1_185.Foto (kunjungan langsung).035012.jpg</t>
  </si>
  <si>
    <t>07/10/2025_1_185</t>
  </si>
  <si>
    <t>10/07/2025 10.50.13</t>
  </si>
  <si>
    <t>10/07/2025 16.06.08</t>
  </si>
  <si>
    <t>dbkunjungan_Images/07-10-2025_2_198.Foto (kunjungan langsung).090859.jpg</t>
  </si>
  <si>
    <t>07/10/2025_2_198</t>
  </si>
  <si>
    <t>10/07/2025 16.27.44</t>
  </si>
  <si>
    <t>11/07/2025 12.09.23</t>
  </si>
  <si>
    <t>dbkunjungan_Images/07-11-2025_1_1210015.Foto (kunjungan langsung).051054.jpg</t>
  </si>
  <si>
    <t>07/11/2025_1_1210015</t>
  </si>
  <si>
    <t>11/07/2025 12.10.55</t>
  </si>
  <si>
    <t>15/07/2025 08.21.02</t>
  </si>
  <si>
    <t>dbkunjungan_Images/07-15-2025_1_136.Foto (kunjungan langsung).012151.jpg</t>
  </si>
  <si>
    <t>07/15/2025_1_136</t>
  </si>
  <si>
    <t>15/07/2025 08.21.53</t>
  </si>
  <si>
    <t>15/07/2025 08.33.01</t>
  </si>
  <si>
    <t>dbkunjungan_Images/07-15-2025_2_138.Foto (kunjungan langsung).013323.jpg</t>
  </si>
  <si>
    <t>07/15/2025_2_138</t>
  </si>
  <si>
    <t>15/07/2025 08.33.24</t>
  </si>
  <si>
    <t>15/07/2025 14.36.00</t>
  </si>
  <si>
    <t>dbkunjungan_Images/07-15-2025_3_183.Foto (kunjungan langsung).073624.jpg</t>
  </si>
  <si>
    <t>07/15/2025_3_183</t>
  </si>
  <si>
    <t>15/07/2025 14.36.27</t>
  </si>
  <si>
    <t>16/07/2025 08.30.54</t>
  </si>
  <si>
    <t>dbkunjungan_Images/07-16-2025_1_199.Foto (kunjungan langsung).013336.jpg</t>
  </si>
  <si>
    <t>07/16/2025_1_199</t>
  </si>
  <si>
    <t>16/07/2025 08.33.34</t>
  </si>
  <si>
    <t>16/07/2025 15.36.29</t>
  </si>
  <si>
    <t>07/16/2025_2_200</t>
  </si>
  <si>
    <t>17/07/2025 11.03.59</t>
  </si>
  <si>
    <t>dbkunjungan_Images/07-17-2025_1_1210015.Foto (kunjungan langsung).040430.jpg</t>
  </si>
  <si>
    <t>07/17/2025_1_1210015</t>
  </si>
  <si>
    <t>17/07/2025 11.04.31</t>
  </si>
  <si>
    <t>17/07/2025 11.09.06</t>
  </si>
  <si>
    <t>07/17/2025_2_201</t>
  </si>
  <si>
    <t>17/07/2025 11.11.07</t>
  </si>
  <si>
    <t>17/07/2025 14.19.18</t>
  </si>
  <si>
    <t>dbkunjungan_Images/07-17-2025_3_1210110.Foto (kunjungan langsung).072042.jpg</t>
  </si>
  <si>
    <t>07/17/2025_3_1210110</t>
  </si>
  <si>
    <t>17/07/2025 14.40.40</t>
  </si>
  <si>
    <t>dbkunjungan_Images/07-17-2025_4_1210012.Foto (kunjungan langsung).074127.jpg</t>
  </si>
  <si>
    <t>07/17/2025_4_1210012</t>
  </si>
  <si>
    <t>17/07/2025 16.05.16</t>
  </si>
  <si>
    <t>dbkunjungan_Images/07-17-2025_5_153.Foto (kunjungan langsung).090606.jpg</t>
  </si>
  <si>
    <t>07/17/2025_5_153</t>
  </si>
  <si>
    <t>18/07/2025 10.41.02</t>
  </si>
  <si>
    <t>dbkunjungan_Images/07-18-2025_1_174.Foto (kunjungan langsung).034200.jpg</t>
  </si>
  <si>
    <t>07/18/2025_1_174</t>
  </si>
  <si>
    <t>18/07/2025 13.37.23</t>
  </si>
  <si>
    <t>18/07/2025 11.12.58</t>
  </si>
  <si>
    <t>dbkunjungan_Images/07-18-2025_2_1210011.Foto (kunjungan langsung).041350.jpg</t>
  </si>
  <si>
    <t>07/18/2025_2_1210011</t>
  </si>
  <si>
    <t>18/07/2025 13.37.21</t>
  </si>
  <si>
    <t>18/07/2025 13.37.27</t>
  </si>
  <si>
    <t>dbkunjungan_Images/07-18-2025_3_136.Foto (kunjungan langsung).063826.jpg</t>
  </si>
  <si>
    <t>07/18/2025_3_136</t>
  </si>
  <si>
    <t>18/07/2025 13.38.15</t>
  </si>
  <si>
    <t>18/07/2025 14.03.52</t>
  </si>
  <si>
    <t>dbkunjungan_Images/07-18-2025_4_138.Foto (kunjungan langsung).070434.jpg</t>
  </si>
  <si>
    <t>07/18/2025_4_138</t>
  </si>
  <si>
    <t>21/07/2025 08.14.11</t>
  </si>
  <si>
    <t>23/07/2025 10.16.29</t>
  </si>
  <si>
    <t>dbkunjungan_Images/07-23-2025_1_1210053.Foto (kunjungan langsung).031730.jpg</t>
  </si>
  <si>
    <t>07/23/2025_1_1210053</t>
  </si>
  <si>
    <t>23/07/2025 12.09.26</t>
  </si>
  <si>
    <t>dbkunjungan_Images/07-23-2025_2_138.Foto (kunjungan langsung).051021.jpg</t>
  </si>
  <si>
    <t>07/23/2025_2_138</t>
  </si>
  <si>
    <t>24/07/2025 08.04.02</t>
  </si>
  <si>
    <t>dbkunjungan_Images/07-24-2025_1_1210108.Foto (kunjungan langsung).010457.jpg</t>
  </si>
  <si>
    <t>07/24/2025_1_1210108</t>
  </si>
  <si>
    <t>24/07/2025 08.04.55</t>
  </si>
  <si>
    <t>24/07/2025 08.07.03</t>
  </si>
  <si>
    <t>dbkunjungan_Images/07-24-2025_2_135.Foto (kunjungan langsung).010733.jpg</t>
  </si>
  <si>
    <t>07/24/2025_2_135</t>
  </si>
  <si>
    <t>24/07/2025 08.11.29</t>
  </si>
  <si>
    <t>24/07/2025 08.11.31</t>
  </si>
  <si>
    <t>dbkunjungan_Images/07-24-2025_3_1210109.Foto (kunjungan langsung).011158.jpg</t>
  </si>
  <si>
    <t>07/24/2025_3_1210109</t>
  </si>
  <si>
    <t>24/07/2025 08.12.00</t>
  </si>
  <si>
    <t>24/07/2025 08.27.05</t>
  </si>
  <si>
    <t>dbkunjungan_Images/07-24-2025_4_202.Foto (kunjungan langsung).012818.jpg</t>
  </si>
  <si>
    <t>07/24/2025_4_202</t>
  </si>
  <si>
    <t>24/07/2025 08.28.16</t>
  </si>
  <si>
    <t>24/07/2025 08.28.35</t>
  </si>
  <si>
    <t>dbkunjungan_Images/07-24-2025_5_1210008.Foto (kunjungan langsung).012925.jpg</t>
  </si>
  <si>
    <t>07/24/2025_5_1210008</t>
  </si>
  <si>
    <t>24/07/2025 08.29.27</t>
  </si>
  <si>
    <t>25/07/2025 08.16.24</t>
  </si>
  <si>
    <t>dbkunjungan_Images/07-25-2025_1_135.Foto (kunjungan langsung).011651.jpg</t>
  </si>
  <si>
    <t>07/25/2025_1_135</t>
  </si>
  <si>
    <t>25/07/2025 08.16.54</t>
  </si>
  <si>
    <t>25/07/2025 08.19.44</t>
  </si>
  <si>
    <t>dbkunjungan_Images/07-25-2025_2_1210109.Foto (kunjungan langsung).012001.jpg</t>
  </si>
  <si>
    <t>07/25/2025_2_1210109</t>
  </si>
  <si>
    <t>25/07/2025 08.20.02</t>
  </si>
  <si>
    <t>25/07/2025 08.20.03</t>
  </si>
  <si>
    <t>dbkunjungan_Images/07-25-2025_3_1210108.Foto (kunjungan langsung).012023.jpg</t>
  </si>
  <si>
    <t>07/25/2025_3_1210108</t>
  </si>
  <si>
    <t>25/07/2025 08.20.23</t>
  </si>
  <si>
    <t>25/07/2025 08.34.27</t>
  </si>
  <si>
    <t>dbkunjungan_Images/07-25-2025_4_1210015.Foto (kunjungan langsung).013444.jpg</t>
  </si>
  <si>
    <t>07/25/2025_4_1210015</t>
  </si>
  <si>
    <t>25/07/2025 08.34.45</t>
  </si>
  <si>
    <t>29/07/2025 08.23.20</t>
  </si>
  <si>
    <t>dbkunjungan_Images/07-29-2025_1_203.Foto (kunjungan langsung).013129.jpg</t>
  </si>
  <si>
    <t>07/29/2025_1_203</t>
  </si>
  <si>
    <t>29/07/2025 08.31.24</t>
  </si>
  <si>
    <t>29/07/2025 09.14.42</t>
  </si>
  <si>
    <t>dbkunjungan_Images/07-29-2025_2_181.Foto (kunjungan langsung).021620.jpg</t>
  </si>
  <si>
    <t>07/29/2025_2_181</t>
  </si>
  <si>
    <t>29/07/2025 09.16.22</t>
  </si>
  <si>
    <t>29/07/2025 09.16.24</t>
  </si>
  <si>
    <t>dbkunjungan_Images/07-29-2025_3_204.Foto (kunjungan langsung).021748.jpg</t>
  </si>
  <si>
    <t>07/29/2025_3_204</t>
  </si>
  <si>
    <t>29/07/2025 09.17.49</t>
  </si>
  <si>
    <t>29/07/2025 10.19.59</t>
  </si>
  <si>
    <t>dbkunjungan_Images/07-29-2025_4_205.Foto (kunjungan langsung).032130.jpg</t>
  </si>
  <si>
    <t>07/29/2025_4_205</t>
  </si>
  <si>
    <t>29/07/2025 10.21.29</t>
  </si>
  <si>
    <t>31/07/2025 13.50.08</t>
  </si>
  <si>
    <t>dbkunjungan_Images/07-31-2025_1_138.Foto (kunjungan langsung).065157.jpg</t>
  </si>
  <si>
    <t>07/31/2025_1_138</t>
  </si>
  <si>
    <t>31/07/2025 16.36.15</t>
  </si>
  <si>
    <t>31/07/2025 13.52.02</t>
  </si>
  <si>
    <t>dbkunjungan_Images/07-31-2025_2_136.Foto (kunjungan langsung).065355.jpg</t>
  </si>
  <si>
    <t>07/31/2025_2_136</t>
  </si>
  <si>
    <t>31/07/2025 14.10.59</t>
  </si>
  <si>
    <t>dbkunjungan_Images/07-31-2025_3_166.Foto (kunjungan langsung).071418.jpg</t>
  </si>
  <si>
    <t>07/31/2025_3_166</t>
  </si>
  <si>
    <t>31/07/2025 16.36.12</t>
  </si>
  <si>
    <t>31/07/2025 16.05.57</t>
  </si>
  <si>
    <t>dbkunjungan_Images/07-31-2025_4_1210053.Foto (kunjungan langsung).091408.jpg</t>
  </si>
  <si>
    <t>07/31/2025_4_1210053</t>
  </si>
  <si>
    <t>31/07/2025 16.36.11</t>
  </si>
  <si>
    <t>04/08/2025 13.42.50</t>
  </si>
  <si>
    <t>dbkunjungan_Images/08-04-2025_1_1210110.Foto (kunjungan langsung).064454.jpg</t>
  </si>
  <si>
    <t>08/04/2025_1_1210110</t>
  </si>
  <si>
    <t>04/08/2025 13.45.10</t>
  </si>
  <si>
    <t>04/08/2025 16.22.40</t>
  </si>
  <si>
    <t>08/04/2025_2_206</t>
  </si>
  <si>
    <t>04/08/2025 16.23.05</t>
  </si>
  <si>
    <t>06/08/2025 12.23.23</t>
  </si>
  <si>
    <t>dbkunjungan_Images/08-06-2025_1_207.Foto (kunjungan langsung).052359.jpg</t>
  </si>
  <si>
    <t>08/06/2025_1_207</t>
  </si>
  <si>
    <t>06/08/2025 12.52.48</t>
  </si>
  <si>
    <t>06/08/2025 12.26.11</t>
  </si>
  <si>
    <t>dbkunjungan_Images/08-06-2025_2_208.Foto (kunjungan langsung).052637.jpg</t>
  </si>
  <si>
    <t>08/06/2025_2_208</t>
  </si>
  <si>
    <t>06/08/2025 12.52.49</t>
  </si>
  <si>
    <t>07/08/2025 09.24.53</t>
  </si>
  <si>
    <t>dbkunjungan_Images/08-07-2025_2_1210015.Foto (kunjungan langsung).022542.jpg</t>
  </si>
  <si>
    <t>08/07/2025_2_1210015</t>
  </si>
  <si>
    <t>07/08/2025 09.28.01</t>
  </si>
  <si>
    <t>07/08/2025 13.10.47</t>
  </si>
  <si>
    <t>dbkunjungan_Images/08-07-2025_3_129.Foto (kunjungan langsung).063016.jpg</t>
  </si>
  <si>
    <t>08/07/2025_3_129</t>
  </si>
  <si>
    <t>07/08/2025 13.32.36</t>
  </si>
  <si>
    <t>07/08/2025 13.48.46</t>
  </si>
  <si>
    <t>dbkunjungan_Images/08-07-2025_4_1210043.Foto (kunjungan langsung).065005.jpg</t>
  </si>
  <si>
    <t>08/07/2025_4_1210043</t>
  </si>
  <si>
    <t>07/08/2025 13.50.21</t>
  </si>
  <si>
    <t>07/08/2025 14.13.14</t>
  </si>
  <si>
    <t>dbkunjungan_Images/08-07-2025_5_210.Foto (kunjungan langsung).071439.jpg</t>
  </si>
  <si>
    <t>08/07/2025_5_210</t>
  </si>
  <si>
    <t>07/08/2025 14.15.18</t>
  </si>
  <si>
    <t>07/08/2025 14.15.38</t>
  </si>
  <si>
    <t>dbkunjungan_Images/08-07-2025_6_195.Foto (kunjungan langsung).071611.jpg</t>
  </si>
  <si>
    <t>08/07/2025_6_195</t>
  </si>
  <si>
    <t>07/08/2025 14.16.13</t>
  </si>
  <si>
    <t>07/08/2025 15.27.26</t>
  </si>
  <si>
    <t>dbkunjungan_Images/08-07-2025_7_136.Foto (kunjungan langsung).082758.jpg</t>
  </si>
  <si>
    <t>08/07/2025_7_136</t>
  </si>
  <si>
    <t>07/08/2025 15.28.03</t>
  </si>
  <si>
    <t>11/08/2025 08.30.49</t>
  </si>
  <si>
    <t>dbkunjungan_Images/08-11-2025_1_211.Foto (kunjungan langsung).013330.jpg</t>
  </si>
  <si>
    <t>08/11/2025_1_211</t>
  </si>
  <si>
    <t>11/08/2025 08.39.05</t>
  </si>
  <si>
    <t>11/08/2025 08.39.10</t>
  </si>
  <si>
    <t>dbkunjungan_Images/08-11-2025_2_1210053.Foto (kunjungan langsung).013947.jpg</t>
  </si>
  <si>
    <t>08/11/2025_2_1210053</t>
  </si>
  <si>
    <t>11/08/2025 08.39.51</t>
  </si>
  <si>
    <t>11/08/2025 09.10.06</t>
  </si>
  <si>
    <t>dbkunjungan_Images/08-11-2025_3_144.Foto (kunjungan langsung).021051.jpg</t>
  </si>
  <si>
    <t>08/11/2025_3_144</t>
  </si>
  <si>
    <t>11/08/2025 10.15.11</t>
  </si>
  <si>
    <t>11/08/2025 09.14.14</t>
  </si>
  <si>
    <t>dbkunjungan_Images/08-11-2025_4_212.Foto (kunjungan langsung).021459.jpg</t>
  </si>
  <si>
    <t>08/11/2025_4_212</t>
  </si>
  <si>
    <t>11/08/2025 10.15.13</t>
  </si>
  <si>
    <t>11/08/2025 12.13.37</t>
  </si>
  <si>
    <t>08/12/2025_1_213</t>
  </si>
  <si>
    <t>12/08/2025 07.15.36</t>
  </si>
  <si>
    <t>12/08/2025 08.09.36</t>
  </si>
  <si>
    <t>dbkunjungan_Images/08-12-2025_2_214.Foto (kunjungan langsung).011032.jpg</t>
  </si>
  <si>
    <t>08/12/2025_2_214</t>
  </si>
  <si>
    <t>12/08/2025 08.35.12</t>
  </si>
  <si>
    <t>12/08/2025 08.13.07</t>
  </si>
  <si>
    <t>dbkunjungan_Images/08-12-2025_3_215.Foto (kunjungan langsung).011344.jpg</t>
  </si>
  <si>
    <t>08/12/2025_3_215</t>
  </si>
  <si>
    <t>12/08/2025 08.35.11</t>
  </si>
  <si>
    <t>12/08/2025 08.14.46</t>
  </si>
  <si>
    <t>dbkunjungan_Images/08-12-2025_4_142.Foto (kunjungan langsung).011505.jpg</t>
  </si>
  <si>
    <t>08/12/2025_4_142</t>
  </si>
  <si>
    <t>12/08/2025 08.35.10</t>
  </si>
  <si>
    <t>12/08/2025 08.40.58</t>
  </si>
  <si>
    <t>dbkunjungan_Images/08-12-2025_5_128.Foto (kunjungan langsung).014154.jpg</t>
  </si>
  <si>
    <t>08/12/2025_5_128</t>
  </si>
  <si>
    <t>12/08/2025 08.41.55</t>
  </si>
  <si>
    <t>12/08/2025 08.48.48</t>
  </si>
  <si>
    <t>dbkunjungan_Images/08-12-2025_6_216.Foto (kunjungan langsung).015012.jpg</t>
  </si>
  <si>
    <t>08/12/2025_6_216</t>
  </si>
  <si>
    <t>12/08/2025 08.50.06</t>
  </si>
  <si>
    <t>12/08/2025 08.50.07</t>
  </si>
  <si>
    <t>dbkunjungan_Images/08-12-2025_7_217.Foto (kunjungan langsung).015152.jpg</t>
  </si>
  <si>
    <t>08/12/2025_7_217</t>
  </si>
  <si>
    <t>12/08/2025 08.53.26</t>
  </si>
  <si>
    <t>12/08/2025 08.52.02</t>
  </si>
  <si>
    <t>dbkunjungan_Images/08-12-2025_8_218.Foto (kunjungan langsung).015327.jpg</t>
  </si>
  <si>
    <t>08/12/2025_8_218</t>
  </si>
  <si>
    <t>12/08/2025 08.53.25</t>
  </si>
  <si>
    <t>12/08/2025 08.55.15</t>
  </si>
  <si>
    <t>dbkunjungan_Images/08-12-2025_9_219.Foto (kunjungan langsung).015643.jpg</t>
  </si>
  <si>
    <t>08/12/2025_9_219</t>
  </si>
  <si>
    <t>12/08/2025 08.56.41</t>
  </si>
  <si>
    <t>12/08/2025 08.56.56</t>
  </si>
  <si>
    <t>dbkunjungan_Images/08-12-2025_10_220.Foto (kunjungan langsung).015827.jpg</t>
  </si>
  <si>
    <t>08/12/2025_10_220</t>
  </si>
  <si>
    <t>12/08/2025 08.58.28</t>
  </si>
  <si>
    <t>12/08/2025 08.58.48</t>
  </si>
  <si>
    <t>dbkunjungan_Images/08-12-2025_11_221.Foto (kunjungan langsung).020037.jpg</t>
  </si>
  <si>
    <t>08/12/2025_11_221</t>
  </si>
  <si>
    <t>12/08/2025 09.00.29</t>
  </si>
  <si>
    <t>12/08/2025 09.00.34</t>
  </si>
  <si>
    <t>dbkunjungan_Images/08-12-2025_12_1210116.Foto (kunjungan langsung).020051.jpg</t>
  </si>
  <si>
    <t>08/12/2025_12_1210116</t>
  </si>
  <si>
    <t>12/08/2025 09.00.52</t>
  </si>
  <si>
    <t>12/08/2025 09.06.27</t>
  </si>
  <si>
    <t>dbkunjungan_Images/08-12-2025_13_222.Foto (kunjungan langsung).020739.jpg</t>
  </si>
  <si>
    <t>08/12/2025_13_222</t>
  </si>
  <si>
    <t>12/08/2025 09.09.20</t>
  </si>
  <si>
    <t>12/08/2025 09.07.39</t>
  </si>
  <si>
    <t>dbkunjungan_Images/08-12-2025_14_223.Foto (kunjungan langsung).020827.jpg</t>
  </si>
  <si>
    <t>08/12/2025_14_223</t>
  </si>
  <si>
    <t>12/08/2025 09.09.21</t>
  </si>
  <si>
    <t>12/08/2025 09.08.26</t>
  </si>
  <si>
    <t>dbkunjungan_Images/08-12-2025_15_224.Foto (kunjungan langsung).020919.jpg</t>
  </si>
  <si>
    <t>08/12/2025_15_224</t>
  </si>
  <si>
    <t>12/08/2025 09.09.23</t>
  </si>
  <si>
    <t>12/08/2025 09.11.31</t>
  </si>
  <si>
    <t>dbkunjungan_Images/08-12-2025_16_225.Foto (kunjungan langsung).021511.jpg</t>
  </si>
  <si>
    <t>08/12/2025_16_225</t>
  </si>
  <si>
    <t>12/08/2025 09.15.11</t>
  </si>
  <si>
    <t>12/08/2025 10.38.03</t>
  </si>
  <si>
    <t>dbkunjungan_Images/08-12-2025_17_226.Foto (kunjungan langsung).033950.jpg</t>
  </si>
  <si>
    <t>08/12/2025_17_226</t>
  </si>
  <si>
    <t>12/08/2025 10.39.48</t>
  </si>
  <si>
    <t>13/08/2025 09.00.26</t>
  </si>
  <si>
    <t>1210035</t>
  </si>
  <si>
    <t>08/13/2025_1_1210035</t>
  </si>
  <si>
    <t>13/08/2025 09.01.01</t>
  </si>
  <si>
    <t>13/08/2025 09.51.54</t>
  </si>
  <si>
    <t>08/13/2025_2_227</t>
  </si>
  <si>
    <t>13/08/2025 10.04.38</t>
  </si>
  <si>
    <t>13/08/2025 11.00.01</t>
  </si>
  <si>
    <t>dbkunjungan_Images/08-13-2025_3_1210110.Foto (kunjungan langsung).040019.jpg</t>
  </si>
  <si>
    <t>08/13/2025_3_1210110</t>
  </si>
  <si>
    <t>13/08/2025 11.00.20</t>
  </si>
  <si>
    <t>15/08/2025 08.30.01</t>
  </si>
  <si>
    <t>dbkunjungan_Images/08-15-2025_1_228.Foto (kunjungan langsung).013119.jpg</t>
  </si>
  <si>
    <t>08/15/2025_1_228</t>
  </si>
  <si>
    <t>15/08/2025 10.01.32</t>
  </si>
  <si>
    <t>19/08/2025 12.09.48</t>
  </si>
  <si>
    <t>08/19/2025_1_184</t>
  </si>
  <si>
    <t>19/08/2025 12.10.34</t>
  </si>
  <si>
    <t>20/08/2025 09.18.50</t>
  </si>
  <si>
    <t>dbkunjungan_Images/08-20-2025_1_1210015.Foto (kunjungan langsung).021910.jpg</t>
  </si>
  <si>
    <t>08/20/2025_1_1210015</t>
  </si>
  <si>
    <t>20/08/2025 09.19.12</t>
  </si>
  <si>
    <t>20/08/2025 14.46.05</t>
  </si>
  <si>
    <t>dbkunjungan_Images/08-20-2025_2_1210110.Foto (kunjungan langsung).074628.jpg</t>
  </si>
  <si>
    <t>08/20/2025_2_1210110</t>
  </si>
  <si>
    <t>20/08/2025 14.46.43</t>
  </si>
  <si>
    <t>20/08/2025 15.57.44</t>
  </si>
  <si>
    <t>dbkunjungan_Images/08-20-2025_3_1210008.Foto (kunjungan langsung).085842.jpg</t>
  </si>
  <si>
    <t>08/20/2025_3_1210008</t>
  </si>
  <si>
    <t>21/08/2025 07.26.57</t>
  </si>
  <si>
    <t>21/08/2025 14.25.24</t>
  </si>
  <si>
    <t>dbkunjungan_Images/08-21-2025_1_1210110.Foto (kunjungan langsung).072548.jpg</t>
  </si>
  <si>
    <t>08/21/2025_1_1210110</t>
  </si>
  <si>
    <t>21/08/2025 14.25.50</t>
  </si>
  <si>
    <t>22/08/2025 15.10.19</t>
  </si>
  <si>
    <t>dbkunjungan_Images/08-22-2025_2_1210015.Foto (kunjungan langsung).081104.jpg</t>
  </si>
  <si>
    <t>08/22/2025_2_1210015</t>
  </si>
  <si>
    <t>22/08/2025 15.11.47</t>
  </si>
  <si>
    <t>22/08/2025 15.23.36</t>
  </si>
  <si>
    <t>08/22/2025_2_148</t>
  </si>
  <si>
    <t>22/08/2025 15.23.49</t>
  </si>
  <si>
    <t>25/08/2025 09.19.40</t>
  </si>
  <si>
    <t>dbkunjungan_Images/08-25-2025_1_136.Foto (kunjungan langsung).022028.jpg</t>
  </si>
  <si>
    <t>08/25/2025_1_136</t>
  </si>
  <si>
    <t>25/08/2025 09.20.55</t>
  </si>
  <si>
    <t>25/08/2025 10.08.08</t>
  </si>
  <si>
    <t>dbkunjungan_Images/08-25-2025_2_1210015.Foto (kunjungan langsung).031008.jpg</t>
  </si>
  <si>
    <t>08/25/2025_2_1210015</t>
  </si>
  <si>
    <t>25/08/2025 10.10.14</t>
  </si>
  <si>
    <t>25/08/2025 11.58.27</t>
  </si>
  <si>
    <t>dbkunjungan_Images/08-25-2025_3_229.Foto (kunjungan langsung).050446.jpg</t>
  </si>
  <si>
    <t>08/25/2025_3_229</t>
  </si>
  <si>
    <t>25/08/2025 15.58.36</t>
  </si>
  <si>
    <t>25/08/2025 15.56.47</t>
  </si>
  <si>
    <t>dbkunjungan_Images/08-25-2025_4_153.Foto (kunjungan langsung).085722.jpg</t>
  </si>
  <si>
    <t>08/25/2025_4_153</t>
  </si>
  <si>
    <t>25/08/2025 15.58.34</t>
  </si>
  <si>
    <t>25/08/2025 15.57.49</t>
  </si>
  <si>
    <t>dbkunjungan_Images/08-25-2025_5_1210022.Foto (kunjungan langsung).085817.jpg</t>
  </si>
  <si>
    <t>08/25/2025_5_1210022</t>
  </si>
  <si>
    <t>25/08/2025 15.58.32</t>
  </si>
  <si>
    <t>28/08/2025 07.50.17</t>
  </si>
  <si>
    <t>dbkunjungan_Images/08-28-2025_1_230.Foto (kunjungan langsung).005207.jpg</t>
  </si>
  <si>
    <t>08/28/2025_1_230</t>
  </si>
  <si>
    <t>28/08/2025 07.52.06</t>
  </si>
  <si>
    <t>28/08/2025 07.57.36</t>
  </si>
  <si>
    <t>dbkunjungan_Images/08-28-2025_2_1210110.Foto (kunjungan langsung).005757.jpg</t>
  </si>
  <si>
    <t>08/28/2025_2_1210110</t>
  </si>
  <si>
    <t>28/08/2025 07.57.58</t>
  </si>
  <si>
    <t>28/08/2025 07.58.36</t>
  </si>
  <si>
    <t>dbkunjungan_Images/08-28-2025_3_169.Foto (kunjungan langsung).005904.jpg</t>
  </si>
  <si>
    <t>08/28/2025_3_169</t>
  </si>
  <si>
    <t>28/08/2025 07.59.05</t>
  </si>
  <si>
    <t>dbkunjungan_Images/08-28-2025_4_1210012.Foto (kunjungan langsung).010002.jpg</t>
  </si>
  <si>
    <t>08/28/2025_4_1210012</t>
  </si>
  <si>
    <t>28/08/2025 08.00.14</t>
  </si>
  <si>
    <t>28/08/2025 08.05.42</t>
  </si>
  <si>
    <t>dbkunjungan_Images/08-28-2025_5_231.Foto (kunjungan langsung).010659.jpg</t>
  </si>
  <si>
    <t>08/28/2025_5_231</t>
  </si>
  <si>
    <t>28/08/2025 08.08.06</t>
  </si>
  <si>
    <t>28/08/2025 08.06.54</t>
  </si>
  <si>
    <t>dbkunjungan_Images/08-28-2025_6_232.Foto (kunjungan langsung).010806.jpg</t>
  </si>
  <si>
    <t>08/28/2025_6_232</t>
  </si>
  <si>
    <t>28/08/2025 08.08.07</t>
  </si>
  <si>
    <t>28/08/2025 08.08.08</t>
  </si>
  <si>
    <t>dbkunjungan_Images/08-28-2025_7_1210038.Foto (kunjungan langsung).010849.jpg</t>
  </si>
  <si>
    <t>08/28/2025_7_1210038</t>
  </si>
  <si>
    <t>28/08/2025 08.08.50</t>
  </si>
  <si>
    <t>28/08/2025 08.10.27</t>
  </si>
  <si>
    <t>dbkunjungan_Images/08-28-2025_8_136.Foto (kunjungan langsung).011045.jpg</t>
  </si>
  <si>
    <t>08/28/2025_8_136</t>
  </si>
  <si>
    <t>28/08/2025 08.12.20</t>
  </si>
  <si>
    <t>28/08/2025 08.11.56</t>
  </si>
  <si>
    <t>dbkunjungan_Images/08-28-2025_9_1210109.Foto (kunjungan langsung).011218.jpg</t>
  </si>
  <si>
    <t>08/28/2025_9_1210109</t>
  </si>
  <si>
    <t>28/08/2025 08.12.19</t>
  </si>
  <si>
    <t>28/08/2025 08.35.08</t>
  </si>
  <si>
    <t>1210027</t>
  </si>
  <si>
    <t>dbkunjungan_Images/08-28-2025_10_1210027.Foto (kunjungan langsung).013601.jpg</t>
  </si>
  <si>
    <t>08/28/2025_10_1210027</t>
  </si>
  <si>
    <t>28/08/2025 08.36.01</t>
  </si>
  <si>
    <t>29/08/2025 07.51.25</t>
  </si>
  <si>
    <t>dbkunjungan_Images/08-29-2025_1_230.Foto (kunjungan langsung).005250.jpg</t>
  </si>
  <si>
    <t>08/29/2025_1_230</t>
  </si>
  <si>
    <t>29/08/2025 08.07.28</t>
  </si>
  <si>
    <t>29/08/2025 07.53.09</t>
  </si>
  <si>
    <t>dbkunjungan_Images/08-29-2025_2_1210011.Foto (kunjungan langsung).005546.jpg</t>
  </si>
  <si>
    <t>08/29/2025_2_1210011</t>
  </si>
  <si>
    <t>29/08/2025 08.07.29</t>
  </si>
  <si>
    <t>29/08/2025 07.55.55</t>
  </si>
  <si>
    <t>dbkunjungan_Images/08-29-2025_3_1210012.Foto (kunjungan langsung).005628.jpg</t>
  </si>
  <si>
    <t>08/29/2025_3_1210012</t>
  </si>
  <si>
    <t>29/08/2025 08.07.30</t>
  </si>
  <si>
    <t>29/08/2025 07.56.29</t>
  </si>
  <si>
    <t>dbkunjungan_Images/08-29-2025_4_1210110.Foto (kunjungan langsung).005649.jpg</t>
  </si>
  <si>
    <t>08/29/2025_4_1210110</t>
  </si>
  <si>
    <t>29/08/2025 08.07.31</t>
  </si>
  <si>
    <t>29/08/2025 07.57.44</t>
  </si>
  <si>
    <t>dbkunjungan_Images/08-29-2025_5_231.Foto (kunjungan langsung).005808.jpg</t>
  </si>
  <si>
    <t>08/29/2025_5_231</t>
  </si>
  <si>
    <t>29/08/2025 08.07.32</t>
  </si>
  <si>
    <t>29/08/2025 07.58.09</t>
  </si>
  <si>
    <t>dbkunjungan_Images/08-29-2025_6_232.Foto (kunjungan langsung).005837.jpg</t>
  </si>
  <si>
    <t>08/29/2025_6_232</t>
  </si>
  <si>
    <t>29/08/2025 08.01.08</t>
  </si>
  <si>
    <t>dbkunjungan_Images/08-29-2025_7_1210109.Foto (kunjungan langsung).010131.jpg</t>
  </si>
  <si>
    <t>08/29/2025_7_1210109</t>
  </si>
  <si>
    <t>29/08/2025 08.07.34</t>
  </si>
  <si>
    <t>29/08/2025 08.01.33</t>
  </si>
  <si>
    <t>dbkunjungan_Images/08-29-2025_8_169.Foto (kunjungan langsung).010206.jpg</t>
  </si>
  <si>
    <t>08/29/2025_8_169</t>
  </si>
  <si>
    <t>29/08/2025 08.05.58</t>
  </si>
  <si>
    <t>dbkunjungan_Images/08-29-2025_9_136.Foto (kunjungan langsung).010631.jpg</t>
  </si>
  <si>
    <t>08/29/2025_9_136</t>
  </si>
  <si>
    <t>29/08/2025 08.07.35</t>
  </si>
  <si>
    <t>29/08/2025 08.06.33</t>
  </si>
  <si>
    <t>dbkunjungan_Images/08-29-2025_10_1210038.Foto (kunjungan langsung).010720.jpg</t>
  </si>
  <si>
    <t>08/29/2025_10_1210038</t>
  </si>
  <si>
    <t>29/08/2025 08.07.36</t>
  </si>
  <si>
    <t>29/08/2025 08.08.05</t>
  </si>
  <si>
    <t>dbkunjungan_Images/08-29-2025_11_171.Foto (kunjungan langsung).010846.jpg</t>
  </si>
  <si>
    <t>08/29/2025_11_171</t>
  </si>
  <si>
    <t>29/08/2025 08.08.49</t>
  </si>
  <si>
    <t>29/08/2025 08.09.14</t>
  </si>
  <si>
    <t>dbkunjungan_Images/08-29-2025_12_175.Foto (kunjungan langsung).010944.jpg</t>
  </si>
  <si>
    <t>08/29/2025_12_175</t>
  </si>
  <si>
    <t>29/08/2025 08.09.45</t>
  </si>
  <si>
    <t>29/08/2025 08.23.52</t>
  </si>
  <si>
    <t>dbkunjungan_Images/08-29-2025_13_1210027.Foto (kunjungan langsung).012435.jpg</t>
  </si>
  <si>
    <t>08/29/2025_13_1210027</t>
  </si>
  <si>
    <t>29/08/2025 08.24.36</t>
  </si>
  <si>
    <t>29/08/2025 09.19.44</t>
  </si>
  <si>
    <t>dbkunjungan_Images/08-29-2025_14_233.Foto (kunjungan langsung).033142.jpg</t>
  </si>
  <si>
    <t>08/29/2025_14_233</t>
  </si>
  <si>
    <t>29/08/2025 10.31.40</t>
  </si>
  <si>
    <t>29/08/2025 11.25.53</t>
  </si>
  <si>
    <t>dbkunjungan_Images/08-29-2025_15_234.Foto (kunjungan langsung).042715.jpg</t>
  </si>
  <si>
    <t>08/29/2025_15_234</t>
  </si>
  <si>
    <t>29/08/2025 11.27.16</t>
  </si>
  <si>
    <t>29/08/2025 12.58.01</t>
  </si>
  <si>
    <t>dbkunjungan_Images/08-29-2025_16_235.Foto (kunjungan langsung).060133.jpg</t>
  </si>
  <si>
    <t>08/29/2025_16_235</t>
  </si>
  <si>
    <t>29/08/2025 13.03.34</t>
  </si>
  <si>
    <t>29/08/2025 13.01.48</t>
  </si>
  <si>
    <t>dbkunjungan_Images/08-29-2025_17_236.Foto (kunjungan langsung).060338.jpg</t>
  </si>
  <si>
    <t>08/29/2025_17_236</t>
  </si>
  <si>
    <t>29/08/2025 13.03.35</t>
  </si>
  <si>
    <t>29/08/2025 13.17.58</t>
  </si>
  <si>
    <t>dbkunjungan_Images/08-29-2025_18_237.Foto (kunjungan langsung).062001.jpg</t>
  </si>
  <si>
    <t>08/29/2025_18_237</t>
  </si>
  <si>
    <t>29/08/2025 13.21.06</t>
  </si>
  <si>
    <t>29/08/2025 13.20.00</t>
  </si>
  <si>
    <t>dbkunjungan_Images/08-29-2025_19_238.Foto (kunjungan langsung).062059.jpg</t>
  </si>
  <si>
    <t>08/29/2025_19_238</t>
  </si>
  <si>
    <t>29/08/2025 13.21.07</t>
  </si>
  <si>
    <t>29/08/2025 13.29.38</t>
  </si>
  <si>
    <t>dbkunjungan_Images/08-29-2025_20_239.Foto (kunjungan langsung).063113.jpg</t>
  </si>
  <si>
    <t>08/29/2025_20_239</t>
  </si>
  <si>
    <t>29/08/2025 13.31.13</t>
  </si>
  <si>
    <t>29/08/2025 13.34.56</t>
  </si>
  <si>
    <t>dbkunjungan_Images/08-29-2025_21_240.Foto (kunjungan langsung).063726.jpg</t>
  </si>
  <si>
    <t>08/29/2025_21_240</t>
  </si>
  <si>
    <t>29/08/2025 13.37.29</t>
  </si>
  <si>
    <t>29/08/2025 13.39.45</t>
  </si>
  <si>
    <t>dbkunjungan_Images/08-29-2025_22_241.Foto (kunjungan langsung).064154.jpg</t>
  </si>
  <si>
    <t>08/29/2025_22_241</t>
  </si>
  <si>
    <t>29/08/2025 13.41.52</t>
  </si>
  <si>
    <t>01/09/2025 09.54.47</t>
  </si>
  <si>
    <t>dbkunjungan_Images/09-01-2025_1_242.Foto (kunjungan langsung).025609.jpg</t>
  </si>
  <si>
    <t>09/01/2025_1_242</t>
  </si>
  <si>
    <t>01/09/2025 10.10.07</t>
  </si>
  <si>
    <t>01/09/2025 16.08.12</t>
  </si>
  <si>
    <t>09/01/2025_2_244</t>
  </si>
  <si>
    <t>01/09/2025 16.11.21</t>
  </si>
  <si>
    <t>02/09/2025 10.13.52</t>
  </si>
  <si>
    <t>dbkunjungan_Images/09-02-2025_1_1210012.Foto (kunjungan langsung).031538.jpg</t>
  </si>
  <si>
    <t>09/02/2025_1_1210012</t>
  </si>
  <si>
    <t>02/09/2025 17.31.15</t>
  </si>
  <si>
    <t>02/09/2025 15.19.01</t>
  </si>
  <si>
    <t>dbkunjungan_Images/09-02-2025_2_1210110.Foto (kunjungan langsung).081946.jpg</t>
  </si>
  <si>
    <t>09/02/2025_2_1210110</t>
  </si>
  <si>
    <t>02/09/2025 17.31.16</t>
  </si>
  <si>
    <t>04/09/2025 08.16.12</t>
  </si>
  <si>
    <t>dbkunjungan_Images/09-04-2025_1_1210110.Foto (kunjungan langsung).011643.jpg</t>
  </si>
  <si>
    <t>09/04/2025_1_1210110</t>
  </si>
  <si>
    <t>04/09/2025 08.28.05</t>
  </si>
  <si>
    <t>04/09/2025 08.44.17</t>
  </si>
  <si>
    <t>09/04/2025_2_245</t>
  </si>
  <si>
    <t>04/09/2025 08.45.09</t>
  </si>
  <si>
    <t>04/09/2025 09.32.03</t>
  </si>
  <si>
    <t>09/04/2025_3_246</t>
  </si>
  <si>
    <t>04/09/2025 09.33.18</t>
  </si>
  <si>
    <t>04/09/2025 10.22.37</t>
  </si>
  <si>
    <t>dbkunjungan_Images/09-04-2025_4_247.Foto (kunjungan langsung).032342.jpg</t>
  </si>
  <si>
    <t>09/04/2025_4_247</t>
  </si>
  <si>
    <t>04/09/2025 10.23.41</t>
  </si>
  <si>
    <t>08/09/2025 11.17.29</t>
  </si>
  <si>
    <t>dbkunjungan_Images/09-08-2025_1_122.Foto (kunjungan langsung).042443.jpg</t>
  </si>
  <si>
    <t>09/08/2025_1_122</t>
  </si>
  <si>
    <t>08/09/2025 11.24.43</t>
  </si>
  <si>
    <t>09/09/2025 14.41.07</t>
  </si>
  <si>
    <t>dbkunjungan_Images/09-09-2025_1_137.Foto (kunjungan langsung).074136.jpg</t>
  </si>
  <si>
    <t>09/09/2025_1_137</t>
  </si>
  <si>
    <t>09/09/2025 14.41.39</t>
  </si>
  <si>
    <t>09/09/2025 15.02.57</t>
  </si>
  <si>
    <t>dbkunjungan_Images/09-09-2025_2_1210012.Foto (kunjungan langsung).080323.jpg</t>
  </si>
  <si>
    <t>09/09/2025_2_1210012</t>
  </si>
  <si>
    <t>09/09/2025 15.03.28</t>
  </si>
  <si>
    <t>10/09/2025 10.21.34</t>
  </si>
  <si>
    <t>dbkunjungan_Images/09-10-2025_1_248.Foto (kunjungan langsung).032247.jpg</t>
  </si>
  <si>
    <t>09/10/2025_1_248</t>
  </si>
  <si>
    <t>10/09/2025 11.18.22</t>
  </si>
  <si>
    <t>10/09/2025 11.22.57</t>
  </si>
  <si>
    <t>dbkunjungan_Images/09-10-2025_2_249.Foto (kunjungan langsung).042352.jpg</t>
  </si>
  <si>
    <t>09/10/2025_2_249</t>
  </si>
  <si>
    <t>10/09/2025 11.44.23</t>
  </si>
  <si>
    <t>10/09/2025 11.34.45</t>
  </si>
  <si>
    <t>dbkunjungan_Images/09-10-2025_3_250.Foto (kunjungan langsung).043623.jpg</t>
  </si>
  <si>
    <t>09/10/2025_3_250</t>
  </si>
  <si>
    <t>10/09/2025 11.44.26</t>
  </si>
  <si>
    <t>10/09/2025 13.18.52</t>
  </si>
  <si>
    <t>dbkunjungan_Images/09-10-2025_4_1210012.Foto (kunjungan langsung).061927.jpg</t>
  </si>
  <si>
    <t>09/10/2025_4_1210012</t>
  </si>
  <si>
    <t>10/09/2025 16.14.33</t>
  </si>
  <si>
    <t>11/09/2025 08.23.00</t>
  </si>
  <si>
    <t>dbkunjungan_Images/09-11-2025_1_251.Foto (kunjungan langsung).012343.jpg</t>
  </si>
  <si>
    <t>09/11/2025_1_251</t>
  </si>
  <si>
    <t>11/09/2025 08.24.01</t>
  </si>
  <si>
    <t>11/09/2025 08.25.46</t>
  </si>
  <si>
    <t>dbkunjungan_Images/09-11-2025_2_252.Foto (kunjungan langsung).012617.jpg</t>
  </si>
  <si>
    <t>09/11/2025_2_252</t>
  </si>
  <si>
    <t>11/09/2025 08.26.24</t>
  </si>
  <si>
    <t>11/09/2025 10.15.30</t>
  </si>
  <si>
    <t>dbkunjungan_Images/09-11-2025_3_1210110.Foto (kunjungan langsung).031602.jpg</t>
  </si>
  <si>
    <t>09/11/2025_3_1210110</t>
  </si>
  <si>
    <t>11/09/2025 10.47.43</t>
  </si>
  <si>
    <t>11/09/2025 13.18.03</t>
  </si>
  <si>
    <t>dbkunjungan_Images/09-11-2025_4_253.Foto (kunjungan langsung).061915.jpg</t>
  </si>
  <si>
    <t>09/11/2025_4_253</t>
  </si>
  <si>
    <t>11/09/2025 13.19.11</t>
  </si>
  <si>
    <t>11/09/2025 14.42.14</t>
  </si>
  <si>
    <t>dbkunjungan_Images/09-11-2025_5_232.Foto (kunjungan langsung).074254.jpg</t>
  </si>
  <si>
    <t>09/11/2025_5_232</t>
  </si>
  <si>
    <t>11/09/2025 15.00.24</t>
  </si>
  <si>
    <t>11/09/2025 14.42.54</t>
  </si>
  <si>
    <t>dbkunjungan_Images/09-11-2025_6_231.Foto (kunjungan langsung).074322.jpg</t>
  </si>
  <si>
    <t>09/11/2025_6_231</t>
  </si>
  <si>
    <t>11/09/2025 15.00.22</t>
  </si>
  <si>
    <t>11/09/2025 14.47.34</t>
  </si>
  <si>
    <t>dbkunjungan_Images/09-11-2025_7_136.Foto (kunjungan langsung).074811.jpg</t>
  </si>
  <si>
    <t>09/11/2025_7_136</t>
  </si>
  <si>
    <t>11/09/2025 15.00.20</t>
  </si>
  <si>
    <t>16/09/2025 12.08.03</t>
  </si>
  <si>
    <t>09/16/2025_1_254</t>
  </si>
  <si>
    <t>16/09/2025 12.11.01</t>
  </si>
  <si>
    <t>16/09/2025 14.06.15</t>
  </si>
  <si>
    <t>dbkunjungan_Images/09-16-2025_2_138.Foto (kunjungan langsung).070640.jpg</t>
  </si>
  <si>
    <t>09/16/2025_2_138</t>
  </si>
  <si>
    <t>16/09/2025 14.24.50</t>
  </si>
  <si>
    <t>16/09/2025 14.24.17</t>
  </si>
  <si>
    <t>dbkunjungan_Images/09-16-2025_3_136.Foto (kunjungan langsung).072441.jpg</t>
  </si>
  <si>
    <t>09/16/2025_3_136</t>
  </si>
  <si>
    <t>16/09/2025 14.24.46</t>
  </si>
  <si>
    <t>16/09/2025 16.08.51</t>
  </si>
  <si>
    <t>dbkunjungan_Images/09-16-2025_4_1210012.Foto (kunjungan langsung).090912.jpg</t>
  </si>
  <si>
    <t>09/16/2025_4_1210012</t>
  </si>
  <si>
    <t>16/09/2025 16.09.14</t>
  </si>
  <si>
    <t>17/09/2025 08.47.34</t>
  </si>
  <si>
    <t>dbkunjungan_Images/09-17-2025_1_192.Foto (kunjungan langsung).014818.jpg</t>
  </si>
  <si>
    <t>09/17/2025_1_192</t>
  </si>
  <si>
    <t>17/09/2025 09.11.53</t>
  </si>
  <si>
    <t>17/09/2025 08.48.19</t>
  </si>
  <si>
    <t>dbkunjungan_Images/09-17-2025_2_193.Foto (kunjungan langsung).014848.jpg</t>
  </si>
  <si>
    <t>09/17/2025_2_193</t>
  </si>
  <si>
    <t>17/09/2025 09.11.58</t>
  </si>
  <si>
    <t>17/09/2025 09.01.03</t>
  </si>
  <si>
    <t>dbkunjungan_Images/09-17-2025_3_1210015.Foto (kunjungan langsung).020137.jpg</t>
  </si>
  <si>
    <t>09/17/2025_3_1210015</t>
  </si>
  <si>
    <t>17/09/2025 09.11.57</t>
  </si>
  <si>
    <t>17/09/2025 10.05.47</t>
  </si>
  <si>
    <t>dbkunjungan_Images/09-17-2025_4_231.Foto (kunjungan langsung).030631.jpg</t>
  </si>
  <si>
    <t>09/17/2025_4_231</t>
  </si>
  <si>
    <t>17/09/2025 10.06.31</t>
  </si>
  <si>
    <t>17/09/2025 12.17.10</t>
  </si>
  <si>
    <t>dbkunjungan_Images/09-17-2025_5_234.Foto (kunjungan langsung).051737.jpg</t>
  </si>
  <si>
    <t>09/17/2025_5_234</t>
  </si>
  <si>
    <t>17/09/2025 12.57.23</t>
  </si>
  <si>
    <t>17/09/2025 13.33.22</t>
  </si>
  <si>
    <t>dbkunjungan_Images/09-17-2025_6_253.Foto (kunjungan langsung).063407.jpg</t>
  </si>
  <si>
    <t>09/17/2025_6_253</t>
  </si>
  <si>
    <t>17/09/2025 13.40.59</t>
  </si>
  <si>
    <t>17/09/2025 13.38.48</t>
  </si>
  <si>
    <t>dbkunjungan_Images/09-17-2025_7_1210110.Foto (kunjungan langsung).064019.jpg</t>
  </si>
  <si>
    <t>09/17/2025_7_1210110</t>
  </si>
  <si>
    <t>17/09/2025 13.56.48</t>
  </si>
  <si>
    <t>17/09/2025 13.49.47</t>
  </si>
  <si>
    <t>dbkunjungan_Images/09-17-2025_8_169.Foto (kunjungan langsung).065024.jpg</t>
  </si>
  <si>
    <t>09/17/2025_8_169</t>
  </si>
  <si>
    <t>17/09/2025 14.07.19</t>
  </si>
  <si>
    <t>17/09/2025 14.06.35</t>
  </si>
  <si>
    <t>dbkunjungan_Images/09-17-2025_9_1210012.Foto (kunjungan langsung).070709.jpg</t>
  </si>
  <si>
    <t>09/17/2025_9_1210012</t>
  </si>
  <si>
    <t>17/09/2025 14.07.22</t>
  </si>
  <si>
    <t>18/09/2025 08.40.02</t>
  </si>
  <si>
    <t>dbkunjungan_Images/09-18-2025_1_192.Foto (kunjungan langsung).014027.jpg</t>
  </si>
  <si>
    <t>09/18/2025_1_192</t>
  </si>
  <si>
    <t>18/09/2025 08.40.29</t>
  </si>
  <si>
    <t>18/09/2025 08.40.39</t>
  </si>
  <si>
    <t>dbkunjungan_Images/09-18-2025_2_193.Foto (kunjungan langsung).014102.jpg</t>
  </si>
  <si>
    <t>09/18/2025_2_193</t>
  </si>
  <si>
    <t>18/09/2025 08.41.04</t>
  </si>
  <si>
    <t>petugas</t>
  </si>
  <si>
    <t>timestamp</t>
  </si>
  <si>
    <t>kritik_saran</t>
  </si>
  <si>
    <t>mantap jaya</t>
  </si>
  <si>
    <t>A-2</t>
  </si>
  <si>
    <t/>
  </si>
  <si>
    <t>ID Pelayanan</t>
  </si>
  <si>
    <t>ID Piket</t>
  </si>
  <si>
    <t>Deskripsi Layanan</t>
  </si>
  <si>
    <t>List kebutuhan data</t>
  </si>
  <si>
    <t>Timestamp selesai</t>
  </si>
  <si>
    <t>Penilaian pengguna</t>
  </si>
  <si>
    <t>rating</t>
  </si>
  <si>
    <t>rating_timestamp</t>
  </si>
  <si>
    <t>Pengguna layanan membutuhkan Data Gini Ratio Kabupaten dairi tahun 2024</t>
  </si>
  <si>
    <t>Gini Ratio</t>
  </si>
  <si>
    <t>29/04/2025 18:41:02</t>
  </si>
  <si>
    <t>Memberikan Data Jumlah penduduk usia 17 tahun ke atas</t>
  </si>
  <si>
    <t>22/05/2025 15:41:22</t>
  </si>
  <si>
    <t>Konsultasi rekomendasi kegiatan statistik</t>
  </si>
  <si>
    <t>16/05/2025 12:00:20</t>
  </si>
  <si>
    <t>202506068</t>
  </si>
  <si>
    <t>Meminta data jumlah masjid, jumlah penduduk, jumlah desa, jumlah dusun/lingkungan menurut kecamatan dan peta wilayah kabupaten Dairi</t>
  </si>
  <si>
    <t>12/06/2025 13.25.29</t>
  </si>
  <si>
    <t>Permintaan Peta Desa Rante Besi</t>
  </si>
  <si>
    <t>06/06/2025 08.30.00</t>
  </si>
  <si>
    <t>20250617_184_121</t>
  </si>
  <si>
    <t>((belum ada laporan))</t>
  </si>
  <si>
    <t>30/06/2025 10.49.03</t>
  </si>
  <si>
    <t>20250618_185_111</t>
  </si>
  <si>
    <t>30/06/2025 10.58.22</t>
  </si>
  <si>
    <t>20250702_196_</t>
  </si>
  <si>
    <t>Perhitungan Prevelensi Gisi Buruk</t>
  </si>
  <si>
    <t>Gizi Buruk</t>
  </si>
  <si>
    <t>02/07/2025 10.18.55</t>
  </si>
  <si>
    <t>20250702_1210071_</t>
  </si>
  <si>
    <t>Perhitungan Prevelensi Gizi Buruk</t>
  </si>
  <si>
    <t>02/07/2025 10.19.51</t>
  </si>
  <si>
    <t>20250710_198_111</t>
  </si>
  <si>
    <t>KODIM membutuhkan data jumlah penduduk dan luas wilayah telah diberikan sesuai permintaan (data diambil dari KCDA Sidikalang 2024)</t>
  </si>
  <si>
    <t>Data Penduduk , Luas Wilayah</t>
  </si>
  <si>
    <t>10/07/2025 16.30.24</t>
  </si>
  <si>
    <t>20250716_199_111</t>
  </si>
  <si>
    <t>Ibu Nikmat Anak ampun meminta data untuk anak yang kuliah</t>
  </si>
  <si>
    <t>16/07/2025 09.05.29</t>
  </si>
  <si>
    <t>20250716_200_121</t>
  </si>
  <si>
    <t>permintaan data melalui whatsapp untuk kebutuhan pennyusunan skripsi</t>
  </si>
  <si>
    <t>16/07/2025 15.38.54</t>
  </si>
  <si>
    <t>20250717_201_121</t>
  </si>
  <si>
    <t>Permintaan Data Penduduk level Desa sehingga diarahkan ke Disdukcapil melalui hasil DKB</t>
  </si>
  <si>
    <t>17/07/2025 12.15.06</t>
  </si>
  <si>
    <t>20250804_206_122</t>
  </si>
  <si>
    <t>Permintaan data anggaran desa namun tidak tersedia di BPS. Petugas memberikan informasi terkait sumber data sektoral.</t>
  </si>
  <si>
    <t>Anggaran Desa</t>
  </si>
  <si>
    <t>04/08/2025 16.23.13</t>
  </si>
  <si>
    <t>20250806_207_214</t>
  </si>
  <si>
    <t>06/08/2025 16.31.22</t>
  </si>
  <si>
    <t>tingkatkan lagi</t>
  </si>
  <si>
    <t>20250807_210_111</t>
  </si>
  <si>
    <t>Tamu bersama meminta data gambaran dari Kabupaten Dairi dan Kecamatan Silima Pungga - Pungga.
Hasil Pelayanan : Tamu bisa mengakses dairikab.bps.go.id. Tamu mengetahui letak publikasi yang dibutuhkan. Tamu memilih untuk mencari tahu dan mengeksplorasi data sendiri melalui website BPS dan akan bertanya kemudian jika ada kebingungan</t>
  </si>
  <si>
    <t>Persentase Kemiskinan , Ketenagakerjaan , IKG , Pertumbuhan Ekonomi</t>
  </si>
  <si>
    <t>07/08/2025 14.52.32</t>
  </si>
  <si>
    <t>20250807_195_111</t>
  </si>
  <si>
    <t>Tamu bersama rekan Yusri meminta data gambaran dari Kabupaten Dairi dan Kecamatan Silima Pungga - Pungga.
Hasil Pelayanan : Tamu bisa mengakses dairikab.bps.go.id. Tamu mengetahui letak publikasi yang dibutuhkan. Tamu memilih untuk mencari tahu dan mengeksplorasi data sendiri melalui website BPS dan akan bertanya kemudian jika ada kebingungan</t>
  </si>
  <si>
    <t>Persentase Kemiskinan , Ketenagakerjaan , Pertumbuhan Ekonomi , IKG</t>
  </si>
  <si>
    <t>07/08/2025 14.56.38</t>
  </si>
  <si>
    <t>Baik dan mudah di akses.</t>
  </si>
  <si>
    <t>20250812_213_121</t>
  </si>
  <si>
    <t>jumlah penduduk menurut agama tidak tersedia, yang ada hanya data jumlah sarana ibadah</t>
  </si>
  <si>
    <t>jumlah tempat ibadah menurut kecamatan , jumlah penduduk menurut agama</t>
  </si>
  <si>
    <t>12/08/2025 07.56.52</t>
  </si>
  <si>
    <t>20250813_1210035_224</t>
  </si>
  <si>
    <t>Melayani permintaan data pertumbuhan ekonomi 2024 di sektor perdagangan</t>
  </si>
  <si>
    <t>13/08/2025 09.17.27</t>
  </si>
  <si>
    <t>20250813_227_122</t>
  </si>
  <si>
    <t>Rumus Indeks Pemerataan Guru</t>
  </si>
  <si>
    <t>13/08/2025 10.11.43</t>
  </si>
  <si>
    <t>bps dairi mantap</t>
  </si>
  <si>
    <t>20250822_148_122</t>
  </si>
  <si>
    <t>Pengguna layanan menanyakan terkait metadata indikator migrasi risen, hanya konfirmasi</t>
  </si>
  <si>
    <t>22/08/2025 15.35.44</t>
  </si>
  <si>
    <t>BPS Dairi sangat responsif dan informatif. Sarana ini perlu disebarluaskan agar banyak teman2 yang kurang paham terkait statistik dapat terbantu seperti saya. terimakasih</t>
  </si>
  <si>
    <t>20250901_244_224</t>
  </si>
  <si>
    <t>Permintaan Sertifikat Pelatihan oleh Mitra Lama</t>
  </si>
  <si>
    <t>02/09/2025 07.57.36</t>
  </si>
  <si>
    <t>Saya mengucapkan terima kasih karena sertifikat pelatihan telah diberikan dengan baik. Semoga BPS Dairi Semakin sukses</t>
  </si>
  <si>
    <t>20250904_245_121</t>
  </si>
  <si>
    <t>Pengguna layanan membutuhkan data produksi dan luas panen jagung di Kecamatan Sumbul selama 5 tahun terakhir. Selain memberikan data yang diminta, petugas memberi informasi akses data dan ketersediaan data statistik komoditas jagung</t>
  </si>
  <si>
    <t>Luas Panen , Produksi</t>
  </si>
  <si>
    <t>04/09/2025 09.55.19</t>
  </si>
  <si>
    <t>Admin dari BPS Kabupaten Dairi sangat cepat respon dan pelayanan nya baik</t>
  </si>
  <si>
    <t>20250904_246_122</t>
  </si>
  <si>
    <t>Pengguna layanan menanyakan tentang metode sampling kegiatan Sakernas dikarenakan banyak responden yang mempertanyakan cara penentuan sampel terpilih. Berikut pertanyaan dari pengguna layanan
Kalau tidak salah bulan agustus kemarin kan ada MITRA BPS yang datang mendata.
Katanya hanya 10 rumah tangga yang di data.
Nama kegiatannya SAKERNAS.
Untuk pengambilan dan menentukan jumlah yang 10 rumah tangga itu untuk didata bagaimana ya?
Kenapa hanya 10 rumah tangga aja,kenapa tidak satu dusun mewakili dari satu desa gitu.?.
Karena di kalangan masyarakat banyak yang bertanya kenapa 10 orang?
Kenapa tidak pengusaha aja yang didata?kenapa ada yang petani,pengusaha,atau yang ASN.
Terima kasih.</t>
  </si>
  <si>
    <t>04/09/2025 09.58.18</t>
  </si>
  <si>
    <t>Pelayanannya ramah, aktif, sopan.
The best lah pokoknya.👍</t>
  </si>
  <si>
    <t>20250916_254_122</t>
  </si>
  <si>
    <t>16/09/2025 16.45.25</t>
  </si>
  <si>
    <t>Langsung/Offline</t>
  </si>
  <si>
    <t>deo:datus</t>
  </si>
  <si>
    <t>1210006</t>
  </si>
  <si>
    <t>Virtual/Online</t>
  </si>
  <si>
    <t>05/26/2025_8_1210006</t>
  </si>
  <si>
    <t>ID Jenis Layanan</t>
  </si>
  <si>
    <t>Kategori</t>
  </si>
  <si>
    <t>Moda</t>
  </si>
  <si>
    <t>Jenis Layanan</t>
  </si>
  <si>
    <t>PST</t>
  </si>
  <si>
    <t>Action Form Penilaian Layanan</t>
  </si>
  <si>
    <t>done</t>
  </si>
  <si>
    <t>Action Link SKD</t>
  </si>
  <si>
    <t>Form Pelaporan Piket</t>
  </si>
  <si>
    <t>Optimasi Pelaporan layanan</t>
  </si>
  <si>
    <t>hubungkan piket dan laporan layanan</t>
  </si>
  <si>
    <t>statistik pelayanan</t>
  </si>
  <si>
    <t>Identitas pelapor</t>
  </si>
  <si>
    <t>Jenis Aduan</t>
  </si>
  <si>
    <t>Deskripsi Aduan</t>
  </si>
  <si>
    <t>PIC Tindak Lanjut</t>
  </si>
  <si>
    <t>Tindak Lanjut</t>
  </si>
  <si>
    <t>Bukti tindak lanjut</t>
  </si>
  <si>
    <t>Status Penyelesaian</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</si>
</sst>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m/d/yyyy h:mm:ss"/>
    <numFmt numFmtId="165" formatCode="yyyy-mm-dd"/>
    <numFmt numFmtId="166" formatCode="mmmm yyyy"/>
    <numFmt numFmtId="167" formatCode="dd/MM/yyyy H:mm:ss"/>
    <numFmt numFmtId="168" formatCode="d mmmm yyyy"/>
    <numFmt numFmtId="169" formatCode="dd/mm/yyyy"/>
    <numFmt numFmtId="170" formatCode="d/m/yyyy"/>
    <numFmt numFmtId="171" formatCode="dd/mm/yyyy h:mm:ss"/>
  </numFmts>
  <fonts count="19">
    <font>
      <sz val="10.0"/>
      <color rgb="FF000000"/>
      <name val="Arial"/>
      <scheme val="minor"/>
    </font>
    <font>
      <color theme="1"/>
      <name val="Arial"/>
      <scheme val="minor"/>
    </font>
    <font>
      <u/>
      <color rgb="FF0000FF"/>
    </font>
    <font>
      <b/>
      <color theme="1"/>
      <name val="Arial"/>
      <scheme val="minor"/>
    </font>
    <font>
      <u/>
      <color rgb="FF0000FF"/>
    </font>
    <font>
      <u/>
      <color rgb="FF0000FF"/>
    </font>
    <font>
      <b/>
      <color rgb="FFFFFFFF"/>
      <name val="Arial"/>
      <scheme val="minor"/>
    </font>
    <font>
      <sz val="9.0"/>
      <color rgb="FF000000"/>
      <name val="&quot;Google Sans Mono&quot;"/>
    </font>
    <font>
      <b/>
      <color rgb="FFFFFFFF"/>
      <name val="Arial"/>
    </font>
    <font>
      <color theme="1"/>
      <name val="Arial"/>
    </font>
    <font>
      <b/>
      <sz val="16.0"/>
      <color rgb="FFFFFFFF"/>
      <name val="Arial"/>
      <scheme val="minor"/>
    </font>
    <font>
      <b/>
      <sz val="16.0"/>
      <color rgb="FF20124D"/>
      <name val="Arial"/>
      <scheme val="minor"/>
    </font>
    <font>
      <color rgb="FF20124D"/>
      <name val="Arial"/>
      <scheme val="minor"/>
    </font>
    <font>
      <b/>
      <sz val="12.0"/>
      <color rgb="FFFFFFFF"/>
      <name val="Arial"/>
      <scheme val="minor"/>
    </font>
    <font>
      <color rgb="FF351C75"/>
      <name val="Arial"/>
      <scheme val="minor"/>
    </font>
    <font>
      <u/>
      <color rgb="FF0000FF"/>
    </font>
    <font>
      <color rgb="FF000000"/>
      <name val="Arial"/>
      <scheme val="minor"/>
    </font>
    <font>
      <u/>
      <color rgb="FF0000FF"/>
      <name val="Roboto"/>
    </font>
    <font>
      <u/>
      <color rgb="FF0000FF"/>
      <name val="Roboto"/>
    </font>
  </fonts>
  <fills count="9">
    <fill>
      <patternFill patternType="none"/>
    </fill>
    <fill>
      <patternFill patternType="lightGray"/>
    </fill>
    <fill>
      <patternFill patternType="solid">
        <fgColor rgb="FFB6D7A8"/>
        <bgColor rgb="FFB6D7A8"/>
      </patternFill>
    </fill>
    <fill>
      <patternFill patternType="solid">
        <fgColor rgb="FFCC0000"/>
        <bgColor rgb="FFCC0000"/>
      </patternFill>
    </fill>
    <fill>
      <patternFill patternType="solid">
        <fgColor rgb="FFFFFFFF"/>
        <bgColor rgb="FFFFFFFF"/>
      </patternFill>
    </fill>
    <fill>
      <patternFill patternType="solid">
        <fgColor rgb="FF20124D"/>
        <bgColor rgb="FF20124D"/>
      </patternFill>
    </fill>
    <fill>
      <patternFill patternType="solid">
        <fgColor rgb="FF351C75"/>
        <bgColor rgb="FF351C75"/>
      </patternFill>
    </fill>
    <fill>
      <patternFill patternType="solid">
        <fgColor rgb="FFFFFF00"/>
        <bgColor rgb="FFFFFF00"/>
      </patternFill>
    </fill>
    <fill>
      <patternFill patternType="solid">
        <fgColor rgb="FFF4CCCC"/>
        <bgColor rgb="FFF4CCCC"/>
      </patternFill>
    </fill>
  </fills>
  <borders count="20">
    <border/>
    <border>
      <left style="medium">
        <color rgb="FF000000"/>
      </left>
      <right style="medium">
        <color rgb="FF000000"/>
      </right>
      <top style="medium">
        <color rgb="FF000000"/>
      </top>
      <bottom style="medium">
        <color rgb="FF000000"/>
      </bottom>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FFFFFF"/>
      </left>
      <right style="thin">
        <color rgb="FF284E3F"/>
      </right>
      <top style="thin">
        <color rgb="FFFFFFFF"/>
      </top>
      <bottom style="thin">
        <color rgb="FFFFFFFF"/>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209">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2" fontId="3" numFmtId="164" xfId="0" applyAlignment="1" applyFill="1" applyFont="1" applyNumberFormat="1">
      <alignment readingOrder="0"/>
    </xf>
    <xf borderId="0" fillId="2" fontId="1" numFmtId="0" xfId="0" applyAlignment="1" applyFont="1">
      <alignment readingOrder="0"/>
    </xf>
    <xf quotePrefix="1" borderId="0" fillId="2" fontId="1" numFmtId="0" xfId="0" applyAlignment="1" applyFont="1">
      <alignment readingOrder="0"/>
    </xf>
    <xf borderId="0" fillId="2" fontId="1" numFmtId="0" xfId="0" applyFont="1"/>
    <xf borderId="0" fillId="2" fontId="4" numFmtId="0" xfId="0" applyAlignment="1" applyFont="1">
      <alignment readingOrder="0"/>
    </xf>
    <xf borderId="0" fillId="0" fontId="5" numFmtId="0" xfId="0" applyAlignment="1" applyFont="1">
      <alignment readingOrder="0"/>
    </xf>
    <xf borderId="0" fillId="0" fontId="1" numFmtId="0" xfId="0" applyFont="1"/>
    <xf borderId="0" fillId="0" fontId="1" numFmtId="0" xfId="0" applyAlignment="1" applyFont="1">
      <alignment readingOrder="0"/>
    </xf>
    <xf borderId="0" fillId="0" fontId="1" numFmtId="165" xfId="0" applyAlignment="1" applyFont="1" applyNumberFormat="1">
      <alignment readingOrder="0"/>
    </xf>
    <xf borderId="1" fillId="3" fontId="6" numFmtId="0" xfId="0" applyAlignment="1" applyBorder="1" applyFill="1" applyFont="1">
      <alignment readingOrder="0" vertical="top"/>
    </xf>
    <xf borderId="1" fillId="3" fontId="6" numFmtId="0" xfId="0" applyAlignment="1" applyBorder="1" applyFont="1">
      <alignment readingOrder="0"/>
    </xf>
    <xf borderId="0" fillId="3" fontId="6" numFmtId="0" xfId="0" applyAlignment="1" applyFont="1">
      <alignment horizontal="center" readingOrder="0"/>
    </xf>
    <xf borderId="1" fillId="0" fontId="1" numFmtId="0" xfId="0" applyAlignment="1" applyBorder="1" applyFont="1">
      <alignment vertical="top"/>
    </xf>
    <xf borderId="1" fillId="0" fontId="1" numFmtId="0" xfId="0" applyBorder="1" applyFont="1"/>
    <xf borderId="0" fillId="0" fontId="1" numFmtId="0" xfId="0" applyAlignment="1" applyFont="1">
      <alignment horizontal="center" readingOrder="0" vertical="center"/>
    </xf>
    <xf borderId="0" fillId="4" fontId="7" numFmtId="0" xfId="0" applyFill="1" applyFont="1"/>
    <xf borderId="1" fillId="3" fontId="8" numFmtId="0" xfId="0" applyAlignment="1" applyBorder="1" applyFont="1">
      <alignment readingOrder="0" vertical="top"/>
    </xf>
    <xf borderId="1" fillId="3" fontId="8" numFmtId="0" xfId="0" applyAlignment="1" applyBorder="1" applyFont="1">
      <alignment readingOrder="0"/>
    </xf>
    <xf borderId="0" fillId="3" fontId="8" numFmtId="0" xfId="0" applyAlignment="1" applyFont="1">
      <alignment horizontal="center" readingOrder="0"/>
    </xf>
    <xf borderId="1" fillId="0" fontId="9" numFmtId="0" xfId="0" applyAlignment="1" applyBorder="1" applyFont="1">
      <alignment vertical="top"/>
    </xf>
    <xf borderId="1" fillId="0" fontId="9" numFmtId="0" xfId="0" applyBorder="1" applyFont="1"/>
    <xf borderId="0" fillId="0" fontId="9" numFmtId="0" xfId="0" applyFont="1"/>
    <xf borderId="0" fillId="5" fontId="10" numFmtId="0" xfId="0" applyAlignment="1" applyFill="1" applyFont="1">
      <alignment horizontal="center" readingOrder="0" vertical="center"/>
    </xf>
    <xf borderId="0" fillId="5" fontId="11" numFmtId="166" xfId="0" applyAlignment="1" applyFont="1" applyNumberFormat="1">
      <alignment horizontal="center" readingOrder="0" vertical="center"/>
    </xf>
    <xf borderId="0" fillId="5" fontId="1" numFmtId="0" xfId="0" applyAlignment="1" applyFont="1">
      <alignment horizontal="center" vertical="center"/>
    </xf>
    <xf borderId="0" fillId="5" fontId="12" numFmtId="0" xfId="0" applyAlignment="1" applyFont="1">
      <alignment vertical="center"/>
    </xf>
    <xf borderId="0" fillId="5" fontId="1" numFmtId="0" xfId="0" applyAlignment="1" applyFont="1">
      <alignment shrinkToFit="0" vertical="center" wrapText="1"/>
    </xf>
    <xf borderId="0" fillId="5" fontId="1" numFmtId="0" xfId="0" applyAlignment="1" applyFont="1">
      <alignment vertical="center"/>
    </xf>
    <xf borderId="0" fillId="6" fontId="13" numFmtId="0" xfId="0" applyAlignment="1" applyFill="1" applyFont="1">
      <alignment horizontal="center" readingOrder="0" shrinkToFit="0" vertical="center" wrapText="1"/>
    </xf>
    <xf borderId="0" fillId="6" fontId="14" numFmtId="0" xfId="0" applyAlignment="1" applyFont="1">
      <alignment horizontal="center"/>
    </xf>
    <xf borderId="0" fillId="6" fontId="14" numFmtId="0" xfId="0" applyFont="1"/>
    <xf borderId="0" fillId="6" fontId="14" numFmtId="0" xfId="0" applyAlignment="1" applyFont="1">
      <alignment shrinkToFit="0" wrapText="1"/>
    </xf>
    <xf borderId="0" fillId="0" fontId="1" numFmtId="0" xfId="0" applyAlignment="1" applyFont="1">
      <alignment horizontal="center" vertical="top"/>
    </xf>
    <xf borderId="0" fillId="0" fontId="1" numFmtId="0" xfId="0" applyAlignment="1" applyFont="1">
      <alignment vertical="top"/>
    </xf>
    <xf borderId="0" fillId="0" fontId="1" numFmtId="0" xfId="0" applyAlignment="1" applyFont="1">
      <alignment shrinkToFit="0" vertical="top" wrapText="1"/>
    </xf>
    <xf borderId="0" fillId="5" fontId="11" numFmtId="0" xfId="0" applyAlignment="1" applyFont="1">
      <alignment horizontal="center" readingOrder="0" vertical="center"/>
    </xf>
    <xf borderId="0" fillId="0" fontId="1" numFmtId="164" xfId="0" applyFont="1" applyNumberFormat="1"/>
    <xf borderId="0" fillId="7" fontId="1" numFmtId="164" xfId="0" applyFill="1" applyFont="1" applyNumberFormat="1"/>
    <xf borderId="0" fillId="7" fontId="1" numFmtId="0" xfId="0" applyFont="1"/>
    <xf borderId="0" fillId="7" fontId="1" numFmtId="0" xfId="0" applyAlignment="1" applyFont="1">
      <alignment readingOrder="0"/>
    </xf>
    <xf borderId="0" fillId="0" fontId="15" numFmtId="0" xfId="0" applyFont="1"/>
    <xf borderId="0" fillId="6" fontId="6" numFmtId="0" xfId="0" applyAlignment="1" applyFont="1">
      <alignment horizontal="center" readingOrder="0"/>
    </xf>
    <xf borderId="0" fillId="6" fontId="6" numFmtId="0" xfId="0" applyAlignment="1" applyFont="1">
      <alignment readingOrder="0"/>
    </xf>
    <xf borderId="0" fillId="0" fontId="1" numFmtId="166" xfId="0" applyAlignment="1" applyFont="1" applyNumberFormat="1">
      <alignment horizontal="center" readingOrder="0"/>
    </xf>
    <xf borderId="0" fillId="0" fontId="1" numFmtId="0" xfId="0" applyAlignment="1" applyFont="1">
      <alignment horizontal="center"/>
    </xf>
    <xf borderId="0" fillId="6" fontId="6" numFmtId="0" xfId="0" applyAlignment="1" applyFont="1">
      <alignment horizontal="center"/>
    </xf>
    <xf borderId="0" fillId="0" fontId="1" numFmtId="166" xfId="0" applyAlignment="1" applyFont="1" applyNumberFormat="1">
      <alignment readingOrder="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horizontal="left" readingOrder="0" shrinkToFit="0" vertical="center" wrapText="0"/>
    </xf>
    <xf borderId="5" fillId="0" fontId="1" numFmtId="0" xfId="0" applyAlignment="1" applyBorder="1" applyFont="1">
      <alignment readingOrder="0" shrinkToFit="0" vertical="center" wrapText="0"/>
    </xf>
    <xf borderId="6" fillId="0" fontId="1" numFmtId="14" xfId="0" applyAlignment="1" applyBorder="1" applyFont="1" applyNumberFormat="1">
      <alignment readingOrder="0" shrinkToFit="0" vertical="center" wrapText="0"/>
    </xf>
    <xf borderId="6" fillId="0" fontId="1" numFmtId="0" xfId="0" applyAlignment="1" applyBorder="1" applyFont="1">
      <alignment readingOrder="0" shrinkToFit="0" vertical="center" wrapText="0"/>
    </xf>
    <xf quotePrefix="1" borderId="6"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6" fillId="0" fontId="1" numFmtId="164" xfId="0" applyAlignment="1" applyBorder="1" applyFont="1" applyNumberFormat="1">
      <alignment readingOrder="0"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2" fillId="0" fontId="1" numFmtId="167" xfId="0" applyAlignment="1" applyBorder="1" applyFont="1" applyNumberFormat="1">
      <alignment readingOrder="0" shrinkToFit="0" vertical="center" wrapText="0"/>
    </xf>
    <xf borderId="12"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xf borderId="13" fillId="0" fontId="1" numFmtId="0" xfId="0" applyAlignment="1" applyBorder="1" applyFont="1">
      <alignmen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horizontal="left" readingOrder="0" shrinkToFit="0" vertical="center" wrapText="0"/>
    </xf>
    <xf borderId="0" fillId="0" fontId="16" numFmtId="0" xfId="0" applyAlignment="1" applyFont="1">
      <alignment readingOrder="0"/>
    </xf>
    <xf borderId="2" fillId="0" fontId="3" numFmtId="0" xfId="0" applyAlignment="1" applyBorder="1" applyFont="1">
      <alignment horizontal="left" readingOrder="0" shrinkToFit="0" vertical="center" wrapText="0"/>
    </xf>
    <xf borderId="3" fillId="0" fontId="3" numFmtId="49" xfId="0" applyAlignment="1" applyBorder="1" applyFont="1" applyNumberFormat="1">
      <alignment horizontal="left" readingOrder="0" shrinkToFit="0" vertical="center" wrapText="0"/>
    </xf>
    <xf borderId="3" fillId="0" fontId="3" numFmtId="0" xfId="0" applyAlignment="1" applyBorder="1" applyFont="1">
      <alignment horizontal="left" readingOrder="0" shrinkToFit="0" vertical="center" wrapText="0"/>
    </xf>
    <xf borderId="3" fillId="0" fontId="3" numFmtId="0" xfId="0" applyAlignment="1" applyBorder="1" applyFont="1">
      <alignment horizontal="left" readingOrder="0" shrinkToFit="0" vertical="center" wrapText="0"/>
    </xf>
    <xf borderId="4" fillId="0" fontId="3" numFmtId="0" xfId="0" applyAlignment="1" applyBorder="1" applyFont="1">
      <alignment horizontal="left" readingOrder="0" shrinkToFit="0" vertical="center" wrapText="0"/>
    </xf>
    <xf borderId="5" fillId="0" fontId="1" numFmtId="167" xfId="0" applyAlignment="1" applyBorder="1" applyFont="1" applyNumberFormat="1">
      <alignment shrinkToFit="0" vertical="center" wrapText="0"/>
    </xf>
    <xf borderId="6" fillId="0" fontId="1" numFmtId="49" xfId="0" applyAlignment="1" applyBorder="1" applyFont="1" applyNumberFormat="1">
      <alignment readingOrder="0" shrinkToFit="0" vertical="center" wrapText="0"/>
    </xf>
    <xf borderId="6" fillId="0" fontId="1" numFmtId="49" xfId="0" applyAlignment="1" applyBorder="1" applyFont="1" applyNumberFormat="1">
      <alignment shrinkToFit="0" vertical="center" wrapText="0"/>
    </xf>
    <xf borderId="6" fillId="0" fontId="1" numFmtId="49" xfId="0" applyAlignment="1" applyBorder="1" applyFont="1" applyNumberFormat="1">
      <alignment shrinkToFit="0" vertical="center" wrapText="0"/>
    </xf>
    <xf borderId="10" fillId="0" fontId="1" numFmtId="49" xfId="0" applyAlignment="1" applyBorder="1" applyFont="1" applyNumberFormat="1">
      <alignment shrinkToFit="0" vertical="center" wrapText="0"/>
    </xf>
    <xf borderId="14" fillId="0" fontId="1" numFmtId="167" xfId="0" applyAlignment="1" applyBorder="1" applyFont="1" applyNumberFormat="1">
      <alignment shrinkToFit="0" vertical="center" wrapText="0"/>
    </xf>
    <xf borderId="15" fillId="0" fontId="1" numFmtId="49" xfId="0" applyAlignment="1" applyBorder="1" applyFont="1" applyNumberFormat="1">
      <alignment readingOrder="0" shrinkToFit="0" vertical="center" wrapText="0"/>
    </xf>
    <xf borderId="15" fillId="0" fontId="1" numFmtId="49" xfId="0" applyAlignment="1" applyBorder="1" applyFont="1" applyNumberFormat="1">
      <alignment shrinkToFit="0" vertical="center" wrapText="0"/>
    </xf>
    <xf borderId="15" fillId="0" fontId="1" numFmtId="49" xfId="0" applyAlignment="1" applyBorder="1" applyFont="1" applyNumberFormat="1">
      <alignment shrinkToFit="0" vertical="center" wrapText="0"/>
    </xf>
    <xf borderId="16" fillId="0" fontId="1" numFmtId="49" xfId="0" applyAlignment="1" applyBorder="1" applyFont="1" applyNumberFormat="1">
      <alignment shrinkToFit="0" vertical="center" wrapText="0"/>
    </xf>
    <xf borderId="15" fillId="0" fontId="1" numFmtId="49" xfId="0" applyAlignment="1" applyBorder="1" applyFont="1" applyNumberFormat="1">
      <alignment shrinkToFit="0" vertical="center" wrapText="0"/>
    </xf>
    <xf borderId="6" fillId="0" fontId="1" numFmtId="49" xfId="0" applyAlignment="1" applyBorder="1" applyFont="1" applyNumberFormat="1">
      <alignment shrinkToFit="0" vertical="center" wrapText="0"/>
    </xf>
    <xf borderId="6" fillId="0" fontId="1" numFmtId="49" xfId="0" applyAlignment="1" applyBorder="1" applyFont="1" applyNumberFormat="1">
      <alignment readingOrder="0" shrinkToFit="0" vertical="center" wrapText="0"/>
    </xf>
    <xf quotePrefix="1" borderId="15" fillId="0" fontId="1" numFmtId="49" xfId="0" applyAlignment="1" applyBorder="1" applyFont="1" applyNumberFormat="1">
      <alignment readingOrder="0" shrinkToFit="0" vertical="center" wrapText="0"/>
    </xf>
    <xf borderId="16" fillId="0" fontId="1" numFmtId="49" xfId="0" applyAlignment="1" applyBorder="1" applyFont="1" applyNumberFormat="1">
      <alignment readingOrder="0" shrinkToFit="0" vertical="center" wrapText="0"/>
    </xf>
    <xf borderId="10" fillId="0" fontId="1" numFmtId="49" xfId="0" applyAlignment="1" applyBorder="1" applyFont="1" applyNumberFormat="1">
      <alignment readingOrder="0" shrinkToFit="0" vertical="center" wrapText="0"/>
    </xf>
    <xf borderId="14" fillId="0" fontId="1" numFmtId="167" xfId="0" applyAlignment="1" applyBorder="1" applyFont="1" applyNumberFormat="1">
      <alignment readingOrder="0" shrinkToFit="0" vertical="center" wrapText="0"/>
    </xf>
    <xf quotePrefix="1" borderId="15" fillId="0" fontId="1" numFmtId="0" xfId="0" applyAlignment="1" applyBorder="1" applyFont="1">
      <alignment readingOrder="0" shrinkToFit="0" vertical="center" wrapText="0"/>
    </xf>
    <xf borderId="15" fillId="0" fontId="1" numFmtId="0" xfId="0" applyAlignment="1" applyBorder="1" applyFont="1">
      <alignment readingOrder="0" shrinkToFit="0" vertical="center" wrapText="0"/>
    </xf>
    <xf borderId="16" fillId="0" fontId="1" numFmtId="0" xfId="0" applyAlignment="1" applyBorder="1" applyFont="1">
      <alignment readingOrder="0" shrinkToFit="0" vertical="center" wrapText="0"/>
    </xf>
    <xf borderId="5" fillId="0" fontId="1" numFmtId="167" xfId="0" applyAlignment="1" applyBorder="1" applyFont="1" applyNumberFormat="1">
      <alignment readingOrder="0" shrinkToFit="0" vertical="center" wrapText="0"/>
    </xf>
    <xf borderId="14"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quotePrefix="1" borderId="12"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xf borderId="13" fillId="0" fontId="1" numFmtId="0" xfId="0" applyAlignment="1" applyBorder="1" applyFont="1">
      <alignment readingOrder="0" shrinkToFit="0" vertical="center" wrapText="0"/>
    </xf>
    <xf borderId="0" fillId="0" fontId="1" numFmtId="49" xfId="0" applyAlignment="1" applyFont="1" applyNumberForma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8" xfId="0" applyAlignment="1" applyFont="1" applyNumberFormat="1">
      <alignment readingOrder="0"/>
    </xf>
    <xf borderId="0" fillId="0" fontId="1" numFmtId="49" xfId="0" applyFont="1" applyNumberFormat="1"/>
    <xf borderId="0" fillId="0" fontId="1" numFmtId="49"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xf quotePrefix="1" borderId="0" fillId="0" fontId="1" numFmtId="49" xfId="0" applyAlignment="1" applyFont="1" applyNumberFormat="1">
      <alignment readingOrder="0"/>
    </xf>
    <xf borderId="0" fillId="8" fontId="1" numFmtId="49" xfId="0" applyFill="1" applyFont="1" applyNumberFormat="1"/>
    <xf quotePrefix="1" borderId="0" fillId="0" fontId="1" numFmtId="0" xfId="0" applyAlignment="1" applyFont="1">
      <alignment readingOrder="0" shrinkToFit="0" wrapText="1"/>
    </xf>
    <xf borderId="0" fillId="0" fontId="1" numFmtId="49" xfId="0" applyAlignment="1" applyFont="1" applyNumberFormat="1">
      <alignment readingOrder="0" shrinkToFit="0" wrapText="0"/>
    </xf>
    <xf quotePrefix="1" borderId="0" fillId="0" fontId="1" numFmtId="49" xfId="0" applyAlignment="1" applyFont="1" applyNumberFormat="1">
      <alignment readingOrder="0" shrinkToFit="0" wrapText="0"/>
    </xf>
    <xf quotePrefix="1" borderId="0" fillId="0" fontId="1" numFmtId="49" xfId="0" applyAlignment="1" applyFont="1" applyNumberFormat="1">
      <alignment readingOrder="0"/>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4" fillId="0" fontId="1" numFmtId="0" xfId="0" applyAlignment="1" applyBorder="1" applyFont="1">
      <alignment horizontal="left" readingOrder="0" shrinkToFit="0" vertical="center" wrapText="1"/>
    </xf>
    <xf borderId="5" fillId="0" fontId="1" numFmtId="49" xfId="0" applyAlignment="1" applyBorder="1" applyFont="1" applyNumberFormat="1">
      <alignment readingOrder="0" shrinkToFit="0" vertical="center" wrapText="0"/>
    </xf>
    <xf borderId="6" fillId="0" fontId="1" numFmtId="49" xfId="0" applyAlignment="1" applyBorder="1" applyFont="1" applyNumberFormat="1">
      <alignment readingOrder="0" shrinkToFit="0" vertical="center" wrapText="0"/>
    </xf>
    <xf borderId="6"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0" xfId="0" applyAlignment="1" applyBorder="1" applyFont="1">
      <alignment readingOrder="0" shrinkToFit="0" vertical="center" wrapText="0"/>
    </xf>
    <xf borderId="14" fillId="0" fontId="1" numFmtId="49" xfId="0" applyAlignment="1" applyBorder="1" applyFont="1" applyNumberFormat="1">
      <alignment readingOrder="0" shrinkToFit="0" vertical="center" wrapText="0"/>
    </xf>
    <xf borderId="15" fillId="0" fontId="1" numFmtId="49" xfId="0" applyAlignment="1" applyBorder="1" applyFont="1" applyNumberFormat="1">
      <alignment readingOrder="0" shrinkToFit="0" vertical="center" wrapText="0"/>
    </xf>
    <xf borderId="15" fillId="0" fontId="1" numFmtId="0" xfId="0" applyAlignment="1" applyBorder="1" applyFont="1">
      <alignment readingOrder="0" shrinkToFit="0" vertical="center" wrapText="0"/>
    </xf>
    <xf borderId="15" fillId="0" fontId="1" numFmtId="0" xfId="0" applyAlignment="1" applyBorder="1" applyFont="1">
      <alignment readingOrder="0" shrinkToFit="0" vertical="center" wrapText="0"/>
    </xf>
    <xf borderId="16" fillId="0" fontId="1" numFmtId="0" xfId="0" applyAlignment="1" applyBorder="1" applyFont="1">
      <alignment readingOrder="0" shrinkToFit="0" vertical="center" wrapText="0"/>
    </xf>
    <xf borderId="15" fillId="0" fontId="1" numFmtId="0" xfId="0" applyAlignment="1" applyBorder="1" applyFont="1">
      <alignment readingOrder="0" shrinkToFit="0" vertical="center" wrapText="0"/>
    </xf>
    <xf borderId="15" fillId="0" fontId="16" numFmtId="0" xfId="0" applyAlignment="1" applyBorder="1" applyFont="1">
      <alignment readingOrder="0" shrinkToFit="0" vertical="center" wrapText="0"/>
    </xf>
    <xf borderId="17" fillId="0" fontId="1" numFmtId="49" xfId="0" applyAlignment="1" applyBorder="1" applyFont="1" applyNumberFormat="1">
      <alignment readingOrder="0" shrinkToFit="0" vertical="center" wrapText="0"/>
    </xf>
    <xf borderId="18" fillId="0" fontId="1" numFmtId="49" xfId="0" applyAlignment="1" applyBorder="1" applyFont="1" applyNumberFormat="1">
      <alignment readingOrder="0" shrinkToFit="0" vertical="center" wrapText="0"/>
    </xf>
    <xf borderId="18" fillId="0" fontId="1" numFmtId="0" xfId="0" applyAlignment="1" applyBorder="1" applyFont="1">
      <alignment readingOrder="0" shrinkToFit="0" vertical="center" wrapText="0"/>
    </xf>
    <xf borderId="19" fillId="0" fontId="1" numFmtId="0" xfId="0" applyAlignment="1" applyBorder="1" applyFont="1">
      <alignment readingOrder="0" shrinkToFit="0" vertical="center" wrapText="0"/>
    </xf>
    <xf borderId="0" fillId="0" fontId="1" numFmtId="169" xfId="0" applyAlignment="1" applyFont="1" applyNumberFormat="1">
      <alignment readingOrder="0"/>
    </xf>
    <xf borderId="0" fillId="0" fontId="1" numFmtId="170" xfId="0" applyAlignment="1" applyFont="1" applyNumberFormat="1">
      <alignment readingOrder="0"/>
    </xf>
    <xf borderId="3" fillId="0" fontId="1" numFmtId="49" xfId="0" applyAlignment="1" applyBorder="1" applyFont="1" applyNumberFormat="1">
      <alignment horizontal="left" readingOrder="0" shrinkToFit="0" vertical="center" wrapText="0"/>
    </xf>
    <xf borderId="3"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horizontal="left" readingOrder="0" shrinkToFit="0" vertical="center" wrapText="0"/>
    </xf>
    <xf borderId="6" fillId="0" fontId="1" numFmtId="0" xfId="0" applyAlignment="1" applyBorder="1" applyFont="1">
      <alignment shrinkToFit="0" vertical="center" wrapText="0"/>
    </xf>
    <xf borderId="14" fillId="0" fontId="1" numFmtId="0" xfId="0" applyAlignment="1" applyBorder="1" applyFont="1">
      <alignment readingOrder="0" shrinkToFit="0" vertical="center" wrapText="0"/>
    </xf>
    <xf borderId="15" fillId="0" fontId="1" numFmtId="49" xfId="0" applyAlignment="1" applyBorder="1" applyFont="1" applyNumberFormat="1">
      <alignment shrinkToFit="0" vertical="center" wrapText="0"/>
    </xf>
    <xf borderId="15" fillId="0" fontId="1" numFmtId="0" xfId="0" applyAlignment="1" applyBorder="1" applyFont="1">
      <alignment shrinkToFit="0" vertical="center" wrapText="0"/>
    </xf>
    <xf borderId="5" fillId="0" fontId="1" numFmtId="0" xfId="0" applyAlignment="1" applyBorder="1" applyFont="1">
      <alignment readingOrder="0" shrinkToFit="0" vertical="center" wrapText="0"/>
    </xf>
    <xf borderId="6" fillId="0" fontId="1" numFmtId="49" xfId="0" applyAlignment="1" applyBorder="1" applyFont="1" applyNumberFormat="1">
      <alignment shrinkToFit="0" vertical="center" wrapText="0"/>
    </xf>
    <xf quotePrefix="1" borderId="15" fillId="0" fontId="1" numFmtId="49" xfId="0" applyAlignment="1" applyBorder="1" applyFont="1" applyNumberFormat="1">
      <alignment readingOrder="0" shrinkToFit="0" vertical="center" wrapText="0"/>
    </xf>
    <xf quotePrefix="1" borderId="15" fillId="0" fontId="1" numFmtId="0" xfId="0" applyAlignment="1" applyBorder="1" applyFont="1">
      <alignment readingOrder="0" shrinkToFit="0" vertical="center" wrapText="0"/>
    </xf>
    <xf quotePrefix="1" borderId="6" fillId="0" fontId="1" numFmtId="0" xfId="0" applyAlignment="1" applyBorder="1" applyFont="1">
      <alignment readingOrder="0" shrinkToFit="0" vertical="center" wrapText="0"/>
    </xf>
    <xf borderId="6" fillId="0" fontId="17" numFmtId="0" xfId="0" applyAlignment="1" applyBorder="1" applyFont="1">
      <alignment readingOrder="0" shrinkToFit="0" vertical="center" wrapText="0"/>
    </xf>
    <xf borderId="15" fillId="0" fontId="1" numFmtId="171" xfId="0" applyAlignment="1" applyBorder="1" applyFont="1" applyNumberFormat="1">
      <alignment readingOrder="0" shrinkToFit="0" vertical="center" wrapText="0"/>
    </xf>
    <xf borderId="6" fillId="0" fontId="1" numFmtId="171" xfId="0" applyAlignment="1" applyBorder="1" applyFont="1" applyNumberFormat="1">
      <alignment readingOrder="0" shrinkToFit="0" vertical="center" wrapText="0"/>
    </xf>
    <xf quotePrefix="1" borderId="15" fillId="0" fontId="1" numFmtId="49" xfId="0" applyAlignment="1" applyBorder="1" applyFont="1" applyNumberFormat="1">
      <alignment readingOrder="0" shrinkToFit="0" vertical="center" wrapText="0"/>
    </xf>
    <xf quotePrefix="1" borderId="6" fillId="0" fontId="1" numFmtId="49" xfId="0" applyAlignment="1" applyBorder="1" applyFont="1" applyNumberFormat="1">
      <alignment readingOrder="0" shrinkToFit="0" vertical="center" wrapText="0"/>
    </xf>
    <xf borderId="15" fillId="0" fontId="18" numFmtId="0" xfId="0" applyAlignment="1" applyBorder="1" applyFont="1">
      <alignment readingOrder="0" shrinkToFit="0" vertical="center" wrapText="0"/>
    </xf>
    <xf borderId="17" fillId="0" fontId="1" numFmtId="0" xfId="0" applyAlignment="1" applyBorder="1" applyFont="1">
      <alignment readingOrder="0" shrinkToFit="0" vertical="center" wrapText="0"/>
    </xf>
    <xf quotePrefix="1" borderId="18" fillId="0" fontId="1" numFmtId="0" xfId="0" applyAlignment="1" applyBorder="1" applyFont="1">
      <alignment readingOrder="0" shrinkToFit="0" vertical="center" wrapText="0"/>
    </xf>
    <xf borderId="18" fillId="0" fontId="1" numFmtId="0" xfId="0" applyAlignment="1" applyBorder="1" applyFont="1">
      <alignment readingOrder="0" shrinkToFit="0" vertical="center" wrapText="0"/>
    </xf>
    <xf quotePrefix="1" borderId="18" fillId="0" fontId="1" numFmtId="49" xfId="0" applyAlignment="1" applyBorder="1" applyFont="1" applyNumberFormat="1">
      <alignment readingOrder="0" shrinkToFit="0" vertical="center" wrapText="0"/>
    </xf>
    <xf borderId="18" fillId="0" fontId="1" numFmtId="0" xfId="0" applyAlignment="1" applyBorder="1" applyFont="1">
      <alignment readingOrder="0" shrinkToFit="0" vertical="center" wrapText="0"/>
    </xf>
    <xf borderId="12" fillId="0" fontId="1" numFmtId="49" xfId="0" applyAlignment="1" applyBorder="1" applyFont="1" applyNumberFormat="1">
      <alignment readingOrder="0" shrinkToFit="0" vertical="center" wrapText="0"/>
    </xf>
    <xf borderId="2" fillId="0" fontId="3" numFmtId="49" xfId="0" applyAlignment="1" applyBorder="1" applyFont="1" applyNumberFormat="1">
      <alignment horizontal="left" readingOrder="0" shrinkToFit="0" vertical="center" wrapText="1"/>
    </xf>
    <xf borderId="3" fillId="0" fontId="3" numFmtId="49" xfId="0" applyAlignment="1" applyBorder="1" applyFont="1" applyNumberFormat="1">
      <alignment horizontal="left" readingOrder="0" shrinkToFit="0" vertical="center" wrapText="1"/>
    </xf>
    <xf borderId="3" fillId="0" fontId="3" numFmtId="0" xfId="0" applyAlignment="1" applyBorder="1" applyFont="1">
      <alignment horizontal="left" readingOrder="0" shrinkToFit="0" vertical="center" wrapText="1"/>
    </xf>
    <xf borderId="3" fillId="0" fontId="3" numFmtId="0" xfId="0" applyAlignment="1" applyBorder="1" applyFont="1">
      <alignment horizontal="left" readingOrder="0" shrinkToFit="0" vertical="center" wrapText="1"/>
    </xf>
    <xf borderId="4" fillId="0" fontId="3" numFmtId="0" xfId="0" applyAlignment="1" applyBorder="1" applyFont="1">
      <alignment horizontal="left" readingOrder="0" shrinkToFit="0" vertical="center" wrapText="1"/>
    </xf>
    <xf borderId="5" fillId="0" fontId="1" numFmtId="49" xfId="0" applyAlignment="1" applyBorder="1" applyFont="1" applyNumberFormat="1">
      <alignment readingOrder="0" shrinkToFit="0" vertical="center" wrapText="1"/>
    </xf>
    <xf borderId="6" fillId="0" fontId="1" numFmtId="0" xfId="0" applyAlignment="1" applyBorder="1" applyFont="1">
      <alignment readingOrder="0" shrinkToFit="0" vertical="center" wrapText="1"/>
    </xf>
    <xf quotePrefix="1" borderId="6" fillId="0" fontId="1" numFmtId="0" xfId="0" applyAlignment="1" applyBorder="1" applyFont="1">
      <alignment readingOrder="0" shrinkToFit="0" vertical="center" wrapText="1"/>
    </xf>
    <xf quotePrefix="1" borderId="6" fillId="0" fontId="1" numFmtId="49" xfId="0" applyAlignment="1" applyBorder="1" applyFont="1" applyNumberFormat="1">
      <alignment readingOrder="0" shrinkToFit="0" vertical="center" wrapText="1"/>
    </xf>
    <xf borderId="6" fillId="0" fontId="1" numFmtId="49" xfId="0" applyAlignment="1" applyBorder="1" applyFont="1" applyNumberFormat="1">
      <alignment readingOrder="0" shrinkToFit="0" vertical="center" wrapText="1"/>
    </xf>
    <xf borderId="6" fillId="0" fontId="1" numFmtId="49" xfId="0" applyAlignment="1" applyBorder="1" applyFont="1" applyNumberFormat="1">
      <alignment shrinkToFit="0" vertical="center" wrapText="1"/>
    </xf>
    <xf borderId="6" fillId="0" fontId="1" numFmtId="0" xfId="0" applyAlignment="1" applyBorder="1" applyFont="1">
      <alignment shrinkToFit="0" vertical="center" wrapText="1"/>
    </xf>
    <xf borderId="10" fillId="0" fontId="1" numFmtId="0" xfId="0" applyAlignment="1" applyBorder="1" applyFont="1">
      <alignment shrinkToFit="0" vertical="center" wrapText="1"/>
    </xf>
    <xf borderId="14" fillId="0" fontId="1" numFmtId="49" xfId="0" applyAlignment="1" applyBorder="1" applyFont="1" applyNumberFormat="1">
      <alignment readingOrder="0" shrinkToFit="0" vertical="center" wrapText="1"/>
    </xf>
    <xf borderId="15" fillId="0" fontId="1" numFmtId="0" xfId="0" applyAlignment="1" applyBorder="1" applyFont="1">
      <alignment readingOrder="0" shrinkToFit="0" vertical="center" wrapText="1"/>
    </xf>
    <xf quotePrefix="1" borderId="15" fillId="0" fontId="1" numFmtId="49" xfId="0" applyAlignment="1" applyBorder="1" applyFont="1" applyNumberFormat="1">
      <alignment readingOrder="0" shrinkToFit="0" vertical="center" wrapText="1"/>
    </xf>
    <xf borderId="15" fillId="0" fontId="1" numFmtId="49" xfId="0" applyAlignment="1" applyBorder="1" applyFont="1" applyNumberFormat="1">
      <alignment readingOrder="0" shrinkToFit="0" vertical="center" wrapText="1"/>
    </xf>
    <xf borderId="15" fillId="0" fontId="1" numFmtId="49" xfId="0" applyAlignment="1" applyBorder="1" applyFont="1" applyNumberFormat="1">
      <alignment shrinkToFit="0" vertical="center" wrapText="1"/>
    </xf>
    <xf borderId="15" fillId="0" fontId="1" numFmtId="0" xfId="0" applyAlignment="1" applyBorder="1" applyFont="1">
      <alignment shrinkToFit="0" vertical="center" wrapText="1"/>
    </xf>
    <xf borderId="16" fillId="0" fontId="1" numFmtId="0" xfId="0" applyAlignment="1" applyBorder="1" applyFont="1">
      <alignment shrinkToFit="0" vertical="center" wrapText="1"/>
    </xf>
    <xf borderId="14" fillId="0" fontId="1" numFmtId="0" xfId="0" applyAlignment="1" applyBorder="1" applyFont="1">
      <alignment readingOrder="0" shrinkToFit="0" vertical="center" wrapText="1"/>
    </xf>
    <xf quotePrefix="1" borderId="15" fillId="0" fontId="1" numFmtId="0" xfId="0" applyAlignment="1" applyBorder="1" applyFont="1">
      <alignment readingOrder="0" shrinkToFit="0" vertical="center" wrapText="1"/>
    </xf>
    <xf borderId="15" fillId="0" fontId="1" numFmtId="0" xfId="0" applyAlignment="1" applyBorder="1" applyFont="1">
      <alignment shrinkToFit="0" vertical="center" wrapText="1"/>
    </xf>
    <xf borderId="16" fillId="0" fontId="1" numFmtId="0" xfId="0" applyAlignment="1" applyBorder="1" applyFont="1">
      <alignment shrinkToFit="0" vertical="center" wrapText="1"/>
    </xf>
    <xf borderId="5" fillId="0" fontId="1" numFmtId="0" xfId="0" applyAlignment="1" applyBorder="1" applyFont="1">
      <alignment readingOrder="0" shrinkToFit="0" vertical="center" wrapText="1"/>
    </xf>
    <xf borderId="6" fillId="0" fontId="1" numFmtId="0" xfId="0" applyAlignment="1" applyBorder="1" applyFont="1">
      <alignment shrinkToFit="0" vertical="center" wrapText="1"/>
    </xf>
    <xf borderId="10" fillId="0" fontId="1" numFmtId="0" xfId="0" applyAlignment="1" applyBorder="1" applyFont="1">
      <alignment shrinkToFit="0" vertical="center" wrapText="1"/>
    </xf>
    <xf borderId="15" fillId="0" fontId="1" numFmtId="0" xfId="0" applyAlignment="1" applyBorder="1" applyFont="1">
      <alignment readingOrder="0" shrinkToFit="0" vertical="center" wrapText="1"/>
    </xf>
    <xf borderId="16" fillId="0" fontId="1" numFmtId="171" xfId="0" applyAlignment="1" applyBorder="1" applyFont="1" applyNumberFormat="1">
      <alignment readingOrder="0" shrinkToFit="0" vertical="center" wrapText="1"/>
    </xf>
    <xf borderId="6" fillId="0" fontId="1" numFmtId="0" xfId="0" applyAlignment="1" applyBorder="1" applyFont="1">
      <alignment readingOrder="0" shrinkToFit="0" vertical="center" wrapText="1"/>
    </xf>
    <xf borderId="10" fillId="0" fontId="1" numFmtId="0" xfId="0" applyAlignment="1" applyBorder="1" applyFont="1">
      <alignment readingOrder="0" shrinkToFit="0" vertical="center" wrapText="1"/>
    </xf>
    <xf borderId="10" fillId="0" fontId="1" numFmtId="171" xfId="0" applyAlignment="1" applyBorder="1" applyFont="1" applyNumberFormat="1">
      <alignment readingOrder="0" shrinkToFit="0" vertical="center" wrapText="1"/>
    </xf>
    <xf borderId="17" fillId="0" fontId="1" numFmtId="0" xfId="0" applyAlignment="1" applyBorder="1" applyFont="1">
      <alignment readingOrder="0" shrinkToFit="0" vertical="center" wrapText="1"/>
    </xf>
    <xf borderId="18" fillId="0" fontId="1" numFmtId="0" xfId="0" applyAlignment="1" applyBorder="1" applyFont="1">
      <alignment readingOrder="0" shrinkToFit="0" vertical="center" wrapText="1"/>
    </xf>
    <xf quotePrefix="1" borderId="18" fillId="0" fontId="1" numFmtId="0" xfId="0" applyAlignment="1" applyBorder="1" applyFont="1">
      <alignment readingOrder="0" shrinkToFit="0" vertical="center" wrapText="1"/>
    </xf>
    <xf quotePrefix="1" borderId="18" fillId="0" fontId="1" numFmtId="49" xfId="0" applyAlignment="1" applyBorder="1" applyFont="1" applyNumberFormat="1">
      <alignment readingOrder="0" shrinkToFit="0" vertical="center" wrapText="1"/>
    </xf>
    <xf borderId="19" fillId="0" fontId="1" numFmtId="0" xfId="0" applyAlignment="1" applyBorder="1" applyFont="1">
      <alignment readingOrder="0" shrinkToFit="0" vertical="center" wrapText="1"/>
    </xf>
    <xf borderId="0" fillId="0" fontId="1" numFmtId="14" xfId="0" applyFont="1" applyNumberFormat="1"/>
    <xf borderId="0" fillId="0" fontId="1" numFmtId="171" xfId="0" applyAlignment="1" applyFont="1" applyNumberFormat="1">
      <alignment readingOrder="0"/>
    </xf>
    <xf borderId="0" fillId="0" fontId="1" numFmtId="0" xfId="0" applyFont="1"/>
    <xf quotePrefix="1" borderId="0" fillId="0" fontId="1" numFmtId="0" xfId="0" applyAlignment="1" applyFont="1">
      <alignment readingOrder="0"/>
    </xf>
  </cellXfs>
  <cellStyles count="1">
    <cellStyle xfId="0" name="Normal" builtinId="0"/>
  </cellStyles>
  <dxfs count="5">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
      <font/>
      <fill>
        <patternFill patternType="solid">
          <fgColor rgb="FFF6F8F9"/>
          <bgColor rgb="FFF6F8F9"/>
        </patternFill>
      </fill>
      <border/>
    </dxf>
  </dxfs>
  <tableStyles count="8">
    <tableStyle count="3" pivot="0" name="Pengguna data via WA-style">
      <tableStyleElement dxfId="1" type="headerRow"/>
      <tableStyleElement dxfId="2" type="firstRowStripe"/>
      <tableStyleElement dxfId="3" type="secondRowStripe"/>
    </tableStyle>
    <tableStyle count="3" pivot="0" name="Tindak Lanjut PST-style">
      <tableStyleElement dxfId="1" type="headerRow"/>
      <tableStyleElement dxfId="2" type="firstRowStripe"/>
      <tableStyleElement dxfId="4" type="secondRowStripe"/>
    </tableStyle>
    <tableStyle count="3" pivot="0" name="dbtamu-style">
      <tableStyleElement dxfId="1" type="headerRow"/>
      <tableStyleElement dxfId="2" type="firstRowStripe"/>
      <tableStyleElement dxfId="4" type="secondRowStripe"/>
    </tableStyle>
    <tableStyle count="3" pivot="0" name="dbpetugas-style">
      <tableStyleElement dxfId="1" type="headerRow"/>
      <tableStyleElement dxfId="2" type="firstRowStripe"/>
      <tableStyleElement dxfId="4" type="secondRowStripe"/>
    </tableStyle>
    <tableStyle count="3" pivot="0" name="dbkunjungan-style">
      <tableStyleElement dxfId="1" type="headerRow"/>
      <tableStyleElement dxfId="2" type="firstRowStripe"/>
      <tableStyleElement dxfId="4" type="secondRowStripe"/>
    </tableStyle>
    <tableStyle count="3" pivot="0" name="rating_layanan-style">
      <tableStyleElement dxfId="1" type="headerRow"/>
      <tableStyleElement dxfId="2" type="firstRowStripe"/>
      <tableStyleElement dxfId="4" type="secondRowStripe"/>
    </tableStyle>
    <tableStyle count="3" pivot="0" name="dblayanan-style">
      <tableStyleElement dxfId="1" type="headerRow"/>
      <tableStyleElement dxfId="2" type="firstRowStripe"/>
      <tableStyleElement dxfId="4" type="secondRowStripe"/>
    </tableStyle>
    <tableStyle count="3" pivot="0" name="dbpengaduan-style">
      <tableStyleElement dxfId="1" type="headerRow"/>
      <tableStyleElement dxfId="2" type="firstRowStripe"/>
      <tableStyleElement dxfId="4" type="secondRowStripe"/>
    </tableStyle>
  </tableStyles>
</styleSheet>
</file>

<file path=xl/_rels/workbook.xml.rels><?xml version="1.0" encoding="UTF-8" standalone="yes"?><Relationships xmlns="http://schemas.openxmlformats.org/package/2006/relationships"><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Rekap!$B$1</c:f>
            </c:strRef>
          </c:tx>
          <c:spPr>
            <a:solidFill>
              <a:schemeClr val="accent1"/>
            </a:solidFill>
            <a:ln cmpd="sng">
              <a:solidFill>
                <a:srgbClr val="000000"/>
              </a:solidFill>
            </a:ln>
          </c:spPr>
          <c:cat>
            <c:strRef>
              <c:f>Rekap!$A$2:$A$13</c:f>
            </c:strRef>
          </c:cat>
          <c:val>
            <c:numRef>
              <c:f>Rekap!$B$2:$B$13</c:f>
              <c:numCache/>
            </c:numRef>
          </c:val>
        </c:ser>
        <c:axId val="1021859403"/>
        <c:axId val="2136552182"/>
      </c:barChart>
      <c:catAx>
        <c:axId val="102185940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Bulan</a:t>
                </a:r>
              </a:p>
            </c:rich>
          </c:tx>
          <c:overlay val="0"/>
        </c:title>
        <c:numFmt formatCode="General" sourceLinked="1"/>
        <c:majorTickMark val="none"/>
        <c:minorTickMark val="none"/>
        <c:spPr/>
        <c:txPr>
          <a:bodyPr/>
          <a:lstStyle/>
          <a:p>
            <a:pPr lvl="0">
              <a:defRPr b="0">
                <a:solidFill>
                  <a:srgbClr val="000000"/>
                </a:solidFill>
                <a:latin typeface="+mn-lt"/>
              </a:defRPr>
            </a:pPr>
          </a:p>
        </c:txPr>
        <c:crossAx val="2136552182"/>
      </c:catAx>
      <c:valAx>
        <c:axId val="213655218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Pengunjung</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21859403"/>
      </c:valAx>
    </c:plotArea>
    <c:legend>
      <c:legendPos val="r"/>
      <c:overlay val="0"/>
      <c:txPr>
        <a:bodyPr/>
        <a:lstStyle/>
        <a:p>
          <a:pPr lvl="0">
            <a:defRPr b="0">
              <a:solidFill>
                <a:srgbClr val="1A1A1A"/>
              </a:solidFill>
              <a:latin typeface="+mn-lt"/>
            </a:defRPr>
          </a:pPr>
        </a:p>
      </c:txPr>
    </c:legend>
    <c:plotVisOnly val="1"/>
  </c:chart>
</c:chartSpace>
</file>

<file path=xl/drawings/_rels/drawing10.xml.rels><?xml version="1.0" encoding="UTF-8" standalone="yes"?><Relationships xmlns="http://schemas.openxmlformats.org/package/2006/relationships"><Relationship Id="rId1" Type="http://schemas.openxmlformats.org/officeDocument/2006/relationships/chart" Target="../charts/chart1.xml"/></Relationships>
</file>

<file path=xl/drawings/_rels/drawing14.xml.rels><?xml version="1.0" encoding="UTF-8" standalone="yes"?><Relationships xmlns="http://schemas.openxmlformats.org/package/2006/relationships"><Relationship Id="rId1" Type="http://schemas.openxmlformats.org/officeDocument/2006/relationships/image" Target="../media/Chart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790575</xdr:colOff>
      <xdr:row>0</xdr:row>
      <xdr:rowOff>0</xdr:rowOff>
    </xdr:from>
    <xdr:ext cx="5772150" cy="2752725"/>
    <xdr:graphicFrame>
      <xdr:nvGraphicFramePr>
        <xdr:cNvPr id="1" name="Chart 1" title="Diagra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285750</xdr:colOff>
      <xdr:row>21</xdr:row>
      <xdr:rowOff>38100</xdr:rowOff>
    </xdr:from>
    <xdr:ext cx="9286875" cy="3533775"/>
    <xdr:pic>
      <xdr:nvPicPr>
        <xdr:cNvPr id="2091295885" name="Chart2" title="Diagram">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H10" displayName="pengguna_layanan_via_wa" name="pengguna_layanan_via_wa" id="1">
  <tableColumns count="8">
    <tableColumn name="No" id="1"/>
    <tableColumn name="Tanggal" id="2"/>
    <tableColumn name="Nama" id="3"/>
    <tableColumn name="WA" id="4"/>
    <tableColumn name="Email" id="5"/>
    <tableColumn name="Asal Instansi" id="6"/>
    <tableColumn name="Keterangan Layanan" id="7"/>
    <tableColumn name="Rincian Layanan Yang Diberikan" id="8"/>
  </tableColumns>
  <tableStyleInfo name="Pengguna data via WA-style" showColumnStripes="0" showFirstColumn="1" showLastColumn="1" showRowStripes="1"/>
</table>
</file>

<file path=xl/tables/table2.xml><?xml version="1.0" encoding="utf-8"?>
<table xmlns="http://schemas.openxmlformats.org/spreadsheetml/2006/main" ref="A1:D2" displayName="tabel_tindak_lanjut" name="tabel_tindak_lanjut" id="2">
  <tableColumns count="4">
    <tableColumn name="no kunjungan" id="1"/>
    <tableColumn name="petugas yang melayani" id="2"/>
    <tableColumn name="jenis layanan yang diberikan" id="3"/>
    <tableColumn name="Dokumentasi" id="4"/>
  </tableColumns>
  <tableStyleInfo name="Tindak Lanjut PST-style" showColumnStripes="0" showFirstColumn="1" showLastColumn="1" showRowStripes="1"/>
</table>
</file>

<file path=xl/tables/table3.xml><?xml version="1.0" encoding="utf-8"?>
<table xmlns="http://schemas.openxmlformats.org/spreadsheetml/2006/main" ref="A1:G254" displayName="Table1" name="Table1" id="3">
  <tableColumns count="7">
    <tableColumn name="Timestamp" id="1"/>
    <tableColumn name="ID Pengguna" id="2"/>
    <tableColumn name="Nama" id="3"/>
    <tableColumn name="Nomor Whatsapp" id="4"/>
    <tableColumn name="Alamat Email" id="5"/>
    <tableColumn name="Asal Instansi" id="6"/>
    <tableColumn name="Jenis Kelamin" id="7"/>
  </tableColumns>
  <tableStyleInfo name="dbtamu-style" showColumnStripes="0" showFirstColumn="1" showLastColumn="1" showRowStripes="1"/>
</table>
</file>

<file path=xl/tables/table4.xml><?xml version="1.0" encoding="utf-8"?>
<table xmlns="http://schemas.openxmlformats.org/spreadsheetml/2006/main" ref="A1:H31" displayName="Table2" name="Table2" id="4">
  <tableColumns count="8">
    <tableColumn name="ID Petugas" id="1"/>
    <tableColumn name="Nama" id="2"/>
    <tableColumn name="Jabatan" id="3"/>
    <tableColumn name="NIP" id="4"/>
    <tableColumn name="user" id="5"/>
    <tableColumn name="fotox" id="6"/>
    <tableColumn name="foto" id="7"/>
    <tableColumn name="role" id="8"/>
  </tableColumns>
  <tableStyleInfo name="dbpetugas-style" showColumnStripes="0" showFirstColumn="1" showLastColumn="1" showRowStripes="1"/>
</table>
</file>

<file path=xl/tables/table5.xml><?xml version="1.0" encoding="utf-8"?>
<table xmlns="http://schemas.openxmlformats.org/spreadsheetml/2006/main" ref="A1:N427" displayName="tabel_kunjungan_fix" name="tabel_kunjungan_fix" id="5">
  <tableColumns count="14">
    <tableColumn name="Timestamp berkunjung" id="1"/>
    <tableColumn name="ID Pengguna" id="2"/>
    <tableColumn name="Moda Kunjungan" id="3"/>
    <tableColumn name="Tujuan Kunjungan" id="4"/>
    <tableColumn name="Jenis Layanan yang digunakan" id="5"/>
    <tableColumn name="Foto (kunjungan langsung)" id="6"/>
    <tableColumn name="Nomor Antrian" id="7"/>
    <tableColumn name="ID Kunjungan" id="8"/>
    <tableColumn name="Pegawai yang ingin ditemui" id="9"/>
    <tableColumn name="user_submit" id="10"/>
    <tableColumn name="tanggal_fix" id="11"/>
    <tableColumn name="status antrian" id="12"/>
    <tableColumn name="timestamp dilayani" id="13"/>
    <tableColumn name="id_kunjungan" id="14"/>
  </tableColumns>
  <tableStyleInfo name="dbkunjungan-style" showColumnStripes="0" showFirstColumn="1" showLastColumn="1" showRowStripes="1"/>
</table>
</file>

<file path=xl/tables/table6.xml><?xml version="1.0" encoding="utf-8"?>
<table xmlns="http://schemas.openxmlformats.org/spreadsheetml/2006/main" ref="A1:F2" displayName="Table4" name="Table4" id="6">
  <tableColumns count="6">
    <tableColumn name="id" id="1"/>
    <tableColumn name="id_kunjungan" id="2"/>
    <tableColumn name="petugas" id="3"/>
    <tableColumn name="nilai" id="4"/>
    <tableColumn name="timestamp" id="5"/>
    <tableColumn name="kritik_saran" id="6"/>
  </tableColumns>
  <tableStyleInfo name="rating_layanan-style" showColumnStripes="0" showFirstColumn="1" showLastColumn="1" showRowStripes="1"/>
</table>
</file>

<file path=xl/tables/table7.xml><?xml version="1.0" encoding="utf-8"?>
<table xmlns="http://schemas.openxmlformats.org/spreadsheetml/2006/main" ref="A1:L27" displayName="Table1_3" name="Table1_3" id="7">
  <tableColumns count="12">
    <tableColumn name="ID Pelayanan" id="1"/>
    <tableColumn name="ID Kunjungan" id="2"/>
    <tableColumn name="ID Pengguna" id="3"/>
    <tableColumn name="ID Petugas" id="4"/>
    <tableColumn name="ID Piket" id="5"/>
    <tableColumn name="Jenis Layanan yang digunakan" id="6"/>
    <tableColumn name="Deskripsi Layanan" id="7"/>
    <tableColumn name="List kebutuhan data" id="8"/>
    <tableColumn name="Timestamp selesai" id="9"/>
    <tableColumn name="Penilaian pengguna" id="10"/>
    <tableColumn name="rating" id="11"/>
    <tableColumn name="rating_timestamp" id="12"/>
  </tableColumns>
  <tableStyleInfo name="dblayanan-style" showColumnStripes="0" showFirstColumn="1" showLastColumn="1" showRowStripes="1"/>
</table>
</file>

<file path=xl/tables/table8.xml><?xml version="1.0" encoding="utf-8"?>
<table xmlns="http://schemas.openxmlformats.org/spreadsheetml/2006/main" ref="A1:I1000" displayName="Table3" name="Table3" id="8">
  <tableColumns count="9">
    <tableColumn name="No" id="1"/>
    <tableColumn name="Tanggal" id="2"/>
    <tableColumn name="Identitas pelapor" id="3"/>
    <tableColumn name="Jenis Aduan" id="4"/>
    <tableColumn name="Deskripsi Aduan" id="5"/>
    <tableColumn name="PIC Tindak Lanjut" id="6"/>
    <tableColumn name="Tindak Lanjut" id="7"/>
    <tableColumn name="Bukti tindak lanjut" id="8"/>
    <tableColumn name="Status Penyelesaian" id="9"/>
  </tableColumns>
  <tableStyleInfo name="dbpengaduan-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open?id=1aJJ19EsR-W96TcLS74GIOUYJBaQfGfr7" TargetMode="External"/><Relationship Id="rId42" Type="http://schemas.openxmlformats.org/officeDocument/2006/relationships/hyperlink" Target="https://drive.google.com/open?id=14FWckWXY3txVtyKbeTBdrGDcDpidQYR0" TargetMode="External"/><Relationship Id="rId41" Type="http://schemas.openxmlformats.org/officeDocument/2006/relationships/hyperlink" Target="https://drive.google.com/open?id=1ipG0mH5zLSFfGd9ROsecFMBnA6KJsM82" TargetMode="External"/><Relationship Id="rId44" Type="http://schemas.openxmlformats.org/officeDocument/2006/relationships/hyperlink" Target="https://drive.google.com/open?id=18pZBRTDDEjAdXek8UMl32iqrZ0hgoQHJ" TargetMode="External"/><Relationship Id="rId43" Type="http://schemas.openxmlformats.org/officeDocument/2006/relationships/hyperlink" Target="https://drive.google.com/open?id=1ZJeCdBV7GRpkiPcDUKrWCMVq2RYctYX7" TargetMode="External"/><Relationship Id="rId46" Type="http://schemas.openxmlformats.org/officeDocument/2006/relationships/hyperlink" Target="https://drive.google.com/open?id=1xM4hUDJOaedhOr5Trw89LmpzrsfUM4-t" TargetMode="External"/><Relationship Id="rId45" Type="http://schemas.openxmlformats.org/officeDocument/2006/relationships/hyperlink" Target="https://drive.google.com/open?id=18xmrxO6Y9fnCMspd5UJxkVzYItF3oWYd" TargetMode="External"/><Relationship Id="rId107" Type="http://schemas.openxmlformats.org/officeDocument/2006/relationships/hyperlink" Target="https://drive.google.com/open?id=1QUAOkK1KK-QFmc2wcrkdvD6uhRBWYFSn" TargetMode="External"/><Relationship Id="rId106" Type="http://schemas.openxmlformats.org/officeDocument/2006/relationships/hyperlink" Target="https://drive.google.com/open?id=1OBPn6VSjkAs3ymMM2A4E0gpo7kAmFbYy" TargetMode="External"/><Relationship Id="rId105" Type="http://schemas.openxmlformats.org/officeDocument/2006/relationships/hyperlink" Target="https://drive.google.com/open?id=1XqnyOSJMyVKiAbpko5S2wkG-ZV1uIKoZ" TargetMode="External"/><Relationship Id="rId104" Type="http://schemas.openxmlformats.org/officeDocument/2006/relationships/hyperlink" Target="https://drive.google.com/open?id=1dMl0T15FJgDFTlek3gnmT9eaGorvMcvM" TargetMode="External"/><Relationship Id="rId109" Type="http://schemas.openxmlformats.org/officeDocument/2006/relationships/hyperlink" Target="https://drive.google.com/open?id=1UMuHLwfi9kY_B9Dr2OZEKZrbPTWC6QEX" TargetMode="External"/><Relationship Id="rId108" Type="http://schemas.openxmlformats.org/officeDocument/2006/relationships/hyperlink" Target="https://drive.google.com/open?id=1AwHdPxstByAsCGxcaR8WPHl9h7fwAE59" TargetMode="External"/><Relationship Id="rId48" Type="http://schemas.openxmlformats.org/officeDocument/2006/relationships/hyperlink" Target="https://drive.google.com/open?id=1fmKRoYgv7Rk7PRmh-Mh8NwDXN0MNo_JO" TargetMode="External"/><Relationship Id="rId47" Type="http://schemas.openxmlformats.org/officeDocument/2006/relationships/hyperlink" Target="https://drive.google.com/open?id=1nEy3Vjavu0vQwMnaUaLA4c8etIr1AVLI" TargetMode="External"/><Relationship Id="rId49" Type="http://schemas.openxmlformats.org/officeDocument/2006/relationships/hyperlink" Target="https://drive.google.com/open?id=1h4Rs0qFVo4i2P7mIbOZB80XjWqBAOxIj" TargetMode="External"/><Relationship Id="rId103" Type="http://schemas.openxmlformats.org/officeDocument/2006/relationships/hyperlink" Target="https://drive.google.com/open?id=19tXv_cf4SXMFwQvXPbEGsTwEhhD-ggbf" TargetMode="External"/><Relationship Id="rId102" Type="http://schemas.openxmlformats.org/officeDocument/2006/relationships/hyperlink" Target="https://drive.google.com/open?id=14_jKC3FewQJA-npf8Y7JDD5xeSW6wlYN" TargetMode="External"/><Relationship Id="rId101" Type="http://schemas.openxmlformats.org/officeDocument/2006/relationships/hyperlink" Target="https://drive.google.com/open?id=1r42f_WNluEXq0402I-eXqi64jg9p9Ocl" TargetMode="External"/><Relationship Id="rId100" Type="http://schemas.openxmlformats.org/officeDocument/2006/relationships/hyperlink" Target="https://drive.google.com/open?id=1bjinfJyvPaAif5DEXQjykp47e2mkO4Eo" TargetMode="External"/><Relationship Id="rId31" Type="http://schemas.openxmlformats.org/officeDocument/2006/relationships/hyperlink" Target="https://drive.google.com/open?id=1YFBUedNokLh4x85vMskEB-io-IXPwlJV" TargetMode="External"/><Relationship Id="rId30" Type="http://schemas.openxmlformats.org/officeDocument/2006/relationships/hyperlink" Target="https://drive.google.com/open?id=1be2uD99PPTm3VJZsu_OOKG1AOML58Ujo" TargetMode="External"/><Relationship Id="rId33" Type="http://schemas.openxmlformats.org/officeDocument/2006/relationships/hyperlink" Target="https://drive.google.com/open?id=1icFPp40etSPLY2Odz11da6gL-JkpoweD" TargetMode="External"/><Relationship Id="rId32" Type="http://schemas.openxmlformats.org/officeDocument/2006/relationships/hyperlink" Target="https://drive.google.com/open?id=1SHFhho3afrAzcf8l6hpGQVd2vpfbeEfA" TargetMode="External"/><Relationship Id="rId35" Type="http://schemas.openxmlformats.org/officeDocument/2006/relationships/hyperlink" Target="https://drive.google.com/open?id=1HGxB-1cUqSo5T_jFqHSm9DPTXzO_WFtp" TargetMode="External"/><Relationship Id="rId34" Type="http://schemas.openxmlformats.org/officeDocument/2006/relationships/hyperlink" Target="https://drive.google.com/open?id=1dOsFCS7uGGsNwoALWXXrbHimQWL35kJo" TargetMode="External"/><Relationship Id="rId37" Type="http://schemas.openxmlformats.org/officeDocument/2006/relationships/hyperlink" Target="https://drive.google.com/open?id=1d6YjJ2tkeaN8M_Q8i-WRRBx7wDbgeVbZ" TargetMode="External"/><Relationship Id="rId36" Type="http://schemas.openxmlformats.org/officeDocument/2006/relationships/hyperlink" Target="https://drive.google.com/open?id=1b4eZxL4HHIqnCGVTOHS5oVonZpqtsAfh" TargetMode="External"/><Relationship Id="rId39" Type="http://schemas.openxmlformats.org/officeDocument/2006/relationships/hyperlink" Target="https://drive.google.com/open?id=1iak7M_apnOKxVZw22KYiCSJ89Y2dhGs1" TargetMode="External"/><Relationship Id="rId38" Type="http://schemas.openxmlformats.org/officeDocument/2006/relationships/hyperlink" Target="https://drive.google.com/open?id=1SevUzpanxloJT4Cz8HDOrrKB6Z1_xnYL" TargetMode="External"/><Relationship Id="rId20" Type="http://schemas.openxmlformats.org/officeDocument/2006/relationships/hyperlink" Target="https://drive.google.com/open?id=1QAINtknc1uM1NKjjiJd1ma3a6yMT6l_Q" TargetMode="External"/><Relationship Id="rId22" Type="http://schemas.openxmlformats.org/officeDocument/2006/relationships/hyperlink" Target="https://drive.google.com/open?id=1b84CKwEz1lxsSwWmrI2lMOcqCa4l0duz" TargetMode="External"/><Relationship Id="rId21" Type="http://schemas.openxmlformats.org/officeDocument/2006/relationships/hyperlink" Target="https://drive.google.com/open?id=1500TiccaNfUjVFb17Rt7bU78kaNZUKqm" TargetMode="External"/><Relationship Id="rId24" Type="http://schemas.openxmlformats.org/officeDocument/2006/relationships/hyperlink" Target="https://drive.google.com/open?id=13_ZBBUD4htjaNSqPqNw3FFFiewWkXd7-" TargetMode="External"/><Relationship Id="rId23" Type="http://schemas.openxmlformats.org/officeDocument/2006/relationships/hyperlink" Target="https://drive.google.com/open?id=18Yy2MnV2MJfqIAYQTIMiTaFFHULcD93W" TargetMode="External"/><Relationship Id="rId129" Type="http://schemas.openxmlformats.org/officeDocument/2006/relationships/hyperlink" Target="https://drive.google.com/open?id=15nMYKE4NdsPexhpCl5D4CH7BpRCUa9zi" TargetMode="External"/><Relationship Id="rId128" Type="http://schemas.openxmlformats.org/officeDocument/2006/relationships/hyperlink" Target="https://drive.google.com/open?id=1vKWcEmP05cwyKxhQjklf8X20cK2-4J7f" TargetMode="External"/><Relationship Id="rId127" Type="http://schemas.openxmlformats.org/officeDocument/2006/relationships/hyperlink" Target="https://drive.google.com/open?id=1c2jljMOgO0CtU7akovOGOcWw--wsgzqn" TargetMode="External"/><Relationship Id="rId126" Type="http://schemas.openxmlformats.org/officeDocument/2006/relationships/hyperlink" Target="https://drive.google.com/open?id=1jaoJoCrRVXsh9xO4t3Req05tXzQkBX9W" TargetMode="External"/><Relationship Id="rId26" Type="http://schemas.openxmlformats.org/officeDocument/2006/relationships/hyperlink" Target="https://drive.google.com/open?id=1-sUm_SKGRXuNeBw8ZxR3DfCOF_lJ92ji" TargetMode="External"/><Relationship Id="rId121" Type="http://schemas.openxmlformats.org/officeDocument/2006/relationships/hyperlink" Target="https://drive.google.com/open?id=15m83Fqqvdk16pWv_jV7no-b3TFN-QKKr" TargetMode="External"/><Relationship Id="rId25" Type="http://schemas.openxmlformats.org/officeDocument/2006/relationships/hyperlink" Target="https://drive.google.com/open?id=1_oPQQKsYsv2nabT4ppuwNGveIYuU9WXp" TargetMode="External"/><Relationship Id="rId120" Type="http://schemas.openxmlformats.org/officeDocument/2006/relationships/hyperlink" Target="https://drive.google.com/open?id=1skbA2O0NqC-40Y6xnVHz7l3MUGUtpEfx" TargetMode="External"/><Relationship Id="rId28" Type="http://schemas.openxmlformats.org/officeDocument/2006/relationships/hyperlink" Target="https://drive.google.com/open?id=1Lg59VhjoWMrUXyFnLHuXo743QjvG-xa9" TargetMode="External"/><Relationship Id="rId27" Type="http://schemas.openxmlformats.org/officeDocument/2006/relationships/hyperlink" Target="https://drive.google.com/open?id=1pZF9USa0miTA-wRyclcOezSddDJ0vwSF" TargetMode="External"/><Relationship Id="rId125" Type="http://schemas.openxmlformats.org/officeDocument/2006/relationships/hyperlink" Target="https://drive.google.com/open?id=1E9d3pgZlUfH7SF0Cb3VXAwQDonVETxSo" TargetMode="External"/><Relationship Id="rId29" Type="http://schemas.openxmlformats.org/officeDocument/2006/relationships/hyperlink" Target="https://drive.google.com/open?id=1GWgZAucfOyYt7LcFkDJ61di2D4kxogha" TargetMode="External"/><Relationship Id="rId124" Type="http://schemas.openxmlformats.org/officeDocument/2006/relationships/hyperlink" Target="https://drive.google.com/open?id=15NzRa-f-tZSQBBqCU0CLJGC2L6hJx6Yc" TargetMode="External"/><Relationship Id="rId123" Type="http://schemas.openxmlformats.org/officeDocument/2006/relationships/hyperlink" Target="https://drive.google.com/open?id=1iZLkroXJlGPCb4WbicK_8zbQR2-_kjyo" TargetMode="External"/><Relationship Id="rId122" Type="http://schemas.openxmlformats.org/officeDocument/2006/relationships/hyperlink" Target="https://drive.google.com/open?id=1zqF2VWr4HRfbnm1_KP_YsMJb2yxaK3Hs" TargetMode="External"/><Relationship Id="rId95" Type="http://schemas.openxmlformats.org/officeDocument/2006/relationships/hyperlink" Target="https://drive.google.com/open?id=1WqZY5L39Ns7snOGLRV_qmZkJgRkvnust" TargetMode="External"/><Relationship Id="rId94" Type="http://schemas.openxmlformats.org/officeDocument/2006/relationships/hyperlink" Target="https://drive.google.com/open?id=10UwZUSrgQ4f4HZsU_PW0h-b5edAojPTk" TargetMode="External"/><Relationship Id="rId97" Type="http://schemas.openxmlformats.org/officeDocument/2006/relationships/hyperlink" Target="https://drive.google.com/open?id=1HTOu08AOyCBxcQ6LXAUyoqWsdBYJG3En" TargetMode="External"/><Relationship Id="rId96" Type="http://schemas.openxmlformats.org/officeDocument/2006/relationships/hyperlink" Target="https://drive.google.com/open?id=1r4MgXyCWYdzEnAeBb-ZVDKROi-vXelMb" TargetMode="External"/><Relationship Id="rId11" Type="http://schemas.openxmlformats.org/officeDocument/2006/relationships/hyperlink" Target="https://drive.google.com/open?id=1o13CqMj8X2Jfb6j8Bf884ejsKYDLLpVy" TargetMode="External"/><Relationship Id="rId99" Type="http://schemas.openxmlformats.org/officeDocument/2006/relationships/hyperlink" Target="https://drive.google.com/open?id=1HRs2fK7tz9HyY3esdqsXrMwAFYC8V7nq" TargetMode="External"/><Relationship Id="rId10" Type="http://schemas.openxmlformats.org/officeDocument/2006/relationships/hyperlink" Target="https://drive.google.com/open?id=1eBqZzC4r9xhUsC_u00ITEkrSnSHSxxtM" TargetMode="External"/><Relationship Id="rId98" Type="http://schemas.openxmlformats.org/officeDocument/2006/relationships/hyperlink" Target="https://drive.google.com/open?id=116M3yt1DxmJTUiLew8VpoI6k9ks7Ywkm" TargetMode="External"/><Relationship Id="rId13" Type="http://schemas.openxmlformats.org/officeDocument/2006/relationships/hyperlink" Target="https://drive.google.com/open?id=1HhGP1of8L7SX3a19QV2IaFR49PkjURta" TargetMode="External"/><Relationship Id="rId12" Type="http://schemas.openxmlformats.org/officeDocument/2006/relationships/hyperlink" Target="https://drive.google.com/open?id=1F9Z5pj9fHUef2oNio4-_UjY5-0HvglwR" TargetMode="External"/><Relationship Id="rId91" Type="http://schemas.openxmlformats.org/officeDocument/2006/relationships/hyperlink" Target="https://drive.google.com/open?id=1H7vdHWkYqEyLtL2vYnK2rjU50l4vFfWd" TargetMode="External"/><Relationship Id="rId90" Type="http://schemas.openxmlformats.org/officeDocument/2006/relationships/hyperlink" Target="https://drive.google.com/open?id=1GgJSObUiMxyMd-cefi6RBekGcRosJ2ea" TargetMode="External"/><Relationship Id="rId93" Type="http://schemas.openxmlformats.org/officeDocument/2006/relationships/hyperlink" Target="https://drive.google.com/open?id=1QGpwiZwVM-aibB597o1g5hxXhp-64kSb" TargetMode="External"/><Relationship Id="rId92" Type="http://schemas.openxmlformats.org/officeDocument/2006/relationships/hyperlink" Target="https://drive.google.com/open?id=1WoYBTXSHdALLrtw-68KfqANU4IAJRPPn" TargetMode="External"/><Relationship Id="rId118" Type="http://schemas.openxmlformats.org/officeDocument/2006/relationships/hyperlink" Target="https://drive.google.com/open?id=14Qu5Nffutnssbsj1I5gmvcyXJlXQayF3" TargetMode="External"/><Relationship Id="rId117" Type="http://schemas.openxmlformats.org/officeDocument/2006/relationships/hyperlink" Target="https://drive.google.com/open?id=1rJ1QW8Q7Rp5FsVaLyv2HwAAgs4l3Z8oL" TargetMode="External"/><Relationship Id="rId116" Type="http://schemas.openxmlformats.org/officeDocument/2006/relationships/hyperlink" Target="https://drive.google.com/open?id=1_WvHjfuCgtPOTEtNbtW_kkc4lf8c0aRu" TargetMode="External"/><Relationship Id="rId115" Type="http://schemas.openxmlformats.org/officeDocument/2006/relationships/hyperlink" Target="https://drive.google.com/open?id=14o7bTrPF6uyXmfy0aVevhe5PsOiyMyUm" TargetMode="External"/><Relationship Id="rId119" Type="http://schemas.openxmlformats.org/officeDocument/2006/relationships/hyperlink" Target="https://drive.google.com/open?id=1cRf7EynHr5iTxAWpJIUuOGbX6x6gU2fD" TargetMode="External"/><Relationship Id="rId15" Type="http://schemas.openxmlformats.org/officeDocument/2006/relationships/hyperlink" Target="https://drive.google.com/open?id=1MI_7J19IqPQ7RUgGKEsyAzU4dlmVRmwa" TargetMode="External"/><Relationship Id="rId110" Type="http://schemas.openxmlformats.org/officeDocument/2006/relationships/hyperlink" Target="https://drive.google.com/open?id=1-plzO0gD7YGL1ppKSany83kMnFHKD1mV" TargetMode="External"/><Relationship Id="rId14" Type="http://schemas.openxmlformats.org/officeDocument/2006/relationships/hyperlink" Target="https://drive.google.com/open?id=1SnmXpqqzv23-Mt5KLbQYrdBHQjowG6Nf" TargetMode="External"/><Relationship Id="rId17" Type="http://schemas.openxmlformats.org/officeDocument/2006/relationships/hyperlink" Target="https://drive.google.com/open?id=1WLBmAWaDldquFOXN2vPoFS-RCQ4MFO0e" TargetMode="External"/><Relationship Id="rId16" Type="http://schemas.openxmlformats.org/officeDocument/2006/relationships/hyperlink" Target="https://drive.google.com/open?id=1mW4Z15mhSEMLp72cTQSnc-feQwNtAoGu" TargetMode="External"/><Relationship Id="rId19" Type="http://schemas.openxmlformats.org/officeDocument/2006/relationships/hyperlink" Target="https://drive.google.com/open?id=1UQgH2zkJoYPVXR2uYMMFIHt4QX9Trkl2" TargetMode="External"/><Relationship Id="rId114" Type="http://schemas.openxmlformats.org/officeDocument/2006/relationships/hyperlink" Target="https://drive.google.com/open?id=1xy3rBhFPbiaMpWv0cH69X3B1pvZETV2R" TargetMode="External"/><Relationship Id="rId18" Type="http://schemas.openxmlformats.org/officeDocument/2006/relationships/hyperlink" Target="https://drive.google.com/open?id=17CI8GUK8femgDKd1T1kRpvgKAihthK6s" TargetMode="External"/><Relationship Id="rId113" Type="http://schemas.openxmlformats.org/officeDocument/2006/relationships/hyperlink" Target="https://drive.google.com/open?id=1-ryd-3-uIGcSFjGjjMIWE2VzVAJAtVI7" TargetMode="External"/><Relationship Id="rId112" Type="http://schemas.openxmlformats.org/officeDocument/2006/relationships/hyperlink" Target="https://drive.google.com/open?id=17TtL2cujckzDgfCMsn6T-uECFrudcgv8" TargetMode="External"/><Relationship Id="rId111" Type="http://schemas.openxmlformats.org/officeDocument/2006/relationships/hyperlink" Target="https://drive.google.com/open?id=1_kxj1123yVkuGj5wsR_z1hOhYpdPlf2y" TargetMode="External"/><Relationship Id="rId84" Type="http://schemas.openxmlformats.org/officeDocument/2006/relationships/hyperlink" Target="https://drive.google.com/open?id=1wSOdO0gVBAmTP-b98fzbB_rOmmPHG5qI" TargetMode="External"/><Relationship Id="rId83" Type="http://schemas.openxmlformats.org/officeDocument/2006/relationships/hyperlink" Target="https://drive.google.com/open?id=1hwlYPf3FkfTpqWM68NT4aAwizyQMM0OQ" TargetMode="External"/><Relationship Id="rId86" Type="http://schemas.openxmlformats.org/officeDocument/2006/relationships/hyperlink" Target="https://drive.google.com/open?id=11UQjyXPxhtYN99kZOK1mWyrRo6DjRHzc" TargetMode="External"/><Relationship Id="rId85" Type="http://schemas.openxmlformats.org/officeDocument/2006/relationships/hyperlink" Target="https://drive.google.com/open?id=1114UO4lQAokKsfbZNJL1Z10SoR_zzSJ7" TargetMode="External"/><Relationship Id="rId88" Type="http://schemas.openxmlformats.org/officeDocument/2006/relationships/hyperlink" Target="https://drive.google.com/open?id=10exz3IFC41kFyTboBf44AhjE6IcrWJ1A" TargetMode="External"/><Relationship Id="rId87" Type="http://schemas.openxmlformats.org/officeDocument/2006/relationships/hyperlink" Target="https://drive.google.com/open?id=1hqgAKsZErcNRPdukqlEsAkIvq81dbFtV" TargetMode="External"/><Relationship Id="rId89" Type="http://schemas.openxmlformats.org/officeDocument/2006/relationships/hyperlink" Target="https://drive.google.com/open?id=1lSGvFzdkapxt8KvzJPHM9ly6PivhzTkU" TargetMode="External"/><Relationship Id="rId80" Type="http://schemas.openxmlformats.org/officeDocument/2006/relationships/hyperlink" Target="https://drive.google.com/open?id=13ynSgWDvZC7GZ-1D1jASJO7pcW58NVgA" TargetMode="External"/><Relationship Id="rId82" Type="http://schemas.openxmlformats.org/officeDocument/2006/relationships/hyperlink" Target="https://drive.google.com/open?id=1EhBeyHchqR2yNuh-kUdj62jb40TxwcWz" TargetMode="External"/><Relationship Id="rId81" Type="http://schemas.openxmlformats.org/officeDocument/2006/relationships/hyperlink" Target="https://drive.google.com/open?id=1ZMI30dMBhrx1nhz5iBiofJ3AZD7Z8dcv" TargetMode="External"/><Relationship Id="rId1" Type="http://schemas.openxmlformats.org/officeDocument/2006/relationships/hyperlink" Target="https://drive.google.com/open?id=18oPtkHlwVv-MPUokLfmsqJl6ubK6yoAz" TargetMode="External"/><Relationship Id="rId2" Type="http://schemas.openxmlformats.org/officeDocument/2006/relationships/hyperlink" Target="https://drive.google.com/open?id=1utoMBeofm1oitp-XVMTv8Wb-Ii2WY26B" TargetMode="External"/><Relationship Id="rId3" Type="http://schemas.openxmlformats.org/officeDocument/2006/relationships/hyperlink" Target="https://drive.google.com/open?id=1lGTvy4h1hHeRwL_EdItbikAvgbcs4Flc" TargetMode="External"/><Relationship Id="rId4" Type="http://schemas.openxmlformats.org/officeDocument/2006/relationships/hyperlink" Target="https://drive.google.com/open?id=1etbj47fwJT2rfNJ6PyVpGu84JBCiz0Kc" TargetMode="External"/><Relationship Id="rId9" Type="http://schemas.openxmlformats.org/officeDocument/2006/relationships/hyperlink" Target="https://drive.google.com/open?id=1CCvyIKMjBFv7S1C72NdTZzWyo80suIub" TargetMode="External"/><Relationship Id="rId5" Type="http://schemas.openxmlformats.org/officeDocument/2006/relationships/hyperlink" Target="https://drive.google.com/open?id=1uawHkHQOvdPqdPtK-FoccJwnOYkthyMk" TargetMode="External"/><Relationship Id="rId6" Type="http://schemas.openxmlformats.org/officeDocument/2006/relationships/hyperlink" Target="https://drive.google.com/open?id=1aCNYmRIDKB_PkgC-xNTgWsWPys0ljphK" TargetMode="External"/><Relationship Id="rId7" Type="http://schemas.openxmlformats.org/officeDocument/2006/relationships/hyperlink" Target="https://drive.google.com/open?id=1LKz9q6N6AjUglUM1NQQqUXQN4DwJmu16" TargetMode="External"/><Relationship Id="rId8" Type="http://schemas.openxmlformats.org/officeDocument/2006/relationships/hyperlink" Target="https://drive.google.com/open?id=1kEVIrFNX5wOJE4evULcMUlGYq5JW4LSy" TargetMode="External"/><Relationship Id="rId73" Type="http://schemas.openxmlformats.org/officeDocument/2006/relationships/hyperlink" Target="https://drive.google.com/open?id=12j05zMfdMkPjojossztS3qxYASbbCs9-" TargetMode="External"/><Relationship Id="rId72" Type="http://schemas.openxmlformats.org/officeDocument/2006/relationships/hyperlink" Target="https://drive.google.com/open?id=1Kc0VbvrjXPNRPsrnGZVMcE0lXJWtz0Wm" TargetMode="External"/><Relationship Id="rId75" Type="http://schemas.openxmlformats.org/officeDocument/2006/relationships/hyperlink" Target="https://drive.google.com/open?id=1TpY0oySYGlntOdS5kPEReUPaBi1bq8LT" TargetMode="External"/><Relationship Id="rId74" Type="http://schemas.openxmlformats.org/officeDocument/2006/relationships/hyperlink" Target="https://drive.google.com/open?id=1Z4FBWODwQg3c83OzLiCKuF0HYJGo7tVI" TargetMode="External"/><Relationship Id="rId77" Type="http://schemas.openxmlformats.org/officeDocument/2006/relationships/hyperlink" Target="https://drive.google.com/open?id=1IogMhlF3AZImO5-NSyHohYsUKYlCFS5q" TargetMode="External"/><Relationship Id="rId76" Type="http://schemas.openxmlformats.org/officeDocument/2006/relationships/hyperlink" Target="https://drive.google.com/open?id=1MRKTEo6CwEXAvjiO5DdF-f8gs4vG0Ruy" TargetMode="External"/><Relationship Id="rId79" Type="http://schemas.openxmlformats.org/officeDocument/2006/relationships/hyperlink" Target="https://drive.google.com/open?id=1cf79HT4iEimCw2_xqBOit0wRPQk_QGYZ" TargetMode="External"/><Relationship Id="rId78" Type="http://schemas.openxmlformats.org/officeDocument/2006/relationships/hyperlink" Target="https://drive.google.com/open?id=1vlW6Mf5LuAnFJWKMNFbyNNUBqkHcb6-F" TargetMode="External"/><Relationship Id="rId71" Type="http://schemas.openxmlformats.org/officeDocument/2006/relationships/hyperlink" Target="https://drive.google.com/open?id=1D4S6L8Ah64xYPMnjfXM8fHlCl6skw-lG" TargetMode="External"/><Relationship Id="rId70" Type="http://schemas.openxmlformats.org/officeDocument/2006/relationships/hyperlink" Target="https://drive.google.com/open?id=1fHrUOrevB4SDc7BfuIFyEf0fho8wQz-e" TargetMode="External"/><Relationship Id="rId137" Type="http://schemas.openxmlformats.org/officeDocument/2006/relationships/drawing" Target="../drawings/drawing1.xml"/><Relationship Id="rId132" Type="http://schemas.openxmlformats.org/officeDocument/2006/relationships/hyperlink" Target="https://drive.google.com/open?id=12KBAvTDP1roozr07Ie8db7b3pPswy9SM" TargetMode="External"/><Relationship Id="rId131" Type="http://schemas.openxmlformats.org/officeDocument/2006/relationships/hyperlink" Target="https://drive.google.com/open?id=1FsppJMzV3G48uKM32TDzokvxvI4IvBEd" TargetMode="External"/><Relationship Id="rId130" Type="http://schemas.openxmlformats.org/officeDocument/2006/relationships/hyperlink" Target="https://drive.google.com/open?id=1EgF5rg2zbBR4lStnAOimcPhO7qXcxsKN" TargetMode="External"/><Relationship Id="rId136" Type="http://schemas.openxmlformats.org/officeDocument/2006/relationships/hyperlink" Target="https://drive.google.com/open?id=1LD4PMm_buzBG-jdsyKTW92KdUQ3hNsIE" TargetMode="External"/><Relationship Id="rId135" Type="http://schemas.openxmlformats.org/officeDocument/2006/relationships/hyperlink" Target="https://drive.google.com/open?id=1GD-Mg0Dg3Wo6QSwxwcMOtMiK5Emswx-N" TargetMode="External"/><Relationship Id="rId134" Type="http://schemas.openxmlformats.org/officeDocument/2006/relationships/hyperlink" Target="https://drive.google.com/open?id=10UDZXvbKv_mdSS5WgoPYTeinqm-U2PgN" TargetMode="External"/><Relationship Id="rId133" Type="http://schemas.openxmlformats.org/officeDocument/2006/relationships/hyperlink" Target="https://drive.google.com/open?id=1ZC3iuanWqIDBrrI-wuGVENFtqFUN7jY4" TargetMode="External"/><Relationship Id="rId62" Type="http://schemas.openxmlformats.org/officeDocument/2006/relationships/hyperlink" Target="https://drive.google.com/open?id=1cSXyE-5XgiTnVjqsvI2iv-gH5jX79FH6" TargetMode="External"/><Relationship Id="rId61" Type="http://schemas.openxmlformats.org/officeDocument/2006/relationships/hyperlink" Target="https://drive.google.com/open?id=1s0SyrgEnpZvTU9vnuN5plbb6ong775yH" TargetMode="External"/><Relationship Id="rId64" Type="http://schemas.openxmlformats.org/officeDocument/2006/relationships/hyperlink" Target="https://drive.google.com/open?id=16EBhunKe2kyEdufMaqP8ENkbJRTOPNH0" TargetMode="External"/><Relationship Id="rId63" Type="http://schemas.openxmlformats.org/officeDocument/2006/relationships/hyperlink" Target="https://drive.google.com/open?id=1nXF1RzRTHsd0o2pvUeJp2BFl5ug6PqaH" TargetMode="External"/><Relationship Id="rId66" Type="http://schemas.openxmlformats.org/officeDocument/2006/relationships/hyperlink" Target="https://drive.google.com/open?id=1NEA_9bGs9DIRIRFtfmjrV_4x5xIHD6Xf" TargetMode="External"/><Relationship Id="rId65" Type="http://schemas.openxmlformats.org/officeDocument/2006/relationships/hyperlink" Target="https://drive.google.com/open?id=1gC75YaNg9_0pckxMx-WJk51iD_qV858R" TargetMode="External"/><Relationship Id="rId68" Type="http://schemas.openxmlformats.org/officeDocument/2006/relationships/hyperlink" Target="https://drive.google.com/open?id=1Ge3egJmSFu3nR-3ao4EMD4xMPJ9lf0AM" TargetMode="External"/><Relationship Id="rId67" Type="http://schemas.openxmlformats.org/officeDocument/2006/relationships/hyperlink" Target="https://drive.google.com/open?id=1B3L2EhXJG6PBtY2tgdKe3yR7JDlypFlj" TargetMode="External"/><Relationship Id="rId60" Type="http://schemas.openxmlformats.org/officeDocument/2006/relationships/hyperlink" Target="https://drive.google.com/open?id=1RIrRRmDnGolhi9bDe1sMZRmjZklE-wNf" TargetMode="External"/><Relationship Id="rId69" Type="http://schemas.openxmlformats.org/officeDocument/2006/relationships/hyperlink" Target="https://drive.google.com/open?id=1mdWRwuLqpSsx6OdObUywnoI7E1sb4gdK" TargetMode="External"/><Relationship Id="rId51" Type="http://schemas.openxmlformats.org/officeDocument/2006/relationships/hyperlink" Target="https://drive.google.com/open?id=1wc44THdywS7122LjQolYMAsDnM0wi50E" TargetMode="External"/><Relationship Id="rId50" Type="http://schemas.openxmlformats.org/officeDocument/2006/relationships/hyperlink" Target="https://drive.google.com/open?id=10nKaSB0BkAItC2g6e-ZSCuJ8byrGkFKy" TargetMode="External"/><Relationship Id="rId53" Type="http://schemas.openxmlformats.org/officeDocument/2006/relationships/hyperlink" Target="https://drive.google.com/open?id=1_mTh3XtDhXBqALdMEjGN0Qree1FiKM5E" TargetMode="External"/><Relationship Id="rId52" Type="http://schemas.openxmlformats.org/officeDocument/2006/relationships/hyperlink" Target="https://drive.google.com/open?id=1FGLRTlzywLn-kM4LOC4K7CacoG2IW246" TargetMode="External"/><Relationship Id="rId55" Type="http://schemas.openxmlformats.org/officeDocument/2006/relationships/hyperlink" Target="https://drive.google.com/open?id=1jrZM74cOA2ruk-fcrLHUl2nbBSVuhjOg" TargetMode="External"/><Relationship Id="rId54" Type="http://schemas.openxmlformats.org/officeDocument/2006/relationships/hyperlink" Target="https://drive.google.com/open?id=1FyQgCZ07mB00jAwcwR2P4eJnRzzkwRnV" TargetMode="External"/><Relationship Id="rId57" Type="http://schemas.openxmlformats.org/officeDocument/2006/relationships/hyperlink" Target="https://drive.google.com/open?id=14rS-bg776W2atrTqYRZ121f6k6lWAggC" TargetMode="External"/><Relationship Id="rId56" Type="http://schemas.openxmlformats.org/officeDocument/2006/relationships/hyperlink" Target="https://drive.google.com/open?id=1jguCsnOxf_pU-CFTg8WTYuvekF9zpW9L" TargetMode="External"/><Relationship Id="rId59" Type="http://schemas.openxmlformats.org/officeDocument/2006/relationships/hyperlink" Target="https://drive.google.com/open?id=1ycf8zxD-9CChzAIK17uCeMqAHNszXS8b" TargetMode="External"/><Relationship Id="rId58" Type="http://schemas.openxmlformats.org/officeDocument/2006/relationships/hyperlink" Target="https://drive.google.com/open?id=1SgFlQaY9vxZ96Zs7Bkmvnmi4YPyjAPmI"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rive.google.com/file/d/1jhhMLzotuxrje5xvqCy8E9yYi_GUyzgg/view?usp=drivesdk" TargetMode="External"/><Relationship Id="rId2" Type="http://schemas.openxmlformats.org/officeDocument/2006/relationships/hyperlink" Target="https://drive.google.com/file/d/1V-InmDzDthudVAkD7hrCAtvIHBQ7QdAl/view?usp=drivesdk" TargetMode="External"/><Relationship Id="rId3" Type="http://schemas.openxmlformats.org/officeDocument/2006/relationships/hyperlink" Target="https://drive.google.com/file/d/1iQvhQxODhoRAFKFZuUM-RMcz-Kp022m2/view?usp=drivesdk" TargetMode="External"/><Relationship Id="rId4" Type="http://schemas.openxmlformats.org/officeDocument/2006/relationships/hyperlink" Target="https://drive.google.com/file/d/1KMY99aV2aHeymNgqj_ASvT-D19qDRsx6/view?usp=drivesdk" TargetMode="External"/><Relationship Id="rId9" Type="http://schemas.openxmlformats.org/officeDocument/2006/relationships/drawing" Target="../drawings/drawing6.xml"/><Relationship Id="rId5" Type="http://schemas.openxmlformats.org/officeDocument/2006/relationships/hyperlink" Target="https://drive.google.com/file/d/1JV4tkpg_ouDHnNEz2nh-MRixM06QqDDt/view?usp=drivesdk" TargetMode="External"/><Relationship Id="rId6" Type="http://schemas.openxmlformats.org/officeDocument/2006/relationships/hyperlink" Target="https://drive.google.com/file/d/16Ha5WuiIx3ZkvuVSwh8Qrzy9TD3cZ5Uk/view?usp=drivesdk" TargetMode="External"/><Relationship Id="rId7" Type="http://schemas.openxmlformats.org/officeDocument/2006/relationships/hyperlink" Target="https://drive.google.com/file/d/1RczIXfRW7f7zTenMGMY8jcxOHr4z5XjI/view?usp=drivesdk" TargetMode="External"/><Relationship Id="rId8" Type="http://schemas.openxmlformats.org/officeDocument/2006/relationships/hyperlink" Target="https://drive.google.com/file/d/1FNHsYc1JZziEe1XbkPLBTGC051aEqEax/view?usp=drivesdk"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rive.google.com/open?id=1LD4PMm_buzBG-jdsyKTW92KdUQ3hNsIE"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 Id="rId3" Type="http://schemas.openxmlformats.org/officeDocument/2006/relationships/table" Target="../tables/table2.xml"/></Relationships>
</file>

<file path=xl/worksheets/_rels/sheet14.xml.rels><?xml version="1.0" encoding="UTF-8" standalone="yes"?><Relationships xmlns="http://schemas.openxmlformats.org/package/2006/relationships"><Relationship Id="rId1" Type="http://schemas.openxmlformats.org/officeDocument/2006/relationships/hyperlink" Target="http://lapor.go.id/" TargetMode="External"/><Relationship Id="rId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 Id="rId3" Type="http://schemas.openxmlformats.org/officeDocument/2006/relationships/table" Target="../tables/table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 Id="rId3"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1" Type="http://schemas.openxmlformats.org/officeDocument/2006/relationships/hyperlink" Target="https://ppid.bps.go.id/upload/doc/Logo_Whatsapp_PST_1753258005.png" TargetMode="External"/><Relationship Id="rId10" Type="http://schemas.openxmlformats.org/officeDocument/2006/relationships/hyperlink" Target="https://ppid.bps.go.id/upload/doc/Logo_Whatsapp_PST_1753258005.png" TargetMode="External"/><Relationship Id="rId13" Type="http://schemas.openxmlformats.org/officeDocument/2006/relationships/hyperlink" Target="https://ppid.bps.go.id/upload/doc/Logo_Whatsapp_PST_1753258005.png" TargetMode="External"/><Relationship Id="rId12" Type="http://schemas.openxmlformats.org/officeDocument/2006/relationships/hyperlink" Target="https://ppid.bps.go.id/upload/doc/Logo_Whatsapp_PST_1753258005.png" TargetMode="External"/><Relationship Id="rId15" Type="http://schemas.openxmlformats.org/officeDocument/2006/relationships/hyperlink" Target="https://ppid.bps.go.id/upload/doc/Logo_Whatsapp_PST_1753258005.png" TargetMode="External"/><Relationship Id="rId14" Type="http://schemas.openxmlformats.org/officeDocument/2006/relationships/hyperlink" Target="https://ppid.bps.go.id/upload/doc/Logo_Whatsapp_PST_1753258005.png" TargetMode="External"/><Relationship Id="rId16" Type="http://schemas.openxmlformats.org/officeDocument/2006/relationships/drawing" Target="../drawings/drawing25.xml"/><Relationship Id="rId18" Type="http://schemas.openxmlformats.org/officeDocument/2006/relationships/table" Target="../tables/table5.xml"/><Relationship Id="rId1" Type="http://schemas.openxmlformats.org/officeDocument/2006/relationships/hyperlink" Target="https://ppid.bps.go.id/upload/doc/Logo_Whatsapp_PST_1753258005.png" TargetMode="External"/><Relationship Id="rId2" Type="http://schemas.openxmlformats.org/officeDocument/2006/relationships/hyperlink" Target="https://ppid.bps.go.id/upload/doc/Logo_Whatsapp_PST_1753258005.png" TargetMode="External"/><Relationship Id="rId3" Type="http://schemas.openxmlformats.org/officeDocument/2006/relationships/hyperlink" Target="https://ppid.bps.go.id/upload/doc/Logo_Whatsapp_PST_1753258005.png" TargetMode="External"/><Relationship Id="rId4" Type="http://schemas.openxmlformats.org/officeDocument/2006/relationships/hyperlink" Target="https://ppid.bps.go.id/upload/doc/Logo_Whatsapp_PST_1753258005.png" TargetMode="External"/><Relationship Id="rId9" Type="http://schemas.openxmlformats.org/officeDocument/2006/relationships/hyperlink" Target="https://ppid.bps.go.id/upload/doc/Logo_Whatsapp_PST_1753258005.png" TargetMode="External"/><Relationship Id="rId5" Type="http://schemas.openxmlformats.org/officeDocument/2006/relationships/hyperlink" Target="https://ppid.bps.go.id/upload/doc/Logo_Whatsapp_PST_1753258005.png" TargetMode="External"/><Relationship Id="rId6" Type="http://schemas.openxmlformats.org/officeDocument/2006/relationships/hyperlink" Target="https://ppid.bps.go.id/upload/doc/Logo_Whatsapp_PST_1753258005.png" TargetMode="External"/><Relationship Id="rId7" Type="http://schemas.openxmlformats.org/officeDocument/2006/relationships/hyperlink" Target="https://ppid.bps.go.id/upload/doc/Logo_Whatsapp_PST_1753258005.png" TargetMode="External"/><Relationship Id="rId8" Type="http://schemas.openxmlformats.org/officeDocument/2006/relationships/hyperlink" Target="https://ppid.bps.go.id/upload/doc/Logo_Whatsapp_PST_1753258005.png" TargetMode="Externa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 Id="rId3" Type="http://schemas.openxmlformats.org/officeDocument/2006/relationships/table" Target="../tables/table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 Id="rId3" Type="http://schemas.openxmlformats.org/officeDocument/2006/relationships/table" Target="../tables/table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 Id="rId3"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1.25"/>
    <col customWidth="1" min="3" max="3" width="14.5"/>
    <col customWidth="1" min="4" max="4" width="24.63"/>
    <col customWidth="1" min="5" max="5" width="25.0"/>
    <col customWidth="1" min="6" max="6" width="56.38"/>
    <col customWidth="1" min="7" max="7" width="22.75"/>
    <col customWidth="1" min="8" max="15" width="18.88"/>
  </cols>
  <sheetData>
    <row r="1">
      <c r="A1" s="1" t="s">
        <v>0</v>
      </c>
      <c r="B1" s="1" t="s">
        <v>1</v>
      </c>
      <c r="C1" s="1" t="s">
        <v>2</v>
      </c>
      <c r="D1" s="1" t="s">
        <v>3</v>
      </c>
      <c r="E1" s="1" t="s">
        <v>4</v>
      </c>
      <c r="F1" s="1" t="s">
        <v>5</v>
      </c>
      <c r="G1" s="1" t="s">
        <v>6</v>
      </c>
      <c r="H1" s="2" t="s">
        <v>7</v>
      </c>
      <c r="I1" s="2" t="s">
        <v>8</v>
      </c>
    </row>
    <row r="2">
      <c r="A2" s="3">
        <v>45301.52215903935</v>
      </c>
      <c r="B2" s="4" t="s">
        <v>9</v>
      </c>
      <c r="E2" s="4" t="s">
        <v>10</v>
      </c>
      <c r="F2" s="4" t="s">
        <v>11</v>
      </c>
      <c r="G2" s="5" t="s">
        <v>12</v>
      </c>
      <c r="H2" s="4" t="s">
        <v>13</v>
      </c>
      <c r="I2" s="4" t="s">
        <v>14</v>
      </c>
    </row>
    <row r="3">
      <c r="A3" s="3">
        <v>45301.554200914354</v>
      </c>
      <c r="B3" s="4" t="s">
        <v>15</v>
      </c>
      <c r="C3" s="6" t="s">
        <v>16</v>
      </c>
      <c r="D3" s="4" t="s">
        <v>17</v>
      </c>
      <c r="E3" s="4" t="s">
        <v>10</v>
      </c>
      <c r="F3" s="4" t="s">
        <v>11</v>
      </c>
      <c r="G3" s="5" t="s">
        <v>18</v>
      </c>
      <c r="H3" s="4" t="s">
        <v>19</v>
      </c>
      <c r="I3" s="4" t="s">
        <v>20</v>
      </c>
    </row>
    <row r="4">
      <c r="A4" s="3">
        <v>45301.555055219906</v>
      </c>
      <c r="B4" s="4" t="s">
        <v>21</v>
      </c>
      <c r="C4" s="6" t="s">
        <v>22</v>
      </c>
      <c r="E4" s="4" t="s">
        <v>10</v>
      </c>
      <c r="F4" s="4" t="s">
        <v>11</v>
      </c>
      <c r="G4" s="5" t="s">
        <v>23</v>
      </c>
      <c r="H4" s="4" t="s">
        <v>19</v>
      </c>
      <c r="I4" s="4" t="s">
        <v>20</v>
      </c>
    </row>
    <row r="5">
      <c r="A5" s="3">
        <v>45301.55640350694</v>
      </c>
      <c r="B5" s="4" t="s">
        <v>24</v>
      </c>
      <c r="C5" s="6" t="s">
        <v>25</v>
      </c>
      <c r="D5" s="4" t="s">
        <v>26</v>
      </c>
      <c r="E5" s="4" t="s">
        <v>10</v>
      </c>
      <c r="F5" s="4" t="s">
        <v>11</v>
      </c>
      <c r="G5" s="5" t="s">
        <v>27</v>
      </c>
      <c r="H5" s="4" t="s">
        <v>28</v>
      </c>
      <c r="I5" s="4" t="s">
        <v>20</v>
      </c>
    </row>
    <row r="6">
      <c r="A6" s="3">
        <v>45303.457870011574</v>
      </c>
      <c r="B6" s="4" t="s">
        <v>29</v>
      </c>
      <c r="C6" s="6" t="s">
        <v>30</v>
      </c>
      <c r="D6" s="4" t="s">
        <v>31</v>
      </c>
      <c r="E6" s="4" t="s">
        <v>10</v>
      </c>
      <c r="F6" s="4" t="s">
        <v>32</v>
      </c>
      <c r="G6" s="5" t="s">
        <v>33</v>
      </c>
      <c r="H6" s="4" t="s">
        <v>34</v>
      </c>
      <c r="I6" s="4" t="s">
        <v>35</v>
      </c>
    </row>
    <row r="7">
      <c r="A7" s="3">
        <v>45315.40917284723</v>
      </c>
      <c r="B7" s="4" t="s">
        <v>36</v>
      </c>
      <c r="C7" s="6" t="s">
        <v>37</v>
      </c>
      <c r="E7" s="4" t="s">
        <v>10</v>
      </c>
      <c r="F7" s="4" t="s">
        <v>32</v>
      </c>
      <c r="G7" s="5" t="s">
        <v>38</v>
      </c>
      <c r="H7" s="4" t="s">
        <v>28</v>
      </c>
      <c r="I7" s="4" t="s">
        <v>39</v>
      </c>
    </row>
    <row r="8">
      <c r="A8" s="3">
        <v>45321.346575081014</v>
      </c>
      <c r="B8" s="4" t="s">
        <v>40</v>
      </c>
      <c r="C8" s="6" t="s">
        <v>41</v>
      </c>
      <c r="D8" s="4" t="s">
        <v>42</v>
      </c>
      <c r="E8" s="4" t="s">
        <v>43</v>
      </c>
      <c r="F8" s="4" t="s">
        <v>44</v>
      </c>
      <c r="G8" s="5" t="s">
        <v>45</v>
      </c>
      <c r="H8" s="4" t="s">
        <v>44</v>
      </c>
      <c r="I8" s="4" t="s">
        <v>43</v>
      </c>
    </row>
    <row r="9">
      <c r="A9" s="3">
        <v>45321.366348449075</v>
      </c>
      <c r="B9" s="4" t="s">
        <v>46</v>
      </c>
      <c r="C9" s="6" t="s">
        <v>47</v>
      </c>
      <c r="D9" s="4" t="s">
        <v>48</v>
      </c>
      <c r="E9" s="4" t="s">
        <v>43</v>
      </c>
      <c r="F9" s="4" t="s">
        <v>44</v>
      </c>
      <c r="G9" s="5" t="s">
        <v>49</v>
      </c>
      <c r="H9" s="4" t="s">
        <v>50</v>
      </c>
      <c r="I9" s="4" t="s">
        <v>43</v>
      </c>
    </row>
    <row r="10">
      <c r="A10" s="3">
        <v>45321.36769151621</v>
      </c>
      <c r="B10" s="4" t="s">
        <v>51</v>
      </c>
      <c r="C10" s="6" t="s">
        <v>52</v>
      </c>
      <c r="D10" s="4" t="s">
        <v>53</v>
      </c>
      <c r="E10" s="4" t="s">
        <v>43</v>
      </c>
      <c r="F10" s="4" t="s">
        <v>44</v>
      </c>
      <c r="G10" s="5" t="s">
        <v>54</v>
      </c>
      <c r="H10" s="4" t="s">
        <v>44</v>
      </c>
      <c r="I10" s="4" t="s">
        <v>43</v>
      </c>
    </row>
    <row r="11">
      <c r="A11" s="3">
        <v>45321.39532993056</v>
      </c>
      <c r="B11" s="4" t="s">
        <v>55</v>
      </c>
      <c r="C11" s="6" t="s">
        <v>56</v>
      </c>
      <c r="D11" s="4" t="s">
        <v>57</v>
      </c>
      <c r="E11" s="4" t="s">
        <v>58</v>
      </c>
      <c r="F11" s="4" t="s">
        <v>59</v>
      </c>
      <c r="G11" s="5" t="s">
        <v>60</v>
      </c>
      <c r="H11" s="4" t="s">
        <v>59</v>
      </c>
      <c r="I11" s="4" t="s">
        <v>58</v>
      </c>
    </row>
    <row r="12">
      <c r="A12" s="3">
        <v>45321.514933425926</v>
      </c>
      <c r="B12" s="4" t="s">
        <v>61</v>
      </c>
      <c r="C12" s="6" t="s">
        <v>62</v>
      </c>
      <c r="D12" s="4" t="s">
        <v>63</v>
      </c>
      <c r="E12" s="4" t="s">
        <v>64</v>
      </c>
      <c r="F12" s="4" t="s">
        <v>59</v>
      </c>
      <c r="G12" s="5" t="s">
        <v>65</v>
      </c>
      <c r="H12" s="4" t="s">
        <v>59</v>
      </c>
      <c r="I12" s="4" t="s">
        <v>58</v>
      </c>
    </row>
    <row r="13">
      <c r="A13" s="3">
        <v>45321.589269375</v>
      </c>
      <c r="B13" s="4" t="s">
        <v>66</v>
      </c>
      <c r="C13" s="6" t="s">
        <v>67</v>
      </c>
      <c r="D13" s="4" t="s">
        <v>68</v>
      </c>
      <c r="E13" s="4" t="s">
        <v>58</v>
      </c>
      <c r="F13" s="4" t="s">
        <v>59</v>
      </c>
      <c r="G13" s="5" t="s">
        <v>69</v>
      </c>
      <c r="H13" s="4" t="s">
        <v>59</v>
      </c>
      <c r="I13" s="4" t="s">
        <v>58</v>
      </c>
    </row>
    <row r="14">
      <c r="A14" s="3">
        <v>45321.59664900463</v>
      </c>
      <c r="B14" s="4" t="s">
        <v>70</v>
      </c>
      <c r="C14" s="6" t="s">
        <v>71</v>
      </c>
      <c r="D14" s="4" t="s">
        <v>72</v>
      </c>
      <c r="E14" s="4" t="s">
        <v>58</v>
      </c>
      <c r="F14" s="4" t="s">
        <v>59</v>
      </c>
      <c r="G14" s="5" t="s">
        <v>73</v>
      </c>
      <c r="H14" s="4" t="s">
        <v>59</v>
      </c>
      <c r="I14" s="4" t="s">
        <v>58</v>
      </c>
    </row>
    <row r="15">
      <c r="A15" s="3">
        <v>45322.40946944444</v>
      </c>
      <c r="B15" s="4" t="s">
        <v>74</v>
      </c>
      <c r="C15" s="6" t="s">
        <v>75</v>
      </c>
      <c r="D15" s="4" t="s">
        <v>76</v>
      </c>
      <c r="E15" s="4" t="s">
        <v>77</v>
      </c>
      <c r="F15" s="4" t="s">
        <v>78</v>
      </c>
      <c r="G15" s="5" t="s">
        <v>79</v>
      </c>
      <c r="H15" s="4" t="s">
        <v>78</v>
      </c>
      <c r="I15" s="4" t="s">
        <v>77</v>
      </c>
    </row>
    <row r="16">
      <c r="A16" s="3">
        <v>45322.41433921296</v>
      </c>
      <c r="B16" s="4" t="s">
        <v>80</v>
      </c>
      <c r="C16" s="6" t="s">
        <v>81</v>
      </c>
      <c r="D16" s="4" t="s">
        <v>82</v>
      </c>
      <c r="E16" s="4" t="s">
        <v>58</v>
      </c>
      <c r="F16" s="4" t="s">
        <v>83</v>
      </c>
      <c r="G16" s="5" t="s">
        <v>84</v>
      </c>
      <c r="H16" s="4" t="s">
        <v>83</v>
      </c>
      <c r="I16" s="4" t="s">
        <v>58</v>
      </c>
    </row>
    <row r="17">
      <c r="A17" s="3">
        <v>45322.45823054398</v>
      </c>
      <c r="B17" s="4" t="s">
        <v>85</v>
      </c>
      <c r="C17" s="6" t="s">
        <v>86</v>
      </c>
      <c r="D17" s="4" t="s">
        <v>87</v>
      </c>
      <c r="E17" s="4" t="s">
        <v>88</v>
      </c>
      <c r="F17" s="4" t="s">
        <v>89</v>
      </c>
      <c r="G17" s="5" t="s">
        <v>90</v>
      </c>
      <c r="H17" s="4" t="s">
        <v>91</v>
      </c>
      <c r="I17" s="4" t="s">
        <v>58</v>
      </c>
    </row>
    <row r="18">
      <c r="A18" s="3">
        <v>45322.45963416666</v>
      </c>
      <c r="B18" s="4" t="s">
        <v>92</v>
      </c>
      <c r="C18" s="6" t="s">
        <v>93</v>
      </c>
      <c r="D18" s="4" t="s">
        <v>94</v>
      </c>
      <c r="E18" s="4" t="s">
        <v>43</v>
      </c>
      <c r="F18" s="4" t="s">
        <v>95</v>
      </c>
      <c r="G18" s="5" t="s">
        <v>96</v>
      </c>
      <c r="H18" s="4" t="s">
        <v>91</v>
      </c>
      <c r="I18" s="4" t="s">
        <v>58</v>
      </c>
    </row>
    <row r="19">
      <c r="A19" s="3">
        <v>45322.62301115741</v>
      </c>
      <c r="B19" s="4" t="s">
        <v>97</v>
      </c>
      <c r="C19" s="4" t="s">
        <v>98</v>
      </c>
      <c r="E19" s="4" t="s">
        <v>99</v>
      </c>
      <c r="F19" s="4" t="s">
        <v>100</v>
      </c>
      <c r="G19" s="5" t="s">
        <v>101</v>
      </c>
      <c r="H19" s="4" t="s">
        <v>102</v>
      </c>
      <c r="I19" s="4" t="s">
        <v>103</v>
      </c>
    </row>
    <row r="20">
      <c r="A20" s="3">
        <v>45328.35370810185</v>
      </c>
      <c r="B20" s="4" t="s">
        <v>104</v>
      </c>
      <c r="C20" s="6" t="s">
        <v>105</v>
      </c>
      <c r="D20" s="4" t="s">
        <v>106</v>
      </c>
      <c r="E20" s="4" t="s">
        <v>58</v>
      </c>
      <c r="F20" s="4" t="s">
        <v>107</v>
      </c>
      <c r="G20" s="5" t="s">
        <v>108</v>
      </c>
      <c r="H20" s="4" t="s">
        <v>109</v>
      </c>
      <c r="I20" s="4" t="s">
        <v>58</v>
      </c>
    </row>
    <row r="21">
      <c r="A21" s="3">
        <v>45329.40034092593</v>
      </c>
      <c r="B21" s="4" t="s">
        <v>110</v>
      </c>
      <c r="C21" s="6" t="s">
        <v>111</v>
      </c>
      <c r="D21" s="4" t="s">
        <v>112</v>
      </c>
      <c r="E21" s="4" t="s">
        <v>43</v>
      </c>
      <c r="F21" s="4" t="s">
        <v>113</v>
      </c>
      <c r="G21" s="5" t="s">
        <v>114</v>
      </c>
      <c r="H21" s="4" t="s">
        <v>113</v>
      </c>
      <c r="I21" s="4" t="s">
        <v>43</v>
      </c>
    </row>
    <row r="22">
      <c r="A22" s="3">
        <v>45329.422311365735</v>
      </c>
      <c r="B22" s="4" t="s">
        <v>115</v>
      </c>
      <c r="C22" s="6" t="s">
        <v>116</v>
      </c>
      <c r="D22" s="4" t="s">
        <v>117</v>
      </c>
      <c r="E22" s="4" t="s">
        <v>58</v>
      </c>
      <c r="F22" s="4" t="s">
        <v>118</v>
      </c>
      <c r="G22" s="5" t="s">
        <v>119</v>
      </c>
      <c r="H22" s="4" t="s">
        <v>120</v>
      </c>
      <c r="I22" s="4" t="s">
        <v>58</v>
      </c>
    </row>
    <row r="23">
      <c r="A23" s="3">
        <v>45329.42621061343</v>
      </c>
      <c r="B23" s="4" t="s">
        <v>121</v>
      </c>
      <c r="C23" s="6" t="s">
        <v>122</v>
      </c>
      <c r="D23" s="4" t="s">
        <v>123</v>
      </c>
      <c r="E23" s="4" t="s">
        <v>58</v>
      </c>
      <c r="F23" s="4" t="s">
        <v>120</v>
      </c>
      <c r="G23" s="5" t="s">
        <v>124</v>
      </c>
      <c r="H23" s="4" t="s">
        <v>125</v>
      </c>
      <c r="I23" s="4" t="s">
        <v>58</v>
      </c>
    </row>
    <row r="24">
      <c r="A24" s="3">
        <v>45329.477354456016</v>
      </c>
      <c r="B24" s="4" t="s">
        <v>126</v>
      </c>
      <c r="C24" s="6" t="s">
        <v>86</v>
      </c>
      <c r="D24" s="4" t="s">
        <v>87</v>
      </c>
      <c r="E24" s="4" t="s">
        <v>58</v>
      </c>
      <c r="F24" s="4" t="s">
        <v>91</v>
      </c>
      <c r="G24" s="5" t="s">
        <v>127</v>
      </c>
      <c r="H24" s="4" t="s">
        <v>91</v>
      </c>
      <c r="I24" s="4" t="s">
        <v>58</v>
      </c>
    </row>
    <row r="25">
      <c r="A25" s="3">
        <v>45329.57071163194</v>
      </c>
      <c r="B25" s="4" t="s">
        <v>128</v>
      </c>
      <c r="C25" s="6" t="s">
        <v>129</v>
      </c>
      <c r="D25" s="4" t="s">
        <v>130</v>
      </c>
      <c r="E25" s="4" t="s">
        <v>58</v>
      </c>
      <c r="F25" s="4" t="s">
        <v>91</v>
      </c>
      <c r="G25" s="5" t="s">
        <v>131</v>
      </c>
      <c r="H25" s="4" t="s">
        <v>91</v>
      </c>
      <c r="I25" s="4" t="s">
        <v>132</v>
      </c>
    </row>
    <row r="26">
      <c r="A26" s="3">
        <v>45334.58437916667</v>
      </c>
      <c r="B26" s="4" t="s">
        <v>133</v>
      </c>
      <c r="C26" s="6" t="s">
        <v>134</v>
      </c>
      <c r="D26" s="4" t="s">
        <v>135</v>
      </c>
      <c r="E26" s="4" t="s">
        <v>10</v>
      </c>
      <c r="F26" s="4" t="s">
        <v>32</v>
      </c>
      <c r="G26" s="5" t="s">
        <v>136</v>
      </c>
      <c r="H26" s="4" t="s">
        <v>137</v>
      </c>
      <c r="I26" s="4" t="s">
        <v>138</v>
      </c>
    </row>
    <row r="27">
      <c r="A27" s="3">
        <v>45337.70366347222</v>
      </c>
      <c r="B27" s="4" t="s">
        <v>139</v>
      </c>
      <c r="C27" s="6" t="s">
        <v>140</v>
      </c>
      <c r="D27" s="4" t="s">
        <v>141</v>
      </c>
      <c r="E27" s="4" t="s">
        <v>142</v>
      </c>
      <c r="F27" s="4" t="s">
        <v>11</v>
      </c>
      <c r="G27" s="5" t="s">
        <v>143</v>
      </c>
      <c r="H27" s="4" t="s">
        <v>144</v>
      </c>
      <c r="I27" s="4" t="s">
        <v>145</v>
      </c>
    </row>
    <row r="28">
      <c r="A28" s="3">
        <v>45337.71797261574</v>
      </c>
      <c r="B28" s="4" t="s">
        <v>146</v>
      </c>
      <c r="C28" s="6" t="s">
        <v>147</v>
      </c>
      <c r="D28" s="4" t="s">
        <v>148</v>
      </c>
      <c r="E28" s="4" t="s">
        <v>142</v>
      </c>
      <c r="F28" s="4" t="s">
        <v>11</v>
      </c>
      <c r="G28" s="5" t="s">
        <v>149</v>
      </c>
      <c r="H28" s="4" t="s">
        <v>150</v>
      </c>
      <c r="I28" s="4" t="s">
        <v>145</v>
      </c>
    </row>
    <row r="29">
      <c r="A29" s="3">
        <v>45344.6042752662</v>
      </c>
      <c r="B29" s="4" t="s">
        <v>151</v>
      </c>
      <c r="C29" s="6" t="s">
        <v>152</v>
      </c>
      <c r="D29" s="4" t="s">
        <v>153</v>
      </c>
      <c r="E29" s="4" t="s">
        <v>10</v>
      </c>
      <c r="F29" s="4" t="s">
        <v>32</v>
      </c>
      <c r="G29" s="5" t="s">
        <v>154</v>
      </c>
      <c r="H29" s="4" t="s">
        <v>155</v>
      </c>
      <c r="I29" s="4" t="s">
        <v>156</v>
      </c>
    </row>
    <row r="30">
      <c r="A30" s="3">
        <v>45345.476453842595</v>
      </c>
      <c r="B30" s="4" t="s">
        <v>157</v>
      </c>
      <c r="C30" s="6" t="s">
        <v>158</v>
      </c>
      <c r="D30" s="4" t="s">
        <v>159</v>
      </c>
      <c r="E30" s="4" t="s">
        <v>10</v>
      </c>
      <c r="F30" s="4" t="s">
        <v>32</v>
      </c>
      <c r="G30" s="5" t="s">
        <v>160</v>
      </c>
      <c r="H30" s="4" t="s">
        <v>161</v>
      </c>
      <c r="I30" s="4" t="s">
        <v>162</v>
      </c>
    </row>
    <row r="31">
      <c r="A31" s="3">
        <v>45349.38246143519</v>
      </c>
      <c r="B31" s="4" t="s">
        <v>163</v>
      </c>
      <c r="C31" s="6" t="s">
        <v>164</v>
      </c>
      <c r="D31" s="4" t="s">
        <v>165</v>
      </c>
      <c r="E31" s="4" t="s">
        <v>43</v>
      </c>
      <c r="F31" s="4" t="s">
        <v>166</v>
      </c>
      <c r="G31" s="5" t="s">
        <v>167</v>
      </c>
      <c r="H31" s="4" t="s">
        <v>168</v>
      </c>
      <c r="I31" s="4" t="s">
        <v>58</v>
      </c>
    </row>
    <row r="32">
      <c r="A32" s="3">
        <v>45350.35455898148</v>
      </c>
      <c r="B32" s="4" t="s">
        <v>169</v>
      </c>
      <c r="C32" s="6" t="s">
        <v>170</v>
      </c>
      <c r="D32" s="4" t="s">
        <v>171</v>
      </c>
      <c r="E32" s="4" t="s">
        <v>10</v>
      </c>
      <c r="F32" s="4" t="s">
        <v>32</v>
      </c>
      <c r="G32" s="5" t="s">
        <v>172</v>
      </c>
      <c r="H32" s="4" t="s">
        <v>173</v>
      </c>
      <c r="I32" s="4" t="s">
        <v>174</v>
      </c>
    </row>
    <row r="33">
      <c r="A33" s="3">
        <v>45351.36906509259</v>
      </c>
      <c r="B33" s="4" t="s">
        <v>175</v>
      </c>
      <c r="C33" s="6" t="s">
        <v>25</v>
      </c>
      <c r="D33" s="4" t="s">
        <v>26</v>
      </c>
      <c r="E33" s="4" t="s">
        <v>10</v>
      </c>
      <c r="F33" s="4" t="s">
        <v>176</v>
      </c>
      <c r="G33" s="5" t="s">
        <v>177</v>
      </c>
      <c r="H33" s="4" t="s">
        <v>178</v>
      </c>
      <c r="I33" s="4" t="s">
        <v>179</v>
      </c>
    </row>
    <row r="34">
      <c r="A34" s="3">
        <v>45351.38000420139</v>
      </c>
      <c r="B34" s="4" t="s">
        <v>180</v>
      </c>
      <c r="C34" s="6" t="s">
        <v>181</v>
      </c>
      <c r="D34" s="4" t="s">
        <v>182</v>
      </c>
      <c r="E34" s="4" t="s">
        <v>10</v>
      </c>
      <c r="F34" s="4" t="s">
        <v>183</v>
      </c>
      <c r="G34" s="5" t="s">
        <v>184</v>
      </c>
      <c r="H34" s="4" t="s">
        <v>185</v>
      </c>
      <c r="I34" s="4" t="s">
        <v>186</v>
      </c>
    </row>
    <row r="35">
      <c r="A35" s="3">
        <v>45351.38174390046</v>
      </c>
      <c r="B35" s="4" t="s">
        <v>187</v>
      </c>
      <c r="C35" s="6" t="s">
        <v>188</v>
      </c>
      <c r="D35" s="4" t="s">
        <v>189</v>
      </c>
      <c r="E35" s="4" t="s">
        <v>10</v>
      </c>
      <c r="F35" s="4" t="s">
        <v>185</v>
      </c>
      <c r="G35" s="5" t="s">
        <v>190</v>
      </c>
      <c r="H35" s="4" t="s">
        <v>185</v>
      </c>
      <c r="I35" s="4" t="s">
        <v>186</v>
      </c>
    </row>
    <row r="36">
      <c r="A36" s="3">
        <v>45351.384004374995</v>
      </c>
      <c r="B36" s="4" t="s">
        <v>191</v>
      </c>
      <c r="C36" s="6" t="s">
        <v>192</v>
      </c>
      <c r="D36" s="4" t="s">
        <v>193</v>
      </c>
      <c r="E36" s="4" t="s">
        <v>10</v>
      </c>
      <c r="F36" s="4" t="s">
        <v>185</v>
      </c>
      <c r="G36" s="5" t="s">
        <v>194</v>
      </c>
      <c r="H36" s="4" t="s">
        <v>185</v>
      </c>
    </row>
    <row r="37">
      <c r="A37" s="3">
        <v>45351.391250706016</v>
      </c>
      <c r="B37" s="4" t="s">
        <v>195</v>
      </c>
      <c r="C37" s="6" t="s">
        <v>196</v>
      </c>
      <c r="D37" s="4" t="s">
        <v>197</v>
      </c>
      <c r="E37" s="4" t="s">
        <v>10</v>
      </c>
      <c r="F37" s="4" t="s">
        <v>11</v>
      </c>
      <c r="G37" s="5" t="s">
        <v>198</v>
      </c>
      <c r="H37" s="4" t="s">
        <v>185</v>
      </c>
      <c r="I37" s="4" t="s">
        <v>199</v>
      </c>
    </row>
    <row r="38">
      <c r="A38" s="3">
        <v>45352.387021076385</v>
      </c>
      <c r="B38" s="4" t="s">
        <v>200</v>
      </c>
      <c r="C38" s="6" t="s">
        <v>201</v>
      </c>
      <c r="D38" s="4" t="s">
        <v>202</v>
      </c>
      <c r="E38" s="4" t="s">
        <v>10</v>
      </c>
      <c r="F38" s="4" t="s">
        <v>11</v>
      </c>
      <c r="G38" s="5" t="s">
        <v>203</v>
      </c>
      <c r="H38" s="4" t="s">
        <v>28</v>
      </c>
      <c r="I38" s="4" t="s">
        <v>204</v>
      </c>
    </row>
    <row r="39">
      <c r="A39" s="3">
        <v>45352.62500399306</v>
      </c>
      <c r="B39" s="4" t="s">
        <v>205</v>
      </c>
      <c r="C39" s="6" t="s">
        <v>206</v>
      </c>
      <c r="D39" s="4" t="s">
        <v>207</v>
      </c>
      <c r="E39" s="4" t="s">
        <v>10</v>
      </c>
      <c r="F39" s="4" t="s">
        <v>32</v>
      </c>
      <c r="G39" s="5" t="s">
        <v>208</v>
      </c>
      <c r="H39" s="4" t="s">
        <v>209</v>
      </c>
      <c r="I39" s="4" t="s">
        <v>210</v>
      </c>
    </row>
    <row r="40">
      <c r="A40" s="3">
        <v>45366.42102041667</v>
      </c>
      <c r="B40" s="4" t="s">
        <v>211</v>
      </c>
      <c r="C40" s="6" t="s">
        <v>212</v>
      </c>
      <c r="D40" s="4" t="s">
        <v>213</v>
      </c>
      <c r="E40" s="4" t="s">
        <v>214</v>
      </c>
      <c r="F40" s="4" t="s">
        <v>32</v>
      </c>
      <c r="G40" s="5" t="s">
        <v>215</v>
      </c>
      <c r="H40" s="4" t="s">
        <v>216</v>
      </c>
      <c r="I40" s="4" t="s">
        <v>214</v>
      </c>
    </row>
    <row r="41">
      <c r="A41" s="3">
        <v>45369.65686033564</v>
      </c>
      <c r="B41" s="4" t="s">
        <v>217</v>
      </c>
      <c r="C41" s="4">
        <v>1234.0</v>
      </c>
      <c r="E41" s="4" t="s">
        <v>218</v>
      </c>
      <c r="F41" s="4" t="s">
        <v>32</v>
      </c>
      <c r="H41" s="4" t="s">
        <v>219</v>
      </c>
    </row>
    <row r="42">
      <c r="A42" s="3">
        <v>45370.34326679398</v>
      </c>
      <c r="B42" s="4" t="s">
        <v>220</v>
      </c>
      <c r="C42" s="6" t="s">
        <v>221</v>
      </c>
      <c r="D42" s="4" t="s">
        <v>222</v>
      </c>
      <c r="E42" s="4" t="s">
        <v>58</v>
      </c>
      <c r="F42" s="4" t="s">
        <v>223</v>
      </c>
      <c r="G42" s="5" t="s">
        <v>224</v>
      </c>
    </row>
    <row r="43">
      <c r="A43" s="3">
        <v>45370.35221092592</v>
      </c>
      <c r="B43" s="4" t="s">
        <v>225</v>
      </c>
      <c r="C43" s="6" t="s">
        <v>226</v>
      </c>
      <c r="D43" s="4" t="s">
        <v>227</v>
      </c>
      <c r="E43" s="4" t="s">
        <v>58</v>
      </c>
      <c r="F43" s="4" t="s">
        <v>223</v>
      </c>
      <c r="G43" s="5" t="s">
        <v>228</v>
      </c>
    </row>
    <row r="44">
      <c r="A44" s="3">
        <v>45370.35363208334</v>
      </c>
      <c r="B44" s="4" t="s">
        <v>229</v>
      </c>
      <c r="C44" s="6" t="s">
        <v>230</v>
      </c>
      <c r="D44" s="4" t="s">
        <v>231</v>
      </c>
      <c r="E44" s="4" t="s">
        <v>232</v>
      </c>
      <c r="F44" s="4" t="s">
        <v>223</v>
      </c>
      <c r="G44" s="5" t="s">
        <v>233</v>
      </c>
    </row>
    <row r="45">
      <c r="A45" s="3">
        <v>45370.35614364583</v>
      </c>
      <c r="B45" s="4" t="s">
        <v>234</v>
      </c>
      <c r="C45" s="6" t="s">
        <v>235</v>
      </c>
      <c r="D45" s="4" t="s">
        <v>236</v>
      </c>
      <c r="E45" s="4" t="s">
        <v>58</v>
      </c>
      <c r="F45" s="4" t="s">
        <v>223</v>
      </c>
      <c r="G45" s="5" t="s">
        <v>237</v>
      </c>
    </row>
    <row r="46">
      <c r="A46" s="3">
        <v>45372.396135358795</v>
      </c>
      <c r="B46" s="4" t="s">
        <v>238</v>
      </c>
      <c r="C46" s="6" t="s">
        <v>239</v>
      </c>
      <c r="D46" s="4" t="s">
        <v>240</v>
      </c>
      <c r="E46" s="4" t="s">
        <v>10</v>
      </c>
      <c r="F46" s="4" t="s">
        <v>32</v>
      </c>
      <c r="G46" s="5" t="s">
        <v>241</v>
      </c>
      <c r="H46" s="4" t="s">
        <v>242</v>
      </c>
    </row>
    <row r="47">
      <c r="A47" s="3">
        <v>45373.46055606482</v>
      </c>
      <c r="B47" s="4" t="s">
        <v>243</v>
      </c>
      <c r="C47" s="6" t="s">
        <v>244</v>
      </c>
      <c r="D47" s="4" t="s">
        <v>245</v>
      </c>
      <c r="E47" s="4" t="s">
        <v>246</v>
      </c>
      <c r="F47" s="4" t="s">
        <v>247</v>
      </c>
      <c r="G47" s="5" t="s">
        <v>248</v>
      </c>
    </row>
    <row r="48">
      <c r="A48" s="3">
        <v>45373.474293541665</v>
      </c>
      <c r="B48" s="4" t="s">
        <v>249</v>
      </c>
      <c r="C48" s="6" t="s">
        <v>250</v>
      </c>
      <c r="D48" s="4" t="s">
        <v>251</v>
      </c>
      <c r="E48" s="4" t="s">
        <v>10</v>
      </c>
      <c r="F48" s="4" t="s">
        <v>11</v>
      </c>
      <c r="G48" s="5" t="s">
        <v>252</v>
      </c>
      <c r="I48" s="4" t="s">
        <v>253</v>
      </c>
    </row>
    <row r="49">
      <c r="A49" s="3">
        <v>45373.511229421296</v>
      </c>
      <c r="B49" s="4" t="s">
        <v>254</v>
      </c>
      <c r="C49" s="6" t="s">
        <v>255</v>
      </c>
      <c r="D49" s="4" t="s">
        <v>256</v>
      </c>
      <c r="E49" s="4" t="s">
        <v>10</v>
      </c>
      <c r="F49" s="4" t="s">
        <v>11</v>
      </c>
      <c r="G49" s="5" t="s">
        <v>257</v>
      </c>
      <c r="I49" s="4" t="s">
        <v>258</v>
      </c>
    </row>
    <row r="50">
      <c r="A50" s="3">
        <v>45376.595389560185</v>
      </c>
      <c r="B50" s="4" t="s">
        <v>259</v>
      </c>
      <c r="C50" s="6" t="s">
        <v>260</v>
      </c>
      <c r="D50" s="4" t="s">
        <v>261</v>
      </c>
      <c r="E50" s="4" t="s">
        <v>10</v>
      </c>
      <c r="F50" s="4" t="s">
        <v>32</v>
      </c>
      <c r="G50" s="5" t="s">
        <v>262</v>
      </c>
      <c r="H50" s="4" t="s">
        <v>263</v>
      </c>
    </row>
    <row r="51">
      <c r="A51" s="3">
        <v>45377.61826512731</v>
      </c>
      <c r="B51" s="4" t="s">
        <v>264</v>
      </c>
      <c r="C51" s="6" t="s">
        <v>265</v>
      </c>
      <c r="D51" s="4" t="s">
        <v>266</v>
      </c>
      <c r="E51" s="4" t="s">
        <v>267</v>
      </c>
      <c r="F51" s="4" t="s">
        <v>32</v>
      </c>
      <c r="G51" s="5" t="s">
        <v>268</v>
      </c>
    </row>
    <row r="52">
      <c r="A52" s="3">
        <v>45378.37519111111</v>
      </c>
      <c r="B52" s="4" t="s">
        <v>269</v>
      </c>
      <c r="C52" s="6" t="s">
        <v>270</v>
      </c>
      <c r="D52" s="4" t="s">
        <v>271</v>
      </c>
      <c r="E52" s="4" t="s">
        <v>10</v>
      </c>
      <c r="F52" s="4" t="s">
        <v>32</v>
      </c>
      <c r="G52" s="5" t="s">
        <v>272</v>
      </c>
      <c r="H52" s="4" t="s">
        <v>273</v>
      </c>
    </row>
    <row r="53">
      <c r="A53" s="3">
        <v>45378.45798179398</v>
      </c>
      <c r="B53" s="4" t="s">
        <v>274</v>
      </c>
      <c r="C53" s="6" t="s">
        <v>275</v>
      </c>
      <c r="E53" s="4" t="s">
        <v>10</v>
      </c>
      <c r="F53" s="4" t="s">
        <v>32</v>
      </c>
      <c r="G53" s="5" t="s">
        <v>276</v>
      </c>
      <c r="H53" s="4" t="s">
        <v>277</v>
      </c>
    </row>
    <row r="54">
      <c r="A54" s="3">
        <v>45427.467500625</v>
      </c>
      <c r="B54" s="4" t="s">
        <v>278</v>
      </c>
      <c r="C54" s="6" t="s">
        <v>279</v>
      </c>
      <c r="D54" s="4" t="s">
        <v>256</v>
      </c>
      <c r="E54" s="4" t="s">
        <v>10</v>
      </c>
      <c r="F54" s="4" t="s">
        <v>32</v>
      </c>
      <c r="H54" s="4" t="s">
        <v>263</v>
      </c>
    </row>
    <row r="55">
      <c r="A55" s="3">
        <v>45427.46982481482</v>
      </c>
      <c r="B55" s="4" t="s">
        <v>280</v>
      </c>
      <c r="C55" s="6" t="s">
        <v>281</v>
      </c>
      <c r="D55" s="4" t="s">
        <v>282</v>
      </c>
      <c r="E55" s="4" t="s">
        <v>283</v>
      </c>
      <c r="F55" s="4" t="s">
        <v>32</v>
      </c>
      <c r="G55" s="5" t="s">
        <v>284</v>
      </c>
      <c r="H55" s="4" t="s">
        <v>285</v>
      </c>
    </row>
    <row r="56">
      <c r="A56" s="3">
        <v>45428.46742606482</v>
      </c>
      <c r="B56" s="4" t="s">
        <v>286</v>
      </c>
      <c r="C56" s="6" t="s">
        <v>287</v>
      </c>
      <c r="D56" s="4" t="s">
        <v>288</v>
      </c>
      <c r="E56" s="4" t="s">
        <v>142</v>
      </c>
      <c r="F56" s="4" t="s">
        <v>11</v>
      </c>
      <c r="G56" s="5" t="s">
        <v>289</v>
      </c>
      <c r="I56" s="4" t="s">
        <v>290</v>
      </c>
    </row>
    <row r="57">
      <c r="A57" s="3">
        <v>45428.46924309028</v>
      </c>
      <c r="B57" s="4" t="s">
        <v>291</v>
      </c>
      <c r="C57" s="6" t="s">
        <v>292</v>
      </c>
      <c r="D57" s="4" t="s">
        <v>293</v>
      </c>
      <c r="E57" s="4" t="s">
        <v>142</v>
      </c>
      <c r="F57" s="4" t="s">
        <v>32</v>
      </c>
      <c r="G57" s="5" t="s">
        <v>294</v>
      </c>
      <c r="H57" s="4" t="s">
        <v>290</v>
      </c>
    </row>
    <row r="58">
      <c r="A58" s="3">
        <v>45440.46579427083</v>
      </c>
      <c r="B58" s="4" t="s">
        <v>295</v>
      </c>
      <c r="C58" s="6" t="s">
        <v>296</v>
      </c>
      <c r="D58" s="4" t="s">
        <v>297</v>
      </c>
      <c r="E58" s="4" t="s">
        <v>218</v>
      </c>
      <c r="F58" s="4" t="s">
        <v>32</v>
      </c>
    </row>
    <row r="59">
      <c r="A59" s="3">
        <v>45443.452595208335</v>
      </c>
      <c r="B59" s="4" t="s">
        <v>298</v>
      </c>
      <c r="C59" s="6" t="s">
        <v>299</v>
      </c>
      <c r="D59" s="4" t="s">
        <v>300</v>
      </c>
      <c r="E59" s="4" t="s">
        <v>301</v>
      </c>
      <c r="F59" s="4" t="s">
        <v>11</v>
      </c>
      <c r="G59" s="5" t="s">
        <v>302</v>
      </c>
      <c r="I59" s="4" t="s">
        <v>301</v>
      </c>
    </row>
    <row r="60">
      <c r="A60" s="3">
        <v>45443.480815358795</v>
      </c>
      <c r="B60" s="4" t="s">
        <v>303</v>
      </c>
      <c r="C60" s="6" t="s">
        <v>304</v>
      </c>
      <c r="D60" s="4" t="s">
        <v>305</v>
      </c>
      <c r="E60" s="4" t="s">
        <v>306</v>
      </c>
      <c r="F60" s="4" t="s">
        <v>11</v>
      </c>
      <c r="G60" s="5" t="s">
        <v>307</v>
      </c>
      <c r="I60" s="4" t="s">
        <v>306</v>
      </c>
    </row>
    <row r="61">
      <c r="A61" s="3">
        <v>45443.48205127315</v>
      </c>
      <c r="B61" s="4" t="s">
        <v>308</v>
      </c>
      <c r="C61" s="6" t="s">
        <v>309</v>
      </c>
      <c r="D61" s="4" t="s">
        <v>310</v>
      </c>
      <c r="E61" s="4" t="s">
        <v>306</v>
      </c>
      <c r="F61" s="4" t="s">
        <v>11</v>
      </c>
      <c r="G61" s="5" t="s">
        <v>311</v>
      </c>
      <c r="I61" s="4" t="s">
        <v>306</v>
      </c>
    </row>
    <row r="62">
      <c r="A62" s="3">
        <v>45443.48305333333</v>
      </c>
      <c r="B62" s="4" t="s">
        <v>312</v>
      </c>
      <c r="C62" s="6" t="s">
        <v>313</v>
      </c>
      <c r="D62" s="4" t="s">
        <v>314</v>
      </c>
      <c r="E62" s="4" t="s">
        <v>306</v>
      </c>
      <c r="F62" s="4" t="s">
        <v>11</v>
      </c>
      <c r="G62" s="5" t="s">
        <v>315</v>
      </c>
      <c r="I62" s="4" t="s">
        <v>306</v>
      </c>
    </row>
    <row r="63">
      <c r="A63" s="3">
        <v>45443.4838381713</v>
      </c>
      <c r="B63" s="4" t="s">
        <v>316</v>
      </c>
      <c r="C63" s="6" t="s">
        <v>116</v>
      </c>
      <c r="D63" s="4" t="s">
        <v>117</v>
      </c>
      <c r="E63" s="4" t="s">
        <v>306</v>
      </c>
      <c r="F63" s="4" t="s">
        <v>11</v>
      </c>
      <c r="G63" s="5" t="s">
        <v>317</v>
      </c>
      <c r="I63" s="4" t="s">
        <v>306</v>
      </c>
    </row>
    <row r="64">
      <c r="A64" s="3">
        <v>45446.37082167824</v>
      </c>
      <c r="B64" s="4" t="s">
        <v>318</v>
      </c>
      <c r="C64" s="6" t="s">
        <v>319</v>
      </c>
      <c r="D64" s="4" t="s">
        <v>320</v>
      </c>
      <c r="E64" s="4" t="s">
        <v>10</v>
      </c>
      <c r="F64" s="4" t="s">
        <v>32</v>
      </c>
      <c r="G64" s="5" t="s">
        <v>321</v>
      </c>
      <c r="H64" s="4" t="s">
        <v>322</v>
      </c>
    </row>
    <row r="65">
      <c r="A65" s="3">
        <v>45449.41357884259</v>
      </c>
      <c r="B65" s="4" t="s">
        <v>323</v>
      </c>
      <c r="C65" s="6" t="s">
        <v>324</v>
      </c>
      <c r="D65" s="4" t="s">
        <v>325</v>
      </c>
      <c r="E65" s="4" t="s">
        <v>326</v>
      </c>
      <c r="F65" s="4" t="s">
        <v>32</v>
      </c>
      <c r="G65" s="5" t="s">
        <v>327</v>
      </c>
      <c r="H65" s="4" t="s">
        <v>328</v>
      </c>
    </row>
    <row r="66">
      <c r="A66" s="3">
        <v>45455.61997712963</v>
      </c>
      <c r="B66" s="4" t="s">
        <v>329</v>
      </c>
      <c r="C66" s="6" t="s">
        <v>330</v>
      </c>
      <c r="D66" s="4" t="s">
        <v>331</v>
      </c>
      <c r="E66" s="4" t="s">
        <v>332</v>
      </c>
      <c r="F66" s="4" t="s">
        <v>333</v>
      </c>
      <c r="G66" s="5" t="s">
        <v>334</v>
      </c>
    </row>
    <row r="67">
      <c r="A67" s="3">
        <v>45456.624738125</v>
      </c>
      <c r="B67" s="4" t="s">
        <v>335</v>
      </c>
      <c r="C67" s="6" t="s">
        <v>336</v>
      </c>
      <c r="E67" s="4" t="s">
        <v>332</v>
      </c>
      <c r="F67" s="4" t="s">
        <v>333</v>
      </c>
    </row>
    <row r="68">
      <c r="A68" s="3">
        <v>45463.38407354167</v>
      </c>
      <c r="B68" s="4" t="s">
        <v>337</v>
      </c>
      <c r="C68" s="6" t="s">
        <v>338</v>
      </c>
      <c r="D68" s="4" t="s">
        <v>339</v>
      </c>
      <c r="E68" s="4" t="s">
        <v>332</v>
      </c>
      <c r="F68" s="4" t="s">
        <v>340</v>
      </c>
      <c r="G68" s="5" t="s">
        <v>341</v>
      </c>
    </row>
    <row r="69">
      <c r="A69" s="3">
        <v>45478.48043106482</v>
      </c>
      <c r="B69" s="4" t="s">
        <v>342</v>
      </c>
      <c r="C69" s="6" t="s">
        <v>343</v>
      </c>
      <c r="D69" s="4" t="s">
        <v>344</v>
      </c>
      <c r="E69" s="4" t="s">
        <v>283</v>
      </c>
      <c r="F69" s="4" t="s">
        <v>32</v>
      </c>
      <c r="G69" s="5" t="s">
        <v>345</v>
      </c>
      <c r="H69" s="4" t="s">
        <v>346</v>
      </c>
    </row>
    <row r="70">
      <c r="A70" s="3">
        <v>45488.43426163195</v>
      </c>
      <c r="B70" s="4" t="s">
        <v>347</v>
      </c>
      <c r="D70" s="4" t="s">
        <v>348</v>
      </c>
      <c r="E70" s="4" t="s">
        <v>142</v>
      </c>
      <c r="F70" s="4" t="s">
        <v>11</v>
      </c>
      <c r="G70" s="5" t="s">
        <v>349</v>
      </c>
      <c r="I70" s="4" t="s">
        <v>350</v>
      </c>
    </row>
    <row r="71">
      <c r="A71" s="3">
        <v>45497.4996071875</v>
      </c>
      <c r="B71" s="4" t="s">
        <v>351</v>
      </c>
      <c r="C71" s="6" t="s">
        <v>352</v>
      </c>
      <c r="D71" s="4" t="s">
        <v>353</v>
      </c>
      <c r="E71" s="4" t="s">
        <v>283</v>
      </c>
      <c r="F71" s="4" t="s">
        <v>32</v>
      </c>
      <c r="G71" s="5" t="s">
        <v>354</v>
      </c>
      <c r="H71" s="4" t="s">
        <v>355</v>
      </c>
    </row>
    <row r="72">
      <c r="A72" s="3">
        <v>45498.444926909724</v>
      </c>
      <c r="B72" s="4" t="s">
        <v>356</v>
      </c>
      <c r="C72" s="6" t="s">
        <v>357</v>
      </c>
      <c r="D72" s="4" t="s">
        <v>358</v>
      </c>
      <c r="E72" s="4" t="s">
        <v>10</v>
      </c>
      <c r="F72" s="4" t="s">
        <v>32</v>
      </c>
      <c r="G72" s="5" t="s">
        <v>359</v>
      </c>
      <c r="H72" s="4" t="s">
        <v>360</v>
      </c>
    </row>
    <row r="73">
      <c r="A73" s="3">
        <v>45498.44578703704</v>
      </c>
      <c r="B73" s="4" t="s">
        <v>361</v>
      </c>
      <c r="C73" s="6" t="s">
        <v>362</v>
      </c>
      <c r="D73" s="4" t="s">
        <v>363</v>
      </c>
      <c r="E73" s="4" t="s">
        <v>10</v>
      </c>
      <c r="F73" s="4" t="s">
        <v>32</v>
      </c>
      <c r="G73" s="5" t="s">
        <v>364</v>
      </c>
      <c r="H73" s="4" t="s">
        <v>365</v>
      </c>
    </row>
    <row r="74">
      <c r="A74" s="3">
        <v>45506.39366630787</v>
      </c>
      <c r="B74" s="4" t="s">
        <v>366</v>
      </c>
      <c r="C74" s="6" t="s">
        <v>367</v>
      </c>
      <c r="D74" s="4" t="s">
        <v>368</v>
      </c>
      <c r="E74" s="4" t="s">
        <v>10</v>
      </c>
      <c r="F74" s="4" t="s">
        <v>32</v>
      </c>
      <c r="G74" s="5" t="s">
        <v>369</v>
      </c>
      <c r="H74" s="4" t="s">
        <v>370</v>
      </c>
    </row>
    <row r="75">
      <c r="A75" s="3">
        <v>45511.40023560185</v>
      </c>
      <c r="B75" s="4" t="s">
        <v>371</v>
      </c>
      <c r="C75" s="6" t="s">
        <v>372</v>
      </c>
      <c r="D75" s="4" t="s">
        <v>373</v>
      </c>
      <c r="E75" s="4" t="s">
        <v>374</v>
      </c>
      <c r="F75" s="4" t="s">
        <v>375</v>
      </c>
      <c r="G75" s="5" t="s">
        <v>376</v>
      </c>
    </row>
    <row r="76">
      <c r="A76" s="3">
        <v>45531.316299722224</v>
      </c>
      <c r="B76" s="4" t="s">
        <v>377</v>
      </c>
      <c r="C76" s="6" t="s">
        <v>378</v>
      </c>
      <c r="D76" s="4" t="s">
        <v>379</v>
      </c>
      <c r="E76" s="4" t="s">
        <v>380</v>
      </c>
      <c r="F76" s="4" t="s">
        <v>11</v>
      </c>
      <c r="G76" s="5" t="s">
        <v>381</v>
      </c>
      <c r="I76" s="4" t="s">
        <v>332</v>
      </c>
    </row>
    <row r="77">
      <c r="A77" s="3">
        <v>45546.61195428241</v>
      </c>
      <c r="B77" s="4" t="s">
        <v>382</v>
      </c>
      <c r="C77" s="6" t="s">
        <v>383</v>
      </c>
      <c r="D77" s="4" t="s">
        <v>384</v>
      </c>
      <c r="E77" s="4" t="s">
        <v>385</v>
      </c>
      <c r="F77" s="4" t="s">
        <v>11</v>
      </c>
    </row>
    <row r="78">
      <c r="A78" s="3">
        <v>45548.370025937504</v>
      </c>
      <c r="B78" s="4" t="s">
        <v>386</v>
      </c>
      <c r="C78" s="6" t="s">
        <v>387</v>
      </c>
      <c r="D78" s="4" t="s">
        <v>388</v>
      </c>
      <c r="E78" s="4" t="s">
        <v>332</v>
      </c>
      <c r="F78" s="4" t="s">
        <v>389</v>
      </c>
      <c r="G78" s="5" t="s">
        <v>390</v>
      </c>
    </row>
    <row r="79">
      <c r="A79" s="3">
        <v>45552.43696048611</v>
      </c>
      <c r="B79" s="4" t="s">
        <v>391</v>
      </c>
      <c r="C79" s="6" t="s">
        <v>392</v>
      </c>
      <c r="D79" s="4" t="s">
        <v>393</v>
      </c>
      <c r="E79" s="4" t="s">
        <v>394</v>
      </c>
      <c r="F79" s="4" t="s">
        <v>395</v>
      </c>
      <c r="G79" s="5" t="s">
        <v>396</v>
      </c>
    </row>
    <row r="80">
      <c r="A80" s="3">
        <v>45552.43794459491</v>
      </c>
      <c r="B80" s="4" t="s">
        <v>397</v>
      </c>
      <c r="C80" s="6" t="s">
        <v>398</v>
      </c>
      <c r="D80" s="4" t="s">
        <v>399</v>
      </c>
      <c r="E80" s="4" t="s">
        <v>394</v>
      </c>
      <c r="F80" s="4" t="s">
        <v>400</v>
      </c>
      <c r="G80" s="5" t="s">
        <v>401</v>
      </c>
    </row>
    <row r="81">
      <c r="A81" s="3">
        <v>45558.41699269676</v>
      </c>
      <c r="B81" s="4" t="s">
        <v>402</v>
      </c>
      <c r="C81" s="6" t="s">
        <v>403</v>
      </c>
      <c r="D81" s="4" t="s">
        <v>404</v>
      </c>
      <c r="E81" s="4" t="s">
        <v>10</v>
      </c>
      <c r="F81" s="4" t="s">
        <v>32</v>
      </c>
      <c r="G81" s="5" t="s">
        <v>405</v>
      </c>
      <c r="H81" s="4" t="s">
        <v>406</v>
      </c>
    </row>
    <row r="82">
      <c r="A82" s="3">
        <v>45558.41771618056</v>
      </c>
      <c r="B82" s="4" t="s">
        <v>407</v>
      </c>
      <c r="C82" s="6" t="s">
        <v>408</v>
      </c>
      <c r="D82" s="4" t="s">
        <v>409</v>
      </c>
      <c r="E82" s="4" t="s">
        <v>10</v>
      </c>
      <c r="F82" s="4" t="s">
        <v>32</v>
      </c>
      <c r="G82" s="5" t="s">
        <v>410</v>
      </c>
      <c r="H82" s="4" t="s">
        <v>406</v>
      </c>
    </row>
    <row r="83">
      <c r="A83" s="3">
        <v>45568.47957642361</v>
      </c>
      <c r="B83" s="4" t="s">
        <v>411</v>
      </c>
      <c r="C83" s="6" t="s">
        <v>412</v>
      </c>
      <c r="D83" s="4" t="s">
        <v>413</v>
      </c>
      <c r="E83" s="4" t="s">
        <v>10</v>
      </c>
      <c r="F83" s="4" t="s">
        <v>32</v>
      </c>
      <c r="G83" s="5" t="s">
        <v>414</v>
      </c>
      <c r="H83" s="4" t="s">
        <v>263</v>
      </c>
    </row>
    <row r="84">
      <c r="A84" s="3">
        <v>45569.47171965278</v>
      </c>
      <c r="B84" s="4" t="s">
        <v>415</v>
      </c>
      <c r="C84" s="6" t="s">
        <v>416</v>
      </c>
      <c r="D84" s="4" t="s">
        <v>417</v>
      </c>
      <c r="E84" s="4" t="s">
        <v>218</v>
      </c>
      <c r="F84" s="4" t="s">
        <v>418</v>
      </c>
    </row>
    <row r="85">
      <c r="A85" s="3">
        <v>45573.58532267361</v>
      </c>
      <c r="B85" s="4" t="s">
        <v>419</v>
      </c>
      <c r="C85" s="6" t="s">
        <v>420</v>
      </c>
      <c r="D85" s="4" t="s">
        <v>421</v>
      </c>
      <c r="E85" s="4" t="s">
        <v>422</v>
      </c>
      <c r="F85" s="4" t="s">
        <v>423</v>
      </c>
      <c r="G85" s="5" t="s">
        <v>424</v>
      </c>
    </row>
    <row r="86">
      <c r="A86" s="3">
        <v>45573.59091678241</v>
      </c>
      <c r="B86" s="4" t="s">
        <v>425</v>
      </c>
      <c r="D86" s="4" t="s">
        <v>426</v>
      </c>
      <c r="E86" s="4" t="s">
        <v>427</v>
      </c>
      <c r="F86" s="4" t="s">
        <v>428</v>
      </c>
      <c r="G86" s="5" t="s">
        <v>429</v>
      </c>
    </row>
    <row r="87">
      <c r="A87" s="3">
        <v>45573.59792959491</v>
      </c>
      <c r="B87" s="4" t="s">
        <v>430</v>
      </c>
      <c r="C87" s="6" t="s">
        <v>431</v>
      </c>
      <c r="D87" s="4" t="s">
        <v>432</v>
      </c>
      <c r="E87" s="4" t="s">
        <v>422</v>
      </c>
      <c r="F87" s="4" t="s">
        <v>433</v>
      </c>
      <c r="G87" s="5" t="s">
        <v>434</v>
      </c>
    </row>
    <row r="88">
      <c r="A88" s="3">
        <v>45573.60045103009</v>
      </c>
      <c r="B88" s="4" t="s">
        <v>435</v>
      </c>
      <c r="C88" s="6" t="s">
        <v>436</v>
      </c>
      <c r="E88" s="4" t="s">
        <v>422</v>
      </c>
      <c r="F88" s="4" t="s">
        <v>437</v>
      </c>
      <c r="G88" s="5" t="s">
        <v>438</v>
      </c>
    </row>
    <row r="89">
      <c r="A89" s="3">
        <v>45573.616969386574</v>
      </c>
      <c r="B89" s="4" t="s">
        <v>439</v>
      </c>
      <c r="C89" s="6" t="s">
        <v>440</v>
      </c>
      <c r="E89" s="4" t="s">
        <v>422</v>
      </c>
      <c r="F89" s="4" t="s">
        <v>441</v>
      </c>
      <c r="G89" s="5" t="s">
        <v>442</v>
      </c>
    </row>
    <row r="90">
      <c r="A90" s="3">
        <v>45574.58530542824</v>
      </c>
      <c r="B90" s="4" t="s">
        <v>443</v>
      </c>
      <c r="C90" s="6" t="s">
        <v>444</v>
      </c>
      <c r="E90" s="4" t="s">
        <v>218</v>
      </c>
      <c r="F90" s="4" t="s">
        <v>32</v>
      </c>
      <c r="G90" s="5" t="s">
        <v>445</v>
      </c>
      <c r="H90" s="4" t="s">
        <v>446</v>
      </c>
    </row>
    <row r="91">
      <c r="A91" s="3">
        <v>45574.58632240741</v>
      </c>
      <c r="B91" s="4" t="s">
        <v>447</v>
      </c>
      <c r="E91" s="4" t="s">
        <v>422</v>
      </c>
      <c r="F91" s="4" t="s">
        <v>32</v>
      </c>
      <c r="G91" s="5" t="s">
        <v>448</v>
      </c>
      <c r="H91" s="4" t="s">
        <v>446</v>
      </c>
    </row>
    <row r="92">
      <c r="A92" s="3">
        <v>45574.58692960648</v>
      </c>
      <c r="B92" s="4" t="s">
        <v>449</v>
      </c>
      <c r="E92" s="4" t="s">
        <v>422</v>
      </c>
      <c r="F92" s="4" t="s">
        <v>32</v>
      </c>
      <c r="G92" s="5" t="s">
        <v>450</v>
      </c>
      <c r="H92" s="4" t="s">
        <v>446</v>
      </c>
    </row>
    <row r="93">
      <c r="A93" s="3">
        <v>45574.59296030093</v>
      </c>
      <c r="B93" s="4" t="s">
        <v>451</v>
      </c>
      <c r="C93" s="6" t="s">
        <v>452</v>
      </c>
      <c r="D93" s="4" t="s">
        <v>453</v>
      </c>
      <c r="E93" s="4" t="s">
        <v>10</v>
      </c>
      <c r="F93" s="4" t="s">
        <v>32</v>
      </c>
      <c r="G93" s="5" t="s">
        <v>454</v>
      </c>
      <c r="H93" s="4" t="s">
        <v>455</v>
      </c>
    </row>
    <row r="94">
      <c r="A94" s="3">
        <v>45574.59380608796</v>
      </c>
      <c r="B94" s="4" t="s">
        <v>456</v>
      </c>
      <c r="C94" s="6" t="s">
        <v>457</v>
      </c>
      <c r="D94" s="4" t="s">
        <v>458</v>
      </c>
      <c r="E94" s="4" t="s">
        <v>10</v>
      </c>
      <c r="F94" s="4" t="s">
        <v>32</v>
      </c>
      <c r="G94" s="5" t="s">
        <v>459</v>
      </c>
      <c r="H94" s="4" t="s">
        <v>455</v>
      </c>
    </row>
    <row r="95">
      <c r="A95" s="3">
        <v>45574.60059002315</v>
      </c>
      <c r="B95" s="4" t="s">
        <v>460</v>
      </c>
      <c r="C95" s="6" t="s">
        <v>461</v>
      </c>
      <c r="D95" s="4" t="s">
        <v>462</v>
      </c>
      <c r="E95" s="4" t="s">
        <v>142</v>
      </c>
      <c r="F95" s="4" t="s">
        <v>32</v>
      </c>
      <c r="G95" s="5" t="s">
        <v>463</v>
      </c>
      <c r="H95" s="4" t="s">
        <v>464</v>
      </c>
    </row>
    <row r="96">
      <c r="A96" s="3">
        <v>45574.60158855324</v>
      </c>
      <c r="B96" s="4" t="s">
        <v>465</v>
      </c>
      <c r="C96" s="6" t="s">
        <v>466</v>
      </c>
      <c r="D96" s="4" t="s">
        <v>467</v>
      </c>
      <c r="E96" s="4" t="s">
        <v>142</v>
      </c>
      <c r="F96" s="4" t="s">
        <v>32</v>
      </c>
      <c r="G96" s="5" t="s">
        <v>468</v>
      </c>
      <c r="H96" s="4" t="s">
        <v>469</v>
      </c>
    </row>
    <row r="97">
      <c r="A97" s="3">
        <v>45576.49803369213</v>
      </c>
      <c r="B97" s="4" t="s">
        <v>470</v>
      </c>
      <c r="C97" s="6" t="s">
        <v>471</v>
      </c>
      <c r="E97" s="4" t="s">
        <v>422</v>
      </c>
      <c r="F97" s="4" t="s">
        <v>472</v>
      </c>
      <c r="G97" s="5" t="s">
        <v>473</v>
      </c>
    </row>
    <row r="98">
      <c r="A98" s="3">
        <v>45576.49897559028</v>
      </c>
      <c r="B98" s="4" t="s">
        <v>474</v>
      </c>
      <c r="C98" s="6" t="s">
        <v>475</v>
      </c>
      <c r="E98" s="4" t="s">
        <v>422</v>
      </c>
      <c r="F98" s="4" t="s">
        <v>476</v>
      </c>
      <c r="G98" s="5" t="s">
        <v>477</v>
      </c>
    </row>
    <row r="99">
      <c r="A99" s="7">
        <v>45576.50947443287</v>
      </c>
      <c r="B99" s="8" t="s">
        <v>478</v>
      </c>
      <c r="C99" s="9" t="s">
        <v>479</v>
      </c>
      <c r="D99" s="10"/>
      <c r="E99" s="8" t="s">
        <v>422</v>
      </c>
      <c r="F99" s="8" t="s">
        <v>480</v>
      </c>
      <c r="G99" s="11" t="s">
        <v>481</v>
      </c>
      <c r="H99" s="10"/>
      <c r="I99" s="10"/>
      <c r="J99" s="10"/>
      <c r="K99" s="10"/>
      <c r="L99" s="10"/>
      <c r="M99" s="10"/>
      <c r="N99" s="10"/>
      <c r="O99" s="10"/>
    </row>
    <row r="100">
      <c r="A100" s="7">
        <v>45576.51070012731</v>
      </c>
      <c r="B100" s="8" t="s">
        <v>482</v>
      </c>
      <c r="C100" s="9" t="s">
        <v>483</v>
      </c>
      <c r="D100" s="8" t="s">
        <v>484</v>
      </c>
      <c r="E100" s="8" t="s">
        <v>422</v>
      </c>
      <c r="F100" s="8" t="s">
        <v>32</v>
      </c>
      <c r="G100" s="11" t="s">
        <v>485</v>
      </c>
      <c r="H100" s="8" t="s">
        <v>486</v>
      </c>
      <c r="I100" s="10"/>
      <c r="J100" s="10"/>
      <c r="K100" s="10"/>
      <c r="L100" s="10"/>
      <c r="M100" s="10"/>
      <c r="N100" s="10"/>
      <c r="O100" s="10"/>
    </row>
    <row r="101">
      <c r="A101" s="3">
        <v>45596.720798912036</v>
      </c>
      <c r="B101" s="4" t="s">
        <v>487</v>
      </c>
      <c r="C101" s="6" t="s">
        <v>488</v>
      </c>
      <c r="D101" s="4" t="s">
        <v>489</v>
      </c>
      <c r="E101" s="4" t="s">
        <v>142</v>
      </c>
      <c r="F101" s="4" t="s">
        <v>11</v>
      </c>
      <c r="G101" s="5" t="s">
        <v>490</v>
      </c>
      <c r="I101" s="4" t="s">
        <v>491</v>
      </c>
    </row>
    <row r="102">
      <c r="A102" s="3">
        <v>45601.59311840278</v>
      </c>
      <c r="B102" s="4" t="s">
        <v>492</v>
      </c>
      <c r="C102" s="6" t="s">
        <v>493</v>
      </c>
      <c r="D102" s="4" t="s">
        <v>494</v>
      </c>
      <c r="E102" s="4" t="s">
        <v>495</v>
      </c>
      <c r="F102" s="4" t="s">
        <v>496</v>
      </c>
      <c r="G102" s="5" t="s">
        <v>497</v>
      </c>
    </row>
    <row r="103">
      <c r="A103" s="3">
        <v>45607.43607105324</v>
      </c>
      <c r="B103" s="4" t="s">
        <v>498</v>
      </c>
      <c r="C103" s="6" t="s">
        <v>499</v>
      </c>
      <c r="D103" s="4" t="s">
        <v>500</v>
      </c>
      <c r="E103" s="4" t="s">
        <v>10</v>
      </c>
      <c r="F103" s="4" t="s">
        <v>11</v>
      </c>
      <c r="G103" s="5" t="s">
        <v>501</v>
      </c>
      <c r="I103" s="4" t="s">
        <v>502</v>
      </c>
    </row>
    <row r="104">
      <c r="A104" s="3">
        <v>45607.51863805555</v>
      </c>
      <c r="B104" s="4" t="s">
        <v>503</v>
      </c>
      <c r="C104" s="6" t="s">
        <v>504</v>
      </c>
      <c r="E104" s="4" t="s">
        <v>505</v>
      </c>
      <c r="F104" s="4" t="s">
        <v>28</v>
      </c>
      <c r="G104" s="5" t="s">
        <v>506</v>
      </c>
    </row>
    <row r="105">
      <c r="A105" s="3">
        <v>45616.39392824074</v>
      </c>
      <c r="B105" s="4" t="s">
        <v>507</v>
      </c>
      <c r="C105" s="6" t="s">
        <v>508</v>
      </c>
      <c r="E105" s="4" t="s">
        <v>509</v>
      </c>
      <c r="F105" s="4" t="s">
        <v>11</v>
      </c>
      <c r="G105" s="5" t="s">
        <v>510</v>
      </c>
      <c r="I105" s="4" t="s">
        <v>511</v>
      </c>
    </row>
    <row r="106">
      <c r="A106" s="3">
        <v>45616.394603877314</v>
      </c>
      <c r="B106" s="4" t="s">
        <v>512</v>
      </c>
      <c r="C106" s="6" t="s">
        <v>513</v>
      </c>
      <c r="E106" s="4" t="s">
        <v>509</v>
      </c>
      <c r="F106" s="4" t="s">
        <v>11</v>
      </c>
      <c r="G106" s="5" t="s">
        <v>514</v>
      </c>
      <c r="I106" s="4" t="s">
        <v>511</v>
      </c>
    </row>
    <row r="107">
      <c r="A107" s="3">
        <v>45616.39547451389</v>
      </c>
      <c r="B107" s="4" t="s">
        <v>515</v>
      </c>
      <c r="C107" s="6" t="s">
        <v>516</v>
      </c>
      <c r="D107" s="4" t="s">
        <v>517</v>
      </c>
      <c r="E107" s="4" t="s">
        <v>518</v>
      </c>
      <c r="F107" s="4" t="s">
        <v>11</v>
      </c>
      <c r="G107" s="5" t="s">
        <v>519</v>
      </c>
      <c r="I107" s="4" t="s">
        <v>511</v>
      </c>
    </row>
    <row r="108">
      <c r="A108" s="3">
        <v>45616.46590982639</v>
      </c>
      <c r="B108" s="4" t="s">
        <v>243</v>
      </c>
      <c r="C108" s="6" t="s">
        <v>244</v>
      </c>
      <c r="D108" s="4" t="s">
        <v>520</v>
      </c>
      <c r="E108" s="4" t="s">
        <v>43</v>
      </c>
      <c r="F108" s="4" t="s">
        <v>521</v>
      </c>
      <c r="G108" s="5" t="s">
        <v>522</v>
      </c>
    </row>
    <row r="109">
      <c r="A109" s="3">
        <v>45617.40150541667</v>
      </c>
      <c r="B109" s="4" t="s">
        <v>523</v>
      </c>
      <c r="C109" s="6" t="s">
        <v>292</v>
      </c>
      <c r="D109" s="4" t="s">
        <v>524</v>
      </c>
      <c r="E109" s="4" t="s">
        <v>142</v>
      </c>
      <c r="F109" s="4" t="s">
        <v>525</v>
      </c>
      <c r="G109" s="5" t="s">
        <v>526</v>
      </c>
    </row>
    <row r="110">
      <c r="A110" s="3">
        <v>45622.62808119213</v>
      </c>
      <c r="B110" s="4" t="s">
        <v>527</v>
      </c>
      <c r="C110" s="6" t="s">
        <v>528</v>
      </c>
      <c r="D110" s="4" t="s">
        <v>529</v>
      </c>
      <c r="E110" s="4" t="s">
        <v>142</v>
      </c>
      <c r="F110" s="4" t="s">
        <v>11</v>
      </c>
      <c r="G110" s="5" t="s">
        <v>530</v>
      </c>
      <c r="I110" s="4" t="s">
        <v>531</v>
      </c>
    </row>
    <row r="111">
      <c r="A111" s="3">
        <v>45624.61604837963</v>
      </c>
      <c r="B111" s="4" t="s">
        <v>532</v>
      </c>
      <c r="C111" s="6" t="s">
        <v>16</v>
      </c>
      <c r="E111" s="4" t="s">
        <v>10</v>
      </c>
      <c r="F111" s="4" t="s">
        <v>11</v>
      </c>
      <c r="G111" s="5" t="s">
        <v>533</v>
      </c>
      <c r="I111" s="4" t="s">
        <v>20</v>
      </c>
    </row>
    <row r="112">
      <c r="A112" s="3">
        <v>45624.61673475694</v>
      </c>
      <c r="B112" s="4" t="s">
        <v>534</v>
      </c>
      <c r="C112" s="6" t="s">
        <v>25</v>
      </c>
      <c r="E112" s="4" t="s">
        <v>10</v>
      </c>
      <c r="F112" s="4" t="s">
        <v>11</v>
      </c>
      <c r="G112" s="5" t="s">
        <v>535</v>
      </c>
      <c r="I112" s="4" t="s">
        <v>20</v>
      </c>
    </row>
    <row r="113">
      <c r="A113" s="3">
        <v>45628.61993929398</v>
      </c>
      <c r="B113" s="4" t="s">
        <v>536</v>
      </c>
      <c r="C113" s="6" t="s">
        <v>537</v>
      </c>
      <c r="D113" s="4" t="s">
        <v>538</v>
      </c>
      <c r="E113" s="4" t="s">
        <v>142</v>
      </c>
      <c r="F113" s="4" t="s">
        <v>539</v>
      </c>
      <c r="G113" s="5" t="s">
        <v>540</v>
      </c>
    </row>
    <row r="114">
      <c r="A114" s="3">
        <v>45630.38031304398</v>
      </c>
      <c r="B114" s="4" t="s">
        <v>541</v>
      </c>
      <c r="C114" s="6" t="s">
        <v>542</v>
      </c>
      <c r="E114" s="4" t="s">
        <v>142</v>
      </c>
      <c r="F114" s="4" t="s">
        <v>543</v>
      </c>
      <c r="G114" s="5" t="s">
        <v>544</v>
      </c>
    </row>
    <row r="115">
      <c r="A115" s="3">
        <v>45630.418312511574</v>
      </c>
      <c r="B115" s="4" t="s">
        <v>545</v>
      </c>
      <c r="C115" s="6" t="s">
        <v>546</v>
      </c>
      <c r="E115" s="4" t="s">
        <v>547</v>
      </c>
      <c r="F115" s="4" t="s">
        <v>11</v>
      </c>
      <c r="G115" s="5" t="s">
        <v>548</v>
      </c>
      <c r="I115" s="4" t="s">
        <v>547</v>
      </c>
    </row>
    <row r="116">
      <c r="A116" s="3">
        <v>45632.43584335648</v>
      </c>
      <c r="B116" s="4" t="s">
        <v>549</v>
      </c>
      <c r="C116" s="6" t="s">
        <v>550</v>
      </c>
      <c r="E116" s="4" t="s">
        <v>218</v>
      </c>
      <c r="F116" s="4" t="s">
        <v>32</v>
      </c>
      <c r="G116" s="5" t="s">
        <v>551</v>
      </c>
      <c r="H116" s="4" t="s">
        <v>552</v>
      </c>
    </row>
    <row r="117">
      <c r="A117" s="3">
        <v>45645.434169050925</v>
      </c>
      <c r="B117" s="4" t="s">
        <v>553</v>
      </c>
      <c r="C117" s="6" t="s">
        <v>244</v>
      </c>
      <c r="D117" s="4" t="s">
        <v>245</v>
      </c>
      <c r="E117" s="4" t="s">
        <v>554</v>
      </c>
      <c r="F117" s="4" t="s">
        <v>555</v>
      </c>
      <c r="G117" s="5" t="s">
        <v>556</v>
      </c>
    </row>
    <row r="118">
      <c r="A118" s="3">
        <v>45663.59765394676</v>
      </c>
      <c r="B118" s="4" t="s">
        <v>557</v>
      </c>
      <c r="C118" s="6" t="s">
        <v>558</v>
      </c>
      <c r="D118" s="4" t="s">
        <v>559</v>
      </c>
      <c r="E118" s="4" t="s">
        <v>560</v>
      </c>
      <c r="F118" s="4" t="s">
        <v>561</v>
      </c>
      <c r="G118" s="5" t="s">
        <v>562</v>
      </c>
    </row>
    <row r="119">
      <c r="A119" s="3">
        <v>45664.46360574074</v>
      </c>
      <c r="B119" s="4" t="s">
        <v>146</v>
      </c>
      <c r="C119" s="6" t="s">
        <v>147</v>
      </c>
      <c r="E119" s="4" t="s">
        <v>142</v>
      </c>
      <c r="F119" s="4" t="s">
        <v>563</v>
      </c>
      <c r="G119" s="5" t="s">
        <v>564</v>
      </c>
    </row>
    <row r="120">
      <c r="A120" s="3">
        <v>45664.49086309028</v>
      </c>
      <c r="B120" s="4" t="s">
        <v>565</v>
      </c>
      <c r="C120" s="6" t="s">
        <v>147</v>
      </c>
      <c r="E120" s="4" t="s">
        <v>142</v>
      </c>
      <c r="F120" s="4" t="s">
        <v>563</v>
      </c>
      <c r="G120" s="5" t="s">
        <v>566</v>
      </c>
    </row>
    <row r="121">
      <c r="A121" s="3">
        <v>45670.36109032408</v>
      </c>
      <c r="B121" s="4" t="s">
        <v>567</v>
      </c>
      <c r="C121" s="6" t="s">
        <v>568</v>
      </c>
      <c r="D121" s="4" t="s">
        <v>569</v>
      </c>
      <c r="E121" s="4" t="s">
        <v>570</v>
      </c>
      <c r="F121" s="4" t="s">
        <v>571</v>
      </c>
      <c r="G121" s="5" t="s">
        <v>572</v>
      </c>
    </row>
    <row r="122">
      <c r="A122" s="3">
        <v>45670.362312592595</v>
      </c>
      <c r="B122" s="4" t="s">
        <v>573</v>
      </c>
      <c r="C122" s="6" t="s">
        <v>574</v>
      </c>
      <c r="D122" s="4" t="s">
        <v>575</v>
      </c>
      <c r="E122" s="4" t="s">
        <v>576</v>
      </c>
      <c r="F122" s="4" t="s">
        <v>577</v>
      </c>
      <c r="G122" s="5" t="s">
        <v>578</v>
      </c>
    </row>
    <row r="123">
      <c r="A123" s="3">
        <v>45670.37934453704</v>
      </c>
      <c r="B123" s="4" t="s">
        <v>579</v>
      </c>
      <c r="C123" s="6" t="s">
        <v>580</v>
      </c>
      <c r="D123" s="4" t="s">
        <v>581</v>
      </c>
      <c r="E123" s="4" t="s">
        <v>43</v>
      </c>
      <c r="F123" s="4" t="s">
        <v>582</v>
      </c>
      <c r="G123" s="5" t="s">
        <v>583</v>
      </c>
    </row>
    <row r="124">
      <c r="A124" s="3">
        <v>45670.41017048611</v>
      </c>
      <c r="B124" s="4" t="s">
        <v>584</v>
      </c>
      <c r="C124" s="6" t="s">
        <v>585</v>
      </c>
      <c r="D124" s="4" t="s">
        <v>586</v>
      </c>
      <c r="E124" s="4" t="s">
        <v>554</v>
      </c>
      <c r="F124" s="4" t="s">
        <v>587</v>
      </c>
      <c r="G124" s="5" t="s">
        <v>588</v>
      </c>
    </row>
    <row r="125">
      <c r="A125" s="3">
        <v>45670.417909606476</v>
      </c>
      <c r="B125" s="4" t="s">
        <v>589</v>
      </c>
      <c r="C125" s="6" t="s">
        <v>590</v>
      </c>
      <c r="D125" s="4" t="s">
        <v>591</v>
      </c>
      <c r="E125" s="4" t="s">
        <v>554</v>
      </c>
      <c r="F125" s="4" t="s">
        <v>582</v>
      </c>
      <c r="G125" s="5" t="s">
        <v>592</v>
      </c>
    </row>
    <row r="126">
      <c r="A126" s="3">
        <v>45671.33284079861</v>
      </c>
      <c r="B126" s="4" t="s">
        <v>593</v>
      </c>
      <c r="C126" s="6" t="s">
        <v>594</v>
      </c>
      <c r="E126" s="4" t="s">
        <v>554</v>
      </c>
      <c r="F126" s="4" t="s">
        <v>595</v>
      </c>
      <c r="G126" s="5" t="s">
        <v>596</v>
      </c>
    </row>
    <row r="127">
      <c r="A127" s="3">
        <v>45671.33329304398</v>
      </c>
      <c r="B127" s="4" t="s">
        <v>597</v>
      </c>
      <c r="E127" s="4" t="s">
        <v>554</v>
      </c>
      <c r="F127" s="4" t="s">
        <v>595</v>
      </c>
      <c r="G127" s="5" t="s">
        <v>598</v>
      </c>
    </row>
    <row r="128">
      <c r="A128" s="3">
        <v>45672.47732666667</v>
      </c>
      <c r="B128" s="4" t="s">
        <v>599</v>
      </c>
      <c r="C128" s="6" t="s">
        <v>600</v>
      </c>
      <c r="D128" s="4" t="s">
        <v>601</v>
      </c>
      <c r="E128" s="4" t="s">
        <v>554</v>
      </c>
      <c r="F128" s="4" t="s">
        <v>602</v>
      </c>
      <c r="G128" s="5" t="s">
        <v>603</v>
      </c>
    </row>
    <row r="129">
      <c r="A129" s="3">
        <v>45677.44926920139</v>
      </c>
      <c r="B129" s="4" t="s">
        <v>604</v>
      </c>
      <c r="C129" s="6" t="s">
        <v>605</v>
      </c>
      <c r="D129" s="4" t="s">
        <v>606</v>
      </c>
      <c r="E129" s="4" t="s">
        <v>10</v>
      </c>
      <c r="F129" s="4" t="s">
        <v>11</v>
      </c>
      <c r="G129" s="5" t="s">
        <v>607</v>
      </c>
      <c r="I129" s="4" t="s">
        <v>608</v>
      </c>
    </row>
    <row r="130">
      <c r="A130" s="3">
        <v>45691.610962962965</v>
      </c>
      <c r="B130" s="4" t="s">
        <v>584</v>
      </c>
      <c r="C130" s="6" t="s">
        <v>585</v>
      </c>
      <c r="D130" s="4" t="s">
        <v>586</v>
      </c>
      <c r="E130" s="4" t="s">
        <v>43</v>
      </c>
      <c r="F130" s="4" t="s">
        <v>609</v>
      </c>
      <c r="G130" s="5" t="s">
        <v>610</v>
      </c>
    </row>
    <row r="131">
      <c r="A131" s="3">
        <v>45691.61219013889</v>
      </c>
      <c r="B131" s="4" t="s">
        <v>589</v>
      </c>
      <c r="C131" s="6" t="s">
        <v>590</v>
      </c>
      <c r="D131" s="4" t="s">
        <v>611</v>
      </c>
      <c r="E131" s="4" t="s">
        <v>43</v>
      </c>
      <c r="F131" s="4" t="s">
        <v>612</v>
      </c>
      <c r="G131" s="5" t="s">
        <v>613</v>
      </c>
    </row>
    <row r="132">
      <c r="A132" s="3">
        <v>45691.635203356476</v>
      </c>
      <c r="B132" s="4" t="s">
        <v>614</v>
      </c>
      <c r="C132" s="6" t="s">
        <v>594</v>
      </c>
      <c r="D132" s="4" t="s">
        <v>615</v>
      </c>
      <c r="E132" s="4" t="s">
        <v>43</v>
      </c>
      <c r="F132" s="4" t="s">
        <v>616</v>
      </c>
      <c r="G132" s="5" t="s">
        <v>617</v>
      </c>
    </row>
    <row r="133">
      <c r="A133" s="3">
        <v>45691.636758078705</v>
      </c>
      <c r="B133" s="4" t="s">
        <v>618</v>
      </c>
      <c r="C133" s="6" t="s">
        <v>67</v>
      </c>
      <c r="D133" s="4" t="s">
        <v>619</v>
      </c>
      <c r="E133" s="4" t="s">
        <v>43</v>
      </c>
      <c r="F133" s="4" t="s">
        <v>616</v>
      </c>
      <c r="G133" s="5" t="s">
        <v>620</v>
      </c>
    </row>
    <row r="134">
      <c r="A134" s="3">
        <v>45694.40359973379</v>
      </c>
      <c r="B134" s="4" t="s">
        <v>621</v>
      </c>
      <c r="C134" s="6" t="s">
        <v>622</v>
      </c>
      <c r="E134" s="4" t="s">
        <v>10</v>
      </c>
      <c r="F134" s="4" t="s">
        <v>623</v>
      </c>
      <c r="G134" s="5" t="s">
        <v>624</v>
      </c>
    </row>
    <row r="135">
      <c r="A135" s="3">
        <v>45694.412991307865</v>
      </c>
      <c r="B135" s="4" t="s">
        <v>625</v>
      </c>
      <c r="C135" s="6" t="s">
        <v>626</v>
      </c>
      <c r="E135" s="4" t="s">
        <v>10</v>
      </c>
      <c r="F135" s="4" t="s">
        <v>627</v>
      </c>
      <c r="G135" s="5" t="s">
        <v>628</v>
      </c>
    </row>
    <row r="136">
      <c r="A136" s="3">
        <v>45694.59925693287</v>
      </c>
      <c r="B136" s="4" t="s">
        <v>46</v>
      </c>
      <c r="C136" s="6" t="s">
        <v>47</v>
      </c>
      <c r="D136" s="4" t="s">
        <v>48</v>
      </c>
      <c r="E136" s="4" t="s">
        <v>43</v>
      </c>
      <c r="F136" s="4" t="s">
        <v>629</v>
      </c>
      <c r="G136" s="5" t="s">
        <v>630</v>
      </c>
    </row>
    <row r="137">
      <c r="A137" s="3">
        <v>45694.66438621528</v>
      </c>
      <c r="B137" s="4" t="s">
        <v>631</v>
      </c>
      <c r="C137" s="6" t="s">
        <v>632</v>
      </c>
      <c r="D137" s="4" t="s">
        <v>633</v>
      </c>
      <c r="E137" s="4" t="s">
        <v>43</v>
      </c>
      <c r="F137" s="4" t="s">
        <v>32</v>
      </c>
      <c r="G137" s="5" t="s">
        <v>634</v>
      </c>
      <c r="H137" s="4" t="s">
        <v>635</v>
      </c>
    </row>
    <row r="138">
      <c r="A138" s="3">
        <v>45699.36751768518</v>
      </c>
      <c r="B138" s="4" t="s">
        <v>523</v>
      </c>
      <c r="C138" s="6" t="s">
        <v>292</v>
      </c>
      <c r="E138" s="4" t="s">
        <v>142</v>
      </c>
      <c r="F138" s="4" t="s">
        <v>32</v>
      </c>
      <c r="G138" s="5" t="s">
        <v>636</v>
      </c>
      <c r="H138" s="4" t="s">
        <v>28</v>
      </c>
    </row>
    <row r="139">
      <c r="A139" s="3">
        <v>45700.39992574074</v>
      </c>
      <c r="B139" s="4" t="s">
        <v>637</v>
      </c>
      <c r="C139" s="6" t="s">
        <v>638</v>
      </c>
      <c r="D139" s="4" t="s">
        <v>639</v>
      </c>
      <c r="E139" s="4" t="s">
        <v>10</v>
      </c>
      <c r="F139" s="4" t="s">
        <v>11</v>
      </c>
      <c r="G139" s="5" t="s">
        <v>640</v>
      </c>
      <c r="I139" s="4" t="s">
        <v>641</v>
      </c>
    </row>
    <row r="140">
      <c r="A140" s="3">
        <v>45700.41169086806</v>
      </c>
      <c r="B140" s="4" t="s">
        <v>642</v>
      </c>
      <c r="C140" s="6" t="s">
        <v>643</v>
      </c>
      <c r="D140" s="4" t="s">
        <v>644</v>
      </c>
      <c r="E140" s="4" t="s">
        <v>10</v>
      </c>
      <c r="F140" s="4" t="s">
        <v>11</v>
      </c>
      <c r="G140" s="5" t="s">
        <v>645</v>
      </c>
      <c r="I140" s="4" t="s">
        <v>646</v>
      </c>
    </row>
    <row r="141">
      <c r="A141" s="3">
        <v>45700.41609820602</v>
      </c>
      <c r="B141" s="4" t="s">
        <v>647</v>
      </c>
      <c r="C141" s="6" t="s">
        <v>648</v>
      </c>
      <c r="D141" s="4" t="s">
        <v>649</v>
      </c>
      <c r="E141" s="4" t="s">
        <v>10</v>
      </c>
      <c r="F141" s="4" t="s">
        <v>11</v>
      </c>
      <c r="G141" s="5" t="s">
        <v>650</v>
      </c>
      <c r="I141" s="4" t="s">
        <v>651</v>
      </c>
    </row>
    <row r="142">
      <c r="A142" s="3">
        <v>45728.39879443287</v>
      </c>
      <c r="B142" s="4" t="s">
        <v>652</v>
      </c>
      <c r="C142" s="6" t="s">
        <v>653</v>
      </c>
      <c r="D142" s="4" t="s">
        <v>654</v>
      </c>
      <c r="E142" s="4" t="s">
        <v>655</v>
      </c>
      <c r="F142" s="4" t="s">
        <v>11</v>
      </c>
      <c r="I142" s="4" t="s">
        <v>656</v>
      </c>
    </row>
    <row r="143">
      <c r="A143" s="3">
        <v>45750.88159399306</v>
      </c>
      <c r="B143" s="4" t="s">
        <v>657</v>
      </c>
      <c r="C143" s="6" t="s">
        <v>658</v>
      </c>
      <c r="D143" s="4" t="s">
        <v>659</v>
      </c>
      <c r="E143" s="4" t="s">
        <v>660</v>
      </c>
      <c r="F143" s="4" t="s">
        <v>661</v>
      </c>
      <c r="G143" s="5" t="s">
        <v>662</v>
      </c>
    </row>
    <row r="144">
      <c r="A144" s="3">
        <v>45813.38445725694</v>
      </c>
      <c r="B144" s="4" t="s">
        <v>663</v>
      </c>
      <c r="C144" s="4" t="s">
        <v>664</v>
      </c>
      <c r="E144" s="4" t="s">
        <v>10</v>
      </c>
      <c r="F144" s="4" t="s">
        <v>32</v>
      </c>
      <c r="G144" s="12" t="s">
        <v>665</v>
      </c>
      <c r="H144" s="4" t="s">
        <v>666</v>
      </c>
    </row>
    <row r="145">
      <c r="A145" s="3">
        <v>45840.40382907407</v>
      </c>
      <c r="B145" s="4" t="s">
        <v>667</v>
      </c>
      <c r="C145" s="6" t="s">
        <v>383</v>
      </c>
      <c r="D145" s="4" t="s">
        <v>668</v>
      </c>
      <c r="E145" s="4" t="s">
        <v>10</v>
      </c>
      <c r="F145" s="4" t="s">
        <v>32</v>
      </c>
    </row>
    <row r="149">
      <c r="A149" s="13">
        <f>143-118</f>
        <v>25</v>
      </c>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2"/>
    <hyperlink r:id="rId41" ref="G43"/>
    <hyperlink r:id="rId42" ref="G44"/>
    <hyperlink r:id="rId43" ref="G45"/>
    <hyperlink r:id="rId44" ref="G46"/>
    <hyperlink r:id="rId45" ref="G47"/>
    <hyperlink r:id="rId46" ref="G48"/>
    <hyperlink r:id="rId47" ref="G49"/>
    <hyperlink r:id="rId48" ref="G50"/>
    <hyperlink r:id="rId49" ref="G51"/>
    <hyperlink r:id="rId50" ref="G52"/>
    <hyperlink r:id="rId51" ref="G53"/>
    <hyperlink r:id="rId52" ref="G55"/>
    <hyperlink r:id="rId53" ref="G56"/>
    <hyperlink r:id="rId54" ref="G57"/>
    <hyperlink r:id="rId55" ref="G59"/>
    <hyperlink r:id="rId56" ref="G60"/>
    <hyperlink r:id="rId57" ref="G61"/>
    <hyperlink r:id="rId58" ref="G62"/>
    <hyperlink r:id="rId59" ref="G63"/>
    <hyperlink r:id="rId60" ref="G64"/>
    <hyperlink r:id="rId61" ref="G65"/>
    <hyperlink r:id="rId62" ref="G66"/>
    <hyperlink r:id="rId63" ref="G68"/>
    <hyperlink r:id="rId64" ref="G69"/>
    <hyperlink r:id="rId65" ref="G70"/>
    <hyperlink r:id="rId66" ref="G71"/>
    <hyperlink r:id="rId67" ref="G72"/>
    <hyperlink r:id="rId68" ref="G73"/>
    <hyperlink r:id="rId69" ref="G74"/>
    <hyperlink r:id="rId70" ref="G75"/>
    <hyperlink r:id="rId71" ref="G76"/>
    <hyperlink r:id="rId72" ref="G78"/>
    <hyperlink r:id="rId73" ref="G79"/>
    <hyperlink r:id="rId74" ref="G80"/>
    <hyperlink r:id="rId75" ref="G81"/>
    <hyperlink r:id="rId76" ref="G82"/>
    <hyperlink r:id="rId77" ref="G83"/>
    <hyperlink r:id="rId78" ref="G85"/>
    <hyperlink r:id="rId79" ref="G86"/>
    <hyperlink r:id="rId80" ref="G87"/>
    <hyperlink r:id="rId81" ref="G88"/>
    <hyperlink r:id="rId82" ref="G89"/>
    <hyperlink r:id="rId83" ref="G90"/>
    <hyperlink r:id="rId84" ref="G91"/>
    <hyperlink r:id="rId85" ref="G92"/>
    <hyperlink r:id="rId86" ref="G93"/>
    <hyperlink r:id="rId87" ref="G94"/>
    <hyperlink r:id="rId88" ref="G95"/>
    <hyperlink r:id="rId89" ref="G96"/>
    <hyperlink r:id="rId90" ref="G97"/>
    <hyperlink r:id="rId91" ref="G98"/>
    <hyperlink r:id="rId92" ref="G99"/>
    <hyperlink r:id="rId93" ref="G100"/>
    <hyperlink r:id="rId94" ref="G101"/>
    <hyperlink r:id="rId95" ref="G102"/>
    <hyperlink r:id="rId96" ref="G103"/>
    <hyperlink r:id="rId97" ref="G104"/>
    <hyperlink r:id="rId98" ref="G105"/>
    <hyperlink r:id="rId99" ref="G106"/>
    <hyperlink r:id="rId100" ref="G107"/>
    <hyperlink r:id="rId101" ref="G108"/>
    <hyperlink r:id="rId102" ref="G109"/>
    <hyperlink r:id="rId103" ref="G110"/>
    <hyperlink r:id="rId104" ref="G111"/>
    <hyperlink r:id="rId105" ref="G112"/>
    <hyperlink r:id="rId106" ref="G113"/>
    <hyperlink r:id="rId107" ref="G114"/>
    <hyperlink r:id="rId108" ref="G115"/>
    <hyperlink r:id="rId109" ref="G116"/>
    <hyperlink r:id="rId110" ref="G117"/>
    <hyperlink r:id="rId111" ref="G118"/>
    <hyperlink r:id="rId112" ref="G119"/>
    <hyperlink r:id="rId113" ref="G120"/>
    <hyperlink r:id="rId114" ref="G121"/>
    <hyperlink r:id="rId115" ref="G122"/>
    <hyperlink r:id="rId116" ref="G123"/>
    <hyperlink r:id="rId117" ref="G124"/>
    <hyperlink r:id="rId118" ref="G125"/>
    <hyperlink r:id="rId119" ref="G126"/>
    <hyperlink r:id="rId120" ref="G127"/>
    <hyperlink r:id="rId121" ref="G128"/>
    <hyperlink r:id="rId122" ref="G129"/>
    <hyperlink r:id="rId123" ref="G130"/>
    <hyperlink r:id="rId124" ref="G131"/>
    <hyperlink r:id="rId125" ref="G132"/>
    <hyperlink r:id="rId126" ref="G133"/>
    <hyperlink r:id="rId127" ref="G134"/>
    <hyperlink r:id="rId128" ref="G135"/>
    <hyperlink r:id="rId129" ref="G136"/>
    <hyperlink r:id="rId130" ref="G137"/>
    <hyperlink r:id="rId131" ref="G138"/>
    <hyperlink r:id="rId132" ref="G139"/>
    <hyperlink r:id="rId133" ref="G140"/>
    <hyperlink r:id="rId134" ref="G141"/>
    <hyperlink r:id="rId135" ref="G143"/>
    <hyperlink r:id="rId136" ref="G144"/>
  </hyperlinks>
  <drawing r:id="rId13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v>45301.47251157407</v>
      </c>
      <c r="B1" s="4" t="s">
        <v>669</v>
      </c>
      <c r="C1" s="6" t="s">
        <v>670</v>
      </c>
      <c r="D1" s="4" t="s">
        <v>671</v>
      </c>
      <c r="E1" s="4" t="s">
        <v>672</v>
      </c>
      <c r="F1" s="4" t="s">
        <v>552</v>
      </c>
      <c r="G1" s="4" t="s">
        <v>673</v>
      </c>
      <c r="H1" s="14"/>
      <c r="I1" s="14"/>
    </row>
    <row r="2">
      <c r="A2" s="3">
        <v>45309.42990740741</v>
      </c>
      <c r="B2" s="4" t="s">
        <v>674</v>
      </c>
      <c r="C2" s="6" t="s">
        <v>675</v>
      </c>
      <c r="D2" s="4" t="s">
        <v>676</v>
      </c>
      <c r="E2" s="4" t="s">
        <v>677</v>
      </c>
      <c r="F2" s="4" t="s">
        <v>678</v>
      </c>
      <c r="G2" s="4" t="s">
        <v>679</v>
      </c>
      <c r="H2" s="14"/>
      <c r="I2" s="14"/>
    </row>
    <row r="3">
      <c r="A3" s="3">
        <v>45310.448425925926</v>
      </c>
      <c r="B3" s="4" t="s">
        <v>680</v>
      </c>
      <c r="C3" s="6" t="s">
        <v>681</v>
      </c>
      <c r="D3" s="4" t="s">
        <v>682</v>
      </c>
      <c r="E3" s="4" t="s">
        <v>683</v>
      </c>
      <c r="F3" s="4" t="s">
        <v>684</v>
      </c>
      <c r="G3" s="4" t="s">
        <v>685</v>
      </c>
      <c r="H3" s="14"/>
      <c r="I3" s="14"/>
    </row>
    <row r="4">
      <c r="A4" s="3">
        <v>45315.655694444446</v>
      </c>
      <c r="B4" s="4" t="s">
        <v>686</v>
      </c>
      <c r="C4" s="6" t="s">
        <v>687</v>
      </c>
      <c r="D4" s="4" t="s">
        <v>688</v>
      </c>
      <c r="E4" s="4" t="s">
        <v>505</v>
      </c>
      <c r="F4" s="4" t="s">
        <v>689</v>
      </c>
      <c r="G4" s="4" t="s">
        <v>690</v>
      </c>
      <c r="H4" s="14"/>
      <c r="I4" s="14"/>
    </row>
    <row r="5">
      <c r="A5" s="3">
        <v>45321.46104166667</v>
      </c>
      <c r="B5" s="4" t="s">
        <v>691</v>
      </c>
      <c r="C5" s="6" t="s">
        <v>692</v>
      </c>
      <c r="D5" s="4" t="s">
        <v>693</v>
      </c>
      <c r="E5" s="4" t="s">
        <v>694</v>
      </c>
      <c r="F5" s="4" t="s">
        <v>695</v>
      </c>
      <c r="G5" s="4" t="s">
        <v>696</v>
      </c>
      <c r="H5" s="14"/>
      <c r="I5" s="14"/>
    </row>
    <row r="6">
      <c r="A6" s="3">
        <v>45322.575625</v>
      </c>
      <c r="B6" s="4" t="s">
        <v>697</v>
      </c>
      <c r="C6" s="6" t="s">
        <v>698</v>
      </c>
      <c r="D6" s="4" t="s">
        <v>699</v>
      </c>
      <c r="E6" s="4" t="s">
        <v>700</v>
      </c>
      <c r="F6" s="4" t="s">
        <v>701</v>
      </c>
      <c r="G6" s="4" t="s">
        <v>702</v>
      </c>
      <c r="H6" s="14"/>
      <c r="I6" s="14"/>
    </row>
    <row r="7">
      <c r="A7" s="3">
        <v>45328.45474537037</v>
      </c>
      <c r="B7" s="4" t="s">
        <v>286</v>
      </c>
      <c r="C7" s="6" t="s">
        <v>287</v>
      </c>
      <c r="D7" s="4" t="s">
        <v>703</v>
      </c>
      <c r="E7" s="4" t="s">
        <v>290</v>
      </c>
      <c r="F7" s="4" t="s">
        <v>704</v>
      </c>
      <c r="G7" s="4" t="s">
        <v>705</v>
      </c>
      <c r="H7" s="14"/>
      <c r="I7" s="14"/>
    </row>
    <row r="8">
      <c r="A8" s="3">
        <v>45329.444189814814</v>
      </c>
      <c r="B8" s="4" t="s">
        <v>706</v>
      </c>
      <c r="C8" s="6" t="s">
        <v>707</v>
      </c>
      <c r="D8" s="4" t="s">
        <v>708</v>
      </c>
      <c r="E8" s="4" t="s">
        <v>709</v>
      </c>
      <c r="F8" s="4" t="s">
        <v>710</v>
      </c>
      <c r="G8" s="4" t="s">
        <v>711</v>
      </c>
      <c r="H8" s="14"/>
      <c r="I8" s="14"/>
    </row>
    <row r="9">
      <c r="A9" s="3">
        <v>45331.51825231482</v>
      </c>
      <c r="B9" s="4" t="s">
        <v>712</v>
      </c>
      <c r="C9" s="6" t="s">
        <v>713</v>
      </c>
      <c r="D9" s="4" t="s">
        <v>714</v>
      </c>
      <c r="E9" s="4" t="s">
        <v>715</v>
      </c>
      <c r="F9" s="4" t="s">
        <v>716</v>
      </c>
      <c r="G9" s="4" t="s">
        <v>717</v>
      </c>
      <c r="H9" s="14"/>
      <c r="I9" s="14"/>
    </row>
    <row r="10">
      <c r="A10" s="3">
        <v>45332.38829861111</v>
      </c>
      <c r="B10" s="4" t="s">
        <v>718</v>
      </c>
      <c r="C10" s="6" t="s">
        <v>719</v>
      </c>
      <c r="D10" s="4" t="s">
        <v>720</v>
      </c>
      <c r="E10" s="4" t="s">
        <v>10</v>
      </c>
      <c r="F10" s="4" t="s">
        <v>721</v>
      </c>
      <c r="G10" s="4" t="s">
        <v>722</v>
      </c>
      <c r="H10" s="14"/>
      <c r="I10" s="14"/>
    </row>
    <row r="11">
      <c r="A11" s="3">
        <v>45338.63798611111</v>
      </c>
      <c r="B11" s="4" t="s">
        <v>723</v>
      </c>
      <c r="C11" s="6" t="s">
        <v>724</v>
      </c>
      <c r="D11" s="4" t="s">
        <v>725</v>
      </c>
      <c r="E11" s="4" t="s">
        <v>10</v>
      </c>
      <c r="F11" s="4" t="s">
        <v>726</v>
      </c>
      <c r="G11" s="4" t="s">
        <v>727</v>
      </c>
      <c r="H11" s="14"/>
      <c r="I11" s="14"/>
    </row>
    <row r="12">
      <c r="A12" s="3">
        <v>45344.459085648145</v>
      </c>
      <c r="B12" s="4" t="s">
        <v>728</v>
      </c>
      <c r="C12" s="6" t="s">
        <v>729</v>
      </c>
      <c r="D12" s="4" t="s">
        <v>730</v>
      </c>
      <c r="E12" s="4" t="s">
        <v>731</v>
      </c>
      <c r="F12" s="4" t="s">
        <v>732</v>
      </c>
      <c r="G12" s="4" t="s">
        <v>733</v>
      </c>
      <c r="H12" s="14"/>
      <c r="I12" s="14"/>
    </row>
    <row r="13">
      <c r="A13" s="3">
        <v>45350.405277777776</v>
      </c>
      <c r="B13" s="4" t="s">
        <v>734</v>
      </c>
      <c r="C13" s="6" t="s">
        <v>735</v>
      </c>
      <c r="E13" s="4" t="s">
        <v>736</v>
      </c>
      <c r="F13" s="4" t="s">
        <v>155</v>
      </c>
      <c r="G13" s="4" t="s">
        <v>737</v>
      </c>
      <c r="H13" s="14"/>
      <c r="I13" s="14"/>
    </row>
    <row r="14">
      <c r="A14" s="3">
        <v>45365.61015046296</v>
      </c>
      <c r="B14" s="4" t="s">
        <v>738</v>
      </c>
      <c r="C14" s="6" t="s">
        <v>739</v>
      </c>
      <c r="D14" s="4" t="s">
        <v>740</v>
      </c>
      <c r="E14" s="4" t="s">
        <v>283</v>
      </c>
      <c r="F14" s="4" t="s">
        <v>741</v>
      </c>
      <c r="G14" s="4" t="s">
        <v>742</v>
      </c>
      <c r="H14" s="14"/>
      <c r="I14" s="14"/>
    </row>
    <row r="15">
      <c r="A15" s="3">
        <v>45378.424479166664</v>
      </c>
      <c r="B15" s="4" t="s">
        <v>743</v>
      </c>
      <c r="C15" s="6" t="s">
        <v>744</v>
      </c>
      <c r="E15" s="4" t="s">
        <v>745</v>
      </c>
      <c r="F15" s="4" t="s">
        <v>746</v>
      </c>
      <c r="G15" s="4" t="s">
        <v>747</v>
      </c>
      <c r="H15" s="14"/>
      <c r="I15" s="14"/>
    </row>
    <row r="16">
      <c r="A16" s="3">
        <v>45386.45873842593</v>
      </c>
      <c r="B16" s="4" t="s">
        <v>748</v>
      </c>
      <c r="C16" s="6" t="s">
        <v>260</v>
      </c>
      <c r="D16" s="4" t="s">
        <v>749</v>
      </c>
      <c r="E16" s="4" t="s">
        <v>10</v>
      </c>
      <c r="F16" s="4" t="s">
        <v>32</v>
      </c>
      <c r="G16" s="4" t="s">
        <v>750</v>
      </c>
      <c r="H16" s="4" t="s">
        <v>751</v>
      </c>
      <c r="I16" s="4" t="s">
        <v>752</v>
      </c>
    </row>
    <row r="17">
      <c r="A17" s="3">
        <v>45395.41266203704</v>
      </c>
      <c r="B17" s="4" t="s">
        <v>753</v>
      </c>
      <c r="C17" s="6" t="s">
        <v>452</v>
      </c>
      <c r="D17" s="4" t="s">
        <v>453</v>
      </c>
      <c r="E17" s="4" t="s">
        <v>10</v>
      </c>
      <c r="F17" s="4" t="s">
        <v>32</v>
      </c>
      <c r="G17" s="4" t="s">
        <v>754</v>
      </c>
      <c r="H17" s="4" t="s">
        <v>755</v>
      </c>
      <c r="I17" s="4" t="s">
        <v>756</v>
      </c>
    </row>
    <row r="18">
      <c r="A18" s="3">
        <v>45395.41333333333</v>
      </c>
      <c r="B18" s="4" t="s">
        <v>757</v>
      </c>
      <c r="C18" s="6" t="s">
        <v>758</v>
      </c>
      <c r="D18" s="4" t="s">
        <v>759</v>
      </c>
      <c r="E18" s="4" t="s">
        <v>10</v>
      </c>
      <c r="F18" s="4" t="s">
        <v>32</v>
      </c>
      <c r="G18" s="4" t="s">
        <v>760</v>
      </c>
      <c r="H18" s="4" t="s">
        <v>155</v>
      </c>
      <c r="I18" s="4" t="s">
        <v>385</v>
      </c>
    </row>
    <row r="19">
      <c r="A19" s="3">
        <v>45395.57693287037</v>
      </c>
      <c r="B19" s="4" t="s">
        <v>761</v>
      </c>
      <c r="C19" s="6" t="s">
        <v>762</v>
      </c>
      <c r="E19" s="4" t="s">
        <v>10</v>
      </c>
      <c r="F19" s="4" t="s">
        <v>763</v>
      </c>
      <c r="G19" s="4" t="s">
        <v>764</v>
      </c>
      <c r="H19" s="4" t="s">
        <v>765</v>
      </c>
      <c r="I19" s="4" t="s">
        <v>766</v>
      </c>
    </row>
    <row r="20">
      <c r="A20" s="3">
        <v>45396.37158564815</v>
      </c>
      <c r="B20" s="4" t="s">
        <v>767</v>
      </c>
      <c r="C20" s="6" t="s">
        <v>768</v>
      </c>
      <c r="E20" s="4" t="s">
        <v>10</v>
      </c>
      <c r="F20" s="4" t="s">
        <v>11</v>
      </c>
      <c r="G20" s="4" t="s">
        <v>769</v>
      </c>
      <c r="H20" s="4" t="s">
        <v>770</v>
      </c>
      <c r="I20" s="4" t="s">
        <v>771</v>
      </c>
    </row>
    <row r="21">
      <c r="A21" s="3">
        <v>45409.47814814815</v>
      </c>
      <c r="B21" s="4" t="s">
        <v>772</v>
      </c>
      <c r="C21" s="6" t="s">
        <v>773</v>
      </c>
      <c r="D21" s="4" t="s">
        <v>774</v>
      </c>
      <c r="E21" s="4" t="s">
        <v>283</v>
      </c>
      <c r="F21" s="4" t="s">
        <v>32</v>
      </c>
      <c r="G21" s="4" t="s">
        <v>775</v>
      </c>
      <c r="H21" s="4" t="s">
        <v>776</v>
      </c>
      <c r="I21" s="4" t="s">
        <v>777</v>
      </c>
    </row>
    <row r="22">
      <c r="A22" s="3">
        <v>45410.439375</v>
      </c>
      <c r="B22" s="4" t="s">
        <v>778</v>
      </c>
      <c r="C22" s="6" t="s">
        <v>779</v>
      </c>
      <c r="D22" s="4" t="s">
        <v>780</v>
      </c>
      <c r="E22" s="4" t="s">
        <v>10</v>
      </c>
      <c r="F22" s="4" t="s">
        <v>11</v>
      </c>
      <c r="G22" s="4" t="s">
        <v>781</v>
      </c>
      <c r="H22" s="4" t="s">
        <v>782</v>
      </c>
      <c r="I22" s="4" t="s">
        <v>253</v>
      </c>
    </row>
    <row r="23">
      <c r="A23" s="3">
        <v>45441.559479166666</v>
      </c>
      <c r="B23" s="4" t="s">
        <v>783</v>
      </c>
      <c r="C23" s="6" t="s">
        <v>784</v>
      </c>
      <c r="D23" s="4" t="s">
        <v>785</v>
      </c>
      <c r="E23" s="4" t="s">
        <v>218</v>
      </c>
      <c r="F23" s="4" t="s">
        <v>32</v>
      </c>
      <c r="G23" s="4" t="s">
        <v>786</v>
      </c>
      <c r="H23" s="4" t="s">
        <v>787</v>
      </c>
      <c r="I23" s="4" t="s">
        <v>788</v>
      </c>
    </row>
    <row r="24">
      <c r="A24" s="3">
        <v>45469.58987268519</v>
      </c>
      <c r="B24" s="4" t="s">
        <v>789</v>
      </c>
      <c r="C24" s="6" t="s">
        <v>790</v>
      </c>
      <c r="D24" s="4" t="s">
        <v>791</v>
      </c>
      <c r="E24" s="4" t="s">
        <v>731</v>
      </c>
      <c r="F24" s="4" t="s">
        <v>32</v>
      </c>
      <c r="G24" s="4" t="s">
        <v>792</v>
      </c>
      <c r="H24" s="4" t="s">
        <v>28</v>
      </c>
      <c r="I24" s="4" t="s">
        <v>793</v>
      </c>
    </row>
    <row r="25">
      <c r="A25" s="3">
        <v>45469.59148148148</v>
      </c>
      <c r="B25" s="4" t="s">
        <v>794</v>
      </c>
      <c r="C25" s="6" t="s">
        <v>795</v>
      </c>
      <c r="D25" s="4" t="s">
        <v>796</v>
      </c>
      <c r="E25" s="4" t="s">
        <v>731</v>
      </c>
      <c r="F25" s="4" t="s">
        <v>32</v>
      </c>
      <c r="G25" s="4" t="s">
        <v>797</v>
      </c>
      <c r="H25" s="4" t="s">
        <v>28</v>
      </c>
      <c r="I25" s="4" t="s">
        <v>793</v>
      </c>
    </row>
    <row r="26">
      <c r="A26" s="3">
        <v>45469.59542824074</v>
      </c>
      <c r="B26" s="4" t="s">
        <v>798</v>
      </c>
      <c r="C26" s="6" t="s">
        <v>799</v>
      </c>
      <c r="D26" s="4" t="s">
        <v>800</v>
      </c>
      <c r="E26" s="4" t="s">
        <v>731</v>
      </c>
      <c r="F26" s="4" t="s">
        <v>32</v>
      </c>
      <c r="G26" s="4" t="s">
        <v>801</v>
      </c>
      <c r="H26" s="4" t="s">
        <v>28</v>
      </c>
      <c r="I26" s="4" t="s">
        <v>802</v>
      </c>
    </row>
    <row r="27">
      <c r="A27" s="3">
        <v>45469.601481481484</v>
      </c>
      <c r="B27" s="4" t="s">
        <v>803</v>
      </c>
      <c r="C27" s="6" t="s">
        <v>804</v>
      </c>
      <c r="D27" s="4" t="s">
        <v>805</v>
      </c>
      <c r="E27" s="4" t="s">
        <v>731</v>
      </c>
      <c r="F27" s="4" t="s">
        <v>32</v>
      </c>
      <c r="G27" s="4" t="s">
        <v>806</v>
      </c>
      <c r="H27" s="4" t="s">
        <v>28</v>
      </c>
      <c r="I27" s="4" t="s">
        <v>802</v>
      </c>
    </row>
    <row r="28">
      <c r="A28" s="3">
        <v>45469.60387731482</v>
      </c>
      <c r="B28" s="4" t="s">
        <v>807</v>
      </c>
      <c r="C28" s="6" t="s">
        <v>808</v>
      </c>
      <c r="D28" s="4" t="s">
        <v>809</v>
      </c>
      <c r="E28" s="4" t="s">
        <v>731</v>
      </c>
      <c r="F28" s="4" t="s">
        <v>32</v>
      </c>
      <c r="G28" s="4" t="s">
        <v>810</v>
      </c>
      <c r="H28" s="4" t="s">
        <v>28</v>
      </c>
      <c r="I28" s="4" t="s">
        <v>802</v>
      </c>
    </row>
    <row r="29">
      <c r="A29" s="3">
        <v>45469.60563657407</v>
      </c>
      <c r="B29" s="4" t="s">
        <v>811</v>
      </c>
      <c r="C29" s="6" t="s">
        <v>812</v>
      </c>
      <c r="D29" s="4" t="s">
        <v>813</v>
      </c>
      <c r="E29" s="4" t="s">
        <v>731</v>
      </c>
      <c r="F29" s="4" t="s">
        <v>32</v>
      </c>
      <c r="G29" s="4" t="s">
        <v>814</v>
      </c>
      <c r="H29" s="4" t="s">
        <v>28</v>
      </c>
      <c r="I29" s="4" t="s">
        <v>802</v>
      </c>
    </row>
    <row r="30">
      <c r="A30" s="3">
        <v>45479.61680555555</v>
      </c>
      <c r="B30" s="4" t="s">
        <v>815</v>
      </c>
      <c r="C30" s="6" t="s">
        <v>816</v>
      </c>
      <c r="D30" s="4" t="s">
        <v>817</v>
      </c>
      <c r="E30" s="4" t="s">
        <v>10</v>
      </c>
      <c r="F30" s="4" t="s">
        <v>32</v>
      </c>
      <c r="G30" s="4" t="s">
        <v>818</v>
      </c>
      <c r="H30" s="4" t="s">
        <v>552</v>
      </c>
      <c r="I30" s="4" t="s">
        <v>819</v>
      </c>
    </row>
    <row r="31">
      <c r="A31" s="3">
        <v>45459.61728009259</v>
      </c>
      <c r="B31" s="4" t="s">
        <v>820</v>
      </c>
      <c r="C31" s="6" t="s">
        <v>821</v>
      </c>
      <c r="E31" s="4" t="s">
        <v>218</v>
      </c>
      <c r="F31" s="4" t="s">
        <v>32</v>
      </c>
      <c r="G31" s="4" t="s">
        <v>822</v>
      </c>
      <c r="H31" s="4" t="s">
        <v>823</v>
      </c>
      <c r="I31" s="4" t="s">
        <v>824</v>
      </c>
    </row>
    <row r="32">
      <c r="A32" s="3">
        <v>45480.42545138889</v>
      </c>
      <c r="B32" s="4" t="s">
        <v>97</v>
      </c>
      <c r="C32" s="6" t="s">
        <v>825</v>
      </c>
      <c r="D32" s="4" t="s">
        <v>826</v>
      </c>
      <c r="E32" s="4" t="s">
        <v>218</v>
      </c>
      <c r="F32" s="4" t="s">
        <v>11</v>
      </c>
      <c r="G32" s="4" t="s">
        <v>827</v>
      </c>
      <c r="H32" s="4" t="s">
        <v>28</v>
      </c>
      <c r="I32" s="4" t="s">
        <v>828</v>
      </c>
    </row>
    <row r="33">
      <c r="A33" s="3">
        <v>45485.515127314815</v>
      </c>
      <c r="B33" s="4" t="s">
        <v>829</v>
      </c>
      <c r="C33" s="6" t="s">
        <v>830</v>
      </c>
      <c r="D33" s="4" t="s">
        <v>831</v>
      </c>
      <c r="E33" s="4" t="s">
        <v>832</v>
      </c>
      <c r="F33" s="4" t="s">
        <v>833</v>
      </c>
      <c r="G33" s="4" t="s">
        <v>834</v>
      </c>
      <c r="H33" s="4" t="s">
        <v>833</v>
      </c>
      <c r="I33" s="4" t="s">
        <v>835</v>
      </c>
    </row>
    <row r="34">
      <c r="A34" s="3">
        <v>45499.44184027778</v>
      </c>
      <c r="B34" s="4" t="s">
        <v>836</v>
      </c>
      <c r="C34" s="6" t="s">
        <v>837</v>
      </c>
      <c r="D34" s="4" t="s">
        <v>838</v>
      </c>
      <c r="E34" s="4" t="s">
        <v>142</v>
      </c>
      <c r="F34" s="4" t="s">
        <v>28</v>
      </c>
      <c r="G34" s="4" t="s">
        <v>839</v>
      </c>
      <c r="H34" s="4" t="s">
        <v>28</v>
      </c>
      <c r="I34" s="4" t="s">
        <v>840</v>
      </c>
    </row>
    <row r="35">
      <c r="A35" s="3">
        <v>45506.37427083333</v>
      </c>
      <c r="B35" s="4" t="s">
        <v>811</v>
      </c>
      <c r="C35" s="6" t="s">
        <v>841</v>
      </c>
      <c r="D35" s="4" t="s">
        <v>842</v>
      </c>
      <c r="E35" s="4" t="s">
        <v>843</v>
      </c>
      <c r="F35" s="4" t="s">
        <v>32</v>
      </c>
      <c r="G35" s="4" t="s">
        <v>844</v>
      </c>
      <c r="H35" s="4" t="s">
        <v>28</v>
      </c>
      <c r="I35" s="4" t="s">
        <v>802</v>
      </c>
    </row>
    <row r="36">
      <c r="A36" s="3">
        <v>45506.37540509259</v>
      </c>
      <c r="B36" s="4" t="s">
        <v>845</v>
      </c>
      <c r="C36" s="6" t="s">
        <v>804</v>
      </c>
      <c r="D36" s="4" t="s">
        <v>846</v>
      </c>
      <c r="E36" s="4" t="s">
        <v>843</v>
      </c>
      <c r="F36" s="4" t="s">
        <v>32</v>
      </c>
      <c r="G36" s="4" t="s">
        <v>847</v>
      </c>
      <c r="H36" s="4" t="s">
        <v>28</v>
      </c>
      <c r="I36" s="4" t="s">
        <v>802</v>
      </c>
    </row>
    <row r="37">
      <c r="A37" s="3">
        <v>45511.42618055556</v>
      </c>
      <c r="B37" s="4" t="s">
        <v>848</v>
      </c>
      <c r="C37" s="6" t="s">
        <v>849</v>
      </c>
      <c r="D37" s="4" t="s">
        <v>850</v>
      </c>
      <c r="E37" s="4" t="s">
        <v>10</v>
      </c>
      <c r="F37" s="4" t="s">
        <v>32</v>
      </c>
      <c r="G37" s="4" t="s">
        <v>851</v>
      </c>
      <c r="H37" s="4" t="s">
        <v>852</v>
      </c>
      <c r="I37" s="4" t="s">
        <v>853</v>
      </c>
    </row>
    <row r="38">
      <c r="A38" s="3">
        <v>45511.427777777775</v>
      </c>
      <c r="B38" s="4" t="s">
        <v>854</v>
      </c>
      <c r="C38" s="6" t="s">
        <v>855</v>
      </c>
      <c r="D38" s="4" t="s">
        <v>856</v>
      </c>
      <c r="E38" s="4" t="s">
        <v>10</v>
      </c>
      <c r="F38" s="4" t="s">
        <v>32</v>
      </c>
      <c r="G38" s="4" t="s">
        <v>857</v>
      </c>
      <c r="H38" s="4" t="s">
        <v>852</v>
      </c>
      <c r="I38" s="4" t="s">
        <v>853</v>
      </c>
    </row>
    <row r="39">
      <c r="A39" s="3">
        <v>45515.66972222222</v>
      </c>
      <c r="B39" s="4" t="s">
        <v>858</v>
      </c>
      <c r="C39" s="6" t="s">
        <v>859</v>
      </c>
      <c r="D39" s="4" t="s">
        <v>860</v>
      </c>
      <c r="E39" s="4" t="s">
        <v>283</v>
      </c>
      <c r="F39" s="4" t="s">
        <v>32</v>
      </c>
      <c r="G39" s="4" t="s">
        <v>861</v>
      </c>
      <c r="H39" s="4" t="s">
        <v>28</v>
      </c>
      <c r="I39" s="4" t="s">
        <v>777</v>
      </c>
    </row>
    <row r="40">
      <c r="A40" s="3">
        <v>45529.487025462964</v>
      </c>
      <c r="B40" s="4" t="s">
        <v>862</v>
      </c>
      <c r="C40" s="6" t="s">
        <v>863</v>
      </c>
      <c r="D40" s="4" t="s">
        <v>864</v>
      </c>
      <c r="E40" s="4" t="s">
        <v>865</v>
      </c>
      <c r="F40" s="4" t="s">
        <v>32</v>
      </c>
      <c r="G40" s="4" t="s">
        <v>866</v>
      </c>
      <c r="H40" s="4" t="s">
        <v>867</v>
      </c>
      <c r="I40" s="4" t="s">
        <v>865</v>
      </c>
    </row>
    <row r="41">
      <c r="A41" s="3">
        <v>45529.48761574074</v>
      </c>
      <c r="B41" s="4" t="s">
        <v>868</v>
      </c>
      <c r="C41" s="6" t="s">
        <v>869</v>
      </c>
      <c r="D41" s="4" t="s">
        <v>870</v>
      </c>
      <c r="E41" s="4" t="s">
        <v>218</v>
      </c>
      <c r="F41" s="4" t="s">
        <v>32</v>
      </c>
      <c r="G41" s="4" t="s">
        <v>871</v>
      </c>
      <c r="H41" s="4" t="s">
        <v>552</v>
      </c>
      <c r="I41" s="4" t="s">
        <v>422</v>
      </c>
    </row>
    <row r="42">
      <c r="A42" s="3">
        <v>45529.48868055556</v>
      </c>
      <c r="B42" s="4" t="s">
        <v>872</v>
      </c>
      <c r="C42" s="6" t="s">
        <v>873</v>
      </c>
      <c r="D42" s="4" t="s">
        <v>874</v>
      </c>
      <c r="E42" s="4" t="s">
        <v>218</v>
      </c>
      <c r="F42" s="4" t="s">
        <v>32</v>
      </c>
      <c r="G42" s="4" t="s">
        <v>875</v>
      </c>
      <c r="H42" s="4" t="s">
        <v>867</v>
      </c>
      <c r="I42" s="4" t="s">
        <v>865</v>
      </c>
    </row>
    <row r="43">
      <c r="A43" s="3">
        <v>45529.489537037036</v>
      </c>
      <c r="B43" s="4" t="s">
        <v>876</v>
      </c>
      <c r="C43" s="6" t="s">
        <v>877</v>
      </c>
      <c r="D43" s="4" t="s">
        <v>878</v>
      </c>
      <c r="E43" s="4" t="s">
        <v>218</v>
      </c>
      <c r="F43" s="4" t="s">
        <v>879</v>
      </c>
      <c r="G43" s="4" t="s">
        <v>880</v>
      </c>
      <c r="H43" s="4" t="s">
        <v>552</v>
      </c>
      <c r="I43" s="4" t="s">
        <v>422</v>
      </c>
    </row>
    <row r="44">
      <c r="A44" s="3">
        <v>45529.659479166665</v>
      </c>
      <c r="B44" s="4" t="s">
        <v>881</v>
      </c>
      <c r="C44" s="6" t="s">
        <v>882</v>
      </c>
      <c r="D44" s="4" t="s">
        <v>883</v>
      </c>
      <c r="E44" s="4" t="s">
        <v>246</v>
      </c>
      <c r="F44" s="4" t="s">
        <v>884</v>
      </c>
      <c r="G44" s="4" t="s">
        <v>885</v>
      </c>
      <c r="H44" s="4" t="s">
        <v>13</v>
      </c>
      <c r="I44" s="4" t="s">
        <v>246</v>
      </c>
    </row>
    <row r="45">
      <c r="A45" s="3">
        <v>45532.7096875</v>
      </c>
      <c r="B45" s="4" t="s">
        <v>886</v>
      </c>
      <c r="C45" s="6" t="s">
        <v>250</v>
      </c>
      <c r="D45" s="4" t="s">
        <v>251</v>
      </c>
      <c r="E45" s="4" t="s">
        <v>10</v>
      </c>
      <c r="F45" s="4" t="s">
        <v>11</v>
      </c>
      <c r="G45" s="4" t="s">
        <v>887</v>
      </c>
      <c r="H45" s="4" t="s">
        <v>888</v>
      </c>
      <c r="I45" s="4" t="s">
        <v>253</v>
      </c>
    </row>
    <row r="46">
      <c r="A46" s="3">
        <v>45533.5859375</v>
      </c>
      <c r="B46" s="4" t="s">
        <v>889</v>
      </c>
      <c r="C46" s="6" t="s">
        <v>890</v>
      </c>
      <c r="D46" s="4" t="s">
        <v>891</v>
      </c>
      <c r="E46" s="4" t="s">
        <v>218</v>
      </c>
      <c r="F46" s="4" t="s">
        <v>32</v>
      </c>
      <c r="G46" s="4" t="s">
        <v>892</v>
      </c>
      <c r="H46" s="4" t="s">
        <v>28</v>
      </c>
      <c r="I46" s="4" t="s">
        <v>422</v>
      </c>
    </row>
    <row r="47">
      <c r="A47" s="3">
        <v>45534.4140625</v>
      </c>
      <c r="B47" s="4" t="s">
        <v>893</v>
      </c>
      <c r="C47" s="6" t="s">
        <v>894</v>
      </c>
      <c r="D47" s="4" t="s">
        <v>895</v>
      </c>
      <c r="E47" s="4" t="s">
        <v>10</v>
      </c>
      <c r="F47" s="4" t="s">
        <v>32</v>
      </c>
      <c r="G47" s="4" t="s">
        <v>896</v>
      </c>
      <c r="H47" s="4" t="s">
        <v>888</v>
      </c>
      <c r="I47" s="4" t="s">
        <v>897</v>
      </c>
    </row>
    <row r="48">
      <c r="A48" s="3">
        <v>45534.62190972222</v>
      </c>
      <c r="B48" s="4" t="s">
        <v>898</v>
      </c>
      <c r="C48" s="6" t="s">
        <v>899</v>
      </c>
      <c r="D48" s="4" t="s">
        <v>900</v>
      </c>
      <c r="E48" s="4" t="s">
        <v>10</v>
      </c>
      <c r="F48" s="4" t="s">
        <v>32</v>
      </c>
      <c r="G48" s="4" t="s">
        <v>901</v>
      </c>
      <c r="H48" s="4" t="s">
        <v>28</v>
      </c>
      <c r="I48" s="4" t="s">
        <v>902</v>
      </c>
    </row>
    <row r="49">
      <c r="A49" s="3">
        <v>45534.62390046296</v>
      </c>
      <c r="B49" s="4" t="s">
        <v>903</v>
      </c>
      <c r="C49" s="6" t="s">
        <v>904</v>
      </c>
      <c r="D49" s="4" t="s">
        <v>905</v>
      </c>
      <c r="E49" s="4" t="s">
        <v>10</v>
      </c>
      <c r="F49" s="4" t="s">
        <v>32</v>
      </c>
      <c r="G49" s="4" t="s">
        <v>906</v>
      </c>
      <c r="H49" s="4" t="s">
        <v>28</v>
      </c>
      <c r="I49" s="4" t="s">
        <v>902</v>
      </c>
    </row>
    <row r="50">
      <c r="A50" s="3">
        <v>45550.46681712963</v>
      </c>
      <c r="B50" s="4" t="s">
        <v>512</v>
      </c>
      <c r="C50" s="6" t="s">
        <v>513</v>
      </c>
      <c r="D50" s="4" t="s">
        <v>907</v>
      </c>
      <c r="E50" s="4" t="s">
        <v>509</v>
      </c>
      <c r="F50" s="4" t="s">
        <v>11</v>
      </c>
      <c r="G50" s="4" t="s">
        <v>908</v>
      </c>
      <c r="H50" s="4" t="s">
        <v>909</v>
      </c>
      <c r="I50" s="4" t="s">
        <v>509</v>
      </c>
    </row>
    <row r="51">
      <c r="A51" s="3">
        <v>45554.473715277774</v>
      </c>
      <c r="B51" s="4" t="s">
        <v>910</v>
      </c>
      <c r="C51" s="6" t="s">
        <v>383</v>
      </c>
      <c r="D51" s="4" t="s">
        <v>384</v>
      </c>
      <c r="E51" s="4" t="s">
        <v>10</v>
      </c>
      <c r="F51" s="4" t="s">
        <v>32</v>
      </c>
      <c r="G51" s="4" t="s">
        <v>911</v>
      </c>
      <c r="H51" s="4" t="s">
        <v>912</v>
      </c>
      <c r="I51" s="4" t="s">
        <v>385</v>
      </c>
    </row>
    <row r="52">
      <c r="A52" s="3">
        <v>45554.475</v>
      </c>
      <c r="B52" s="4" t="s">
        <v>913</v>
      </c>
      <c r="C52" s="6" t="s">
        <v>914</v>
      </c>
      <c r="D52" s="4" t="s">
        <v>915</v>
      </c>
      <c r="E52" s="4" t="s">
        <v>10</v>
      </c>
      <c r="F52" s="4" t="s">
        <v>32</v>
      </c>
      <c r="G52" s="4" t="s">
        <v>916</v>
      </c>
      <c r="H52" s="4" t="s">
        <v>912</v>
      </c>
      <c r="I52" s="4" t="s">
        <v>385</v>
      </c>
    </row>
    <row r="53">
      <c r="A53" s="3">
        <v>45567.50777777778</v>
      </c>
      <c r="B53" s="4" t="s">
        <v>625</v>
      </c>
      <c r="C53" s="6" t="s">
        <v>626</v>
      </c>
      <c r="D53" s="4" t="s">
        <v>917</v>
      </c>
      <c r="E53" s="4" t="s">
        <v>10</v>
      </c>
      <c r="F53" s="4" t="s">
        <v>32</v>
      </c>
      <c r="G53" s="4" t="s">
        <v>918</v>
      </c>
      <c r="H53" s="4" t="s">
        <v>919</v>
      </c>
      <c r="I53" s="4" t="s">
        <v>920</v>
      </c>
    </row>
    <row r="54">
      <c r="A54" s="3">
        <v>45567.50921296296</v>
      </c>
      <c r="B54" s="4" t="s">
        <v>205</v>
      </c>
      <c r="C54" s="6" t="s">
        <v>921</v>
      </c>
      <c r="D54" s="4" t="s">
        <v>922</v>
      </c>
      <c r="E54" s="4" t="s">
        <v>10</v>
      </c>
      <c r="F54" s="4" t="s">
        <v>32</v>
      </c>
      <c r="G54" s="4" t="s">
        <v>923</v>
      </c>
      <c r="H54" s="4" t="s">
        <v>919</v>
      </c>
      <c r="I54" s="4" t="s">
        <v>920</v>
      </c>
    </row>
    <row r="55">
      <c r="A55" s="3">
        <v>45567.5108912037</v>
      </c>
      <c r="B55" s="4" t="s">
        <v>924</v>
      </c>
      <c r="C55" s="6" t="s">
        <v>499</v>
      </c>
      <c r="D55" s="4" t="s">
        <v>925</v>
      </c>
      <c r="E55" s="4" t="s">
        <v>10</v>
      </c>
      <c r="F55" s="4" t="s">
        <v>32</v>
      </c>
      <c r="G55" s="4" t="s">
        <v>926</v>
      </c>
      <c r="H55" s="4" t="s">
        <v>927</v>
      </c>
      <c r="I55" s="4" t="s">
        <v>928</v>
      </c>
    </row>
    <row r="56">
      <c r="A56" s="3">
        <v>45568.33422453704</v>
      </c>
      <c r="B56" s="4" t="s">
        <v>929</v>
      </c>
      <c r="C56" s="6" t="s">
        <v>930</v>
      </c>
      <c r="D56" s="4" t="s">
        <v>931</v>
      </c>
      <c r="E56" s="4" t="s">
        <v>10</v>
      </c>
      <c r="F56" s="4" t="s">
        <v>932</v>
      </c>
      <c r="G56" s="4" t="s">
        <v>933</v>
      </c>
      <c r="H56" s="4" t="s">
        <v>934</v>
      </c>
      <c r="I56" s="4" t="s">
        <v>935</v>
      </c>
    </row>
    <row r="57">
      <c r="A57" s="3">
        <v>45568.33563657408</v>
      </c>
      <c r="B57" s="4" t="s">
        <v>936</v>
      </c>
      <c r="C57" s="6" t="s">
        <v>937</v>
      </c>
      <c r="D57" s="4" t="s">
        <v>938</v>
      </c>
      <c r="E57" s="4" t="s">
        <v>10</v>
      </c>
      <c r="F57" s="4" t="s">
        <v>939</v>
      </c>
      <c r="G57" s="4" t="s">
        <v>940</v>
      </c>
      <c r="H57" s="4" t="s">
        <v>941</v>
      </c>
      <c r="I57" s="4" t="s">
        <v>935</v>
      </c>
    </row>
    <row r="58">
      <c r="A58" s="3">
        <v>45568.33693287037</v>
      </c>
      <c r="B58" s="4" t="s">
        <v>942</v>
      </c>
      <c r="C58" s="6" t="s">
        <v>943</v>
      </c>
      <c r="D58" s="4" t="s">
        <v>944</v>
      </c>
      <c r="E58" s="4" t="s">
        <v>10</v>
      </c>
      <c r="F58" s="4" t="s">
        <v>945</v>
      </c>
      <c r="G58" s="4" t="s">
        <v>946</v>
      </c>
      <c r="H58" s="4" t="s">
        <v>947</v>
      </c>
      <c r="I58" s="4" t="s">
        <v>935</v>
      </c>
    </row>
    <row r="59">
      <c r="A59" s="3">
        <v>45568.43635416667</v>
      </c>
      <c r="B59" s="4" t="s">
        <v>948</v>
      </c>
      <c r="C59" s="6" t="s">
        <v>949</v>
      </c>
      <c r="D59" s="4" t="s">
        <v>950</v>
      </c>
      <c r="E59" s="4" t="s">
        <v>218</v>
      </c>
      <c r="F59" s="4" t="s">
        <v>32</v>
      </c>
      <c r="G59" s="4" t="s">
        <v>951</v>
      </c>
      <c r="H59" s="4" t="s">
        <v>28</v>
      </c>
      <c r="I59" s="4" t="s">
        <v>952</v>
      </c>
    </row>
    <row r="60">
      <c r="A60" s="3">
        <v>45568.43766203704</v>
      </c>
      <c r="B60" s="4" t="s">
        <v>953</v>
      </c>
      <c r="C60" s="6" t="s">
        <v>954</v>
      </c>
      <c r="D60" s="4" t="s">
        <v>955</v>
      </c>
      <c r="E60" s="4" t="s">
        <v>218</v>
      </c>
      <c r="F60" s="4" t="s">
        <v>32</v>
      </c>
      <c r="G60" s="4" t="s">
        <v>956</v>
      </c>
      <c r="H60" s="4" t="s">
        <v>28</v>
      </c>
      <c r="I60" s="4" t="s">
        <v>952</v>
      </c>
    </row>
    <row r="61">
      <c r="A61" s="3">
        <v>45568.43885416666</v>
      </c>
      <c r="B61" s="4" t="s">
        <v>957</v>
      </c>
      <c r="C61" s="6" t="s">
        <v>958</v>
      </c>
      <c r="D61" s="4" t="s">
        <v>959</v>
      </c>
      <c r="E61" s="4" t="s">
        <v>218</v>
      </c>
      <c r="F61" s="4" t="s">
        <v>32</v>
      </c>
      <c r="G61" s="4" t="s">
        <v>960</v>
      </c>
      <c r="H61" s="4" t="s">
        <v>28</v>
      </c>
      <c r="I61" s="4" t="s">
        <v>952</v>
      </c>
    </row>
    <row r="62">
      <c r="A62" s="3">
        <v>45571.57072916667</v>
      </c>
      <c r="B62" s="4" t="s">
        <v>961</v>
      </c>
      <c r="C62" s="6" t="s">
        <v>962</v>
      </c>
      <c r="D62" s="4" t="s">
        <v>963</v>
      </c>
      <c r="E62" s="4" t="s">
        <v>964</v>
      </c>
      <c r="F62" s="4" t="s">
        <v>11</v>
      </c>
      <c r="G62" s="4" t="s">
        <v>965</v>
      </c>
      <c r="H62" s="4" t="s">
        <v>966</v>
      </c>
      <c r="I62" s="4" t="s">
        <v>967</v>
      </c>
    </row>
    <row r="63">
      <c r="A63" s="3">
        <v>45574.40143518519</v>
      </c>
      <c r="B63" s="4" t="s">
        <v>968</v>
      </c>
      <c r="C63" s="6" t="s">
        <v>30</v>
      </c>
      <c r="D63" s="4" t="s">
        <v>31</v>
      </c>
      <c r="E63" s="4" t="s">
        <v>10</v>
      </c>
      <c r="F63" s="4" t="s">
        <v>32</v>
      </c>
      <c r="G63" s="4" t="s">
        <v>969</v>
      </c>
      <c r="H63" s="4" t="s">
        <v>552</v>
      </c>
      <c r="I63" s="4" t="s">
        <v>970</v>
      </c>
    </row>
    <row r="64">
      <c r="A64" s="3">
        <v>45546.58383101852</v>
      </c>
      <c r="B64" s="4" t="s">
        <v>971</v>
      </c>
      <c r="C64" s="6" t="s">
        <v>972</v>
      </c>
      <c r="D64" s="4" t="s">
        <v>973</v>
      </c>
      <c r="E64" s="4" t="s">
        <v>246</v>
      </c>
      <c r="F64" s="4" t="s">
        <v>28</v>
      </c>
      <c r="G64" s="4" t="s">
        <v>974</v>
      </c>
      <c r="H64" s="4" t="s">
        <v>13</v>
      </c>
      <c r="I64" s="4" t="s">
        <v>246</v>
      </c>
    </row>
    <row r="65">
      <c r="A65" s="3">
        <v>45546.585381944446</v>
      </c>
      <c r="B65" s="4" t="s">
        <v>391</v>
      </c>
      <c r="C65" s="6" t="s">
        <v>392</v>
      </c>
      <c r="D65" s="4" t="s">
        <v>393</v>
      </c>
      <c r="E65" s="4" t="s">
        <v>246</v>
      </c>
      <c r="F65" s="4" t="s">
        <v>28</v>
      </c>
      <c r="G65" s="4" t="s">
        <v>975</v>
      </c>
      <c r="H65" s="4" t="s">
        <v>13</v>
      </c>
      <c r="I65" s="4" t="s">
        <v>246</v>
      </c>
    </row>
    <row r="66">
      <c r="A66" s="3">
        <v>45546.586863425924</v>
      </c>
      <c r="B66" s="4" t="s">
        <v>589</v>
      </c>
      <c r="C66" s="6" t="s">
        <v>590</v>
      </c>
      <c r="D66" s="4" t="s">
        <v>591</v>
      </c>
      <c r="E66" s="4" t="s">
        <v>246</v>
      </c>
      <c r="F66" s="4" t="s">
        <v>32</v>
      </c>
      <c r="G66" s="4" t="s">
        <v>976</v>
      </c>
      <c r="H66" s="4" t="s">
        <v>28</v>
      </c>
      <c r="I66" s="4" t="s">
        <v>246</v>
      </c>
    </row>
    <row r="67">
      <c r="A67" s="3">
        <v>45546.5893287037</v>
      </c>
      <c r="B67" s="4" t="s">
        <v>977</v>
      </c>
      <c r="C67" s="6" t="s">
        <v>978</v>
      </c>
      <c r="D67" s="4" t="s">
        <v>979</v>
      </c>
      <c r="E67" s="4" t="s">
        <v>246</v>
      </c>
      <c r="F67" s="4" t="s">
        <v>32</v>
      </c>
      <c r="G67" s="4" t="s">
        <v>980</v>
      </c>
      <c r="H67" s="4" t="s">
        <v>28</v>
      </c>
      <c r="I67" s="4" t="s">
        <v>246</v>
      </c>
    </row>
    <row r="68">
      <c r="A68" s="3">
        <v>45546.59166666667</v>
      </c>
      <c r="B68" s="4" t="s">
        <v>981</v>
      </c>
      <c r="C68" s="6" t="s">
        <v>982</v>
      </c>
      <c r="D68" s="4" t="s">
        <v>983</v>
      </c>
      <c r="E68" s="4" t="s">
        <v>246</v>
      </c>
      <c r="F68" s="4" t="s">
        <v>32</v>
      </c>
      <c r="G68" s="4" t="s">
        <v>984</v>
      </c>
      <c r="H68" s="4" t="s">
        <v>28</v>
      </c>
      <c r="I68" s="4" t="s">
        <v>246</v>
      </c>
    </row>
    <row r="69">
      <c r="A69" s="3">
        <v>45546.59321759259</v>
      </c>
      <c r="B69" s="4" t="s">
        <v>985</v>
      </c>
      <c r="C69" s="6" t="s">
        <v>986</v>
      </c>
      <c r="D69" s="4" t="s">
        <v>987</v>
      </c>
      <c r="E69" s="4" t="s">
        <v>246</v>
      </c>
      <c r="F69" s="4" t="s">
        <v>32</v>
      </c>
      <c r="G69" s="4" t="s">
        <v>988</v>
      </c>
      <c r="H69" s="4" t="s">
        <v>28</v>
      </c>
      <c r="I69" s="4" t="s">
        <v>246</v>
      </c>
    </row>
    <row r="70">
      <c r="A70" s="3">
        <v>45546.59465277778</v>
      </c>
      <c r="B70" s="4" t="s">
        <v>316</v>
      </c>
      <c r="C70" s="6" t="s">
        <v>116</v>
      </c>
      <c r="D70" s="4" t="s">
        <v>117</v>
      </c>
      <c r="E70" s="4" t="s">
        <v>246</v>
      </c>
      <c r="F70" s="4" t="s">
        <v>32</v>
      </c>
      <c r="G70" s="4" t="s">
        <v>989</v>
      </c>
      <c r="H70" s="4" t="s">
        <v>28</v>
      </c>
      <c r="I70" s="4" t="s">
        <v>246</v>
      </c>
    </row>
    <row r="71">
      <c r="A71" s="3">
        <v>45546.596504629626</v>
      </c>
      <c r="B71" s="4" t="s">
        <v>597</v>
      </c>
      <c r="C71" s="6" t="s">
        <v>86</v>
      </c>
      <c r="D71" s="4" t="s">
        <v>87</v>
      </c>
      <c r="E71" s="4" t="s">
        <v>990</v>
      </c>
      <c r="F71" s="4" t="s">
        <v>32</v>
      </c>
      <c r="G71" s="4" t="s">
        <v>991</v>
      </c>
      <c r="H71" s="4" t="s">
        <v>28</v>
      </c>
      <c r="I71" s="4" t="s">
        <v>246</v>
      </c>
    </row>
    <row r="72">
      <c r="A72" s="3">
        <v>45577.722337962965</v>
      </c>
      <c r="B72" s="4" t="s">
        <v>992</v>
      </c>
      <c r="C72" s="6" t="s">
        <v>993</v>
      </c>
      <c r="D72" s="4" t="s">
        <v>994</v>
      </c>
      <c r="E72" s="4" t="s">
        <v>246</v>
      </c>
      <c r="F72" s="4" t="s">
        <v>32</v>
      </c>
      <c r="G72" s="4" t="s">
        <v>995</v>
      </c>
      <c r="H72" s="4" t="s">
        <v>28</v>
      </c>
      <c r="I72" s="4" t="s">
        <v>246</v>
      </c>
    </row>
    <row r="73">
      <c r="A73" s="3">
        <v>45577.72362268518</v>
      </c>
      <c r="B73" s="4" t="s">
        <v>996</v>
      </c>
      <c r="C73" s="6" t="s">
        <v>997</v>
      </c>
      <c r="D73" s="4" t="s">
        <v>998</v>
      </c>
      <c r="E73" s="4" t="s">
        <v>246</v>
      </c>
      <c r="F73" s="4" t="s">
        <v>32</v>
      </c>
      <c r="G73" s="4" t="s">
        <v>999</v>
      </c>
      <c r="H73" s="4" t="s">
        <v>28</v>
      </c>
      <c r="I73" s="4" t="s">
        <v>246</v>
      </c>
    </row>
    <row r="74">
      <c r="A74" s="3">
        <v>45596.57982638889</v>
      </c>
      <c r="B74" s="4" t="s">
        <v>1000</v>
      </c>
      <c r="C74" s="6" t="s">
        <v>1001</v>
      </c>
      <c r="D74" s="4" t="s">
        <v>1002</v>
      </c>
      <c r="E74" s="4" t="s">
        <v>218</v>
      </c>
      <c r="F74" s="4" t="s">
        <v>32</v>
      </c>
      <c r="G74" s="4" t="s">
        <v>1003</v>
      </c>
      <c r="H74" s="4" t="s">
        <v>1004</v>
      </c>
      <c r="I74" s="4" t="s">
        <v>1005</v>
      </c>
    </row>
    <row r="75">
      <c r="A75" s="3">
        <v>45602.453726851854</v>
      </c>
      <c r="B75" s="4" t="s">
        <v>1006</v>
      </c>
      <c r="C75" s="6" t="s">
        <v>1007</v>
      </c>
      <c r="D75" s="4" t="s">
        <v>1008</v>
      </c>
      <c r="E75" s="4" t="s">
        <v>1009</v>
      </c>
      <c r="F75" s="4" t="s">
        <v>1010</v>
      </c>
      <c r="G75" s="4" t="s">
        <v>1011</v>
      </c>
      <c r="H75" s="4" t="s">
        <v>1010</v>
      </c>
      <c r="I75" s="4" t="s">
        <v>554</v>
      </c>
    </row>
    <row r="76">
      <c r="A76" s="3">
        <v>45609.59763888889</v>
      </c>
      <c r="B76" s="4" t="s">
        <v>1012</v>
      </c>
      <c r="E76" s="4" t="s">
        <v>10</v>
      </c>
      <c r="F76" s="4" t="s">
        <v>32</v>
      </c>
    </row>
    <row r="77">
      <c r="A77" s="3">
        <v>45609.622152777774</v>
      </c>
      <c r="B77" s="4" t="s">
        <v>1013</v>
      </c>
      <c r="C77" s="6" t="s">
        <v>1014</v>
      </c>
      <c r="D77" s="4" t="s">
        <v>1015</v>
      </c>
      <c r="E77" s="4" t="s">
        <v>1016</v>
      </c>
      <c r="F77" s="4" t="s">
        <v>1017</v>
      </c>
      <c r="H77" s="4" t="s">
        <v>1018</v>
      </c>
      <c r="I77" s="4" t="s">
        <v>1019</v>
      </c>
    </row>
    <row r="78">
      <c r="A78" s="3">
        <v>45609.62291666667</v>
      </c>
      <c r="B78" s="4" t="s">
        <v>1020</v>
      </c>
      <c r="E78" s="4" t="s">
        <v>1021</v>
      </c>
      <c r="F78" s="4" t="s">
        <v>11</v>
      </c>
    </row>
    <row r="79">
      <c r="A79" s="3">
        <v>45609.625289351854</v>
      </c>
      <c r="B79" s="4" t="s">
        <v>1022</v>
      </c>
      <c r="E79" s="4" t="s">
        <v>10</v>
      </c>
      <c r="F79" s="4" t="s">
        <v>11</v>
      </c>
      <c r="G79" s="4" t="s">
        <v>1023</v>
      </c>
    </row>
    <row r="80">
      <c r="A80" s="3">
        <v>45609.64231481482</v>
      </c>
      <c r="B80" s="4" t="s">
        <v>886</v>
      </c>
      <c r="E80" s="4" t="s">
        <v>10</v>
      </c>
      <c r="F80" s="4" t="s">
        <v>11</v>
      </c>
      <c r="G80" s="4" t="s">
        <v>1024</v>
      </c>
    </row>
    <row r="81">
      <c r="A81" s="3">
        <v>45610.668958333335</v>
      </c>
      <c r="B81" s="4" t="s">
        <v>1025</v>
      </c>
      <c r="C81" s="6" t="s">
        <v>516</v>
      </c>
      <c r="D81" s="4" t="s">
        <v>1026</v>
      </c>
      <c r="E81" s="4" t="s">
        <v>509</v>
      </c>
      <c r="F81" s="4" t="s">
        <v>32</v>
      </c>
      <c r="G81" s="4" t="s">
        <v>1027</v>
      </c>
      <c r="H81" s="4" t="s">
        <v>28</v>
      </c>
      <c r="I81" s="4" t="s">
        <v>1028</v>
      </c>
    </row>
    <row r="82">
      <c r="A82" s="3">
        <v>45610.727627314816</v>
      </c>
      <c r="B82" s="4" t="s">
        <v>1029</v>
      </c>
      <c r="C82" s="6" t="s">
        <v>1030</v>
      </c>
      <c r="D82" s="4" t="s">
        <v>1031</v>
      </c>
      <c r="E82" s="4" t="s">
        <v>1032</v>
      </c>
      <c r="F82" s="4" t="s">
        <v>11</v>
      </c>
      <c r="G82" s="4" t="s">
        <v>1033</v>
      </c>
      <c r="H82" s="4" t="s">
        <v>1034</v>
      </c>
      <c r="I82" s="4" t="s">
        <v>509</v>
      </c>
    </row>
    <row r="83">
      <c r="A83" s="3">
        <v>45610.729467592595</v>
      </c>
      <c r="B83" s="4" t="s">
        <v>1035</v>
      </c>
      <c r="C83" s="6" t="s">
        <v>1036</v>
      </c>
      <c r="D83" s="4" t="s">
        <v>1037</v>
      </c>
      <c r="E83" s="4" t="s">
        <v>509</v>
      </c>
      <c r="F83" s="4" t="s">
        <v>11</v>
      </c>
      <c r="G83" s="4" t="s">
        <v>1038</v>
      </c>
      <c r="H83" s="4" t="s">
        <v>1034</v>
      </c>
      <c r="I83" s="4" t="s">
        <v>509</v>
      </c>
    </row>
    <row r="84">
      <c r="A84" s="3">
        <v>45610.73266203704</v>
      </c>
      <c r="B84" s="4" t="s">
        <v>1039</v>
      </c>
      <c r="C84" s="6" t="s">
        <v>1040</v>
      </c>
      <c r="D84" s="4" t="s">
        <v>1041</v>
      </c>
      <c r="E84" s="4" t="s">
        <v>509</v>
      </c>
      <c r="F84" s="4" t="s">
        <v>11</v>
      </c>
      <c r="G84" s="4" t="s">
        <v>1042</v>
      </c>
      <c r="H84" s="4" t="s">
        <v>1034</v>
      </c>
      <c r="I84" s="4" t="s">
        <v>509</v>
      </c>
    </row>
    <row r="85">
      <c r="A85" s="3">
        <v>45610.734143518515</v>
      </c>
      <c r="B85" s="4" t="s">
        <v>1043</v>
      </c>
      <c r="C85" s="6" t="s">
        <v>1044</v>
      </c>
      <c r="D85" s="4" t="s">
        <v>1045</v>
      </c>
      <c r="E85" s="4" t="s">
        <v>1032</v>
      </c>
      <c r="F85" s="4" t="s">
        <v>11</v>
      </c>
      <c r="G85" s="4" t="s">
        <v>1046</v>
      </c>
      <c r="H85" s="4" t="s">
        <v>1034</v>
      </c>
      <c r="I85" s="4" t="s">
        <v>509</v>
      </c>
    </row>
    <row r="86">
      <c r="A86" s="3">
        <v>45611.58107638889</v>
      </c>
      <c r="B86" s="4" t="s">
        <v>1047</v>
      </c>
      <c r="C86" s="6" t="s">
        <v>1048</v>
      </c>
      <c r="E86" s="4" t="s">
        <v>283</v>
      </c>
      <c r="F86" s="4" t="s">
        <v>11</v>
      </c>
      <c r="G86" s="4" t="s">
        <v>1049</v>
      </c>
    </row>
    <row r="87">
      <c r="A87" s="3">
        <v>45613.450578703705</v>
      </c>
      <c r="B87" s="4" t="s">
        <v>1050</v>
      </c>
      <c r="C87" s="6" t="s">
        <v>1051</v>
      </c>
      <c r="D87" s="4" t="s">
        <v>1052</v>
      </c>
      <c r="E87" s="4" t="s">
        <v>1053</v>
      </c>
      <c r="F87" s="4" t="s">
        <v>32</v>
      </c>
      <c r="G87" s="4" t="s">
        <v>1054</v>
      </c>
      <c r="H87" s="4" t="s">
        <v>1055</v>
      </c>
      <c r="I87" s="4" t="s">
        <v>1053</v>
      </c>
    </row>
    <row r="88">
      <c r="A88" s="3">
        <v>45613.45153935185</v>
      </c>
      <c r="B88" s="4" t="s">
        <v>1056</v>
      </c>
      <c r="D88" s="4" t="s">
        <v>256</v>
      </c>
      <c r="E88" s="4" t="s">
        <v>1053</v>
      </c>
      <c r="F88" s="4" t="s">
        <v>32</v>
      </c>
      <c r="H88" s="4" t="s">
        <v>1057</v>
      </c>
      <c r="I88" s="4" t="s">
        <v>1053</v>
      </c>
    </row>
    <row r="89">
      <c r="A89" s="3">
        <v>45619.723020833335</v>
      </c>
      <c r="B89" s="4" t="s">
        <v>1058</v>
      </c>
      <c r="C89" s="6" t="s">
        <v>1059</v>
      </c>
      <c r="D89" s="4" t="s">
        <v>1060</v>
      </c>
      <c r="E89" s="4" t="s">
        <v>10</v>
      </c>
      <c r="F89" s="4" t="s">
        <v>1061</v>
      </c>
      <c r="G89" s="4" t="s">
        <v>1062</v>
      </c>
      <c r="H89" s="4" t="s">
        <v>1063</v>
      </c>
    </row>
    <row r="90">
      <c r="A90" s="3">
        <v>45619.72466435185</v>
      </c>
      <c r="B90" s="4" t="s">
        <v>1064</v>
      </c>
      <c r="C90" s="6" t="s">
        <v>1065</v>
      </c>
      <c r="D90" s="4" t="s">
        <v>1066</v>
      </c>
      <c r="E90" s="4" t="s">
        <v>10</v>
      </c>
      <c r="F90" s="4" t="s">
        <v>1061</v>
      </c>
      <c r="G90" s="4" t="s">
        <v>1067</v>
      </c>
      <c r="H90" s="4" t="s">
        <v>1068</v>
      </c>
      <c r="I90" s="4" t="s">
        <v>1069</v>
      </c>
    </row>
    <row r="91">
      <c r="A91" s="3">
        <v>45626.47677083333</v>
      </c>
      <c r="B91" s="4" t="s">
        <v>1070</v>
      </c>
      <c r="C91" s="6" t="s">
        <v>1071</v>
      </c>
      <c r="E91" s="4" t="s">
        <v>1072</v>
      </c>
      <c r="F91" s="4" t="s">
        <v>11</v>
      </c>
      <c r="G91" s="4" t="s">
        <v>1073</v>
      </c>
    </row>
    <row r="92">
      <c r="A92" s="3">
        <v>45626.47775462963</v>
      </c>
      <c r="B92" s="4" t="s">
        <v>1074</v>
      </c>
      <c r="C92" s="6" t="s">
        <v>1075</v>
      </c>
      <c r="D92" s="4" t="s">
        <v>1076</v>
      </c>
      <c r="E92" s="4" t="s">
        <v>1072</v>
      </c>
      <c r="F92" s="4" t="s">
        <v>11</v>
      </c>
      <c r="G92" s="4" t="s">
        <v>1077</v>
      </c>
    </row>
    <row r="93">
      <c r="A93" s="3">
        <v>45626.47883101852</v>
      </c>
      <c r="B93" s="4" t="s">
        <v>1078</v>
      </c>
      <c r="C93" s="6" t="s">
        <v>1079</v>
      </c>
      <c r="D93" s="4" t="s">
        <v>1080</v>
      </c>
      <c r="E93" s="4" t="s">
        <v>1072</v>
      </c>
      <c r="F93" s="4" t="s">
        <v>11</v>
      </c>
      <c r="G93" s="4" t="s">
        <v>1081</v>
      </c>
    </row>
    <row r="94">
      <c r="A94" s="3">
        <v>45626.480578703704</v>
      </c>
      <c r="B94" s="4" t="s">
        <v>1082</v>
      </c>
      <c r="C94" s="6" t="s">
        <v>1083</v>
      </c>
      <c r="D94" s="4" t="s">
        <v>1084</v>
      </c>
      <c r="E94" s="4" t="s">
        <v>1072</v>
      </c>
      <c r="F94" s="4" t="s">
        <v>11</v>
      </c>
      <c r="G94" s="4" t="s">
        <v>1085</v>
      </c>
    </row>
    <row r="95">
      <c r="A95" s="3">
        <v>45632.498449074075</v>
      </c>
      <c r="B95" s="4" t="s">
        <v>1086</v>
      </c>
      <c r="C95" s="6" t="s">
        <v>1087</v>
      </c>
      <c r="D95" s="4" t="s">
        <v>1088</v>
      </c>
      <c r="E95" s="4" t="s">
        <v>646</v>
      </c>
      <c r="F95" s="4" t="s">
        <v>11</v>
      </c>
      <c r="H95" s="4" t="s">
        <v>1089</v>
      </c>
      <c r="I95" s="4" t="s">
        <v>1090</v>
      </c>
    </row>
    <row r="96">
      <c r="A96" s="3">
        <v>45638.61923611111</v>
      </c>
      <c r="B96" s="4" t="s">
        <v>1091</v>
      </c>
      <c r="C96" s="6" t="s">
        <v>1092</v>
      </c>
      <c r="D96" s="4" t="s">
        <v>1093</v>
      </c>
      <c r="E96" s="4" t="s">
        <v>10</v>
      </c>
      <c r="F96" s="4" t="s">
        <v>11</v>
      </c>
      <c r="G96" s="4" t="s">
        <v>1094</v>
      </c>
      <c r="H96" s="4" t="s">
        <v>19</v>
      </c>
      <c r="I96" s="4" t="s">
        <v>1095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1.75"/>
    <col customWidth="1" min="4" max="4" width="7.63"/>
  </cols>
  <sheetData>
    <row r="1">
      <c r="A1" s="4">
        <v>1.0</v>
      </c>
      <c r="B1" s="4" t="s">
        <v>1096</v>
      </c>
      <c r="C1" s="4" t="s">
        <v>1097</v>
      </c>
      <c r="D1" s="4" t="s">
        <v>1098</v>
      </c>
      <c r="E1" s="15">
        <v>45355.0</v>
      </c>
    </row>
    <row r="2">
      <c r="A2" s="4">
        <v>2.0</v>
      </c>
      <c r="B2" s="4" t="s">
        <v>1096</v>
      </c>
      <c r="C2" s="4" t="s">
        <v>1099</v>
      </c>
      <c r="D2" s="4" t="s">
        <v>1098</v>
      </c>
      <c r="E2" s="15">
        <v>45355.0</v>
      </c>
    </row>
    <row r="3">
      <c r="A3" s="4">
        <v>3.0</v>
      </c>
      <c r="B3" s="4" t="s">
        <v>1100</v>
      </c>
      <c r="C3" s="4" t="s">
        <v>1101</v>
      </c>
      <c r="D3" s="4" t="s">
        <v>1098</v>
      </c>
      <c r="E3" s="15">
        <v>45355.0</v>
      </c>
    </row>
    <row r="4">
      <c r="A4" s="4">
        <v>4.0</v>
      </c>
      <c r="B4" s="4" t="s">
        <v>1100</v>
      </c>
      <c r="C4" s="4" t="s">
        <v>1102</v>
      </c>
      <c r="D4" s="4" t="s">
        <v>1098</v>
      </c>
      <c r="E4" s="15">
        <v>45355.0</v>
      </c>
    </row>
    <row r="5">
      <c r="A5" s="4">
        <v>5.0</v>
      </c>
      <c r="B5" s="4" t="s">
        <v>1103</v>
      </c>
      <c r="C5" s="4" t="s">
        <v>1102</v>
      </c>
      <c r="D5" s="4" t="s">
        <v>1098</v>
      </c>
      <c r="E5" s="15">
        <v>45355.0</v>
      </c>
    </row>
    <row r="6">
      <c r="A6" s="4">
        <v>6.0</v>
      </c>
      <c r="B6" s="4" t="s">
        <v>1104</v>
      </c>
      <c r="C6" s="4" t="s">
        <v>1102</v>
      </c>
      <c r="D6" s="4" t="s">
        <v>1098</v>
      </c>
      <c r="E6" s="15">
        <v>45355.0</v>
      </c>
    </row>
    <row r="7">
      <c r="A7" s="4">
        <v>7.0</v>
      </c>
      <c r="B7" s="4" t="s">
        <v>1105</v>
      </c>
      <c r="C7" s="4" t="s">
        <v>1102</v>
      </c>
      <c r="D7" s="4" t="s">
        <v>1098</v>
      </c>
      <c r="E7" s="15">
        <v>45355.0</v>
      </c>
    </row>
    <row r="8">
      <c r="A8" s="4">
        <v>8.0</v>
      </c>
      <c r="B8" s="4" t="s">
        <v>1106</v>
      </c>
      <c r="C8" s="4" t="s">
        <v>1102</v>
      </c>
      <c r="D8" s="4" t="s">
        <v>1098</v>
      </c>
      <c r="E8" s="15">
        <v>45355.0</v>
      </c>
    </row>
    <row r="9">
      <c r="A9" s="4">
        <v>9.0</v>
      </c>
      <c r="B9" s="4" t="s">
        <v>1103</v>
      </c>
      <c r="C9" s="4" t="s">
        <v>1102</v>
      </c>
      <c r="D9" s="4" t="s">
        <v>1098</v>
      </c>
      <c r="E9" s="15">
        <v>45355.0</v>
      </c>
    </row>
    <row r="10">
      <c r="A10" s="4">
        <v>10.0</v>
      </c>
      <c r="B10" s="4" t="s">
        <v>1107</v>
      </c>
      <c r="C10" s="4" t="s">
        <v>1102</v>
      </c>
      <c r="D10" s="4" t="s">
        <v>1098</v>
      </c>
      <c r="E10" s="15">
        <v>45355.0</v>
      </c>
    </row>
    <row r="11">
      <c r="A11" s="4">
        <v>11.0</v>
      </c>
      <c r="B11" s="4" t="s">
        <v>1107</v>
      </c>
      <c r="C11" s="4" t="s">
        <v>1102</v>
      </c>
      <c r="D11" s="4" t="s">
        <v>1098</v>
      </c>
      <c r="E11" s="15">
        <v>45355.0</v>
      </c>
    </row>
    <row r="12">
      <c r="A12" s="4">
        <v>12.0</v>
      </c>
      <c r="B12" s="4" t="s">
        <v>1108</v>
      </c>
      <c r="C12" s="4" t="s">
        <v>1102</v>
      </c>
      <c r="D12" s="4" t="s">
        <v>1098</v>
      </c>
      <c r="E12" s="15">
        <v>45355.0</v>
      </c>
    </row>
    <row r="13">
      <c r="A13" s="4">
        <v>13.0</v>
      </c>
      <c r="B13" s="4" t="s">
        <v>1104</v>
      </c>
      <c r="C13" s="4" t="s">
        <v>1102</v>
      </c>
      <c r="D13" s="4" t="s">
        <v>1098</v>
      </c>
      <c r="E13" s="15">
        <v>45355.0</v>
      </c>
    </row>
    <row r="14">
      <c r="A14" s="4">
        <v>14.0</v>
      </c>
      <c r="B14" s="4" t="s">
        <v>1100</v>
      </c>
      <c r="C14" s="4" t="s">
        <v>1102</v>
      </c>
      <c r="D14" s="4" t="s">
        <v>1098</v>
      </c>
      <c r="E14" s="15">
        <v>45355.0</v>
      </c>
    </row>
    <row r="15">
      <c r="A15" s="4">
        <v>15.0</v>
      </c>
      <c r="B15" s="4" t="s">
        <v>1109</v>
      </c>
      <c r="C15" s="4" t="s">
        <v>1102</v>
      </c>
      <c r="D15" s="4" t="s">
        <v>1098</v>
      </c>
      <c r="E15" s="15">
        <v>45355.0</v>
      </c>
    </row>
    <row r="16">
      <c r="A16" s="4">
        <v>16.0</v>
      </c>
      <c r="B16" s="4" t="s">
        <v>1109</v>
      </c>
      <c r="C16" s="4" t="s">
        <v>1102</v>
      </c>
      <c r="D16" s="4" t="s">
        <v>1098</v>
      </c>
      <c r="E16" s="15">
        <v>45355.0</v>
      </c>
    </row>
    <row r="17">
      <c r="A17" s="4">
        <v>17.0</v>
      </c>
      <c r="B17" s="4" t="s">
        <v>1110</v>
      </c>
      <c r="C17" s="4" t="s">
        <v>1111</v>
      </c>
      <c r="D17" s="4" t="s">
        <v>1098</v>
      </c>
      <c r="E17" s="15">
        <v>45355.0</v>
      </c>
    </row>
    <row r="18">
      <c r="A18" s="4">
        <v>18.0</v>
      </c>
      <c r="B18" s="4" t="s">
        <v>1112</v>
      </c>
      <c r="C18" s="4" t="s">
        <v>1113</v>
      </c>
      <c r="D18" s="4" t="s">
        <v>1098</v>
      </c>
      <c r="E18" s="15">
        <v>45355.0</v>
      </c>
    </row>
    <row r="19">
      <c r="A19" s="4">
        <v>19.0</v>
      </c>
      <c r="B19" s="4" t="s">
        <v>1114</v>
      </c>
      <c r="C19" s="4" t="s">
        <v>1113</v>
      </c>
      <c r="D19" s="4" t="s">
        <v>1098</v>
      </c>
      <c r="E19" s="15">
        <v>45355.0</v>
      </c>
    </row>
    <row r="20">
      <c r="A20" s="4">
        <v>20.0</v>
      </c>
      <c r="B20" s="4" t="s">
        <v>1110</v>
      </c>
      <c r="C20" s="4" t="s">
        <v>1115</v>
      </c>
      <c r="D20" s="4" t="s">
        <v>1098</v>
      </c>
      <c r="E20" s="15">
        <v>45355.0</v>
      </c>
    </row>
    <row r="21">
      <c r="A21" s="4">
        <v>21.0</v>
      </c>
      <c r="B21" s="4" t="s">
        <v>1110</v>
      </c>
      <c r="C21" s="4" t="s">
        <v>1116</v>
      </c>
      <c r="D21" s="4" t="s">
        <v>1098</v>
      </c>
      <c r="E21" s="15">
        <v>45355.0</v>
      </c>
    </row>
    <row r="22">
      <c r="A22" s="4">
        <v>22.0</v>
      </c>
      <c r="B22" s="4" t="s">
        <v>1117</v>
      </c>
      <c r="C22" s="4" t="s">
        <v>1116</v>
      </c>
      <c r="D22" s="4" t="s">
        <v>1098</v>
      </c>
      <c r="E22" s="15">
        <v>45355.0</v>
      </c>
    </row>
    <row r="23">
      <c r="A23" s="4">
        <v>23.0</v>
      </c>
      <c r="B23" s="4" t="s">
        <v>1118</v>
      </c>
      <c r="C23" s="4" t="s">
        <v>1119</v>
      </c>
      <c r="D23" s="4" t="s">
        <v>1120</v>
      </c>
      <c r="E23" s="15">
        <v>45354.0</v>
      </c>
    </row>
    <row r="24">
      <c r="A24" s="4">
        <v>24.0</v>
      </c>
      <c r="B24" s="4" t="s">
        <v>1121</v>
      </c>
      <c r="C24" s="4" t="s">
        <v>1122</v>
      </c>
      <c r="D24" s="4" t="s">
        <v>1098</v>
      </c>
      <c r="E24" s="15">
        <v>45354.0</v>
      </c>
    </row>
    <row r="25">
      <c r="A25" s="4">
        <v>25.0</v>
      </c>
      <c r="B25" s="4" t="s">
        <v>1123</v>
      </c>
      <c r="C25" s="4" t="s">
        <v>1122</v>
      </c>
      <c r="D25" s="4" t="s">
        <v>1098</v>
      </c>
      <c r="E25" s="15">
        <v>45354.0</v>
      </c>
    </row>
    <row r="26">
      <c r="A26" s="4">
        <v>26.0</v>
      </c>
      <c r="B26" s="4" t="s">
        <v>1121</v>
      </c>
      <c r="C26" s="4" t="s">
        <v>1122</v>
      </c>
      <c r="D26" s="4" t="s">
        <v>1098</v>
      </c>
      <c r="E26" s="15">
        <v>45354.0</v>
      </c>
    </row>
    <row r="27">
      <c r="A27" s="4">
        <v>27.0</v>
      </c>
      <c r="B27" s="4" t="s">
        <v>1124</v>
      </c>
      <c r="C27" s="4" t="s">
        <v>1122</v>
      </c>
      <c r="D27" s="4" t="s">
        <v>1098</v>
      </c>
      <c r="E27" s="15">
        <v>45354.0</v>
      </c>
    </row>
    <row r="28">
      <c r="A28" s="4">
        <v>28.0</v>
      </c>
      <c r="B28" s="4" t="s">
        <v>1121</v>
      </c>
      <c r="C28" s="4" t="s">
        <v>1122</v>
      </c>
      <c r="D28" s="4" t="s">
        <v>1098</v>
      </c>
      <c r="E28" s="15">
        <v>45354.0</v>
      </c>
    </row>
    <row r="29">
      <c r="A29" s="4">
        <v>29.0</v>
      </c>
      <c r="B29" s="4" t="s">
        <v>1125</v>
      </c>
      <c r="C29" s="4" t="s">
        <v>1122</v>
      </c>
      <c r="D29" s="4" t="s">
        <v>1098</v>
      </c>
      <c r="E29" s="15">
        <v>45354.0</v>
      </c>
    </row>
    <row r="30">
      <c r="A30" s="4">
        <v>30.0</v>
      </c>
      <c r="B30" s="4" t="s">
        <v>1125</v>
      </c>
      <c r="C30" s="4" t="s">
        <v>1122</v>
      </c>
      <c r="D30" s="4" t="s">
        <v>1098</v>
      </c>
      <c r="E30" s="15">
        <v>45354.0</v>
      </c>
    </row>
    <row r="31">
      <c r="A31" s="4">
        <v>31.0</v>
      </c>
      <c r="B31" s="4" t="s">
        <v>1126</v>
      </c>
      <c r="C31" s="4" t="s">
        <v>1122</v>
      </c>
      <c r="D31" s="4" t="s">
        <v>1098</v>
      </c>
      <c r="E31" s="15">
        <v>45354.0</v>
      </c>
    </row>
    <row r="32">
      <c r="A32" s="4">
        <v>32.0</v>
      </c>
      <c r="B32" s="4" t="s">
        <v>1127</v>
      </c>
      <c r="C32" s="4" t="s">
        <v>1128</v>
      </c>
      <c r="D32" s="4" t="s">
        <v>1098</v>
      </c>
      <c r="E32" s="15">
        <v>45354.0</v>
      </c>
    </row>
    <row r="33">
      <c r="A33" s="4">
        <v>33.0</v>
      </c>
      <c r="B33" s="4" t="s">
        <v>1129</v>
      </c>
      <c r="C33" s="4" t="s">
        <v>1128</v>
      </c>
      <c r="D33" s="4" t="s">
        <v>1098</v>
      </c>
      <c r="E33" s="15">
        <v>45354.0</v>
      </c>
    </row>
    <row r="34">
      <c r="A34" s="4">
        <v>34.0</v>
      </c>
      <c r="B34" s="4" t="s">
        <v>1130</v>
      </c>
      <c r="C34" s="4" t="s">
        <v>1131</v>
      </c>
      <c r="D34" s="4" t="s">
        <v>1098</v>
      </c>
      <c r="E34" s="15">
        <v>45353.0</v>
      </c>
    </row>
    <row r="35">
      <c r="A35" s="4">
        <v>35.0</v>
      </c>
      <c r="B35" s="4" t="s">
        <v>1132</v>
      </c>
      <c r="C35" s="4" t="s">
        <v>1122</v>
      </c>
      <c r="D35" s="4" t="s">
        <v>1098</v>
      </c>
      <c r="E35" s="15">
        <v>45353.0</v>
      </c>
    </row>
    <row r="36">
      <c r="A36" s="4">
        <v>36.0</v>
      </c>
      <c r="B36" s="4" t="s">
        <v>1132</v>
      </c>
      <c r="C36" s="4" t="s">
        <v>1102</v>
      </c>
      <c r="D36" s="4" t="s">
        <v>1098</v>
      </c>
      <c r="E36" s="15">
        <v>45353.0</v>
      </c>
    </row>
    <row r="37">
      <c r="A37" s="4">
        <v>37.0</v>
      </c>
      <c r="B37" s="4" t="s">
        <v>1133</v>
      </c>
      <c r="C37" s="4" t="s">
        <v>1102</v>
      </c>
      <c r="D37" s="4" t="s">
        <v>1098</v>
      </c>
      <c r="E37" s="15">
        <v>45353.0</v>
      </c>
    </row>
    <row r="38">
      <c r="A38" s="4">
        <v>38.0</v>
      </c>
      <c r="B38" s="4" t="s">
        <v>1134</v>
      </c>
      <c r="C38" s="4" t="s">
        <v>1102</v>
      </c>
      <c r="D38" s="4" t="s">
        <v>1098</v>
      </c>
      <c r="E38" s="15">
        <v>45353.0</v>
      </c>
    </row>
    <row r="39">
      <c r="A39" s="4">
        <v>39.0</v>
      </c>
      <c r="B39" s="4" t="s">
        <v>1134</v>
      </c>
      <c r="C39" s="4" t="s">
        <v>1102</v>
      </c>
      <c r="D39" s="4" t="s">
        <v>1098</v>
      </c>
      <c r="E39" s="15">
        <v>45353.0</v>
      </c>
    </row>
    <row r="40">
      <c r="A40" s="4">
        <v>40.0</v>
      </c>
      <c r="B40" s="4" t="s">
        <v>1132</v>
      </c>
      <c r="C40" s="4" t="s">
        <v>1102</v>
      </c>
      <c r="D40" s="4" t="s">
        <v>1098</v>
      </c>
      <c r="E40" s="15">
        <v>45353.0</v>
      </c>
    </row>
    <row r="41">
      <c r="A41" s="4">
        <v>41.0</v>
      </c>
      <c r="B41" s="4" t="s">
        <v>1135</v>
      </c>
      <c r="C41" s="4" t="s">
        <v>1102</v>
      </c>
      <c r="D41" s="4" t="s">
        <v>1098</v>
      </c>
      <c r="E41" s="15">
        <v>45353.0</v>
      </c>
    </row>
    <row r="42">
      <c r="A42" s="4">
        <v>42.0</v>
      </c>
      <c r="B42" s="4" t="s">
        <v>1136</v>
      </c>
      <c r="C42" s="4" t="s">
        <v>1113</v>
      </c>
      <c r="D42" s="4" t="s">
        <v>1098</v>
      </c>
      <c r="E42" s="15">
        <v>45353.0</v>
      </c>
    </row>
    <row r="43">
      <c r="A43" s="4">
        <v>43.0</v>
      </c>
      <c r="B43" s="4" t="s">
        <v>1112</v>
      </c>
      <c r="C43" s="4" t="s">
        <v>1113</v>
      </c>
      <c r="D43" s="4" t="s">
        <v>1098</v>
      </c>
      <c r="E43" s="15">
        <v>45353.0</v>
      </c>
    </row>
    <row r="44">
      <c r="A44" s="4">
        <v>44.0</v>
      </c>
      <c r="B44" s="4" t="s">
        <v>1112</v>
      </c>
      <c r="C44" s="4" t="s">
        <v>1137</v>
      </c>
      <c r="D44" s="4" t="s">
        <v>1098</v>
      </c>
      <c r="E44" s="15">
        <v>45353.0</v>
      </c>
    </row>
    <row r="45">
      <c r="A45" s="4">
        <v>45.0</v>
      </c>
      <c r="B45" s="4" t="s">
        <v>1114</v>
      </c>
      <c r="C45" s="4" t="s">
        <v>1138</v>
      </c>
      <c r="D45" s="4" t="s">
        <v>1098</v>
      </c>
      <c r="E45" s="15">
        <v>45353.0</v>
      </c>
    </row>
    <row r="46">
      <c r="A46" s="4">
        <v>46.0</v>
      </c>
      <c r="B46" s="4" t="s">
        <v>1112</v>
      </c>
      <c r="C46" s="4" t="s">
        <v>1138</v>
      </c>
      <c r="D46" s="4" t="s">
        <v>1098</v>
      </c>
      <c r="E46" s="15">
        <v>45353.0</v>
      </c>
    </row>
    <row r="47">
      <c r="A47" s="4">
        <v>47.0</v>
      </c>
      <c r="B47" s="4" t="s">
        <v>1114</v>
      </c>
      <c r="C47" s="4" t="s">
        <v>1139</v>
      </c>
      <c r="D47" s="4" t="s">
        <v>1098</v>
      </c>
      <c r="E47" s="15">
        <v>45353.0</v>
      </c>
    </row>
    <row r="48">
      <c r="A48" s="4">
        <v>48.0</v>
      </c>
      <c r="B48" s="4" t="s">
        <v>1140</v>
      </c>
      <c r="C48" s="4" t="s">
        <v>1141</v>
      </c>
      <c r="D48" s="4" t="s">
        <v>1098</v>
      </c>
      <c r="E48" s="15">
        <v>45352.0</v>
      </c>
    </row>
    <row r="49">
      <c r="A49" s="4">
        <v>49.0</v>
      </c>
      <c r="B49" s="4" t="s">
        <v>1140</v>
      </c>
      <c r="C49" s="4" t="s">
        <v>1141</v>
      </c>
      <c r="D49" s="4" t="s">
        <v>1098</v>
      </c>
      <c r="E49" s="15">
        <v>45352.0</v>
      </c>
    </row>
    <row r="50">
      <c r="A50" s="4">
        <v>50.0</v>
      </c>
      <c r="B50" s="4" t="s">
        <v>1140</v>
      </c>
      <c r="C50" s="4" t="s">
        <v>1141</v>
      </c>
      <c r="D50" s="4" t="s">
        <v>1098</v>
      </c>
      <c r="E50" s="15">
        <v>45352.0</v>
      </c>
    </row>
    <row r="51">
      <c r="A51" s="4">
        <v>51.0</v>
      </c>
      <c r="B51" s="4" t="s">
        <v>1140</v>
      </c>
      <c r="C51" s="4" t="s">
        <v>1141</v>
      </c>
      <c r="D51" s="4" t="s">
        <v>1098</v>
      </c>
      <c r="E51" s="15">
        <v>45352.0</v>
      </c>
    </row>
    <row r="52">
      <c r="A52" s="4">
        <v>52.0</v>
      </c>
      <c r="B52" s="4" t="s">
        <v>1140</v>
      </c>
      <c r="C52" s="4" t="s">
        <v>1141</v>
      </c>
      <c r="D52" s="4" t="s">
        <v>1098</v>
      </c>
      <c r="E52" s="15">
        <v>45352.0</v>
      </c>
    </row>
    <row r="53">
      <c r="A53" s="4">
        <v>53.0</v>
      </c>
      <c r="B53" s="4" t="s">
        <v>1142</v>
      </c>
      <c r="C53" s="4" t="s">
        <v>1143</v>
      </c>
      <c r="D53" s="4" t="s">
        <v>1098</v>
      </c>
      <c r="E53" s="15">
        <v>45352.0</v>
      </c>
    </row>
    <row r="54">
      <c r="A54" s="4">
        <v>54.0</v>
      </c>
      <c r="B54" s="4" t="s">
        <v>1144</v>
      </c>
      <c r="C54" s="4" t="s">
        <v>1102</v>
      </c>
      <c r="D54" s="4" t="s">
        <v>1098</v>
      </c>
      <c r="E54" s="15">
        <v>45352.0</v>
      </c>
    </row>
    <row r="55">
      <c r="A55" s="4">
        <v>55.0</v>
      </c>
      <c r="B55" s="4" t="s">
        <v>1145</v>
      </c>
      <c r="C55" s="4" t="s">
        <v>1102</v>
      </c>
      <c r="D55" s="4" t="s">
        <v>1098</v>
      </c>
      <c r="E55" s="15">
        <v>45352.0</v>
      </c>
    </row>
    <row r="56">
      <c r="A56" s="4">
        <v>56.0</v>
      </c>
      <c r="B56" s="4" t="s">
        <v>1146</v>
      </c>
      <c r="C56" s="4" t="s">
        <v>1102</v>
      </c>
      <c r="D56" s="4" t="s">
        <v>1098</v>
      </c>
      <c r="E56" s="15">
        <v>45352.0</v>
      </c>
    </row>
    <row r="57">
      <c r="A57" s="4">
        <v>57.0</v>
      </c>
      <c r="B57" s="4" t="s">
        <v>1147</v>
      </c>
      <c r="C57" s="4" t="s">
        <v>1102</v>
      </c>
      <c r="D57" s="4" t="s">
        <v>1098</v>
      </c>
      <c r="E57" s="15">
        <v>45352.0</v>
      </c>
    </row>
    <row r="58">
      <c r="A58" s="4">
        <v>58.0</v>
      </c>
      <c r="B58" s="4" t="s">
        <v>1148</v>
      </c>
      <c r="C58" s="4" t="s">
        <v>1102</v>
      </c>
      <c r="D58" s="4" t="s">
        <v>1098</v>
      </c>
      <c r="E58" s="15">
        <v>45352.0</v>
      </c>
    </row>
    <row r="59">
      <c r="A59" s="4">
        <v>59.0</v>
      </c>
      <c r="B59" s="4" t="s">
        <v>1149</v>
      </c>
      <c r="C59" s="4" t="s">
        <v>1102</v>
      </c>
      <c r="D59" s="4" t="s">
        <v>1098</v>
      </c>
      <c r="E59" s="15">
        <v>45352.0</v>
      </c>
    </row>
    <row r="60">
      <c r="A60" s="4">
        <v>60.0</v>
      </c>
      <c r="B60" s="4" t="s">
        <v>1150</v>
      </c>
      <c r="C60" s="4" t="s">
        <v>1102</v>
      </c>
      <c r="D60" s="4" t="s">
        <v>1098</v>
      </c>
      <c r="E60" s="15">
        <v>45352.0</v>
      </c>
    </row>
    <row r="61">
      <c r="A61" s="4">
        <v>61.0</v>
      </c>
      <c r="B61" s="4" t="s">
        <v>207</v>
      </c>
      <c r="C61" s="4" t="s">
        <v>1102</v>
      </c>
      <c r="D61" s="4" t="s">
        <v>1098</v>
      </c>
      <c r="E61" s="15">
        <v>45352.0</v>
      </c>
    </row>
    <row r="62">
      <c r="A62" s="4">
        <v>62.0</v>
      </c>
      <c r="B62" s="4" t="s">
        <v>1129</v>
      </c>
      <c r="C62" s="4" t="s">
        <v>1128</v>
      </c>
      <c r="D62" s="4" t="s">
        <v>1098</v>
      </c>
      <c r="E62" s="15">
        <v>45352.0</v>
      </c>
    </row>
    <row r="63">
      <c r="A63" s="4">
        <v>63.0</v>
      </c>
      <c r="B63" s="4" t="s">
        <v>1151</v>
      </c>
      <c r="C63" s="4" t="s">
        <v>1119</v>
      </c>
      <c r="D63" s="4" t="s">
        <v>1120</v>
      </c>
      <c r="E63" s="15">
        <v>45351.0</v>
      </c>
    </row>
    <row r="64">
      <c r="A64" s="4">
        <v>64.0</v>
      </c>
      <c r="B64" s="4" t="s">
        <v>1151</v>
      </c>
      <c r="C64" s="4" t="s">
        <v>1122</v>
      </c>
      <c r="D64" s="4" t="s">
        <v>1098</v>
      </c>
      <c r="E64" s="15">
        <v>45351.0</v>
      </c>
    </row>
    <row r="65">
      <c r="A65" s="4">
        <v>65.0</v>
      </c>
      <c r="B65" s="4" t="s">
        <v>1152</v>
      </c>
      <c r="C65" s="4" t="s">
        <v>1097</v>
      </c>
      <c r="D65" s="4" t="s">
        <v>1098</v>
      </c>
      <c r="E65" s="15">
        <v>45351.0</v>
      </c>
    </row>
    <row r="66">
      <c r="A66" s="4">
        <v>66.0</v>
      </c>
      <c r="B66" s="4" t="s">
        <v>1112</v>
      </c>
      <c r="C66" s="4" t="s">
        <v>1102</v>
      </c>
      <c r="D66" s="4" t="s">
        <v>1098</v>
      </c>
      <c r="E66" s="15">
        <v>45351.0</v>
      </c>
    </row>
    <row r="67">
      <c r="A67" s="4">
        <v>67.0</v>
      </c>
      <c r="B67" s="4" t="s">
        <v>1153</v>
      </c>
      <c r="C67" s="4" t="s">
        <v>1102</v>
      </c>
      <c r="D67" s="4" t="s">
        <v>1098</v>
      </c>
      <c r="E67" s="15">
        <v>45351.0</v>
      </c>
    </row>
    <row r="68">
      <c r="A68" s="4">
        <v>68.0</v>
      </c>
      <c r="B68" s="4" t="s">
        <v>1154</v>
      </c>
      <c r="C68" s="4" t="s">
        <v>1102</v>
      </c>
      <c r="D68" s="4" t="s">
        <v>1098</v>
      </c>
      <c r="E68" s="15">
        <v>45351.0</v>
      </c>
    </row>
    <row r="69">
      <c r="A69" s="4">
        <v>69.0</v>
      </c>
      <c r="B69" s="4" t="s">
        <v>1155</v>
      </c>
      <c r="C69" s="4" t="s">
        <v>1102</v>
      </c>
      <c r="D69" s="4" t="s">
        <v>1098</v>
      </c>
      <c r="E69" s="15">
        <v>45351.0</v>
      </c>
    </row>
    <row r="70">
      <c r="A70" s="4">
        <v>70.0</v>
      </c>
      <c r="B70" s="4" t="s">
        <v>1156</v>
      </c>
      <c r="C70" s="4" t="s">
        <v>1102</v>
      </c>
      <c r="D70" s="4" t="s">
        <v>1098</v>
      </c>
      <c r="E70" s="15">
        <v>45351.0</v>
      </c>
    </row>
    <row r="71">
      <c r="A71" s="4">
        <v>71.0</v>
      </c>
      <c r="B71" s="4" t="s">
        <v>1105</v>
      </c>
      <c r="C71" s="4" t="s">
        <v>1102</v>
      </c>
      <c r="D71" s="4" t="s">
        <v>1098</v>
      </c>
      <c r="E71" s="15">
        <v>45351.0</v>
      </c>
    </row>
    <row r="72">
      <c r="A72" s="4">
        <v>72.0</v>
      </c>
      <c r="B72" s="4" t="s">
        <v>1105</v>
      </c>
      <c r="C72" s="4" t="s">
        <v>1102</v>
      </c>
      <c r="D72" s="4" t="s">
        <v>1098</v>
      </c>
      <c r="E72" s="15">
        <v>45351.0</v>
      </c>
    </row>
    <row r="73">
      <c r="A73" s="4">
        <v>73.0</v>
      </c>
      <c r="B73" s="4" t="s">
        <v>1105</v>
      </c>
      <c r="C73" s="4" t="s">
        <v>1102</v>
      </c>
      <c r="D73" s="4" t="s">
        <v>1098</v>
      </c>
      <c r="E73" s="15">
        <v>45351.0</v>
      </c>
    </row>
    <row r="74">
      <c r="A74" s="4">
        <v>74.0</v>
      </c>
      <c r="B74" s="4" t="s">
        <v>1157</v>
      </c>
      <c r="C74" s="4" t="s">
        <v>1102</v>
      </c>
      <c r="D74" s="4" t="s">
        <v>1098</v>
      </c>
      <c r="E74" s="15">
        <v>45351.0</v>
      </c>
    </row>
    <row r="75">
      <c r="A75" s="4">
        <v>75.0</v>
      </c>
      <c r="B75" s="4" t="s">
        <v>251</v>
      </c>
      <c r="C75" s="4" t="s">
        <v>1102</v>
      </c>
      <c r="D75" s="4" t="s">
        <v>1098</v>
      </c>
      <c r="E75" s="15">
        <v>45351.0</v>
      </c>
    </row>
    <row r="76">
      <c r="A76" s="4">
        <v>76.0</v>
      </c>
      <c r="B76" s="4" t="s">
        <v>251</v>
      </c>
      <c r="C76" s="4" t="s">
        <v>1102</v>
      </c>
      <c r="D76" s="4" t="s">
        <v>1098</v>
      </c>
      <c r="E76" s="15">
        <v>45351.0</v>
      </c>
    </row>
    <row r="77">
      <c r="A77" s="4">
        <v>77.0</v>
      </c>
      <c r="B77" s="4" t="s">
        <v>1093</v>
      </c>
      <c r="C77" s="4" t="s">
        <v>1102</v>
      </c>
      <c r="D77" s="4" t="s">
        <v>1098</v>
      </c>
      <c r="E77" s="15">
        <v>45351.0</v>
      </c>
    </row>
    <row r="78">
      <c r="A78" s="4">
        <v>78.0</v>
      </c>
      <c r="B78" s="4" t="s">
        <v>1158</v>
      </c>
      <c r="C78" s="4" t="s">
        <v>1102</v>
      </c>
      <c r="D78" s="4" t="s">
        <v>1098</v>
      </c>
      <c r="E78" s="15">
        <v>45351.0</v>
      </c>
    </row>
    <row r="79">
      <c r="A79" s="4">
        <v>79.0</v>
      </c>
      <c r="B79" s="4" t="s">
        <v>1158</v>
      </c>
      <c r="C79" s="4" t="s">
        <v>1102</v>
      </c>
      <c r="D79" s="4" t="s">
        <v>1098</v>
      </c>
      <c r="E79" s="15">
        <v>45351.0</v>
      </c>
    </row>
    <row r="80">
      <c r="A80" s="4">
        <v>80.0</v>
      </c>
      <c r="B80" s="4" t="s">
        <v>1158</v>
      </c>
      <c r="C80" s="4" t="s">
        <v>1102</v>
      </c>
      <c r="D80" s="4" t="s">
        <v>1098</v>
      </c>
      <c r="E80" s="15">
        <v>45351.0</v>
      </c>
    </row>
    <row r="81">
      <c r="A81" s="4">
        <v>81.0</v>
      </c>
      <c r="B81" s="4" t="s">
        <v>1158</v>
      </c>
      <c r="C81" s="4" t="s">
        <v>1102</v>
      </c>
      <c r="D81" s="4" t="s">
        <v>1098</v>
      </c>
      <c r="E81" s="15">
        <v>45351.0</v>
      </c>
    </row>
    <row r="82">
      <c r="A82" s="4">
        <v>82.0</v>
      </c>
      <c r="B82" s="4" t="s">
        <v>1159</v>
      </c>
      <c r="C82" s="4" t="s">
        <v>1102</v>
      </c>
      <c r="D82" s="4" t="s">
        <v>1098</v>
      </c>
      <c r="E82" s="15">
        <v>45351.0</v>
      </c>
    </row>
    <row r="83">
      <c r="A83" s="4">
        <v>83.0</v>
      </c>
      <c r="B83" s="4" t="s">
        <v>1158</v>
      </c>
      <c r="C83" s="4" t="s">
        <v>1102</v>
      </c>
      <c r="D83" s="4" t="s">
        <v>1098</v>
      </c>
      <c r="E83" s="15">
        <v>45351.0</v>
      </c>
    </row>
    <row r="84">
      <c r="A84" s="4">
        <v>84.0</v>
      </c>
      <c r="B84" s="4" t="s">
        <v>1105</v>
      </c>
      <c r="C84" s="4" t="s">
        <v>1102</v>
      </c>
      <c r="D84" s="4" t="s">
        <v>1098</v>
      </c>
      <c r="E84" s="15">
        <v>45351.0</v>
      </c>
    </row>
    <row r="85">
      <c r="A85" s="4">
        <v>85.0</v>
      </c>
      <c r="B85" s="4" t="s">
        <v>1105</v>
      </c>
      <c r="C85" s="4" t="s">
        <v>1102</v>
      </c>
      <c r="D85" s="4" t="s">
        <v>1098</v>
      </c>
      <c r="E85" s="15">
        <v>45351.0</v>
      </c>
    </row>
    <row r="86">
      <c r="A86" s="4">
        <v>86.0</v>
      </c>
      <c r="B86" s="4" t="s">
        <v>1160</v>
      </c>
      <c r="C86" s="4" t="s">
        <v>1102</v>
      </c>
      <c r="D86" s="4" t="s">
        <v>1098</v>
      </c>
      <c r="E86" s="15">
        <v>45351.0</v>
      </c>
    </row>
    <row r="87">
      <c r="A87" s="4">
        <v>87.0</v>
      </c>
      <c r="B87" s="4" t="s">
        <v>1161</v>
      </c>
      <c r="C87" s="4" t="s">
        <v>1102</v>
      </c>
      <c r="D87" s="4" t="s">
        <v>1098</v>
      </c>
      <c r="E87" s="15">
        <v>45351.0</v>
      </c>
    </row>
    <row r="88">
      <c r="A88" s="4">
        <v>88.0</v>
      </c>
      <c r="B88" s="4" t="s">
        <v>1160</v>
      </c>
      <c r="C88" s="4" t="s">
        <v>1102</v>
      </c>
      <c r="D88" s="4" t="s">
        <v>1098</v>
      </c>
      <c r="E88" s="15">
        <v>45351.0</v>
      </c>
    </row>
    <row r="89">
      <c r="A89" s="4">
        <v>89.0</v>
      </c>
      <c r="B89" s="4" t="s">
        <v>1162</v>
      </c>
      <c r="C89" s="4" t="s">
        <v>1102</v>
      </c>
      <c r="D89" s="4" t="s">
        <v>1098</v>
      </c>
      <c r="E89" s="15">
        <v>45351.0</v>
      </c>
    </row>
    <row r="90">
      <c r="A90" s="4">
        <v>90.0</v>
      </c>
      <c r="B90" s="4" t="s">
        <v>1157</v>
      </c>
      <c r="C90" s="4" t="s">
        <v>1102</v>
      </c>
      <c r="D90" s="4" t="s">
        <v>1098</v>
      </c>
      <c r="E90" s="15">
        <v>45351.0</v>
      </c>
    </row>
    <row r="91">
      <c r="A91" s="4">
        <v>91.0</v>
      </c>
      <c r="B91" s="4" t="s">
        <v>1129</v>
      </c>
      <c r="C91" s="4" t="s">
        <v>1128</v>
      </c>
      <c r="D91" s="4" t="s">
        <v>1098</v>
      </c>
      <c r="E91" s="15">
        <v>45351.0</v>
      </c>
    </row>
    <row r="92">
      <c r="A92" s="4">
        <v>92.0</v>
      </c>
      <c r="B92" s="4" t="s">
        <v>1114</v>
      </c>
      <c r="C92" s="4" t="s">
        <v>1139</v>
      </c>
      <c r="D92" s="4" t="s">
        <v>1098</v>
      </c>
      <c r="E92" s="15">
        <v>45351.0</v>
      </c>
    </row>
    <row r="93">
      <c r="A93" s="4">
        <v>93.0</v>
      </c>
      <c r="B93" s="4" t="s">
        <v>1163</v>
      </c>
      <c r="C93" s="4" t="s">
        <v>1164</v>
      </c>
      <c r="D93" s="4" t="s">
        <v>1120</v>
      </c>
      <c r="E93" s="15">
        <v>45350.0</v>
      </c>
    </row>
    <row r="94">
      <c r="A94" s="4">
        <v>94.0</v>
      </c>
      <c r="B94" s="4" t="s">
        <v>1165</v>
      </c>
      <c r="C94" s="4" t="s">
        <v>1164</v>
      </c>
      <c r="D94" s="4" t="s">
        <v>1120</v>
      </c>
      <c r="E94" s="15">
        <v>45350.0</v>
      </c>
    </row>
    <row r="95">
      <c r="A95" s="4">
        <v>95.0</v>
      </c>
      <c r="B95" s="4" t="s">
        <v>1105</v>
      </c>
      <c r="C95" s="4" t="s">
        <v>1119</v>
      </c>
      <c r="D95" s="4" t="s">
        <v>1120</v>
      </c>
      <c r="E95" s="15">
        <v>45350.0</v>
      </c>
    </row>
    <row r="96">
      <c r="A96" s="4">
        <v>96.0</v>
      </c>
      <c r="B96" s="4" t="s">
        <v>1166</v>
      </c>
      <c r="C96" s="4" t="s">
        <v>1119</v>
      </c>
      <c r="D96" s="4" t="s">
        <v>1120</v>
      </c>
      <c r="E96" s="15">
        <v>45350.0</v>
      </c>
    </row>
    <row r="97">
      <c r="A97" s="4">
        <v>97.0</v>
      </c>
      <c r="B97" s="4" t="s">
        <v>1163</v>
      </c>
      <c r="C97" s="4" t="s">
        <v>1119</v>
      </c>
      <c r="D97" s="4" t="s">
        <v>1120</v>
      </c>
      <c r="E97" s="15">
        <v>45350.0</v>
      </c>
    </row>
    <row r="98">
      <c r="A98" s="4">
        <v>98.0</v>
      </c>
      <c r="B98" s="4" t="s">
        <v>1167</v>
      </c>
      <c r="C98" s="4" t="s">
        <v>1168</v>
      </c>
      <c r="D98" s="4" t="s">
        <v>1098</v>
      </c>
      <c r="E98" s="15">
        <v>45350.0</v>
      </c>
    </row>
    <row r="99">
      <c r="A99" s="4">
        <v>99.0</v>
      </c>
      <c r="B99" s="4" t="s">
        <v>1167</v>
      </c>
      <c r="C99" s="4" t="s">
        <v>1141</v>
      </c>
      <c r="D99" s="4" t="s">
        <v>1098</v>
      </c>
      <c r="E99" s="15">
        <v>45350.0</v>
      </c>
    </row>
    <row r="100">
      <c r="A100" s="4">
        <v>100.0</v>
      </c>
      <c r="B100" s="4" t="s">
        <v>1167</v>
      </c>
      <c r="C100" s="4" t="s">
        <v>1101</v>
      </c>
      <c r="D100" s="4" t="s">
        <v>1098</v>
      </c>
      <c r="E100" s="15">
        <v>45350.0</v>
      </c>
    </row>
    <row r="101">
      <c r="A101" s="4">
        <v>101.0</v>
      </c>
      <c r="B101" s="4" t="s">
        <v>1167</v>
      </c>
      <c r="C101" s="4" t="s">
        <v>1143</v>
      </c>
      <c r="D101" s="4" t="s">
        <v>1098</v>
      </c>
      <c r="E101" s="15">
        <v>45350.0</v>
      </c>
    </row>
    <row r="102">
      <c r="A102" s="4">
        <v>102.0</v>
      </c>
      <c r="B102" s="4" t="s">
        <v>1156</v>
      </c>
      <c r="C102" s="4" t="s">
        <v>1102</v>
      </c>
      <c r="D102" s="4" t="s">
        <v>1098</v>
      </c>
      <c r="E102" s="15">
        <v>45350.0</v>
      </c>
    </row>
    <row r="103">
      <c r="A103" s="4">
        <v>103.0</v>
      </c>
      <c r="B103" s="4" t="s">
        <v>1169</v>
      </c>
      <c r="C103" s="4" t="s">
        <v>1102</v>
      </c>
      <c r="D103" s="4" t="s">
        <v>1098</v>
      </c>
      <c r="E103" s="15">
        <v>45350.0</v>
      </c>
    </row>
    <row r="104">
      <c r="A104" s="4">
        <v>104.0</v>
      </c>
      <c r="B104" s="4" t="s">
        <v>1170</v>
      </c>
      <c r="C104" s="4" t="s">
        <v>1102</v>
      </c>
      <c r="D104" s="4" t="s">
        <v>1098</v>
      </c>
      <c r="E104" s="15">
        <v>45350.0</v>
      </c>
    </row>
    <row r="105">
      <c r="A105" s="4">
        <v>105.0</v>
      </c>
      <c r="B105" s="4" t="s">
        <v>1170</v>
      </c>
      <c r="C105" s="4" t="s">
        <v>1102</v>
      </c>
      <c r="D105" s="4" t="s">
        <v>1098</v>
      </c>
      <c r="E105" s="15">
        <v>45350.0</v>
      </c>
    </row>
    <row r="106">
      <c r="A106" s="4">
        <v>106.0</v>
      </c>
      <c r="B106" s="4" t="s">
        <v>1167</v>
      </c>
      <c r="C106" s="4" t="s">
        <v>1102</v>
      </c>
      <c r="D106" s="4" t="s">
        <v>1098</v>
      </c>
      <c r="E106" s="15">
        <v>45350.0</v>
      </c>
    </row>
    <row r="107">
      <c r="A107" s="4">
        <v>107.0</v>
      </c>
      <c r="B107" s="4" t="s">
        <v>1171</v>
      </c>
      <c r="C107" s="4" t="s">
        <v>1102</v>
      </c>
      <c r="D107" s="4" t="s">
        <v>1098</v>
      </c>
      <c r="E107" s="15">
        <v>45350.0</v>
      </c>
    </row>
    <row r="108">
      <c r="A108" s="4">
        <v>108.0</v>
      </c>
      <c r="B108" s="4" t="s">
        <v>1170</v>
      </c>
      <c r="C108" s="4" t="s">
        <v>1102</v>
      </c>
      <c r="D108" s="4" t="s">
        <v>1098</v>
      </c>
      <c r="E108" s="15">
        <v>45350.0</v>
      </c>
    </row>
    <row r="109">
      <c r="A109" s="4">
        <v>109.0</v>
      </c>
      <c r="B109" s="4" t="s">
        <v>1170</v>
      </c>
      <c r="C109" s="4" t="s">
        <v>1102</v>
      </c>
      <c r="D109" s="4" t="s">
        <v>1098</v>
      </c>
      <c r="E109" s="15">
        <v>45350.0</v>
      </c>
    </row>
    <row r="110">
      <c r="A110" s="4">
        <v>110.0</v>
      </c>
      <c r="B110" s="4" t="s">
        <v>1172</v>
      </c>
      <c r="C110" s="4" t="s">
        <v>1102</v>
      </c>
      <c r="D110" s="4" t="s">
        <v>1098</v>
      </c>
      <c r="E110" s="15">
        <v>45350.0</v>
      </c>
    </row>
    <row r="111">
      <c r="A111" s="4">
        <v>111.0</v>
      </c>
      <c r="B111" s="4" t="s">
        <v>1170</v>
      </c>
      <c r="C111" s="4" t="s">
        <v>1102</v>
      </c>
      <c r="D111" s="4" t="s">
        <v>1098</v>
      </c>
      <c r="E111" s="15">
        <v>45350.0</v>
      </c>
    </row>
    <row r="112">
      <c r="A112" s="4">
        <v>112.0</v>
      </c>
      <c r="B112" s="4" t="s">
        <v>1170</v>
      </c>
      <c r="C112" s="4" t="s">
        <v>1102</v>
      </c>
      <c r="D112" s="4" t="s">
        <v>1098</v>
      </c>
      <c r="E112" s="15">
        <v>45350.0</v>
      </c>
    </row>
    <row r="113">
      <c r="A113" s="4">
        <v>113.0</v>
      </c>
      <c r="B113" s="4" t="s">
        <v>1149</v>
      </c>
      <c r="C113" s="4" t="s">
        <v>1102</v>
      </c>
      <c r="D113" s="4" t="s">
        <v>1098</v>
      </c>
      <c r="E113" s="15">
        <v>45350.0</v>
      </c>
    </row>
    <row r="114">
      <c r="A114" s="4">
        <v>114.0</v>
      </c>
      <c r="B114" s="4" t="s">
        <v>1149</v>
      </c>
      <c r="C114" s="4" t="s">
        <v>1102</v>
      </c>
      <c r="D114" s="4" t="s">
        <v>1098</v>
      </c>
      <c r="E114" s="15">
        <v>45350.0</v>
      </c>
    </row>
    <row r="115">
      <c r="A115" s="4">
        <v>115.0</v>
      </c>
      <c r="B115" s="4" t="s">
        <v>1173</v>
      </c>
      <c r="C115" s="4" t="s">
        <v>1102</v>
      </c>
      <c r="D115" s="4" t="s">
        <v>1098</v>
      </c>
      <c r="E115" s="15">
        <v>45350.0</v>
      </c>
    </row>
    <row r="116">
      <c r="A116" s="4">
        <v>116.0</v>
      </c>
      <c r="B116" s="4" t="s">
        <v>1151</v>
      </c>
      <c r="C116" s="4" t="s">
        <v>1102</v>
      </c>
      <c r="D116" s="4" t="s">
        <v>1098</v>
      </c>
      <c r="E116" s="15">
        <v>45350.0</v>
      </c>
    </row>
    <row r="117">
      <c r="A117" s="4">
        <v>117.0</v>
      </c>
      <c r="B117" s="4" t="s">
        <v>1174</v>
      </c>
      <c r="C117" s="4" t="s">
        <v>1102</v>
      </c>
      <c r="D117" s="4" t="s">
        <v>1098</v>
      </c>
      <c r="E117" s="15">
        <v>45350.0</v>
      </c>
    </row>
    <row r="118">
      <c r="A118" s="4">
        <v>118.0</v>
      </c>
      <c r="B118" s="4" t="s">
        <v>1175</v>
      </c>
      <c r="C118" s="4" t="s">
        <v>1102</v>
      </c>
      <c r="D118" s="4" t="s">
        <v>1098</v>
      </c>
      <c r="E118" s="15">
        <v>45350.0</v>
      </c>
    </row>
    <row r="119">
      <c r="A119" s="4">
        <v>119.0</v>
      </c>
      <c r="B119" s="4" t="s">
        <v>1176</v>
      </c>
      <c r="C119" s="4" t="s">
        <v>1102</v>
      </c>
      <c r="D119" s="4" t="s">
        <v>1098</v>
      </c>
      <c r="E119" s="15">
        <v>45350.0</v>
      </c>
    </row>
    <row r="120">
      <c r="A120" s="4">
        <v>120.0</v>
      </c>
      <c r="B120" s="4" t="s">
        <v>1177</v>
      </c>
      <c r="C120" s="4" t="s">
        <v>1102</v>
      </c>
      <c r="D120" s="4" t="s">
        <v>1098</v>
      </c>
      <c r="E120" s="15">
        <v>45350.0</v>
      </c>
    </row>
    <row r="121">
      <c r="A121" s="4">
        <v>121.0</v>
      </c>
      <c r="B121" s="4" t="s">
        <v>1149</v>
      </c>
      <c r="C121" s="4" t="s">
        <v>1102</v>
      </c>
      <c r="D121" s="4" t="s">
        <v>1098</v>
      </c>
      <c r="E121" s="15">
        <v>45350.0</v>
      </c>
    </row>
    <row r="122">
      <c r="A122" s="4">
        <v>122.0</v>
      </c>
      <c r="B122" s="4" t="s">
        <v>1140</v>
      </c>
      <c r="C122" s="4" t="s">
        <v>1102</v>
      </c>
      <c r="D122" s="4" t="s">
        <v>1098</v>
      </c>
      <c r="E122" s="15">
        <v>45350.0</v>
      </c>
    </row>
    <row r="123">
      <c r="A123" s="4">
        <v>123.0</v>
      </c>
      <c r="B123" s="4" t="s">
        <v>1105</v>
      </c>
      <c r="C123" s="4" t="s">
        <v>1102</v>
      </c>
      <c r="D123" s="4" t="s">
        <v>1098</v>
      </c>
      <c r="E123" s="15">
        <v>45350.0</v>
      </c>
    </row>
    <row r="124">
      <c r="A124" s="4">
        <v>124.0</v>
      </c>
      <c r="B124" s="4" t="s">
        <v>1105</v>
      </c>
      <c r="C124" s="4" t="s">
        <v>1102</v>
      </c>
      <c r="D124" s="4" t="s">
        <v>1098</v>
      </c>
      <c r="E124" s="15">
        <v>45350.0</v>
      </c>
    </row>
    <row r="125">
      <c r="A125" s="4">
        <v>125.0</v>
      </c>
      <c r="B125" s="4" t="s">
        <v>1118</v>
      </c>
      <c r="C125" s="4" t="s">
        <v>1102</v>
      </c>
      <c r="D125" s="4" t="s">
        <v>1098</v>
      </c>
      <c r="E125" s="15">
        <v>45350.0</v>
      </c>
    </row>
    <row r="126">
      <c r="A126" s="4">
        <v>126.0</v>
      </c>
      <c r="B126" s="4" t="s">
        <v>1151</v>
      </c>
      <c r="C126" s="4" t="s">
        <v>1102</v>
      </c>
      <c r="D126" s="4" t="s">
        <v>1098</v>
      </c>
      <c r="E126" s="15">
        <v>45350.0</v>
      </c>
    </row>
    <row r="127">
      <c r="A127" s="4">
        <v>127.0</v>
      </c>
      <c r="B127" s="4" t="s">
        <v>1178</v>
      </c>
      <c r="C127" s="4" t="s">
        <v>1102</v>
      </c>
      <c r="D127" s="4" t="s">
        <v>1098</v>
      </c>
      <c r="E127" s="15">
        <v>45350.0</v>
      </c>
    </row>
    <row r="128">
      <c r="A128" s="4">
        <v>128.0</v>
      </c>
      <c r="B128" s="4" t="s">
        <v>1149</v>
      </c>
      <c r="C128" s="4" t="s">
        <v>1102</v>
      </c>
      <c r="D128" s="4" t="s">
        <v>1098</v>
      </c>
      <c r="E128" s="15">
        <v>45350.0</v>
      </c>
    </row>
    <row r="129">
      <c r="A129" s="4">
        <v>129.0</v>
      </c>
      <c r="B129" s="4" t="s">
        <v>1179</v>
      </c>
      <c r="C129" s="4" t="s">
        <v>1102</v>
      </c>
      <c r="D129" s="4" t="s">
        <v>1098</v>
      </c>
      <c r="E129" s="15">
        <v>45350.0</v>
      </c>
    </row>
    <row r="130">
      <c r="A130" s="4">
        <v>130.0</v>
      </c>
      <c r="B130" s="4" t="s">
        <v>1177</v>
      </c>
      <c r="C130" s="4" t="s">
        <v>1102</v>
      </c>
      <c r="D130" s="4" t="s">
        <v>1098</v>
      </c>
      <c r="E130" s="15">
        <v>45350.0</v>
      </c>
    </row>
    <row r="131">
      <c r="A131" s="4">
        <v>131.0</v>
      </c>
      <c r="B131" s="4" t="s">
        <v>1105</v>
      </c>
      <c r="C131" s="4" t="s">
        <v>1102</v>
      </c>
      <c r="D131" s="4" t="s">
        <v>1098</v>
      </c>
      <c r="E131" s="15">
        <v>45350.0</v>
      </c>
    </row>
    <row r="132">
      <c r="A132" s="4">
        <v>132.0</v>
      </c>
      <c r="B132" s="4" t="s">
        <v>1149</v>
      </c>
      <c r="C132" s="4" t="s">
        <v>1102</v>
      </c>
      <c r="D132" s="4" t="s">
        <v>1098</v>
      </c>
      <c r="E132" s="15">
        <v>45350.0</v>
      </c>
    </row>
    <row r="133">
      <c r="A133" s="4">
        <v>133.0</v>
      </c>
      <c r="B133" s="4" t="s">
        <v>1149</v>
      </c>
      <c r="C133" s="4" t="s">
        <v>1102</v>
      </c>
      <c r="D133" s="4" t="s">
        <v>1098</v>
      </c>
      <c r="E133" s="15">
        <v>45350.0</v>
      </c>
    </row>
    <row r="134">
      <c r="A134" s="4">
        <v>134.0</v>
      </c>
      <c r="B134" s="4" t="s">
        <v>1149</v>
      </c>
      <c r="C134" s="4" t="s">
        <v>1102</v>
      </c>
      <c r="D134" s="4" t="s">
        <v>1098</v>
      </c>
      <c r="E134" s="15">
        <v>45350.0</v>
      </c>
    </row>
    <row r="135">
      <c r="A135" s="4">
        <v>135.0</v>
      </c>
      <c r="B135" s="4" t="s">
        <v>1149</v>
      </c>
      <c r="C135" s="4" t="s">
        <v>1102</v>
      </c>
      <c r="D135" s="4" t="s">
        <v>1098</v>
      </c>
      <c r="E135" s="15">
        <v>45350.0</v>
      </c>
    </row>
    <row r="136">
      <c r="A136" s="4">
        <v>136.0</v>
      </c>
      <c r="B136" s="4" t="s">
        <v>1180</v>
      </c>
      <c r="C136" s="4" t="s">
        <v>1102</v>
      </c>
      <c r="D136" s="4" t="s">
        <v>1098</v>
      </c>
      <c r="E136" s="15">
        <v>45350.0</v>
      </c>
    </row>
    <row r="137">
      <c r="A137" s="4">
        <v>137.0</v>
      </c>
      <c r="B137" s="4" t="s">
        <v>1181</v>
      </c>
      <c r="C137" s="4" t="s">
        <v>1102</v>
      </c>
      <c r="D137" s="4" t="s">
        <v>1098</v>
      </c>
      <c r="E137" s="15">
        <v>45350.0</v>
      </c>
    </row>
    <row r="138">
      <c r="A138" s="4">
        <v>138.0</v>
      </c>
      <c r="B138" s="4" t="s">
        <v>1182</v>
      </c>
      <c r="C138" s="4" t="s">
        <v>1102</v>
      </c>
      <c r="D138" s="4" t="s">
        <v>1098</v>
      </c>
      <c r="E138" s="15">
        <v>45350.0</v>
      </c>
    </row>
    <row r="139">
      <c r="A139" s="4">
        <v>139.0</v>
      </c>
      <c r="B139" s="4" t="s">
        <v>1183</v>
      </c>
      <c r="C139" s="4" t="s">
        <v>1184</v>
      </c>
      <c r="D139" s="4" t="s">
        <v>1098</v>
      </c>
      <c r="E139" s="15">
        <v>45350.0</v>
      </c>
    </row>
    <row r="140">
      <c r="A140" s="4">
        <v>140.0</v>
      </c>
      <c r="B140" s="4" t="s">
        <v>1183</v>
      </c>
      <c r="C140" s="4" t="s">
        <v>1185</v>
      </c>
      <c r="D140" s="4" t="s">
        <v>1098</v>
      </c>
      <c r="E140" s="15">
        <v>45350.0</v>
      </c>
    </row>
    <row r="141">
      <c r="A141" s="4">
        <v>141.0</v>
      </c>
      <c r="B141" s="4" t="s">
        <v>1186</v>
      </c>
      <c r="C141" s="4" t="s">
        <v>1187</v>
      </c>
      <c r="D141" s="4" t="s">
        <v>1098</v>
      </c>
      <c r="E141" s="15">
        <v>45350.0</v>
      </c>
    </row>
    <row r="142">
      <c r="A142" s="4">
        <v>142.0</v>
      </c>
      <c r="B142" s="4" t="s">
        <v>1188</v>
      </c>
      <c r="C142" s="4" t="s">
        <v>1189</v>
      </c>
      <c r="D142" s="4" t="s">
        <v>1098</v>
      </c>
      <c r="E142" s="15">
        <v>45350.0</v>
      </c>
    </row>
    <row r="143">
      <c r="A143" s="4">
        <v>143.0</v>
      </c>
      <c r="B143" s="4" t="s">
        <v>1105</v>
      </c>
      <c r="C143" s="4" t="s">
        <v>1190</v>
      </c>
      <c r="D143" s="4" t="s">
        <v>1098</v>
      </c>
      <c r="E143" s="15">
        <v>45349.0</v>
      </c>
    </row>
    <row r="144">
      <c r="A144" s="4">
        <v>144.0</v>
      </c>
      <c r="B144" s="4" t="s">
        <v>1146</v>
      </c>
      <c r="C144" s="4" t="s">
        <v>1190</v>
      </c>
      <c r="D144" s="4" t="s">
        <v>1098</v>
      </c>
      <c r="E144" s="15">
        <v>45349.0</v>
      </c>
    </row>
    <row r="145">
      <c r="A145" s="4">
        <v>145.0</v>
      </c>
      <c r="B145" s="4" t="s">
        <v>1183</v>
      </c>
      <c r="C145" s="4" t="s">
        <v>1191</v>
      </c>
      <c r="D145" s="4" t="s">
        <v>1098</v>
      </c>
      <c r="E145" s="15">
        <v>45349.0</v>
      </c>
    </row>
    <row r="146">
      <c r="A146" s="4">
        <v>146.0</v>
      </c>
      <c r="B146" s="4" t="s">
        <v>1192</v>
      </c>
      <c r="C146" s="4" t="s">
        <v>1193</v>
      </c>
      <c r="D146" s="4" t="s">
        <v>1098</v>
      </c>
      <c r="E146" s="15">
        <v>45349.0</v>
      </c>
    </row>
    <row r="147">
      <c r="A147" s="4">
        <v>147.0</v>
      </c>
      <c r="B147" s="4" t="s">
        <v>1192</v>
      </c>
      <c r="C147" s="4" t="s">
        <v>1194</v>
      </c>
      <c r="D147" s="4" t="s">
        <v>1098</v>
      </c>
      <c r="E147" s="15">
        <v>45349.0</v>
      </c>
    </row>
    <row r="148">
      <c r="A148" s="4">
        <v>148.0</v>
      </c>
      <c r="B148" s="4" t="s">
        <v>1192</v>
      </c>
      <c r="C148" s="4" t="s">
        <v>1097</v>
      </c>
      <c r="D148" s="4" t="s">
        <v>1098</v>
      </c>
      <c r="E148" s="15">
        <v>45349.0</v>
      </c>
    </row>
    <row r="149">
      <c r="A149" s="4">
        <v>149.0</v>
      </c>
      <c r="B149" s="4" t="s">
        <v>1192</v>
      </c>
      <c r="C149" s="4" t="s">
        <v>1099</v>
      </c>
      <c r="D149" s="4" t="s">
        <v>1098</v>
      </c>
      <c r="E149" s="15">
        <v>45349.0</v>
      </c>
    </row>
    <row r="150">
      <c r="A150" s="4">
        <v>150.0</v>
      </c>
      <c r="B150" s="4" t="s">
        <v>1192</v>
      </c>
      <c r="C150" s="4" t="s">
        <v>1195</v>
      </c>
      <c r="D150" s="4" t="s">
        <v>1098</v>
      </c>
      <c r="E150" s="15">
        <v>45349.0</v>
      </c>
    </row>
    <row r="151">
      <c r="A151" s="4">
        <v>151.0</v>
      </c>
      <c r="B151" s="4" t="s">
        <v>1167</v>
      </c>
      <c r="C151" s="4" t="s">
        <v>1101</v>
      </c>
      <c r="D151" s="4" t="s">
        <v>1098</v>
      </c>
      <c r="E151" s="15">
        <v>45349.0</v>
      </c>
    </row>
    <row r="152">
      <c r="A152" s="4">
        <v>152.0</v>
      </c>
      <c r="B152" s="4" t="s">
        <v>1196</v>
      </c>
      <c r="C152" s="4" t="s">
        <v>1143</v>
      </c>
      <c r="D152" s="4" t="s">
        <v>1098</v>
      </c>
      <c r="E152" s="15">
        <v>45349.0</v>
      </c>
    </row>
    <row r="153">
      <c r="A153" s="4">
        <v>153.0</v>
      </c>
      <c r="B153" s="4" t="s">
        <v>1108</v>
      </c>
      <c r="C153" s="4" t="s">
        <v>1143</v>
      </c>
      <c r="D153" s="4" t="s">
        <v>1098</v>
      </c>
      <c r="E153" s="15">
        <v>45349.0</v>
      </c>
    </row>
    <row r="154">
      <c r="A154" s="4">
        <v>154.0</v>
      </c>
      <c r="B154" s="4" t="s">
        <v>1197</v>
      </c>
      <c r="C154" s="4" t="s">
        <v>1102</v>
      </c>
      <c r="D154" s="4" t="s">
        <v>1098</v>
      </c>
      <c r="E154" s="15">
        <v>45349.0</v>
      </c>
    </row>
    <row r="155">
      <c r="A155" s="4">
        <v>155.0</v>
      </c>
      <c r="B155" s="4" t="s">
        <v>1197</v>
      </c>
      <c r="C155" s="4" t="s">
        <v>1102</v>
      </c>
      <c r="D155" s="4" t="s">
        <v>1098</v>
      </c>
      <c r="E155" s="15">
        <v>45349.0</v>
      </c>
    </row>
    <row r="156">
      <c r="A156" s="4">
        <v>156.0</v>
      </c>
      <c r="B156" s="4" t="s">
        <v>1198</v>
      </c>
      <c r="C156" s="4" t="s">
        <v>1102</v>
      </c>
      <c r="D156" s="4" t="s">
        <v>1098</v>
      </c>
      <c r="E156" s="15">
        <v>45349.0</v>
      </c>
    </row>
    <row r="157">
      <c r="A157" s="4">
        <v>157.0</v>
      </c>
      <c r="B157" s="4" t="s">
        <v>1199</v>
      </c>
      <c r="C157" s="4" t="s">
        <v>1102</v>
      </c>
      <c r="D157" s="4" t="s">
        <v>1098</v>
      </c>
      <c r="E157" s="15">
        <v>45349.0</v>
      </c>
    </row>
    <row r="158">
      <c r="A158" s="4">
        <v>158.0</v>
      </c>
      <c r="B158" s="4" t="s">
        <v>1197</v>
      </c>
      <c r="C158" s="4" t="s">
        <v>1102</v>
      </c>
      <c r="D158" s="4" t="s">
        <v>1098</v>
      </c>
      <c r="E158" s="15">
        <v>45349.0</v>
      </c>
    </row>
    <row r="159">
      <c r="A159" s="4">
        <v>159.0</v>
      </c>
      <c r="B159" s="4" t="s">
        <v>1134</v>
      </c>
      <c r="C159" s="4" t="s">
        <v>1102</v>
      </c>
      <c r="D159" s="4" t="s">
        <v>1098</v>
      </c>
      <c r="E159" s="15">
        <v>45349.0</v>
      </c>
    </row>
    <row r="160">
      <c r="A160" s="4">
        <v>160.0</v>
      </c>
      <c r="B160" s="4" t="s">
        <v>1200</v>
      </c>
      <c r="C160" s="4" t="s">
        <v>1128</v>
      </c>
      <c r="D160" s="4" t="s">
        <v>1098</v>
      </c>
      <c r="E160" s="15">
        <v>45349.0</v>
      </c>
    </row>
    <row r="161">
      <c r="A161" s="4">
        <v>161.0</v>
      </c>
      <c r="B161" s="4" t="s">
        <v>1201</v>
      </c>
      <c r="C161" s="4" t="s">
        <v>1187</v>
      </c>
      <c r="D161" s="4" t="s">
        <v>1098</v>
      </c>
      <c r="E161" s="15">
        <v>45349.0</v>
      </c>
    </row>
    <row r="162">
      <c r="A162" s="4">
        <v>162.0</v>
      </c>
      <c r="B162" s="4" t="s">
        <v>1202</v>
      </c>
      <c r="C162" s="4" t="s">
        <v>1116</v>
      </c>
      <c r="D162" s="4" t="s">
        <v>1098</v>
      </c>
      <c r="E162" s="15">
        <v>45349.0</v>
      </c>
    </row>
    <row r="163">
      <c r="A163" s="4">
        <v>163.0</v>
      </c>
      <c r="B163" s="4" t="s">
        <v>1183</v>
      </c>
      <c r="C163" s="4" t="s">
        <v>1203</v>
      </c>
      <c r="D163" s="4" t="s">
        <v>1098</v>
      </c>
      <c r="E163" s="15">
        <v>45349.0</v>
      </c>
    </row>
    <row r="164">
      <c r="A164" s="4">
        <v>164.0</v>
      </c>
      <c r="B164" s="4" t="s">
        <v>1183</v>
      </c>
      <c r="C164" s="4" t="s">
        <v>1204</v>
      </c>
      <c r="D164" s="4" t="s">
        <v>1098</v>
      </c>
      <c r="E164" s="15">
        <v>45349.0</v>
      </c>
    </row>
    <row r="165">
      <c r="A165" s="4">
        <v>165.0</v>
      </c>
      <c r="B165" s="4" t="s">
        <v>1183</v>
      </c>
      <c r="C165" s="4" t="s">
        <v>1205</v>
      </c>
      <c r="D165" s="4" t="s">
        <v>1098</v>
      </c>
      <c r="E165" s="15">
        <v>45349.0</v>
      </c>
    </row>
    <row r="166">
      <c r="A166" s="4">
        <v>166.0</v>
      </c>
      <c r="B166" s="4" t="s">
        <v>1183</v>
      </c>
      <c r="C166" s="4" t="s">
        <v>1205</v>
      </c>
      <c r="D166" s="4" t="s">
        <v>1098</v>
      </c>
      <c r="E166" s="15">
        <v>45349.0</v>
      </c>
    </row>
    <row r="167">
      <c r="A167" s="4">
        <v>167.0</v>
      </c>
      <c r="B167" s="4" t="s">
        <v>1105</v>
      </c>
      <c r="C167" s="4" t="s">
        <v>1190</v>
      </c>
      <c r="D167" s="4" t="s">
        <v>1098</v>
      </c>
      <c r="E167" s="15">
        <v>45348.0</v>
      </c>
    </row>
    <row r="168">
      <c r="A168" s="4">
        <v>168.0</v>
      </c>
      <c r="B168" s="4" t="s">
        <v>1206</v>
      </c>
      <c r="C168" s="4" t="s">
        <v>1207</v>
      </c>
      <c r="D168" s="4" t="s">
        <v>1098</v>
      </c>
      <c r="E168" s="15">
        <v>45348.0</v>
      </c>
    </row>
    <row r="169">
      <c r="A169" s="4">
        <v>169.0</v>
      </c>
      <c r="B169" s="4" t="s">
        <v>1208</v>
      </c>
      <c r="C169" s="4" t="s">
        <v>1207</v>
      </c>
      <c r="D169" s="4" t="s">
        <v>1098</v>
      </c>
      <c r="E169" s="15">
        <v>45348.0</v>
      </c>
    </row>
    <row r="170">
      <c r="A170" s="4">
        <v>170.0</v>
      </c>
      <c r="B170" s="4" t="s">
        <v>1206</v>
      </c>
      <c r="C170" s="4" t="s">
        <v>1122</v>
      </c>
      <c r="D170" s="4" t="s">
        <v>1098</v>
      </c>
      <c r="E170" s="15">
        <v>45348.0</v>
      </c>
    </row>
    <row r="171">
      <c r="A171" s="4">
        <v>171.0</v>
      </c>
      <c r="B171" s="4" t="s">
        <v>1209</v>
      </c>
      <c r="C171" s="4" t="s">
        <v>1101</v>
      </c>
      <c r="D171" s="4" t="s">
        <v>1098</v>
      </c>
      <c r="E171" s="15">
        <v>45348.0</v>
      </c>
    </row>
    <row r="172">
      <c r="A172" s="4">
        <v>172.0</v>
      </c>
      <c r="B172" s="4" t="s">
        <v>1210</v>
      </c>
      <c r="C172" s="4" t="s">
        <v>1143</v>
      </c>
      <c r="D172" s="4" t="s">
        <v>1098</v>
      </c>
      <c r="E172" s="15">
        <v>45348.0</v>
      </c>
    </row>
    <row r="173">
      <c r="A173" s="4">
        <v>173.0</v>
      </c>
      <c r="B173" s="4" t="s">
        <v>1211</v>
      </c>
      <c r="C173" s="4" t="s">
        <v>1143</v>
      </c>
      <c r="D173" s="4" t="s">
        <v>1098</v>
      </c>
      <c r="E173" s="15">
        <v>45348.0</v>
      </c>
    </row>
    <row r="174">
      <c r="A174" s="4">
        <v>174.0</v>
      </c>
      <c r="B174" s="4" t="s">
        <v>1209</v>
      </c>
      <c r="C174" s="4" t="s">
        <v>1143</v>
      </c>
      <c r="D174" s="4" t="s">
        <v>1098</v>
      </c>
      <c r="E174" s="15">
        <v>45348.0</v>
      </c>
    </row>
    <row r="175">
      <c r="A175" s="4">
        <v>175.0</v>
      </c>
      <c r="B175" s="4" t="s">
        <v>1211</v>
      </c>
      <c r="C175" s="4" t="s">
        <v>1143</v>
      </c>
      <c r="D175" s="4" t="s">
        <v>1098</v>
      </c>
      <c r="E175" s="15">
        <v>45348.0</v>
      </c>
    </row>
    <row r="176">
      <c r="A176" s="4">
        <v>176.0</v>
      </c>
      <c r="B176" s="4" t="s">
        <v>1212</v>
      </c>
      <c r="C176" s="4" t="s">
        <v>1102</v>
      </c>
      <c r="D176" s="4" t="s">
        <v>1098</v>
      </c>
      <c r="E176" s="15">
        <v>45348.0</v>
      </c>
    </row>
    <row r="177">
      <c r="A177" s="4">
        <v>177.0</v>
      </c>
      <c r="B177" s="4" t="s">
        <v>1213</v>
      </c>
      <c r="C177" s="4" t="s">
        <v>1102</v>
      </c>
      <c r="D177" s="4" t="s">
        <v>1098</v>
      </c>
      <c r="E177" s="15">
        <v>45348.0</v>
      </c>
    </row>
    <row r="178">
      <c r="A178" s="4">
        <v>178.0</v>
      </c>
      <c r="B178" s="4" t="s">
        <v>1214</v>
      </c>
      <c r="C178" s="4" t="s">
        <v>1102</v>
      </c>
      <c r="D178" s="4" t="s">
        <v>1098</v>
      </c>
      <c r="E178" s="15">
        <v>45348.0</v>
      </c>
    </row>
    <row r="179">
      <c r="A179" s="4">
        <v>179.0</v>
      </c>
      <c r="B179" s="4" t="s">
        <v>1212</v>
      </c>
      <c r="C179" s="4" t="s">
        <v>1102</v>
      </c>
      <c r="D179" s="4" t="s">
        <v>1098</v>
      </c>
      <c r="E179" s="15">
        <v>45348.0</v>
      </c>
    </row>
    <row r="180">
      <c r="A180" s="4">
        <v>180.0</v>
      </c>
      <c r="B180" s="4" t="s">
        <v>1214</v>
      </c>
      <c r="C180" s="4" t="s">
        <v>1215</v>
      </c>
      <c r="D180" s="4" t="s">
        <v>1098</v>
      </c>
      <c r="E180" s="15">
        <v>45348.0</v>
      </c>
    </row>
    <row r="181">
      <c r="A181" s="4">
        <v>181.0</v>
      </c>
      <c r="B181" s="4" t="s">
        <v>1216</v>
      </c>
      <c r="C181" s="4" t="s">
        <v>1187</v>
      </c>
      <c r="D181" s="4" t="s">
        <v>1098</v>
      </c>
      <c r="E181" s="15">
        <v>45348.0</v>
      </c>
    </row>
    <row r="182">
      <c r="A182" s="4">
        <v>182.0</v>
      </c>
      <c r="B182" s="4" t="s">
        <v>1183</v>
      </c>
      <c r="C182" s="4" t="s">
        <v>1217</v>
      </c>
      <c r="D182" s="4" t="s">
        <v>1098</v>
      </c>
      <c r="E182" s="15">
        <v>45348.0</v>
      </c>
    </row>
    <row r="183">
      <c r="A183" s="4">
        <v>183.0</v>
      </c>
      <c r="B183" s="4" t="s">
        <v>1218</v>
      </c>
      <c r="C183" s="4" t="s">
        <v>1217</v>
      </c>
      <c r="D183" s="4" t="s">
        <v>1098</v>
      </c>
      <c r="E183" s="15">
        <v>45348.0</v>
      </c>
    </row>
    <row r="184">
      <c r="A184" s="4">
        <v>184.0</v>
      </c>
      <c r="B184" s="4" t="s">
        <v>1219</v>
      </c>
      <c r="C184" s="4" t="s">
        <v>1220</v>
      </c>
      <c r="D184" s="4" t="s">
        <v>1098</v>
      </c>
      <c r="E184" s="15">
        <v>45348.0</v>
      </c>
    </row>
    <row r="185">
      <c r="A185" s="4">
        <v>185.0</v>
      </c>
      <c r="B185" s="4" t="s">
        <v>1219</v>
      </c>
      <c r="C185" s="4" t="s">
        <v>1203</v>
      </c>
      <c r="D185" s="4" t="s">
        <v>1098</v>
      </c>
      <c r="E185" s="15">
        <v>45348.0</v>
      </c>
    </row>
    <row r="186">
      <c r="A186" s="4">
        <v>186.0</v>
      </c>
      <c r="B186" s="4" t="s">
        <v>1219</v>
      </c>
      <c r="C186" s="4" t="s">
        <v>1203</v>
      </c>
      <c r="D186" s="4" t="s">
        <v>1098</v>
      </c>
      <c r="E186" s="15">
        <v>45348.0</v>
      </c>
    </row>
    <row r="187">
      <c r="A187" s="4">
        <v>187.0</v>
      </c>
      <c r="B187" s="4" t="s">
        <v>1206</v>
      </c>
      <c r="C187" s="4" t="s">
        <v>1189</v>
      </c>
      <c r="D187" s="4" t="s">
        <v>1098</v>
      </c>
      <c r="E187" s="15">
        <v>45348.0</v>
      </c>
    </row>
    <row r="188">
      <c r="A188" s="4">
        <v>188.0</v>
      </c>
      <c r="B188" s="4" t="s">
        <v>1206</v>
      </c>
      <c r="C188" s="4" t="s">
        <v>1189</v>
      </c>
      <c r="D188" s="4" t="s">
        <v>1098</v>
      </c>
      <c r="E188" s="15">
        <v>45348.0</v>
      </c>
    </row>
    <row r="189">
      <c r="A189" s="4">
        <v>189.0</v>
      </c>
      <c r="B189" s="4" t="s">
        <v>1208</v>
      </c>
      <c r="C189" s="4" t="s">
        <v>1189</v>
      </c>
      <c r="D189" s="4" t="s">
        <v>1098</v>
      </c>
      <c r="E189" s="15">
        <v>45348.0</v>
      </c>
    </row>
    <row r="190">
      <c r="A190" s="4">
        <v>190.0</v>
      </c>
      <c r="B190" s="4" t="s">
        <v>1216</v>
      </c>
      <c r="C190" s="4" t="s">
        <v>1221</v>
      </c>
      <c r="D190" s="4" t="s">
        <v>1098</v>
      </c>
      <c r="E190" s="15">
        <v>45348.0</v>
      </c>
    </row>
    <row r="191">
      <c r="A191" s="4">
        <v>191.0</v>
      </c>
      <c r="B191" s="4" t="s">
        <v>1219</v>
      </c>
      <c r="C191" s="4" t="s">
        <v>1222</v>
      </c>
      <c r="D191" s="4" t="s">
        <v>1098</v>
      </c>
      <c r="E191" s="15">
        <v>45348.0</v>
      </c>
    </row>
    <row r="192">
      <c r="A192" s="4">
        <v>192.0</v>
      </c>
      <c r="B192" s="4" t="s">
        <v>1219</v>
      </c>
      <c r="C192" s="4" t="s">
        <v>1222</v>
      </c>
      <c r="D192" s="4" t="s">
        <v>1098</v>
      </c>
      <c r="E192" s="15">
        <v>45348.0</v>
      </c>
    </row>
    <row r="193">
      <c r="A193" s="4">
        <v>193.0</v>
      </c>
      <c r="B193" s="4" t="s">
        <v>1219</v>
      </c>
      <c r="C193" s="4" t="s">
        <v>1222</v>
      </c>
      <c r="D193" s="4" t="s">
        <v>1098</v>
      </c>
      <c r="E193" s="15">
        <v>45348.0</v>
      </c>
    </row>
    <row r="194">
      <c r="A194" s="4">
        <v>194.0</v>
      </c>
      <c r="B194" s="4" t="s">
        <v>1223</v>
      </c>
      <c r="C194" s="4" t="s">
        <v>1131</v>
      </c>
      <c r="D194" s="4" t="s">
        <v>1098</v>
      </c>
      <c r="E194" s="15">
        <v>45347.0</v>
      </c>
    </row>
    <row r="195">
      <c r="A195" s="4">
        <v>195.0</v>
      </c>
      <c r="B195" s="4" t="s">
        <v>1223</v>
      </c>
      <c r="C195" s="4" t="s">
        <v>1131</v>
      </c>
      <c r="D195" s="4" t="s">
        <v>1098</v>
      </c>
      <c r="E195" s="15">
        <v>45347.0</v>
      </c>
    </row>
    <row r="196">
      <c r="A196" s="4">
        <v>196.0</v>
      </c>
      <c r="B196" s="4" t="s">
        <v>1224</v>
      </c>
      <c r="C196" s="4" t="s">
        <v>1187</v>
      </c>
      <c r="D196" s="4" t="s">
        <v>1098</v>
      </c>
      <c r="E196" s="15">
        <v>45347.0</v>
      </c>
    </row>
    <row r="197">
      <c r="A197" s="4">
        <v>197.0</v>
      </c>
      <c r="B197" s="4" t="s">
        <v>1223</v>
      </c>
      <c r="C197" s="4" t="s">
        <v>1203</v>
      </c>
      <c r="D197" s="4" t="s">
        <v>1098</v>
      </c>
      <c r="E197" s="15">
        <v>45347.0</v>
      </c>
    </row>
    <row r="198">
      <c r="A198" s="4">
        <v>198.0</v>
      </c>
      <c r="B198" s="4" t="s">
        <v>1223</v>
      </c>
      <c r="C198" s="4" t="s">
        <v>1203</v>
      </c>
      <c r="D198" s="4" t="s">
        <v>1098</v>
      </c>
      <c r="E198" s="15">
        <v>45347.0</v>
      </c>
    </row>
    <row r="199">
      <c r="A199" s="4">
        <v>199.0</v>
      </c>
      <c r="B199" s="4" t="s">
        <v>1152</v>
      </c>
      <c r="C199" s="4" t="s">
        <v>1195</v>
      </c>
      <c r="D199" s="4" t="s">
        <v>1098</v>
      </c>
      <c r="E199" s="15">
        <v>45346.0</v>
      </c>
    </row>
    <row r="200">
      <c r="A200" s="4">
        <v>200.0</v>
      </c>
      <c r="B200" s="4" t="s">
        <v>1152</v>
      </c>
      <c r="C200" s="4" t="s">
        <v>1168</v>
      </c>
      <c r="D200" s="4" t="s">
        <v>1098</v>
      </c>
      <c r="E200" s="15">
        <v>45346.0</v>
      </c>
    </row>
    <row r="201">
      <c r="A201" s="4">
        <v>201.0</v>
      </c>
      <c r="B201" s="4" t="s">
        <v>1201</v>
      </c>
      <c r="C201" s="4" t="s">
        <v>1102</v>
      </c>
      <c r="D201" s="4" t="s">
        <v>1098</v>
      </c>
      <c r="E201" s="15">
        <v>45346.0</v>
      </c>
    </row>
    <row r="202">
      <c r="A202" s="4">
        <v>202.0</v>
      </c>
      <c r="B202" s="4" t="s">
        <v>1201</v>
      </c>
      <c r="C202" s="4" t="s">
        <v>1187</v>
      </c>
      <c r="D202" s="4" t="s">
        <v>1098</v>
      </c>
      <c r="E202" s="15">
        <v>45346.0</v>
      </c>
    </row>
    <row r="203">
      <c r="A203" s="4">
        <v>203.0</v>
      </c>
      <c r="B203" s="4" t="s">
        <v>1225</v>
      </c>
      <c r="C203" s="4" t="s">
        <v>1217</v>
      </c>
      <c r="D203" s="4" t="s">
        <v>1098</v>
      </c>
      <c r="E203" s="15">
        <v>45346.0</v>
      </c>
    </row>
    <row r="204">
      <c r="A204" s="4">
        <v>204.0</v>
      </c>
      <c r="B204" s="4" t="s">
        <v>1225</v>
      </c>
      <c r="C204" s="4" t="s">
        <v>1217</v>
      </c>
      <c r="D204" s="4" t="s">
        <v>1098</v>
      </c>
      <c r="E204" s="15">
        <v>45346.0</v>
      </c>
    </row>
    <row r="205">
      <c r="A205" s="4">
        <v>205.0</v>
      </c>
      <c r="B205" s="4" t="s">
        <v>1225</v>
      </c>
      <c r="C205" s="4" t="s">
        <v>1203</v>
      </c>
      <c r="D205" s="4" t="s">
        <v>1098</v>
      </c>
      <c r="E205" s="15">
        <v>45346.0</v>
      </c>
    </row>
    <row r="206">
      <c r="A206" s="4">
        <v>206.0</v>
      </c>
      <c r="B206" s="4" t="s">
        <v>1226</v>
      </c>
      <c r="C206" s="4" t="s">
        <v>1205</v>
      </c>
      <c r="D206" s="4" t="s">
        <v>1098</v>
      </c>
      <c r="E206" s="15">
        <v>45346.0</v>
      </c>
    </row>
    <row r="207">
      <c r="A207" s="4">
        <v>207.0</v>
      </c>
      <c r="B207" s="4" t="s">
        <v>1227</v>
      </c>
      <c r="C207" s="4" t="s">
        <v>1131</v>
      </c>
      <c r="D207" s="4" t="s">
        <v>1098</v>
      </c>
      <c r="E207" s="15">
        <v>45345.0</v>
      </c>
    </row>
    <row r="208">
      <c r="A208" s="4">
        <v>208.0</v>
      </c>
      <c r="B208" s="4" t="s">
        <v>1228</v>
      </c>
      <c r="C208" s="4" t="s">
        <v>1193</v>
      </c>
      <c r="D208" s="4" t="s">
        <v>1098</v>
      </c>
      <c r="E208" s="15">
        <v>45345.0</v>
      </c>
    </row>
    <row r="209">
      <c r="A209" s="4">
        <v>209.0</v>
      </c>
      <c r="B209" s="4" t="s">
        <v>1228</v>
      </c>
      <c r="C209" s="4" t="s">
        <v>1193</v>
      </c>
      <c r="D209" s="4" t="s">
        <v>1098</v>
      </c>
      <c r="E209" s="15">
        <v>45345.0</v>
      </c>
    </row>
    <row r="210">
      <c r="A210" s="4">
        <v>210.0</v>
      </c>
      <c r="B210" s="4" t="s">
        <v>1228</v>
      </c>
      <c r="C210" s="4" t="s">
        <v>1194</v>
      </c>
      <c r="D210" s="4" t="s">
        <v>1098</v>
      </c>
      <c r="E210" s="15">
        <v>45345.0</v>
      </c>
    </row>
    <row r="211">
      <c r="A211" s="4">
        <v>211.0</v>
      </c>
      <c r="B211" s="4" t="s">
        <v>1228</v>
      </c>
      <c r="C211" s="4" t="s">
        <v>1097</v>
      </c>
      <c r="D211" s="4" t="s">
        <v>1098</v>
      </c>
      <c r="E211" s="15">
        <v>45345.0</v>
      </c>
    </row>
    <row r="212">
      <c r="A212" s="4">
        <v>212.0</v>
      </c>
      <c r="B212" s="4" t="s">
        <v>1096</v>
      </c>
      <c r="C212" s="4" t="s">
        <v>1195</v>
      </c>
      <c r="D212" s="4" t="s">
        <v>1098</v>
      </c>
      <c r="E212" s="15">
        <v>45345.0</v>
      </c>
    </row>
    <row r="213">
      <c r="A213" s="4">
        <v>213.0</v>
      </c>
      <c r="B213" s="4" t="s">
        <v>1227</v>
      </c>
      <c r="C213" s="4" t="s">
        <v>1168</v>
      </c>
      <c r="D213" s="4" t="s">
        <v>1098</v>
      </c>
      <c r="E213" s="15">
        <v>45345.0</v>
      </c>
    </row>
    <row r="214">
      <c r="A214" s="4">
        <v>214.0</v>
      </c>
      <c r="B214" s="4" t="s">
        <v>1227</v>
      </c>
      <c r="C214" s="4" t="s">
        <v>1141</v>
      </c>
      <c r="D214" s="4" t="s">
        <v>1098</v>
      </c>
      <c r="E214" s="15">
        <v>45345.0</v>
      </c>
    </row>
    <row r="215">
      <c r="A215" s="4">
        <v>215.0</v>
      </c>
      <c r="B215" s="4" t="s">
        <v>1228</v>
      </c>
      <c r="C215" s="4" t="s">
        <v>1141</v>
      </c>
      <c r="D215" s="4" t="s">
        <v>1098</v>
      </c>
      <c r="E215" s="15">
        <v>45345.0</v>
      </c>
    </row>
    <row r="216">
      <c r="A216" s="4">
        <v>216.0</v>
      </c>
      <c r="B216" s="4" t="s">
        <v>1227</v>
      </c>
      <c r="C216" s="4" t="s">
        <v>1101</v>
      </c>
      <c r="D216" s="4" t="s">
        <v>1098</v>
      </c>
      <c r="E216" s="15">
        <v>45345.0</v>
      </c>
    </row>
    <row r="217">
      <c r="A217" s="4">
        <v>217.0</v>
      </c>
      <c r="B217" s="4" t="s">
        <v>1227</v>
      </c>
      <c r="C217" s="4" t="s">
        <v>1101</v>
      </c>
      <c r="D217" s="4" t="s">
        <v>1098</v>
      </c>
      <c r="E217" s="15">
        <v>45345.0</v>
      </c>
    </row>
    <row r="218">
      <c r="A218" s="4">
        <v>218.0</v>
      </c>
      <c r="B218" s="4" t="s">
        <v>1227</v>
      </c>
      <c r="C218" s="4" t="s">
        <v>1143</v>
      </c>
      <c r="D218" s="4" t="s">
        <v>1098</v>
      </c>
      <c r="E218" s="15">
        <v>45345.0</v>
      </c>
    </row>
    <row r="219">
      <c r="A219" s="4">
        <v>219.0</v>
      </c>
      <c r="B219" s="4" t="s">
        <v>1229</v>
      </c>
      <c r="C219" s="4" t="s">
        <v>1143</v>
      </c>
      <c r="D219" s="4" t="s">
        <v>1098</v>
      </c>
      <c r="E219" s="15">
        <v>45345.0</v>
      </c>
    </row>
    <row r="220">
      <c r="A220" s="4">
        <v>220.0</v>
      </c>
      <c r="B220" s="4" t="s">
        <v>1228</v>
      </c>
      <c r="C220" s="4" t="s">
        <v>1143</v>
      </c>
      <c r="D220" s="4" t="s">
        <v>1098</v>
      </c>
      <c r="E220" s="15">
        <v>45345.0</v>
      </c>
    </row>
    <row r="221">
      <c r="A221" s="4">
        <v>221.0</v>
      </c>
      <c r="B221" s="4" t="s">
        <v>1230</v>
      </c>
      <c r="C221" s="4" t="s">
        <v>1102</v>
      </c>
      <c r="D221" s="4" t="s">
        <v>1098</v>
      </c>
      <c r="E221" s="15">
        <v>45345.0</v>
      </c>
    </row>
    <row r="222">
      <c r="A222" s="4">
        <v>222.0</v>
      </c>
      <c r="B222" s="4" t="s">
        <v>1201</v>
      </c>
      <c r="C222" s="4" t="s">
        <v>1102</v>
      </c>
      <c r="D222" s="4" t="s">
        <v>1098</v>
      </c>
      <c r="E222" s="15">
        <v>45345.0</v>
      </c>
    </row>
    <row r="223">
      <c r="A223" s="4">
        <v>223.0</v>
      </c>
      <c r="B223" s="4" t="s">
        <v>1228</v>
      </c>
      <c r="C223" s="4" t="s">
        <v>1102</v>
      </c>
      <c r="D223" s="4" t="s">
        <v>1098</v>
      </c>
      <c r="E223" s="15">
        <v>45345.0</v>
      </c>
    </row>
    <row r="224">
      <c r="A224" s="4">
        <v>224.0</v>
      </c>
      <c r="B224" s="4" t="s">
        <v>1231</v>
      </c>
      <c r="C224" s="4" t="s">
        <v>1111</v>
      </c>
      <c r="D224" s="4" t="s">
        <v>1098</v>
      </c>
      <c r="E224" s="15">
        <v>45345.0</v>
      </c>
    </row>
    <row r="225">
      <c r="A225" s="4">
        <v>225.0</v>
      </c>
      <c r="B225" s="4" t="s">
        <v>1232</v>
      </c>
      <c r="C225" s="4" t="s">
        <v>1233</v>
      </c>
      <c r="D225" s="4" t="s">
        <v>1098</v>
      </c>
      <c r="E225" s="15">
        <v>45345.0</v>
      </c>
    </row>
    <row r="226">
      <c r="A226" s="4">
        <v>226.0</v>
      </c>
      <c r="B226" s="4" t="s">
        <v>1234</v>
      </c>
      <c r="C226" s="4" t="s">
        <v>1128</v>
      </c>
      <c r="D226" s="4" t="s">
        <v>1098</v>
      </c>
      <c r="E226" s="15">
        <v>45345.0</v>
      </c>
    </row>
    <row r="227">
      <c r="A227" s="4">
        <v>227.0</v>
      </c>
      <c r="B227" s="4" t="s">
        <v>1235</v>
      </c>
      <c r="C227" s="4" t="s">
        <v>1128</v>
      </c>
      <c r="D227" s="4" t="s">
        <v>1098</v>
      </c>
      <c r="E227" s="15">
        <v>45345.0</v>
      </c>
    </row>
    <row r="228">
      <c r="A228" s="4">
        <v>228.0</v>
      </c>
      <c r="B228" s="4" t="s">
        <v>1234</v>
      </c>
      <c r="C228" s="4" t="s">
        <v>1128</v>
      </c>
      <c r="D228" s="4" t="s">
        <v>1098</v>
      </c>
      <c r="E228" s="15">
        <v>45345.0</v>
      </c>
    </row>
    <row r="229">
      <c r="A229" s="4">
        <v>229.0</v>
      </c>
      <c r="B229" s="4" t="s">
        <v>1236</v>
      </c>
      <c r="C229" s="4" t="s">
        <v>1237</v>
      </c>
      <c r="D229" s="4" t="s">
        <v>1098</v>
      </c>
      <c r="E229" s="15">
        <v>45345.0</v>
      </c>
    </row>
    <row r="230">
      <c r="A230" s="4">
        <v>230.0</v>
      </c>
      <c r="B230" s="4" t="s">
        <v>1236</v>
      </c>
      <c r="C230" s="4" t="s">
        <v>1187</v>
      </c>
      <c r="D230" s="4" t="s">
        <v>1098</v>
      </c>
      <c r="E230" s="15">
        <v>45345.0</v>
      </c>
    </row>
    <row r="231">
      <c r="A231" s="4">
        <v>231.0</v>
      </c>
      <c r="B231" s="4" t="s">
        <v>1224</v>
      </c>
      <c r="C231" s="4" t="s">
        <v>1187</v>
      </c>
      <c r="D231" s="4" t="s">
        <v>1098</v>
      </c>
      <c r="E231" s="15">
        <v>45345.0</v>
      </c>
    </row>
    <row r="232">
      <c r="A232" s="4">
        <v>232.0</v>
      </c>
      <c r="B232" s="4" t="s">
        <v>1224</v>
      </c>
      <c r="C232" s="4" t="s">
        <v>1187</v>
      </c>
      <c r="D232" s="4" t="s">
        <v>1098</v>
      </c>
      <c r="E232" s="15">
        <v>45345.0</v>
      </c>
    </row>
    <row r="233">
      <c r="A233" s="4">
        <v>233.0</v>
      </c>
      <c r="B233" s="4" t="s">
        <v>1228</v>
      </c>
      <c r="C233" s="4" t="s">
        <v>1238</v>
      </c>
      <c r="D233" s="4" t="s">
        <v>1098</v>
      </c>
      <c r="E233" s="15">
        <v>45345.0</v>
      </c>
    </row>
    <row r="234">
      <c r="A234" s="4">
        <v>234.0</v>
      </c>
      <c r="B234" s="4" t="s">
        <v>1228</v>
      </c>
      <c r="C234" s="4" t="s">
        <v>1239</v>
      </c>
      <c r="D234" s="4" t="s">
        <v>1098</v>
      </c>
      <c r="E234" s="15">
        <v>45345.0</v>
      </c>
    </row>
    <row r="235">
      <c r="A235" s="4">
        <v>235.0</v>
      </c>
      <c r="B235" s="4" t="s">
        <v>1240</v>
      </c>
      <c r="C235" s="4" t="s">
        <v>1122</v>
      </c>
      <c r="D235" s="4" t="s">
        <v>1098</v>
      </c>
      <c r="E235" s="15">
        <v>45344.0</v>
      </c>
    </row>
    <row r="236">
      <c r="A236" s="4">
        <v>236.0</v>
      </c>
      <c r="B236" s="4" t="s">
        <v>1146</v>
      </c>
      <c r="C236" s="4" t="s">
        <v>1122</v>
      </c>
      <c r="D236" s="4" t="s">
        <v>1098</v>
      </c>
      <c r="E236" s="15">
        <v>45344.0</v>
      </c>
    </row>
    <row r="237">
      <c r="A237" s="4">
        <v>237.0</v>
      </c>
      <c r="B237" s="4" t="s">
        <v>1241</v>
      </c>
      <c r="C237" s="4" t="s">
        <v>1122</v>
      </c>
      <c r="D237" s="4" t="s">
        <v>1098</v>
      </c>
      <c r="E237" s="15">
        <v>45344.0</v>
      </c>
    </row>
    <row r="238">
      <c r="A238" s="4">
        <v>238.0</v>
      </c>
      <c r="B238" s="4" t="s">
        <v>1242</v>
      </c>
      <c r="C238" s="4" t="s">
        <v>1141</v>
      </c>
      <c r="D238" s="4" t="s">
        <v>1098</v>
      </c>
      <c r="E238" s="15">
        <v>45344.0</v>
      </c>
    </row>
    <row r="239">
      <c r="A239" s="4">
        <v>239.0</v>
      </c>
      <c r="B239" s="4" t="s">
        <v>1242</v>
      </c>
      <c r="C239" s="4" t="s">
        <v>1101</v>
      </c>
      <c r="D239" s="4" t="s">
        <v>1098</v>
      </c>
      <c r="E239" s="15">
        <v>45344.0</v>
      </c>
    </row>
    <row r="240">
      <c r="A240" s="4">
        <v>240.0</v>
      </c>
      <c r="B240" s="4" t="s">
        <v>1243</v>
      </c>
      <c r="C240" s="4" t="s">
        <v>1143</v>
      </c>
      <c r="D240" s="4" t="s">
        <v>1098</v>
      </c>
      <c r="E240" s="15">
        <v>45344.0</v>
      </c>
    </row>
    <row r="241">
      <c r="A241" s="4">
        <v>241.0</v>
      </c>
      <c r="B241" s="4" t="s">
        <v>1243</v>
      </c>
      <c r="C241" s="4" t="s">
        <v>1143</v>
      </c>
      <c r="D241" s="4" t="s">
        <v>1098</v>
      </c>
      <c r="E241" s="15">
        <v>45344.0</v>
      </c>
    </row>
    <row r="242">
      <c r="A242" s="4">
        <v>242.0</v>
      </c>
      <c r="B242" s="4" t="s">
        <v>1244</v>
      </c>
      <c r="C242" s="4" t="s">
        <v>1143</v>
      </c>
      <c r="D242" s="4" t="s">
        <v>1098</v>
      </c>
      <c r="E242" s="15">
        <v>45344.0</v>
      </c>
    </row>
    <row r="243">
      <c r="A243" s="4">
        <v>243.0</v>
      </c>
      <c r="B243" s="4" t="s">
        <v>1245</v>
      </c>
      <c r="C243" s="4" t="s">
        <v>1102</v>
      </c>
      <c r="D243" s="4" t="s">
        <v>1098</v>
      </c>
      <c r="E243" s="15">
        <v>45344.0</v>
      </c>
    </row>
    <row r="244">
      <c r="A244" s="4">
        <v>244.0</v>
      </c>
      <c r="B244" s="4" t="s">
        <v>1230</v>
      </c>
      <c r="C244" s="4" t="s">
        <v>1102</v>
      </c>
      <c r="D244" s="4" t="s">
        <v>1098</v>
      </c>
      <c r="E244" s="15">
        <v>45344.0</v>
      </c>
    </row>
    <row r="245">
      <c r="A245" s="4">
        <v>245.0</v>
      </c>
      <c r="B245" s="4" t="s">
        <v>1246</v>
      </c>
      <c r="C245" s="4" t="s">
        <v>1102</v>
      </c>
      <c r="D245" s="4" t="s">
        <v>1098</v>
      </c>
      <c r="E245" s="15">
        <v>45344.0</v>
      </c>
    </row>
    <row r="246">
      <c r="A246" s="4">
        <v>246.0</v>
      </c>
      <c r="B246" s="4" t="s">
        <v>1247</v>
      </c>
      <c r="C246" s="4" t="s">
        <v>1102</v>
      </c>
      <c r="D246" s="4" t="s">
        <v>1098</v>
      </c>
      <c r="E246" s="15">
        <v>45344.0</v>
      </c>
    </row>
    <row r="247">
      <c r="A247" s="4">
        <v>247.0</v>
      </c>
      <c r="B247" s="4" t="s">
        <v>1248</v>
      </c>
      <c r="C247" s="4" t="s">
        <v>1102</v>
      </c>
      <c r="D247" s="4" t="s">
        <v>1098</v>
      </c>
      <c r="E247" s="15">
        <v>45344.0</v>
      </c>
    </row>
    <row r="248">
      <c r="A248" s="4">
        <v>248.0</v>
      </c>
      <c r="B248" s="4" t="s">
        <v>1246</v>
      </c>
      <c r="C248" s="4" t="s">
        <v>1102</v>
      </c>
      <c r="D248" s="4" t="s">
        <v>1098</v>
      </c>
      <c r="E248" s="15">
        <v>45344.0</v>
      </c>
    </row>
    <row r="249">
      <c r="A249" s="4">
        <v>249.0</v>
      </c>
      <c r="B249" s="4" t="s">
        <v>1249</v>
      </c>
      <c r="C249" s="4" t="s">
        <v>1102</v>
      </c>
      <c r="D249" s="4" t="s">
        <v>1098</v>
      </c>
      <c r="E249" s="15">
        <v>45344.0</v>
      </c>
    </row>
    <row r="250">
      <c r="A250" s="4">
        <v>250.0</v>
      </c>
      <c r="B250" s="4" t="s">
        <v>1250</v>
      </c>
      <c r="C250" s="4" t="s">
        <v>1102</v>
      </c>
      <c r="D250" s="4" t="s">
        <v>1098</v>
      </c>
      <c r="E250" s="15">
        <v>45344.0</v>
      </c>
    </row>
    <row r="251">
      <c r="A251" s="4">
        <v>251.0</v>
      </c>
      <c r="B251" s="4" t="s">
        <v>1118</v>
      </c>
      <c r="C251" s="4" t="s">
        <v>1102</v>
      </c>
      <c r="D251" s="4" t="s">
        <v>1098</v>
      </c>
      <c r="E251" s="15">
        <v>45344.0</v>
      </c>
    </row>
    <row r="252">
      <c r="A252" s="4">
        <v>252.0</v>
      </c>
      <c r="B252" s="4" t="s">
        <v>1118</v>
      </c>
      <c r="C252" s="4" t="s">
        <v>1102</v>
      </c>
      <c r="D252" s="4" t="s">
        <v>1098</v>
      </c>
      <c r="E252" s="15">
        <v>45344.0</v>
      </c>
    </row>
    <row r="253">
      <c r="A253" s="4">
        <v>253.0</v>
      </c>
      <c r="B253" s="4" t="s">
        <v>1146</v>
      </c>
      <c r="C253" s="4" t="s">
        <v>1102</v>
      </c>
      <c r="D253" s="4" t="s">
        <v>1098</v>
      </c>
      <c r="E253" s="15">
        <v>45344.0</v>
      </c>
    </row>
    <row r="254">
      <c r="A254" s="4">
        <v>254.0</v>
      </c>
      <c r="B254" s="4" t="s">
        <v>1251</v>
      </c>
      <c r="C254" s="4" t="s">
        <v>1102</v>
      </c>
      <c r="D254" s="4" t="s">
        <v>1098</v>
      </c>
      <c r="E254" s="15">
        <v>45344.0</v>
      </c>
    </row>
    <row r="255">
      <c r="A255" s="4">
        <v>255.0</v>
      </c>
      <c r="B255" s="4" t="s">
        <v>1252</v>
      </c>
      <c r="C255" s="4" t="s">
        <v>1253</v>
      </c>
      <c r="D255" s="4" t="s">
        <v>1098</v>
      </c>
      <c r="E255" s="15">
        <v>45344.0</v>
      </c>
    </row>
    <row r="256">
      <c r="A256" s="4">
        <v>256.0</v>
      </c>
      <c r="B256" s="4" t="s">
        <v>1254</v>
      </c>
      <c r="C256" s="4" t="s">
        <v>1139</v>
      </c>
      <c r="D256" s="4" t="s">
        <v>1098</v>
      </c>
      <c r="E256" s="15">
        <v>45344.0</v>
      </c>
    </row>
    <row r="257">
      <c r="A257" s="4">
        <v>257.0</v>
      </c>
      <c r="B257" s="4" t="s">
        <v>1255</v>
      </c>
      <c r="C257" s="4" t="s">
        <v>1256</v>
      </c>
      <c r="D257" s="4" t="s">
        <v>1098</v>
      </c>
      <c r="E257" s="15">
        <v>45344.0</v>
      </c>
    </row>
    <row r="258">
      <c r="A258" s="4">
        <v>258.0</v>
      </c>
      <c r="B258" s="4" t="s">
        <v>1230</v>
      </c>
      <c r="C258" s="4" t="s">
        <v>1257</v>
      </c>
      <c r="D258" s="4" t="s">
        <v>1120</v>
      </c>
      <c r="E258" s="15">
        <v>45344.0</v>
      </c>
    </row>
    <row r="259">
      <c r="A259" s="4">
        <v>259.0</v>
      </c>
      <c r="B259" s="4" t="s">
        <v>1258</v>
      </c>
      <c r="C259" s="4" t="s">
        <v>1259</v>
      </c>
      <c r="D259" s="4" t="s">
        <v>1098</v>
      </c>
      <c r="E259" s="15">
        <v>45344.0</v>
      </c>
    </row>
    <row r="260">
      <c r="A260" s="4">
        <v>260.0</v>
      </c>
      <c r="B260" s="4" t="s">
        <v>1241</v>
      </c>
      <c r="C260" s="4" t="s">
        <v>1189</v>
      </c>
      <c r="D260" s="4" t="s">
        <v>1098</v>
      </c>
      <c r="E260" s="15">
        <v>45344.0</v>
      </c>
    </row>
    <row r="261">
      <c r="A261" s="4">
        <v>261.0</v>
      </c>
      <c r="B261" s="4" t="s">
        <v>1240</v>
      </c>
      <c r="C261" s="4" t="s">
        <v>1189</v>
      </c>
      <c r="D261" s="4" t="s">
        <v>1098</v>
      </c>
      <c r="E261" s="15">
        <v>45344.0</v>
      </c>
    </row>
    <row r="262">
      <c r="A262" s="4">
        <v>262.0</v>
      </c>
      <c r="B262" s="4" t="s">
        <v>1260</v>
      </c>
      <c r="C262" s="4" t="s">
        <v>1222</v>
      </c>
      <c r="D262" s="4" t="s">
        <v>1098</v>
      </c>
      <c r="E262" s="15">
        <v>45344.0</v>
      </c>
    </row>
    <row r="263">
      <c r="A263" s="4">
        <v>263.0</v>
      </c>
      <c r="B263" s="4" t="s">
        <v>1133</v>
      </c>
      <c r="C263" s="4" t="s">
        <v>1261</v>
      </c>
      <c r="D263" s="4" t="s">
        <v>1120</v>
      </c>
      <c r="E263" s="15">
        <v>45343.0</v>
      </c>
    </row>
    <row r="264">
      <c r="A264" s="4">
        <v>264.0</v>
      </c>
      <c r="B264" s="4" t="s">
        <v>1262</v>
      </c>
      <c r="C264" s="4" t="s">
        <v>1122</v>
      </c>
      <c r="D264" s="4" t="s">
        <v>1098</v>
      </c>
      <c r="E264" s="15">
        <v>45343.0</v>
      </c>
    </row>
    <row r="265">
      <c r="A265" s="4">
        <v>265.0</v>
      </c>
      <c r="B265" s="4" t="s">
        <v>1263</v>
      </c>
      <c r="C265" s="4" t="s">
        <v>1264</v>
      </c>
      <c r="D265" s="4" t="s">
        <v>1098</v>
      </c>
      <c r="E265" s="15">
        <v>45343.0</v>
      </c>
    </row>
    <row r="266">
      <c r="A266" s="4">
        <v>266.0</v>
      </c>
      <c r="B266" s="4" t="s">
        <v>1263</v>
      </c>
      <c r="C266" s="4" t="s">
        <v>1264</v>
      </c>
      <c r="D266" s="4" t="s">
        <v>1098</v>
      </c>
      <c r="E266" s="15">
        <v>45343.0</v>
      </c>
    </row>
    <row r="267">
      <c r="A267" s="4">
        <v>267.0</v>
      </c>
      <c r="B267" s="4" t="s">
        <v>1263</v>
      </c>
      <c r="C267" s="4" t="s">
        <v>1193</v>
      </c>
      <c r="D267" s="4" t="s">
        <v>1098</v>
      </c>
      <c r="E267" s="15">
        <v>45343.0</v>
      </c>
    </row>
    <row r="268">
      <c r="A268" s="4">
        <v>268.0</v>
      </c>
      <c r="B268" s="4" t="s">
        <v>1263</v>
      </c>
      <c r="C268" s="4" t="s">
        <v>1193</v>
      </c>
      <c r="D268" s="4" t="s">
        <v>1098</v>
      </c>
      <c r="E268" s="15">
        <v>45343.0</v>
      </c>
    </row>
    <row r="269">
      <c r="A269" s="4">
        <v>269.0</v>
      </c>
      <c r="B269" s="4" t="s">
        <v>1263</v>
      </c>
      <c r="C269" s="4" t="s">
        <v>1194</v>
      </c>
      <c r="D269" s="4" t="s">
        <v>1098</v>
      </c>
      <c r="E269" s="15">
        <v>45343.0</v>
      </c>
    </row>
    <row r="270">
      <c r="A270" s="4">
        <v>270.0</v>
      </c>
      <c r="B270" s="4" t="s">
        <v>1263</v>
      </c>
      <c r="C270" s="4" t="s">
        <v>1097</v>
      </c>
      <c r="D270" s="4" t="s">
        <v>1098</v>
      </c>
      <c r="E270" s="15">
        <v>45343.0</v>
      </c>
    </row>
    <row r="271">
      <c r="A271" s="4">
        <v>271.0</v>
      </c>
      <c r="B271" s="4" t="s">
        <v>1263</v>
      </c>
      <c r="C271" s="4" t="s">
        <v>1099</v>
      </c>
      <c r="D271" s="4" t="s">
        <v>1098</v>
      </c>
      <c r="E271" s="15">
        <v>45343.0</v>
      </c>
    </row>
    <row r="272">
      <c r="A272" s="4">
        <v>272.0</v>
      </c>
      <c r="B272" s="4" t="s">
        <v>1263</v>
      </c>
      <c r="C272" s="4" t="s">
        <v>1195</v>
      </c>
      <c r="D272" s="4" t="s">
        <v>1098</v>
      </c>
      <c r="E272" s="15">
        <v>45343.0</v>
      </c>
    </row>
    <row r="273">
      <c r="A273" s="4">
        <v>273.0</v>
      </c>
      <c r="B273" s="4" t="s">
        <v>1263</v>
      </c>
      <c r="C273" s="4" t="s">
        <v>1195</v>
      </c>
      <c r="D273" s="4" t="s">
        <v>1098</v>
      </c>
      <c r="E273" s="15">
        <v>45343.0</v>
      </c>
    </row>
    <row r="274">
      <c r="A274" s="4">
        <v>274.0</v>
      </c>
      <c r="B274" s="4" t="s">
        <v>1263</v>
      </c>
      <c r="C274" s="4" t="s">
        <v>1168</v>
      </c>
      <c r="D274" s="4" t="s">
        <v>1098</v>
      </c>
      <c r="E274" s="15">
        <v>45343.0</v>
      </c>
    </row>
    <row r="275">
      <c r="A275" s="4">
        <v>275.0</v>
      </c>
      <c r="B275" s="4" t="s">
        <v>1265</v>
      </c>
      <c r="C275" s="4" t="s">
        <v>1168</v>
      </c>
      <c r="D275" s="4" t="s">
        <v>1098</v>
      </c>
      <c r="E275" s="15">
        <v>45343.0</v>
      </c>
    </row>
    <row r="276">
      <c r="A276" s="4">
        <v>276.0</v>
      </c>
      <c r="B276" s="4" t="s">
        <v>1263</v>
      </c>
      <c r="C276" s="4" t="s">
        <v>1141</v>
      </c>
      <c r="D276" s="4" t="s">
        <v>1098</v>
      </c>
      <c r="E276" s="15">
        <v>45343.0</v>
      </c>
    </row>
    <row r="277">
      <c r="A277" s="4">
        <v>277.0</v>
      </c>
      <c r="B277" s="4" t="s">
        <v>1263</v>
      </c>
      <c r="C277" s="4" t="s">
        <v>1101</v>
      </c>
      <c r="D277" s="4" t="s">
        <v>1098</v>
      </c>
      <c r="E277" s="15">
        <v>45343.0</v>
      </c>
    </row>
    <row r="278">
      <c r="A278" s="4">
        <v>278.0</v>
      </c>
      <c r="B278" s="4" t="s">
        <v>1263</v>
      </c>
      <c r="C278" s="4" t="s">
        <v>1101</v>
      </c>
      <c r="D278" s="4" t="s">
        <v>1098</v>
      </c>
      <c r="E278" s="15">
        <v>45343.0</v>
      </c>
    </row>
    <row r="279">
      <c r="A279" s="4">
        <v>279.0</v>
      </c>
      <c r="B279" s="4" t="s">
        <v>1263</v>
      </c>
      <c r="C279" s="4" t="s">
        <v>1143</v>
      </c>
      <c r="D279" s="4" t="s">
        <v>1098</v>
      </c>
      <c r="E279" s="15">
        <v>45343.0</v>
      </c>
    </row>
    <row r="280">
      <c r="A280" s="4">
        <v>280.0</v>
      </c>
      <c r="B280" s="4" t="s">
        <v>1263</v>
      </c>
      <c r="C280" s="4" t="s">
        <v>1143</v>
      </c>
      <c r="D280" s="4" t="s">
        <v>1098</v>
      </c>
      <c r="E280" s="15">
        <v>45343.0</v>
      </c>
    </row>
    <row r="281">
      <c r="A281" s="4">
        <v>281.0</v>
      </c>
      <c r="B281" s="4" t="s">
        <v>1263</v>
      </c>
      <c r="C281" s="4" t="s">
        <v>1143</v>
      </c>
      <c r="D281" s="4" t="s">
        <v>1098</v>
      </c>
      <c r="E281" s="15">
        <v>45343.0</v>
      </c>
    </row>
    <row r="282">
      <c r="A282" s="4">
        <v>282.0</v>
      </c>
      <c r="B282" s="4" t="s">
        <v>1265</v>
      </c>
      <c r="C282" s="4" t="s">
        <v>1143</v>
      </c>
      <c r="D282" s="4" t="s">
        <v>1098</v>
      </c>
      <c r="E282" s="15">
        <v>45343.0</v>
      </c>
    </row>
    <row r="283">
      <c r="A283" s="4">
        <v>283.0</v>
      </c>
      <c r="B283" s="4" t="s">
        <v>1263</v>
      </c>
      <c r="C283" s="4" t="s">
        <v>1143</v>
      </c>
      <c r="D283" s="4" t="s">
        <v>1098</v>
      </c>
      <c r="E283" s="15">
        <v>45343.0</v>
      </c>
    </row>
    <row r="284">
      <c r="A284" s="4">
        <v>284.0</v>
      </c>
      <c r="B284" s="4" t="s">
        <v>1263</v>
      </c>
      <c r="C284" s="4" t="s">
        <v>1102</v>
      </c>
      <c r="D284" s="4" t="s">
        <v>1098</v>
      </c>
      <c r="E284" s="15">
        <v>45343.0</v>
      </c>
    </row>
    <row r="285">
      <c r="A285" s="4">
        <v>285.0</v>
      </c>
      <c r="B285" s="4" t="s">
        <v>1265</v>
      </c>
      <c r="C285" s="4" t="s">
        <v>1102</v>
      </c>
      <c r="D285" s="4" t="s">
        <v>1098</v>
      </c>
      <c r="E285" s="15">
        <v>45343.0</v>
      </c>
    </row>
    <row r="286">
      <c r="A286" s="4">
        <v>286.0</v>
      </c>
      <c r="B286" s="4" t="s">
        <v>1240</v>
      </c>
      <c r="C286" s="4" t="s">
        <v>1102</v>
      </c>
      <c r="D286" s="4" t="s">
        <v>1098</v>
      </c>
      <c r="E286" s="15">
        <v>45343.0</v>
      </c>
    </row>
    <row r="287">
      <c r="A287" s="4">
        <v>287.0</v>
      </c>
      <c r="B287" s="4" t="s">
        <v>1263</v>
      </c>
      <c r="C287" s="4" t="s">
        <v>1102</v>
      </c>
      <c r="D287" s="4" t="s">
        <v>1098</v>
      </c>
      <c r="E287" s="15">
        <v>45343.0</v>
      </c>
    </row>
    <row r="288">
      <c r="A288" s="4">
        <v>288.0</v>
      </c>
      <c r="B288" s="4" t="s">
        <v>1266</v>
      </c>
      <c r="C288" s="4" t="s">
        <v>1102</v>
      </c>
      <c r="D288" s="4" t="s">
        <v>1098</v>
      </c>
      <c r="E288" s="15">
        <v>45343.0</v>
      </c>
    </row>
    <row r="289">
      <c r="A289" s="4">
        <v>289.0</v>
      </c>
      <c r="B289" s="4" t="s">
        <v>1267</v>
      </c>
      <c r="C289" s="4" t="s">
        <v>1102</v>
      </c>
      <c r="D289" s="4" t="s">
        <v>1098</v>
      </c>
      <c r="E289" s="15">
        <v>45343.0</v>
      </c>
    </row>
    <row r="290">
      <c r="A290" s="4">
        <v>290.0</v>
      </c>
      <c r="B290" s="4" t="s">
        <v>1250</v>
      </c>
      <c r="C290" s="4" t="s">
        <v>1102</v>
      </c>
      <c r="D290" s="4" t="s">
        <v>1098</v>
      </c>
      <c r="E290" s="15">
        <v>45343.0</v>
      </c>
    </row>
    <row r="291">
      <c r="A291" s="4">
        <v>291.0</v>
      </c>
      <c r="B291" s="4" t="s">
        <v>1268</v>
      </c>
      <c r="C291" s="4" t="s">
        <v>1102</v>
      </c>
      <c r="D291" s="4" t="s">
        <v>1098</v>
      </c>
      <c r="E291" s="15">
        <v>45343.0</v>
      </c>
    </row>
    <row r="292">
      <c r="A292" s="4">
        <v>292.0</v>
      </c>
      <c r="B292" s="4" t="s">
        <v>1269</v>
      </c>
      <c r="C292" s="4" t="s">
        <v>1102</v>
      </c>
      <c r="D292" s="4" t="s">
        <v>1098</v>
      </c>
      <c r="E292" s="15">
        <v>45343.0</v>
      </c>
    </row>
    <row r="293">
      <c r="A293" s="4">
        <v>293.0</v>
      </c>
      <c r="B293" s="4" t="s">
        <v>1212</v>
      </c>
      <c r="C293" s="4" t="s">
        <v>1102</v>
      </c>
      <c r="D293" s="4" t="s">
        <v>1098</v>
      </c>
      <c r="E293" s="15">
        <v>45343.0</v>
      </c>
    </row>
    <row r="294">
      <c r="A294" s="4">
        <v>294.0</v>
      </c>
      <c r="B294" s="4" t="s">
        <v>1212</v>
      </c>
      <c r="C294" s="4" t="s">
        <v>1102</v>
      </c>
      <c r="D294" s="4" t="s">
        <v>1098</v>
      </c>
      <c r="E294" s="15">
        <v>45343.0</v>
      </c>
    </row>
    <row r="295">
      <c r="A295" s="4">
        <v>295.0</v>
      </c>
      <c r="B295" s="4" t="s">
        <v>1146</v>
      </c>
      <c r="C295" s="4" t="s">
        <v>1102</v>
      </c>
      <c r="D295" s="4" t="s">
        <v>1098</v>
      </c>
      <c r="E295" s="15">
        <v>45343.0</v>
      </c>
    </row>
    <row r="296">
      <c r="A296" s="4">
        <v>296.0</v>
      </c>
      <c r="B296" s="4" t="s">
        <v>1252</v>
      </c>
      <c r="C296" s="4" t="s">
        <v>1270</v>
      </c>
      <c r="D296" s="4" t="s">
        <v>1098</v>
      </c>
      <c r="E296" s="15">
        <v>45343.0</v>
      </c>
    </row>
    <row r="297">
      <c r="A297" s="4">
        <v>297.0</v>
      </c>
      <c r="B297" s="4" t="s">
        <v>1252</v>
      </c>
      <c r="C297" s="4" t="s">
        <v>1270</v>
      </c>
      <c r="D297" s="4" t="s">
        <v>1098</v>
      </c>
      <c r="E297" s="15">
        <v>45343.0</v>
      </c>
    </row>
    <row r="298">
      <c r="A298" s="4">
        <v>298.0</v>
      </c>
      <c r="B298" s="4" t="s">
        <v>1252</v>
      </c>
      <c r="C298" s="4" t="s">
        <v>1253</v>
      </c>
      <c r="D298" s="4" t="s">
        <v>1098</v>
      </c>
      <c r="E298" s="15">
        <v>45343.0</v>
      </c>
    </row>
    <row r="299">
      <c r="A299" s="4">
        <v>299.0</v>
      </c>
      <c r="B299" s="4" t="s">
        <v>1252</v>
      </c>
      <c r="C299" s="4" t="s">
        <v>1253</v>
      </c>
      <c r="D299" s="4" t="s">
        <v>1098</v>
      </c>
      <c r="E299" s="15">
        <v>45343.0</v>
      </c>
    </row>
    <row r="300">
      <c r="A300" s="4">
        <v>300.0</v>
      </c>
      <c r="B300" s="4" t="s">
        <v>384</v>
      </c>
      <c r="C300" s="4" t="s">
        <v>1271</v>
      </c>
      <c r="D300" s="4" t="s">
        <v>1098</v>
      </c>
      <c r="E300" s="15">
        <v>45343.0</v>
      </c>
    </row>
    <row r="301">
      <c r="A301" s="4">
        <v>301.0</v>
      </c>
      <c r="B301" s="4" t="s">
        <v>1272</v>
      </c>
      <c r="C301" s="4" t="s">
        <v>1273</v>
      </c>
      <c r="D301" s="4" t="s">
        <v>1098</v>
      </c>
      <c r="E301" s="15">
        <v>45343.0</v>
      </c>
    </row>
    <row r="302">
      <c r="A302" s="4">
        <v>302.0</v>
      </c>
      <c r="B302" s="4" t="s">
        <v>1263</v>
      </c>
      <c r="C302" s="4" t="s">
        <v>1220</v>
      </c>
      <c r="D302" s="4" t="s">
        <v>1098</v>
      </c>
      <c r="E302" s="15">
        <v>45343.0</v>
      </c>
    </row>
    <row r="303">
      <c r="A303" s="4">
        <v>303.0</v>
      </c>
      <c r="B303" s="4" t="s">
        <v>1263</v>
      </c>
      <c r="C303" s="4" t="s">
        <v>1203</v>
      </c>
      <c r="D303" s="4" t="s">
        <v>1098</v>
      </c>
      <c r="E303" s="15">
        <v>45343.0</v>
      </c>
    </row>
    <row r="304">
      <c r="A304" s="4">
        <v>304.0</v>
      </c>
      <c r="B304" s="4" t="s">
        <v>1146</v>
      </c>
      <c r="C304" s="4" t="s">
        <v>1189</v>
      </c>
      <c r="D304" s="4" t="s">
        <v>1098</v>
      </c>
      <c r="E304" s="15">
        <v>45343.0</v>
      </c>
    </row>
    <row r="305">
      <c r="A305" s="4">
        <v>305.0</v>
      </c>
      <c r="B305" s="4" t="s">
        <v>1250</v>
      </c>
      <c r="C305" s="4" t="s">
        <v>1189</v>
      </c>
      <c r="D305" s="4" t="s">
        <v>1098</v>
      </c>
      <c r="E305" s="15">
        <v>45343.0</v>
      </c>
    </row>
    <row r="306">
      <c r="A306" s="4">
        <v>306.0</v>
      </c>
      <c r="B306" s="4" t="s">
        <v>1262</v>
      </c>
      <c r="C306" s="4" t="s">
        <v>1222</v>
      </c>
      <c r="D306" s="4" t="s">
        <v>1098</v>
      </c>
      <c r="E306" s="15">
        <v>45343.0</v>
      </c>
    </row>
    <row r="307">
      <c r="A307" s="4">
        <v>307.0</v>
      </c>
      <c r="B307" s="4" t="s">
        <v>1262</v>
      </c>
      <c r="C307" s="4" t="s">
        <v>1222</v>
      </c>
      <c r="D307" s="4" t="s">
        <v>1098</v>
      </c>
      <c r="E307" s="15">
        <v>45343.0</v>
      </c>
    </row>
    <row r="308">
      <c r="A308" s="4">
        <v>308.0</v>
      </c>
      <c r="B308" s="4" t="s">
        <v>1118</v>
      </c>
      <c r="C308" s="4" t="s">
        <v>1119</v>
      </c>
      <c r="D308" s="4" t="s">
        <v>1120</v>
      </c>
      <c r="E308" s="15">
        <v>45342.0</v>
      </c>
    </row>
    <row r="309">
      <c r="A309" s="4">
        <v>309.0</v>
      </c>
      <c r="B309" s="4" t="s">
        <v>1274</v>
      </c>
      <c r="C309" s="4" t="s">
        <v>1119</v>
      </c>
      <c r="D309" s="4" t="s">
        <v>1120</v>
      </c>
      <c r="E309" s="15">
        <v>45342.0</v>
      </c>
    </row>
    <row r="310">
      <c r="A310" s="4">
        <v>310.0</v>
      </c>
      <c r="B310" s="4" t="s">
        <v>1118</v>
      </c>
      <c r="C310" s="4" t="s">
        <v>1261</v>
      </c>
      <c r="D310" s="4" t="s">
        <v>1120</v>
      </c>
      <c r="E310" s="15">
        <v>45342.0</v>
      </c>
    </row>
    <row r="311">
      <c r="A311" s="4">
        <v>311.0</v>
      </c>
      <c r="B311" s="4" t="s">
        <v>1275</v>
      </c>
      <c r="C311" s="4" t="s">
        <v>1122</v>
      </c>
      <c r="D311" s="4" t="s">
        <v>1098</v>
      </c>
      <c r="E311" s="15">
        <v>45342.0</v>
      </c>
    </row>
    <row r="312">
      <c r="A312" s="4">
        <v>312.0</v>
      </c>
      <c r="B312" s="4" t="s">
        <v>1275</v>
      </c>
      <c r="C312" s="4" t="s">
        <v>1122</v>
      </c>
      <c r="D312" s="4" t="s">
        <v>1098</v>
      </c>
      <c r="E312" s="15">
        <v>45342.0</v>
      </c>
    </row>
    <row r="313">
      <c r="A313" s="4">
        <v>313.0</v>
      </c>
      <c r="B313" s="4" t="s">
        <v>1275</v>
      </c>
      <c r="C313" s="4" t="s">
        <v>1122</v>
      </c>
      <c r="D313" s="4" t="s">
        <v>1098</v>
      </c>
      <c r="E313" s="15">
        <v>45342.0</v>
      </c>
    </row>
    <row r="314">
      <c r="A314" s="4">
        <v>314.0</v>
      </c>
      <c r="B314" s="4" t="s">
        <v>1276</v>
      </c>
      <c r="C314" s="4" t="s">
        <v>1097</v>
      </c>
      <c r="D314" s="4" t="s">
        <v>1098</v>
      </c>
      <c r="E314" s="15">
        <v>45342.0</v>
      </c>
    </row>
    <row r="315">
      <c r="A315" s="4">
        <v>315.0</v>
      </c>
      <c r="B315" s="4" t="s">
        <v>1276</v>
      </c>
      <c r="C315" s="4" t="s">
        <v>1099</v>
      </c>
      <c r="D315" s="4" t="s">
        <v>1098</v>
      </c>
      <c r="E315" s="15">
        <v>45342.0</v>
      </c>
    </row>
    <row r="316">
      <c r="A316" s="4">
        <v>316.0</v>
      </c>
      <c r="B316" s="4" t="s">
        <v>1276</v>
      </c>
      <c r="C316" s="4" t="s">
        <v>1195</v>
      </c>
      <c r="D316" s="4" t="s">
        <v>1098</v>
      </c>
      <c r="E316" s="15">
        <v>45342.0</v>
      </c>
    </row>
    <row r="317">
      <c r="A317" s="4">
        <v>317.0</v>
      </c>
      <c r="B317" s="4" t="s">
        <v>1276</v>
      </c>
      <c r="C317" s="4" t="s">
        <v>1195</v>
      </c>
      <c r="D317" s="4" t="s">
        <v>1098</v>
      </c>
      <c r="E317" s="15">
        <v>45342.0</v>
      </c>
    </row>
    <row r="318">
      <c r="A318" s="4">
        <v>318.0</v>
      </c>
      <c r="B318" s="4" t="s">
        <v>1276</v>
      </c>
      <c r="C318" s="4" t="s">
        <v>1168</v>
      </c>
      <c r="D318" s="4" t="s">
        <v>1098</v>
      </c>
      <c r="E318" s="15">
        <v>45342.0</v>
      </c>
    </row>
    <row r="319">
      <c r="A319" s="4">
        <v>319.0</v>
      </c>
      <c r="B319" s="4" t="s">
        <v>1277</v>
      </c>
      <c r="C319" s="4" t="s">
        <v>1102</v>
      </c>
      <c r="D319" s="4" t="s">
        <v>1098</v>
      </c>
      <c r="E319" s="15">
        <v>45342.0</v>
      </c>
    </row>
    <row r="320">
      <c r="A320" s="4">
        <v>320.0</v>
      </c>
      <c r="B320" s="4" t="s">
        <v>1278</v>
      </c>
      <c r="C320" s="4" t="s">
        <v>1102</v>
      </c>
      <c r="D320" s="4" t="s">
        <v>1098</v>
      </c>
      <c r="E320" s="15">
        <v>45342.0</v>
      </c>
    </row>
    <row r="321">
      <c r="A321" s="4">
        <v>321.0</v>
      </c>
      <c r="B321" s="4" t="s">
        <v>1148</v>
      </c>
      <c r="C321" s="4" t="s">
        <v>1102</v>
      </c>
      <c r="D321" s="4" t="s">
        <v>1098</v>
      </c>
      <c r="E321" s="15">
        <v>45342.0</v>
      </c>
    </row>
    <row r="322">
      <c r="A322" s="4">
        <v>322.0</v>
      </c>
      <c r="B322" s="4" t="s">
        <v>1263</v>
      </c>
      <c r="C322" s="4" t="s">
        <v>1102</v>
      </c>
      <c r="D322" s="4" t="s">
        <v>1098</v>
      </c>
      <c r="E322" s="15">
        <v>45342.0</v>
      </c>
    </row>
    <row r="323">
      <c r="A323" s="4">
        <v>323.0</v>
      </c>
      <c r="B323" s="4" t="s">
        <v>1263</v>
      </c>
      <c r="C323" s="4" t="s">
        <v>1102</v>
      </c>
      <c r="D323" s="4" t="s">
        <v>1098</v>
      </c>
      <c r="E323" s="15">
        <v>45342.0</v>
      </c>
    </row>
    <row r="324">
      <c r="A324" s="4">
        <v>324.0</v>
      </c>
      <c r="B324" s="4" t="s">
        <v>1146</v>
      </c>
      <c r="C324" s="4" t="s">
        <v>1102</v>
      </c>
      <c r="D324" s="4" t="s">
        <v>1098</v>
      </c>
      <c r="E324" s="15">
        <v>45342.0</v>
      </c>
    </row>
    <row r="325">
      <c r="A325" s="4">
        <v>325.0</v>
      </c>
      <c r="B325" s="4" t="s">
        <v>1146</v>
      </c>
      <c r="C325" s="4" t="s">
        <v>1102</v>
      </c>
      <c r="D325" s="4" t="s">
        <v>1098</v>
      </c>
      <c r="E325" s="15">
        <v>45342.0</v>
      </c>
    </row>
    <row r="326">
      <c r="A326" s="4">
        <v>326.0</v>
      </c>
      <c r="B326" s="4" t="s">
        <v>1146</v>
      </c>
      <c r="C326" s="4" t="s">
        <v>1102</v>
      </c>
      <c r="D326" s="4" t="s">
        <v>1098</v>
      </c>
      <c r="E326" s="15">
        <v>45342.0</v>
      </c>
    </row>
    <row r="327">
      <c r="A327" s="4">
        <v>327.0</v>
      </c>
      <c r="B327" s="4" t="s">
        <v>1279</v>
      </c>
      <c r="C327" s="4" t="s">
        <v>1102</v>
      </c>
      <c r="D327" s="4" t="s">
        <v>1098</v>
      </c>
      <c r="E327" s="15">
        <v>45342.0</v>
      </c>
    </row>
    <row r="328">
      <c r="A328" s="4">
        <v>328.0</v>
      </c>
      <c r="B328" s="4" t="s">
        <v>1133</v>
      </c>
      <c r="C328" s="4" t="s">
        <v>1102</v>
      </c>
      <c r="D328" s="4" t="s">
        <v>1098</v>
      </c>
      <c r="E328" s="15">
        <v>45342.0</v>
      </c>
    </row>
    <row r="329">
      <c r="A329" s="4">
        <v>329.0</v>
      </c>
      <c r="B329" s="4" t="s">
        <v>1133</v>
      </c>
      <c r="C329" s="4" t="s">
        <v>1102</v>
      </c>
      <c r="D329" s="4" t="s">
        <v>1098</v>
      </c>
      <c r="E329" s="15">
        <v>45342.0</v>
      </c>
    </row>
    <row r="330">
      <c r="A330" s="4">
        <v>330.0</v>
      </c>
      <c r="B330" s="4" t="s">
        <v>1262</v>
      </c>
      <c r="C330" s="4" t="s">
        <v>1102</v>
      </c>
      <c r="D330" s="4" t="s">
        <v>1098</v>
      </c>
      <c r="E330" s="15">
        <v>45342.0</v>
      </c>
    </row>
    <row r="331">
      <c r="A331" s="4">
        <v>331.0</v>
      </c>
      <c r="B331" s="4" t="s">
        <v>1262</v>
      </c>
      <c r="C331" s="4" t="s">
        <v>1102</v>
      </c>
      <c r="D331" s="4" t="s">
        <v>1098</v>
      </c>
      <c r="E331" s="15">
        <v>45342.0</v>
      </c>
    </row>
    <row r="332">
      <c r="A332" s="4">
        <v>332.0</v>
      </c>
      <c r="B332" s="4" t="s">
        <v>1280</v>
      </c>
      <c r="C332" s="4" t="s">
        <v>1102</v>
      </c>
      <c r="D332" s="4" t="s">
        <v>1098</v>
      </c>
      <c r="E332" s="15">
        <v>45342.0</v>
      </c>
    </row>
    <row r="333">
      <c r="A333" s="4">
        <v>333.0</v>
      </c>
      <c r="B333" s="4" t="s">
        <v>1118</v>
      </c>
      <c r="C333" s="4" t="s">
        <v>1281</v>
      </c>
      <c r="D333" s="4" t="s">
        <v>1120</v>
      </c>
      <c r="E333" s="15">
        <v>45342.0</v>
      </c>
    </row>
    <row r="334">
      <c r="A334" s="4">
        <v>334.0</v>
      </c>
      <c r="B334" s="4" t="s">
        <v>1282</v>
      </c>
      <c r="C334" s="4" t="s">
        <v>1187</v>
      </c>
      <c r="D334" s="4" t="s">
        <v>1098</v>
      </c>
      <c r="E334" s="15">
        <v>45342.0</v>
      </c>
    </row>
    <row r="335">
      <c r="A335" s="4">
        <v>335.0</v>
      </c>
      <c r="B335" s="4" t="s">
        <v>1118</v>
      </c>
      <c r="C335" s="4" t="s">
        <v>1259</v>
      </c>
      <c r="D335" s="4" t="s">
        <v>1098</v>
      </c>
      <c r="E335" s="15">
        <v>45342.0</v>
      </c>
    </row>
    <row r="336">
      <c r="A336" s="4">
        <v>336.0</v>
      </c>
      <c r="B336" s="4" t="s">
        <v>1250</v>
      </c>
      <c r="C336" s="4" t="s">
        <v>1189</v>
      </c>
      <c r="D336" s="4" t="s">
        <v>1098</v>
      </c>
      <c r="E336" s="15">
        <v>45342.0</v>
      </c>
    </row>
    <row r="337">
      <c r="A337" s="4">
        <v>337.0</v>
      </c>
      <c r="B337" s="4" t="s">
        <v>1250</v>
      </c>
      <c r="C337" s="4" t="s">
        <v>1189</v>
      </c>
      <c r="D337" s="4" t="s">
        <v>1098</v>
      </c>
      <c r="E337" s="15">
        <v>45342.0</v>
      </c>
    </row>
    <row r="338">
      <c r="A338" s="4">
        <v>338.0</v>
      </c>
      <c r="B338" s="4" t="s">
        <v>1230</v>
      </c>
      <c r="C338" s="4" t="s">
        <v>1189</v>
      </c>
      <c r="D338" s="4" t="s">
        <v>1098</v>
      </c>
      <c r="E338" s="15">
        <v>45342.0</v>
      </c>
    </row>
    <row r="339">
      <c r="A339" s="4">
        <v>339.0</v>
      </c>
      <c r="B339" s="4" t="s">
        <v>1250</v>
      </c>
      <c r="C339" s="4" t="s">
        <v>1189</v>
      </c>
      <c r="D339" s="4" t="s">
        <v>1098</v>
      </c>
      <c r="E339" s="15">
        <v>45342.0</v>
      </c>
    </row>
    <row r="340">
      <c r="A340" s="4">
        <v>340.0</v>
      </c>
      <c r="B340" s="4" t="s">
        <v>1283</v>
      </c>
      <c r="C340" s="4" t="s">
        <v>1284</v>
      </c>
      <c r="D340" s="4" t="s">
        <v>1098</v>
      </c>
      <c r="E340" s="15">
        <v>45341.0</v>
      </c>
    </row>
    <row r="341">
      <c r="A341" s="4">
        <v>341.0</v>
      </c>
      <c r="B341" s="4" t="s">
        <v>1283</v>
      </c>
      <c r="C341" s="4" t="s">
        <v>1285</v>
      </c>
      <c r="D341" s="4" t="s">
        <v>1098</v>
      </c>
      <c r="E341" s="15">
        <v>45341.0</v>
      </c>
    </row>
    <row r="342">
      <c r="A342" s="4">
        <v>342.0</v>
      </c>
      <c r="B342" s="4" t="s">
        <v>1286</v>
      </c>
      <c r="C342" s="4" t="s">
        <v>1102</v>
      </c>
      <c r="D342" s="4" t="s">
        <v>1098</v>
      </c>
      <c r="E342" s="15">
        <v>45341.0</v>
      </c>
    </row>
    <row r="343">
      <c r="A343" s="4">
        <v>343.0</v>
      </c>
      <c r="B343" s="4" t="s">
        <v>1105</v>
      </c>
      <c r="C343" s="4" t="s">
        <v>1102</v>
      </c>
      <c r="D343" s="4" t="s">
        <v>1098</v>
      </c>
      <c r="E343" s="15">
        <v>45341.0</v>
      </c>
    </row>
    <row r="344">
      <c r="A344" s="4">
        <v>344.0</v>
      </c>
      <c r="B344" s="4" t="s">
        <v>1283</v>
      </c>
      <c r="C344" s="4" t="s">
        <v>1287</v>
      </c>
      <c r="D344" s="4" t="s">
        <v>1098</v>
      </c>
      <c r="E344" s="15">
        <v>45341.0</v>
      </c>
    </row>
    <row r="345">
      <c r="A345" s="4">
        <v>345.0</v>
      </c>
      <c r="B345" s="4" t="s">
        <v>1240</v>
      </c>
      <c r="C345" s="4" t="s">
        <v>1281</v>
      </c>
      <c r="D345" s="4" t="s">
        <v>1120</v>
      </c>
      <c r="E345" s="15">
        <v>45341.0</v>
      </c>
    </row>
    <row r="346">
      <c r="A346" s="4">
        <v>346.0</v>
      </c>
      <c r="B346" s="4" t="s">
        <v>1288</v>
      </c>
      <c r="C346" s="4" t="s">
        <v>1281</v>
      </c>
      <c r="D346" s="4" t="s">
        <v>1120</v>
      </c>
      <c r="E346" s="15">
        <v>45341.0</v>
      </c>
    </row>
    <row r="347">
      <c r="A347" s="4">
        <v>347.0</v>
      </c>
      <c r="B347" s="4" t="s">
        <v>1288</v>
      </c>
      <c r="C347" s="4" t="s">
        <v>1281</v>
      </c>
      <c r="D347" s="4" t="s">
        <v>1120</v>
      </c>
      <c r="E347" s="15">
        <v>45341.0</v>
      </c>
    </row>
    <row r="348">
      <c r="A348" s="4">
        <v>348.0</v>
      </c>
      <c r="B348" s="4" t="s">
        <v>1114</v>
      </c>
      <c r="C348" s="4" t="s">
        <v>1139</v>
      </c>
      <c r="D348" s="4" t="s">
        <v>1098</v>
      </c>
      <c r="E348" s="15">
        <v>45341.0</v>
      </c>
    </row>
    <row r="349">
      <c r="A349" s="4">
        <v>349.0</v>
      </c>
      <c r="B349" s="4" t="s">
        <v>1114</v>
      </c>
      <c r="C349" s="4" t="s">
        <v>1139</v>
      </c>
      <c r="D349" s="4" t="s">
        <v>1098</v>
      </c>
      <c r="E349" s="15">
        <v>45341.0</v>
      </c>
    </row>
    <row r="350">
      <c r="A350" s="4">
        <v>350.0</v>
      </c>
      <c r="B350" s="4" t="s">
        <v>1289</v>
      </c>
      <c r="C350" s="4" t="s">
        <v>1290</v>
      </c>
      <c r="D350" s="4" t="s">
        <v>1098</v>
      </c>
      <c r="E350" s="15">
        <v>45341.0</v>
      </c>
    </row>
    <row r="351">
      <c r="A351" s="4">
        <v>351.0</v>
      </c>
      <c r="B351" s="4" t="s">
        <v>1291</v>
      </c>
      <c r="C351" s="4" t="s">
        <v>1290</v>
      </c>
      <c r="D351" s="4" t="s">
        <v>1098</v>
      </c>
      <c r="E351" s="15">
        <v>45341.0</v>
      </c>
    </row>
    <row r="352">
      <c r="A352" s="4">
        <v>352.0</v>
      </c>
      <c r="B352" s="4" t="s">
        <v>1288</v>
      </c>
      <c r="C352" s="4" t="s">
        <v>1257</v>
      </c>
      <c r="D352" s="4" t="s">
        <v>1120</v>
      </c>
      <c r="E352" s="15">
        <v>45341.0</v>
      </c>
    </row>
    <row r="353">
      <c r="A353" s="4">
        <v>353.0</v>
      </c>
      <c r="B353" s="4" t="s">
        <v>1292</v>
      </c>
      <c r="C353" s="4" t="s">
        <v>1293</v>
      </c>
      <c r="D353" s="4" t="s">
        <v>1120</v>
      </c>
      <c r="E353" s="15">
        <v>45341.0</v>
      </c>
    </row>
    <row r="354">
      <c r="A354" s="4">
        <v>354.0</v>
      </c>
      <c r="B354" s="4" t="s">
        <v>1294</v>
      </c>
      <c r="C354" s="4" t="s">
        <v>1122</v>
      </c>
      <c r="D354" s="4" t="s">
        <v>1098</v>
      </c>
      <c r="E354" s="15">
        <v>45340.0</v>
      </c>
    </row>
    <row r="355">
      <c r="A355" s="4">
        <v>355.0</v>
      </c>
      <c r="B355" s="4" t="s">
        <v>1096</v>
      </c>
      <c r="C355" s="4" t="s">
        <v>1141</v>
      </c>
      <c r="D355" s="4" t="s">
        <v>1098</v>
      </c>
      <c r="E355" s="15">
        <v>45340.0</v>
      </c>
    </row>
    <row r="356">
      <c r="A356" s="4">
        <v>356.0</v>
      </c>
      <c r="B356" s="4" t="s">
        <v>1152</v>
      </c>
      <c r="C356" s="4" t="s">
        <v>1101</v>
      </c>
      <c r="D356" s="4" t="s">
        <v>1098</v>
      </c>
      <c r="E356" s="15">
        <v>45340.0</v>
      </c>
    </row>
    <row r="357">
      <c r="A357" s="4">
        <v>357.0</v>
      </c>
      <c r="B357" s="4" t="s">
        <v>1295</v>
      </c>
      <c r="C357" s="4" t="s">
        <v>1102</v>
      </c>
      <c r="D357" s="4" t="s">
        <v>1098</v>
      </c>
      <c r="E357" s="15">
        <v>45340.0</v>
      </c>
    </row>
    <row r="358">
      <c r="A358" s="4">
        <v>358.0</v>
      </c>
      <c r="B358" s="4" t="s">
        <v>1295</v>
      </c>
      <c r="C358" s="4" t="s">
        <v>1296</v>
      </c>
      <c r="D358" s="4" t="s">
        <v>1098</v>
      </c>
      <c r="E358" s="15">
        <v>45340.0</v>
      </c>
    </row>
    <row r="359">
      <c r="A359" s="4">
        <v>359.0</v>
      </c>
      <c r="B359" s="4" t="s">
        <v>1295</v>
      </c>
      <c r="C359" s="4" t="s">
        <v>1116</v>
      </c>
      <c r="D359" s="4" t="s">
        <v>1098</v>
      </c>
      <c r="E359" s="15">
        <v>45340.0</v>
      </c>
    </row>
    <row r="360">
      <c r="A360" s="4">
        <v>360.0</v>
      </c>
      <c r="B360" s="4" t="s">
        <v>1297</v>
      </c>
      <c r="C360" s="4" t="s">
        <v>1298</v>
      </c>
      <c r="D360" s="4" t="s">
        <v>1120</v>
      </c>
      <c r="E360" s="15">
        <v>45340.0</v>
      </c>
    </row>
    <row r="361">
      <c r="A361" s="4">
        <v>361.0</v>
      </c>
      <c r="B361" s="4" t="s">
        <v>1152</v>
      </c>
      <c r="C361" s="4" t="s">
        <v>1141</v>
      </c>
      <c r="D361" s="4" t="s">
        <v>1098</v>
      </c>
      <c r="E361" s="15">
        <v>45339.0</v>
      </c>
    </row>
    <row r="362">
      <c r="A362" s="4">
        <v>362.0</v>
      </c>
      <c r="B362" s="4" t="s">
        <v>1299</v>
      </c>
      <c r="C362" s="4" t="s">
        <v>1143</v>
      </c>
      <c r="D362" s="4" t="s">
        <v>1098</v>
      </c>
      <c r="E362" s="15">
        <v>45339.0</v>
      </c>
    </row>
    <row r="363">
      <c r="A363" s="4">
        <v>363.0</v>
      </c>
      <c r="B363" s="4" t="s">
        <v>1299</v>
      </c>
      <c r="C363" s="4" t="s">
        <v>1143</v>
      </c>
      <c r="D363" s="4" t="s">
        <v>1098</v>
      </c>
      <c r="E363" s="15">
        <v>45339.0</v>
      </c>
    </row>
    <row r="364">
      <c r="A364" s="4">
        <v>364.0</v>
      </c>
      <c r="B364" s="4" t="s">
        <v>1134</v>
      </c>
      <c r="C364" s="4" t="s">
        <v>1102</v>
      </c>
      <c r="D364" s="4" t="s">
        <v>1098</v>
      </c>
      <c r="E364" s="15">
        <v>45339.0</v>
      </c>
    </row>
    <row r="365">
      <c r="A365" s="4">
        <v>365.0</v>
      </c>
      <c r="B365" s="4" t="s">
        <v>1105</v>
      </c>
      <c r="C365" s="4" t="s">
        <v>1102</v>
      </c>
      <c r="D365" s="4" t="s">
        <v>1098</v>
      </c>
      <c r="E365" s="15">
        <v>45339.0</v>
      </c>
    </row>
    <row r="366">
      <c r="A366" s="4">
        <v>366.0</v>
      </c>
      <c r="B366" s="4" t="s">
        <v>1300</v>
      </c>
      <c r="C366" s="4" t="s">
        <v>1116</v>
      </c>
      <c r="D366" s="4" t="s">
        <v>1098</v>
      </c>
      <c r="E366" s="15">
        <v>45339.0</v>
      </c>
    </row>
    <row r="367">
      <c r="A367" s="4">
        <v>367.0</v>
      </c>
      <c r="B367" s="4" t="s">
        <v>1301</v>
      </c>
      <c r="C367" s="4" t="s">
        <v>1220</v>
      </c>
      <c r="D367" s="4" t="s">
        <v>1098</v>
      </c>
      <c r="E367" s="15">
        <v>45339.0</v>
      </c>
    </row>
    <row r="368">
      <c r="A368" s="4">
        <v>368.0</v>
      </c>
      <c r="B368" s="4" t="s">
        <v>1301</v>
      </c>
      <c r="C368" s="4" t="s">
        <v>1220</v>
      </c>
      <c r="D368" s="4" t="s">
        <v>1098</v>
      </c>
      <c r="E368" s="15">
        <v>45339.0</v>
      </c>
    </row>
    <row r="369">
      <c r="A369" s="4">
        <v>369.0</v>
      </c>
      <c r="B369" s="4" t="s">
        <v>1301</v>
      </c>
      <c r="C369" s="4" t="s">
        <v>1203</v>
      </c>
      <c r="D369" s="4" t="s">
        <v>1098</v>
      </c>
      <c r="E369" s="15">
        <v>45339.0</v>
      </c>
    </row>
    <row r="370">
      <c r="A370" s="4">
        <v>370.0</v>
      </c>
      <c r="B370" s="4" t="s">
        <v>1301</v>
      </c>
      <c r="C370" s="4" t="s">
        <v>1222</v>
      </c>
      <c r="D370" s="4" t="s">
        <v>1098</v>
      </c>
      <c r="E370" s="15">
        <v>45339.0</v>
      </c>
    </row>
    <row r="371">
      <c r="A371" s="4">
        <v>371.0</v>
      </c>
      <c r="B371" s="4" t="s">
        <v>1133</v>
      </c>
      <c r="C371" s="4" t="s">
        <v>1122</v>
      </c>
      <c r="D371" s="4" t="s">
        <v>1098</v>
      </c>
      <c r="E371" s="15">
        <v>45338.0</v>
      </c>
    </row>
    <row r="372">
      <c r="A372" s="4">
        <v>372.0</v>
      </c>
      <c r="B372" s="4" t="s">
        <v>1302</v>
      </c>
      <c r="C372" s="4" t="s">
        <v>1102</v>
      </c>
      <c r="D372" s="4" t="s">
        <v>1098</v>
      </c>
      <c r="E372" s="15">
        <v>45338.0</v>
      </c>
    </row>
    <row r="373">
      <c r="A373" s="4">
        <v>373.0</v>
      </c>
      <c r="B373" s="4" t="s">
        <v>1302</v>
      </c>
      <c r="C373" s="4" t="s">
        <v>1102</v>
      </c>
      <c r="D373" s="4" t="s">
        <v>1098</v>
      </c>
      <c r="E373" s="15">
        <v>45338.0</v>
      </c>
    </row>
    <row r="374">
      <c r="A374" s="4">
        <v>374.0</v>
      </c>
      <c r="B374" s="4" t="s">
        <v>1289</v>
      </c>
      <c r="C374" s="4" t="s">
        <v>1290</v>
      </c>
      <c r="D374" s="4" t="s">
        <v>1098</v>
      </c>
      <c r="E374" s="15">
        <v>45338.0</v>
      </c>
    </row>
    <row r="375">
      <c r="A375" s="4">
        <v>375.0</v>
      </c>
      <c r="B375" s="4" t="s">
        <v>1300</v>
      </c>
      <c r="C375" s="4" t="s">
        <v>1116</v>
      </c>
      <c r="D375" s="4" t="s">
        <v>1098</v>
      </c>
      <c r="E375" s="15">
        <v>45338.0</v>
      </c>
    </row>
    <row r="376">
      <c r="A376" s="4">
        <v>376.0</v>
      </c>
      <c r="B376" s="4" t="s">
        <v>1292</v>
      </c>
      <c r="C376" s="4" t="s">
        <v>1303</v>
      </c>
      <c r="D376" s="4" t="s">
        <v>1120</v>
      </c>
      <c r="E376" s="15">
        <v>45338.0</v>
      </c>
    </row>
    <row r="377">
      <c r="A377" s="4">
        <v>377.0</v>
      </c>
      <c r="B377" s="4" t="s">
        <v>1292</v>
      </c>
      <c r="C377" s="4" t="s">
        <v>1304</v>
      </c>
      <c r="D377" s="4" t="s">
        <v>1120</v>
      </c>
      <c r="E377" s="15">
        <v>45338.0</v>
      </c>
    </row>
    <row r="378">
      <c r="A378" s="4">
        <v>378.0</v>
      </c>
      <c r="B378" s="4" t="s">
        <v>1305</v>
      </c>
      <c r="C378" s="4" t="s">
        <v>1306</v>
      </c>
      <c r="D378" s="4" t="s">
        <v>1098</v>
      </c>
      <c r="E378" s="15">
        <v>45338.0</v>
      </c>
    </row>
    <row r="379">
      <c r="A379" s="4">
        <v>379.0</v>
      </c>
      <c r="B379" s="4" t="s">
        <v>1305</v>
      </c>
      <c r="C379" s="4" t="s">
        <v>1306</v>
      </c>
      <c r="D379" s="4" t="s">
        <v>1098</v>
      </c>
      <c r="E379" s="15">
        <v>45338.0</v>
      </c>
    </row>
    <row r="380">
      <c r="A380" s="4">
        <v>380.0</v>
      </c>
      <c r="B380" s="4" t="s">
        <v>1305</v>
      </c>
      <c r="C380" s="4" t="s">
        <v>1306</v>
      </c>
      <c r="D380" s="4" t="s">
        <v>1098</v>
      </c>
      <c r="E380" s="15">
        <v>45338.0</v>
      </c>
    </row>
    <row r="381">
      <c r="A381" s="4">
        <v>381.0</v>
      </c>
      <c r="B381" s="4" t="s">
        <v>1305</v>
      </c>
      <c r="C381" s="4" t="s">
        <v>1306</v>
      </c>
      <c r="D381" s="4" t="s">
        <v>1098</v>
      </c>
      <c r="E381" s="15">
        <v>45338.0</v>
      </c>
    </row>
    <row r="382">
      <c r="A382" s="4">
        <v>382.0</v>
      </c>
      <c r="B382" s="4" t="s">
        <v>1305</v>
      </c>
      <c r="C382" s="4" t="s">
        <v>1306</v>
      </c>
      <c r="D382" s="4" t="s">
        <v>1098</v>
      </c>
      <c r="E382" s="15">
        <v>45338.0</v>
      </c>
    </row>
    <row r="383">
      <c r="A383" s="4">
        <v>383.0</v>
      </c>
      <c r="B383" s="4" t="s">
        <v>1133</v>
      </c>
      <c r="C383" s="4" t="s">
        <v>1259</v>
      </c>
      <c r="D383" s="4" t="s">
        <v>1098</v>
      </c>
      <c r="E383" s="15">
        <v>45338.0</v>
      </c>
    </row>
    <row r="384">
      <c r="A384" s="4">
        <v>384.0</v>
      </c>
      <c r="B384" s="4" t="s">
        <v>1133</v>
      </c>
      <c r="C384" s="4" t="s">
        <v>1259</v>
      </c>
      <c r="D384" s="4" t="s">
        <v>1098</v>
      </c>
      <c r="E384" s="15">
        <v>45338.0</v>
      </c>
    </row>
    <row r="385">
      <c r="A385" s="4">
        <v>385.0</v>
      </c>
      <c r="B385" s="4" t="s">
        <v>1133</v>
      </c>
      <c r="C385" s="4" t="s">
        <v>1189</v>
      </c>
      <c r="D385" s="4" t="s">
        <v>1098</v>
      </c>
      <c r="E385" s="15">
        <v>45338.0</v>
      </c>
    </row>
    <row r="386">
      <c r="A386" s="4">
        <v>386.0</v>
      </c>
      <c r="B386" s="4" t="s">
        <v>1133</v>
      </c>
      <c r="C386" s="4" t="s">
        <v>1189</v>
      </c>
      <c r="D386" s="4" t="s">
        <v>1098</v>
      </c>
      <c r="E386" s="15">
        <v>45338.0</v>
      </c>
    </row>
    <row r="387">
      <c r="A387" s="4">
        <v>387.0</v>
      </c>
      <c r="B387" s="4" t="s">
        <v>1133</v>
      </c>
      <c r="C387" s="4" t="s">
        <v>1189</v>
      </c>
      <c r="D387" s="4" t="s">
        <v>1098</v>
      </c>
      <c r="E387" s="15">
        <v>45338.0</v>
      </c>
    </row>
    <row r="388">
      <c r="A388" s="4">
        <v>388.0</v>
      </c>
      <c r="B388" s="4" t="s">
        <v>1151</v>
      </c>
      <c r="C388" s="4" t="s">
        <v>1131</v>
      </c>
      <c r="D388" s="4" t="s">
        <v>1098</v>
      </c>
      <c r="E388" s="15">
        <v>45337.0</v>
      </c>
    </row>
    <row r="389">
      <c r="A389" s="4">
        <v>389.0</v>
      </c>
      <c r="B389" s="4" t="s">
        <v>1307</v>
      </c>
      <c r="C389" s="4" t="s">
        <v>1101</v>
      </c>
      <c r="D389" s="4" t="s">
        <v>1098</v>
      </c>
      <c r="E389" s="15">
        <v>45337.0</v>
      </c>
    </row>
    <row r="390">
      <c r="A390" s="4">
        <v>390.0</v>
      </c>
      <c r="B390" s="4" t="s">
        <v>1152</v>
      </c>
      <c r="C390" s="4" t="s">
        <v>1101</v>
      </c>
      <c r="D390" s="4" t="s">
        <v>1098</v>
      </c>
      <c r="E390" s="15">
        <v>45337.0</v>
      </c>
    </row>
    <row r="391">
      <c r="A391" s="4">
        <v>391.0</v>
      </c>
      <c r="B391" s="4" t="s">
        <v>1308</v>
      </c>
      <c r="C391" s="4" t="s">
        <v>1143</v>
      </c>
      <c r="D391" s="4" t="s">
        <v>1098</v>
      </c>
      <c r="E391" s="15">
        <v>45337.0</v>
      </c>
    </row>
    <row r="392">
      <c r="A392" s="4">
        <v>392.0</v>
      </c>
      <c r="B392" s="4" t="s">
        <v>1308</v>
      </c>
      <c r="C392" s="4" t="s">
        <v>1143</v>
      </c>
      <c r="D392" s="4" t="s">
        <v>1098</v>
      </c>
      <c r="E392" s="15">
        <v>45337.0</v>
      </c>
    </row>
    <row r="393">
      <c r="A393" s="4">
        <v>393.0</v>
      </c>
      <c r="B393" s="4" t="s">
        <v>1300</v>
      </c>
      <c r="C393" s="4" t="s">
        <v>1143</v>
      </c>
      <c r="D393" s="4" t="s">
        <v>1098</v>
      </c>
      <c r="E393" s="15">
        <v>45337.0</v>
      </c>
    </row>
    <row r="394">
      <c r="A394" s="4">
        <v>394.0</v>
      </c>
      <c r="B394" s="4" t="s">
        <v>1309</v>
      </c>
      <c r="C394" s="4" t="s">
        <v>1102</v>
      </c>
      <c r="D394" s="4" t="s">
        <v>1098</v>
      </c>
      <c r="E394" s="15">
        <v>45337.0</v>
      </c>
    </row>
    <row r="395">
      <c r="A395" s="4">
        <v>395.0</v>
      </c>
      <c r="B395" s="4" t="s">
        <v>1310</v>
      </c>
      <c r="C395" s="4" t="s">
        <v>1102</v>
      </c>
      <c r="D395" s="4" t="s">
        <v>1098</v>
      </c>
      <c r="E395" s="15">
        <v>45337.0</v>
      </c>
    </row>
    <row r="396">
      <c r="A396" s="4">
        <v>396.0</v>
      </c>
      <c r="B396" s="4" t="s">
        <v>1311</v>
      </c>
      <c r="C396" s="4" t="s">
        <v>1102</v>
      </c>
      <c r="D396" s="4" t="s">
        <v>1098</v>
      </c>
      <c r="E396" s="15">
        <v>45337.0</v>
      </c>
    </row>
    <row r="397">
      <c r="A397" s="4">
        <v>397.0</v>
      </c>
      <c r="B397" s="4" t="s">
        <v>1312</v>
      </c>
      <c r="C397" s="4" t="s">
        <v>1102</v>
      </c>
      <c r="D397" s="4" t="s">
        <v>1098</v>
      </c>
      <c r="E397" s="15">
        <v>45337.0</v>
      </c>
    </row>
    <row r="398">
      <c r="A398" s="4">
        <v>398.0</v>
      </c>
      <c r="B398" s="4" t="s">
        <v>1208</v>
      </c>
      <c r="C398" s="4" t="s">
        <v>1102</v>
      </c>
      <c r="D398" s="4" t="s">
        <v>1098</v>
      </c>
      <c r="E398" s="15">
        <v>45337.0</v>
      </c>
    </row>
    <row r="399">
      <c r="A399" s="4">
        <v>399.0</v>
      </c>
      <c r="B399" s="4" t="s">
        <v>1313</v>
      </c>
      <c r="C399" s="4" t="s">
        <v>1102</v>
      </c>
      <c r="D399" s="4" t="s">
        <v>1098</v>
      </c>
      <c r="E399" s="15">
        <v>45337.0</v>
      </c>
    </row>
    <row r="400">
      <c r="A400" s="4">
        <v>400.0</v>
      </c>
      <c r="B400" s="4" t="s">
        <v>1313</v>
      </c>
      <c r="C400" s="4" t="s">
        <v>1102</v>
      </c>
      <c r="D400" s="4" t="s">
        <v>1098</v>
      </c>
      <c r="E400" s="15">
        <v>45337.0</v>
      </c>
    </row>
    <row r="401">
      <c r="A401" s="4">
        <v>401.0</v>
      </c>
      <c r="B401" s="4" t="s">
        <v>1313</v>
      </c>
      <c r="C401" s="4" t="s">
        <v>1102</v>
      </c>
      <c r="D401" s="4" t="s">
        <v>1098</v>
      </c>
      <c r="E401" s="15">
        <v>45337.0</v>
      </c>
    </row>
    <row r="402">
      <c r="A402" s="4">
        <v>402.0</v>
      </c>
      <c r="B402" s="4" t="s">
        <v>1308</v>
      </c>
      <c r="C402" s="4" t="s">
        <v>1102</v>
      </c>
      <c r="D402" s="4" t="s">
        <v>1098</v>
      </c>
      <c r="E402" s="15">
        <v>45337.0</v>
      </c>
    </row>
    <row r="403">
      <c r="A403" s="4">
        <v>403.0</v>
      </c>
      <c r="B403" s="4" t="s">
        <v>1314</v>
      </c>
      <c r="C403" s="4" t="s">
        <v>1102</v>
      </c>
      <c r="D403" s="4" t="s">
        <v>1098</v>
      </c>
      <c r="E403" s="15">
        <v>45337.0</v>
      </c>
    </row>
    <row r="404">
      <c r="A404" s="4">
        <v>404.0</v>
      </c>
      <c r="B404" s="4" t="s">
        <v>1133</v>
      </c>
      <c r="C404" s="4" t="s">
        <v>1102</v>
      </c>
      <c r="D404" s="4" t="s">
        <v>1098</v>
      </c>
      <c r="E404" s="15">
        <v>45337.0</v>
      </c>
    </row>
    <row r="405">
      <c r="A405" s="4">
        <v>405.0</v>
      </c>
      <c r="B405" s="4" t="s">
        <v>1133</v>
      </c>
      <c r="C405" s="4" t="s">
        <v>1102</v>
      </c>
      <c r="D405" s="4" t="s">
        <v>1098</v>
      </c>
      <c r="E405" s="15">
        <v>45337.0</v>
      </c>
    </row>
    <row r="406">
      <c r="A406" s="4">
        <v>406.0</v>
      </c>
      <c r="B406" s="4" t="s">
        <v>1315</v>
      </c>
      <c r="C406" s="4" t="s">
        <v>1281</v>
      </c>
      <c r="D406" s="4" t="s">
        <v>1120</v>
      </c>
      <c r="E406" s="15">
        <v>45337.0</v>
      </c>
    </row>
    <row r="407">
      <c r="A407" s="4">
        <v>407.0</v>
      </c>
      <c r="B407" s="4" t="s">
        <v>1316</v>
      </c>
      <c r="C407" s="4" t="s">
        <v>1253</v>
      </c>
      <c r="D407" s="4" t="s">
        <v>1098</v>
      </c>
      <c r="E407" s="15">
        <v>45337.0</v>
      </c>
    </row>
    <row r="408">
      <c r="A408" s="4">
        <v>408.0</v>
      </c>
      <c r="B408" s="4" t="s">
        <v>1314</v>
      </c>
      <c r="C408" s="4" t="s">
        <v>1139</v>
      </c>
      <c r="D408" s="4" t="s">
        <v>1098</v>
      </c>
      <c r="E408" s="15">
        <v>45337.0</v>
      </c>
    </row>
    <row r="409">
      <c r="A409" s="4">
        <v>409.0</v>
      </c>
      <c r="B409" s="4" t="s">
        <v>1254</v>
      </c>
      <c r="C409" s="4" t="s">
        <v>1139</v>
      </c>
      <c r="D409" s="4" t="s">
        <v>1098</v>
      </c>
      <c r="E409" s="15">
        <v>45337.0</v>
      </c>
    </row>
    <row r="410">
      <c r="A410" s="4">
        <v>410.0</v>
      </c>
      <c r="B410" s="4" t="s">
        <v>1312</v>
      </c>
      <c r="C410" s="4" t="s">
        <v>1139</v>
      </c>
      <c r="D410" s="4" t="s">
        <v>1098</v>
      </c>
      <c r="E410" s="15">
        <v>45337.0</v>
      </c>
    </row>
    <row r="411">
      <c r="A411" s="4">
        <v>411.0</v>
      </c>
      <c r="B411" s="4" t="s">
        <v>1254</v>
      </c>
      <c r="C411" s="4" t="s">
        <v>1317</v>
      </c>
      <c r="D411" s="4" t="s">
        <v>1098</v>
      </c>
      <c r="E411" s="15">
        <v>45337.0</v>
      </c>
    </row>
    <row r="412">
      <c r="A412" s="4">
        <v>412.0</v>
      </c>
      <c r="B412" s="4" t="s">
        <v>1254</v>
      </c>
      <c r="C412" s="4" t="s">
        <v>1318</v>
      </c>
      <c r="D412" s="4" t="s">
        <v>1098</v>
      </c>
      <c r="E412" s="15">
        <v>45337.0</v>
      </c>
    </row>
    <row r="413">
      <c r="A413" s="4">
        <v>413.0</v>
      </c>
      <c r="B413" s="4" t="s">
        <v>1300</v>
      </c>
      <c r="C413" s="4" t="s">
        <v>1319</v>
      </c>
      <c r="D413" s="4" t="s">
        <v>1098</v>
      </c>
      <c r="E413" s="15">
        <v>45337.0</v>
      </c>
    </row>
    <row r="414">
      <c r="A414" s="4">
        <v>414.0</v>
      </c>
      <c r="B414" s="4" t="s">
        <v>1300</v>
      </c>
      <c r="C414" s="4" t="s">
        <v>1296</v>
      </c>
      <c r="D414" s="4" t="s">
        <v>1098</v>
      </c>
      <c r="E414" s="15">
        <v>45337.0</v>
      </c>
    </row>
    <row r="415">
      <c r="A415" s="4">
        <v>415.0</v>
      </c>
      <c r="B415" s="4" t="s">
        <v>1300</v>
      </c>
      <c r="C415" s="4" t="s">
        <v>1116</v>
      </c>
      <c r="D415" s="4" t="s">
        <v>1098</v>
      </c>
      <c r="E415" s="15">
        <v>45337.0</v>
      </c>
    </row>
    <row r="416">
      <c r="A416" s="4">
        <v>416.0</v>
      </c>
      <c r="B416" s="4" t="s">
        <v>1308</v>
      </c>
      <c r="C416" s="4" t="s">
        <v>1217</v>
      </c>
      <c r="D416" s="4" t="s">
        <v>1098</v>
      </c>
      <c r="E416" s="15">
        <v>45337.0</v>
      </c>
    </row>
    <row r="417">
      <c r="A417" s="4">
        <v>417.0</v>
      </c>
      <c r="B417" s="4" t="s">
        <v>1133</v>
      </c>
      <c r="C417" s="4" t="s">
        <v>1203</v>
      </c>
      <c r="D417" s="4" t="s">
        <v>1098</v>
      </c>
      <c r="E417" s="15">
        <v>45337.0</v>
      </c>
    </row>
    <row r="418">
      <c r="A418" s="4">
        <v>418.0</v>
      </c>
      <c r="B418" s="4" t="s">
        <v>1320</v>
      </c>
      <c r="C418" s="4" t="s">
        <v>1222</v>
      </c>
      <c r="D418" s="4" t="s">
        <v>1098</v>
      </c>
      <c r="E418" s="15">
        <v>45337.0</v>
      </c>
    </row>
    <row r="419">
      <c r="A419" s="4">
        <v>419.0</v>
      </c>
      <c r="B419" s="4" t="s">
        <v>1321</v>
      </c>
      <c r="C419" s="4" t="s">
        <v>1237</v>
      </c>
      <c r="D419" s="4" t="s">
        <v>1098</v>
      </c>
      <c r="E419" s="15">
        <v>45336.0</v>
      </c>
    </row>
    <row r="420">
      <c r="A420" s="4">
        <v>420.0</v>
      </c>
      <c r="B420" s="4" t="s">
        <v>1322</v>
      </c>
      <c r="C420" s="4" t="s">
        <v>1237</v>
      </c>
      <c r="D420" s="4" t="s">
        <v>1098</v>
      </c>
      <c r="E420" s="15">
        <v>45336.0</v>
      </c>
    </row>
    <row r="421">
      <c r="A421" s="4">
        <v>421.0</v>
      </c>
      <c r="B421" s="4" t="s">
        <v>1322</v>
      </c>
      <c r="C421" s="4" t="s">
        <v>1237</v>
      </c>
      <c r="D421" s="4" t="s">
        <v>1098</v>
      </c>
      <c r="E421" s="15">
        <v>45336.0</v>
      </c>
    </row>
    <row r="422">
      <c r="A422" s="4">
        <v>422.0</v>
      </c>
      <c r="B422" s="4" t="s">
        <v>1321</v>
      </c>
      <c r="C422" s="4" t="s">
        <v>1237</v>
      </c>
      <c r="D422" s="4" t="s">
        <v>1098</v>
      </c>
      <c r="E422" s="15">
        <v>45336.0</v>
      </c>
    </row>
    <row r="423">
      <c r="A423" s="4">
        <v>423.0</v>
      </c>
      <c r="B423" s="4" t="s">
        <v>1321</v>
      </c>
      <c r="C423" s="4" t="s">
        <v>1237</v>
      </c>
      <c r="D423" s="4" t="s">
        <v>1098</v>
      </c>
      <c r="E423" s="15">
        <v>45336.0</v>
      </c>
    </row>
    <row r="424">
      <c r="A424" s="4">
        <v>424.0</v>
      </c>
      <c r="B424" s="4" t="s">
        <v>1323</v>
      </c>
      <c r="C424" s="4" t="s">
        <v>1187</v>
      </c>
      <c r="D424" s="4" t="s">
        <v>1098</v>
      </c>
      <c r="E424" s="15">
        <v>45336.0</v>
      </c>
    </row>
    <row r="425">
      <c r="A425" s="4">
        <v>425.0</v>
      </c>
      <c r="B425" s="4" t="s">
        <v>1300</v>
      </c>
      <c r="C425" s="4" t="s">
        <v>1116</v>
      </c>
      <c r="D425" s="4" t="s">
        <v>1098</v>
      </c>
      <c r="E425" s="15">
        <v>45336.0</v>
      </c>
    </row>
    <row r="426">
      <c r="A426" s="4">
        <v>426.0</v>
      </c>
      <c r="B426" s="4" t="s">
        <v>1324</v>
      </c>
      <c r="C426" s="4" t="s">
        <v>1191</v>
      </c>
      <c r="D426" s="4" t="s">
        <v>1098</v>
      </c>
      <c r="E426" s="15">
        <v>45335.0</v>
      </c>
    </row>
    <row r="427">
      <c r="A427" s="4">
        <v>427.0</v>
      </c>
      <c r="B427" s="4" t="s">
        <v>1324</v>
      </c>
      <c r="C427" s="4" t="s">
        <v>1131</v>
      </c>
      <c r="D427" s="4" t="s">
        <v>1098</v>
      </c>
      <c r="E427" s="15">
        <v>45335.0</v>
      </c>
    </row>
    <row r="428">
      <c r="A428" s="4">
        <v>428.0</v>
      </c>
      <c r="B428" s="4" t="s">
        <v>1324</v>
      </c>
      <c r="C428" s="4" t="s">
        <v>1325</v>
      </c>
      <c r="D428" s="4" t="s">
        <v>1098</v>
      </c>
      <c r="E428" s="15">
        <v>45335.0</v>
      </c>
    </row>
    <row r="429">
      <c r="A429" s="4">
        <v>429.0</v>
      </c>
      <c r="B429" s="4" t="s">
        <v>1326</v>
      </c>
      <c r="C429" s="4" t="s">
        <v>1122</v>
      </c>
      <c r="D429" s="4" t="s">
        <v>1098</v>
      </c>
      <c r="E429" s="15">
        <v>45335.0</v>
      </c>
    </row>
    <row r="430">
      <c r="A430" s="4">
        <v>430.0</v>
      </c>
      <c r="B430" s="4" t="s">
        <v>1327</v>
      </c>
      <c r="C430" s="4" t="s">
        <v>1122</v>
      </c>
      <c r="D430" s="4" t="s">
        <v>1098</v>
      </c>
      <c r="E430" s="15">
        <v>45335.0</v>
      </c>
    </row>
    <row r="431">
      <c r="A431" s="4">
        <v>431.0</v>
      </c>
      <c r="B431" s="4" t="s">
        <v>1105</v>
      </c>
      <c r="C431" s="4" t="s">
        <v>1102</v>
      </c>
      <c r="D431" s="4" t="s">
        <v>1098</v>
      </c>
      <c r="E431" s="15">
        <v>45335.0</v>
      </c>
    </row>
    <row r="432">
      <c r="A432" s="4">
        <v>432.0</v>
      </c>
      <c r="B432" s="4" t="s">
        <v>1103</v>
      </c>
      <c r="C432" s="4" t="s">
        <v>1102</v>
      </c>
      <c r="D432" s="4" t="s">
        <v>1098</v>
      </c>
      <c r="E432" s="15">
        <v>45335.0</v>
      </c>
    </row>
    <row r="433">
      <c r="A433" s="4">
        <v>433.0</v>
      </c>
      <c r="B433" s="4" t="s">
        <v>1103</v>
      </c>
      <c r="C433" s="4" t="s">
        <v>1102</v>
      </c>
      <c r="D433" s="4" t="s">
        <v>1098</v>
      </c>
      <c r="E433" s="15">
        <v>45335.0</v>
      </c>
    </row>
    <row r="434">
      <c r="A434" s="4">
        <v>434.0</v>
      </c>
      <c r="B434" s="4" t="s">
        <v>1103</v>
      </c>
      <c r="C434" s="4" t="s">
        <v>1102</v>
      </c>
      <c r="D434" s="4" t="s">
        <v>1098</v>
      </c>
      <c r="E434" s="15">
        <v>45335.0</v>
      </c>
    </row>
    <row r="435">
      <c r="A435" s="4">
        <v>435.0</v>
      </c>
      <c r="B435" s="4" t="s">
        <v>1326</v>
      </c>
      <c r="C435" s="4" t="s">
        <v>1102</v>
      </c>
      <c r="D435" s="4" t="s">
        <v>1098</v>
      </c>
      <c r="E435" s="15">
        <v>45335.0</v>
      </c>
    </row>
    <row r="436">
      <c r="A436" s="4">
        <v>436.0</v>
      </c>
      <c r="B436" s="4" t="s">
        <v>1300</v>
      </c>
      <c r="C436" s="4" t="s">
        <v>1116</v>
      </c>
      <c r="D436" s="4" t="s">
        <v>1098</v>
      </c>
      <c r="E436" s="15">
        <v>45335.0</v>
      </c>
    </row>
    <row r="437">
      <c r="A437" s="4">
        <v>437.0</v>
      </c>
      <c r="B437" s="4" t="s">
        <v>1324</v>
      </c>
      <c r="C437" s="4" t="s">
        <v>1257</v>
      </c>
      <c r="D437" s="4" t="s">
        <v>1120</v>
      </c>
      <c r="E437" s="15">
        <v>45335.0</v>
      </c>
    </row>
    <row r="438">
      <c r="A438" s="4">
        <v>438.0</v>
      </c>
      <c r="B438" s="4" t="s">
        <v>1310</v>
      </c>
      <c r="C438" s="4" t="s">
        <v>1257</v>
      </c>
      <c r="D438" s="4" t="s">
        <v>1120</v>
      </c>
      <c r="E438" s="15">
        <v>45335.0</v>
      </c>
    </row>
    <row r="439">
      <c r="A439" s="4">
        <v>439.0</v>
      </c>
      <c r="B439" s="4" t="s">
        <v>1324</v>
      </c>
      <c r="C439" s="4" t="s">
        <v>1306</v>
      </c>
      <c r="D439" s="4" t="s">
        <v>1098</v>
      </c>
      <c r="E439" s="15">
        <v>45335.0</v>
      </c>
    </row>
    <row r="440">
      <c r="A440" s="4">
        <v>440.0</v>
      </c>
      <c r="B440" s="4" t="s">
        <v>1151</v>
      </c>
      <c r="C440" s="4" t="s">
        <v>1328</v>
      </c>
      <c r="D440" s="4" t="s">
        <v>1098</v>
      </c>
      <c r="E440" s="15">
        <v>45335.0</v>
      </c>
    </row>
    <row r="441">
      <c r="A441" s="4">
        <v>441.0</v>
      </c>
      <c r="B441" s="4" t="s">
        <v>1246</v>
      </c>
      <c r="C441" s="4" t="s">
        <v>1217</v>
      </c>
      <c r="D441" s="4" t="s">
        <v>1098</v>
      </c>
      <c r="E441" s="15">
        <v>45335.0</v>
      </c>
    </row>
    <row r="442">
      <c r="A442" s="4">
        <v>442.0</v>
      </c>
      <c r="B442" s="4" t="s">
        <v>1329</v>
      </c>
      <c r="C442" s="4" t="s">
        <v>1217</v>
      </c>
      <c r="D442" s="4" t="s">
        <v>1098</v>
      </c>
      <c r="E442" s="15">
        <v>45335.0</v>
      </c>
    </row>
    <row r="443">
      <c r="A443" s="4">
        <v>443.0</v>
      </c>
      <c r="B443" s="4" t="s">
        <v>135</v>
      </c>
      <c r="C443" s="4" t="s">
        <v>1131</v>
      </c>
      <c r="D443" s="4" t="s">
        <v>1098</v>
      </c>
      <c r="E443" s="15">
        <v>45334.0</v>
      </c>
    </row>
    <row r="444">
      <c r="A444" s="4">
        <v>444.0</v>
      </c>
      <c r="B444" s="4" t="s">
        <v>135</v>
      </c>
      <c r="C444" s="4" t="s">
        <v>1131</v>
      </c>
      <c r="D444" s="4" t="s">
        <v>1098</v>
      </c>
      <c r="E444" s="15">
        <v>45334.0</v>
      </c>
    </row>
    <row r="445">
      <c r="A445" s="4">
        <v>445.0</v>
      </c>
      <c r="B445" s="4" t="s">
        <v>1279</v>
      </c>
      <c r="C445" s="4" t="s">
        <v>1325</v>
      </c>
      <c r="D445" s="4" t="s">
        <v>1098</v>
      </c>
      <c r="E445" s="15">
        <v>45334.0</v>
      </c>
    </row>
    <row r="446">
      <c r="A446" s="4">
        <v>446.0</v>
      </c>
      <c r="B446" s="4" t="s">
        <v>1330</v>
      </c>
      <c r="C446" s="4" t="s">
        <v>1122</v>
      </c>
      <c r="D446" s="4" t="s">
        <v>1098</v>
      </c>
      <c r="E446" s="15">
        <v>45334.0</v>
      </c>
    </row>
    <row r="447">
      <c r="A447" s="4">
        <v>447.0</v>
      </c>
      <c r="B447" s="4" t="s">
        <v>864</v>
      </c>
      <c r="C447" s="4" t="s">
        <v>1122</v>
      </c>
      <c r="D447" s="4" t="s">
        <v>1098</v>
      </c>
      <c r="E447" s="15">
        <v>45334.0</v>
      </c>
    </row>
    <row r="448">
      <c r="A448" s="4">
        <v>448.0</v>
      </c>
      <c r="B448" s="4" t="s">
        <v>1330</v>
      </c>
      <c r="C448" s="4" t="s">
        <v>1122</v>
      </c>
      <c r="D448" s="4" t="s">
        <v>1098</v>
      </c>
      <c r="E448" s="15">
        <v>45334.0</v>
      </c>
    </row>
    <row r="449">
      <c r="A449" s="4">
        <v>449.0</v>
      </c>
      <c r="B449" s="4" t="s">
        <v>1316</v>
      </c>
      <c r="C449" s="4" t="s">
        <v>1143</v>
      </c>
      <c r="D449" s="4" t="s">
        <v>1098</v>
      </c>
      <c r="E449" s="15">
        <v>45334.0</v>
      </c>
    </row>
    <row r="450">
      <c r="A450" s="4">
        <v>450.0</v>
      </c>
      <c r="B450" s="4" t="s">
        <v>1316</v>
      </c>
      <c r="C450" s="4" t="s">
        <v>1143</v>
      </c>
      <c r="D450" s="4" t="s">
        <v>1098</v>
      </c>
      <c r="E450" s="15">
        <v>45334.0</v>
      </c>
    </row>
    <row r="451">
      <c r="A451" s="4">
        <v>451.0</v>
      </c>
      <c r="B451" s="4" t="s">
        <v>1169</v>
      </c>
      <c r="C451" s="4" t="s">
        <v>1102</v>
      </c>
      <c r="D451" s="4" t="s">
        <v>1098</v>
      </c>
      <c r="E451" s="15">
        <v>45334.0</v>
      </c>
    </row>
    <row r="452">
      <c r="A452" s="4">
        <v>452.0</v>
      </c>
      <c r="B452" s="4" t="s">
        <v>1331</v>
      </c>
      <c r="C452" s="4" t="s">
        <v>1102</v>
      </c>
      <c r="D452" s="4" t="s">
        <v>1098</v>
      </c>
      <c r="E452" s="15">
        <v>45334.0</v>
      </c>
    </row>
    <row r="453">
      <c r="A453" s="4">
        <v>453.0</v>
      </c>
      <c r="B453" s="4" t="s">
        <v>1156</v>
      </c>
      <c r="C453" s="4" t="s">
        <v>1102</v>
      </c>
      <c r="D453" s="4" t="s">
        <v>1098</v>
      </c>
      <c r="E453" s="15">
        <v>45334.0</v>
      </c>
    </row>
    <row r="454">
      <c r="A454" s="4">
        <v>454.0</v>
      </c>
      <c r="B454" s="4" t="s">
        <v>1316</v>
      </c>
      <c r="C454" s="4" t="s">
        <v>1102</v>
      </c>
      <c r="D454" s="4" t="s">
        <v>1098</v>
      </c>
      <c r="E454" s="15">
        <v>45334.0</v>
      </c>
    </row>
    <row r="455">
      <c r="A455" s="4">
        <v>455.0</v>
      </c>
      <c r="B455" s="4" t="s">
        <v>1332</v>
      </c>
      <c r="C455" s="4" t="s">
        <v>1333</v>
      </c>
      <c r="D455" s="4" t="s">
        <v>1098</v>
      </c>
      <c r="E455" s="15">
        <v>45334.0</v>
      </c>
    </row>
    <row r="456">
      <c r="A456" s="4">
        <v>456.0</v>
      </c>
      <c r="B456" s="4" t="s">
        <v>1332</v>
      </c>
      <c r="C456" s="4" t="s">
        <v>1333</v>
      </c>
      <c r="D456" s="4" t="s">
        <v>1098</v>
      </c>
      <c r="E456" s="15">
        <v>45334.0</v>
      </c>
    </row>
    <row r="457">
      <c r="A457" s="4">
        <v>457.0</v>
      </c>
      <c r="B457" s="4" t="s">
        <v>1334</v>
      </c>
      <c r="C457" s="4" t="s">
        <v>1102</v>
      </c>
      <c r="D457" s="4" t="s">
        <v>1098</v>
      </c>
      <c r="E457" s="15">
        <v>45333.0</v>
      </c>
    </row>
    <row r="458">
      <c r="A458" s="4">
        <v>458.0</v>
      </c>
      <c r="B458" s="4" t="s">
        <v>1332</v>
      </c>
      <c r="C458" s="4" t="s">
        <v>1333</v>
      </c>
      <c r="D458" s="4" t="s">
        <v>1098</v>
      </c>
      <c r="E458" s="15">
        <v>45333.0</v>
      </c>
    </row>
    <row r="459">
      <c r="A459" s="4">
        <v>459.0</v>
      </c>
      <c r="B459" s="4" t="s">
        <v>1332</v>
      </c>
      <c r="C459" s="4" t="s">
        <v>1333</v>
      </c>
      <c r="D459" s="4" t="s">
        <v>1098</v>
      </c>
      <c r="E459" s="15">
        <v>45333.0</v>
      </c>
    </row>
    <row r="460">
      <c r="A460" s="4">
        <v>460.0</v>
      </c>
      <c r="B460" s="4" t="s">
        <v>1316</v>
      </c>
      <c r="C460" s="4" t="s">
        <v>1168</v>
      </c>
      <c r="D460" s="4" t="s">
        <v>1098</v>
      </c>
      <c r="E460" s="15">
        <v>45332.0</v>
      </c>
    </row>
    <row r="461">
      <c r="A461" s="4">
        <v>461.0</v>
      </c>
      <c r="B461" s="4" t="s">
        <v>1335</v>
      </c>
      <c r="C461" s="4" t="s">
        <v>1143</v>
      </c>
      <c r="D461" s="4" t="s">
        <v>1098</v>
      </c>
      <c r="E461" s="15">
        <v>45332.0</v>
      </c>
    </row>
    <row r="462">
      <c r="A462" s="4">
        <v>462.0</v>
      </c>
      <c r="B462" s="4" t="s">
        <v>1335</v>
      </c>
      <c r="C462" s="4" t="s">
        <v>1143</v>
      </c>
      <c r="D462" s="4" t="s">
        <v>1098</v>
      </c>
      <c r="E462" s="15">
        <v>45332.0</v>
      </c>
    </row>
    <row r="463">
      <c r="A463" s="4">
        <v>463.0</v>
      </c>
      <c r="B463" s="4" t="s">
        <v>1334</v>
      </c>
      <c r="C463" s="4" t="s">
        <v>1102</v>
      </c>
      <c r="D463" s="4" t="s">
        <v>1098</v>
      </c>
      <c r="E463" s="15">
        <v>45332.0</v>
      </c>
    </row>
    <row r="464">
      <c r="A464" s="4">
        <v>464.0</v>
      </c>
      <c r="B464" s="4" t="s">
        <v>1316</v>
      </c>
      <c r="C464" s="4" t="s">
        <v>1141</v>
      </c>
      <c r="D464" s="4" t="s">
        <v>1098</v>
      </c>
      <c r="E464" s="15">
        <v>45331.0</v>
      </c>
    </row>
    <row r="465">
      <c r="A465" s="4">
        <v>465.0</v>
      </c>
      <c r="B465" s="4" t="s">
        <v>1316</v>
      </c>
      <c r="C465" s="4" t="s">
        <v>1101</v>
      </c>
      <c r="D465" s="4" t="s">
        <v>1098</v>
      </c>
      <c r="E465" s="15">
        <v>45331.0</v>
      </c>
    </row>
    <row r="466">
      <c r="A466" s="4">
        <v>466.0</v>
      </c>
      <c r="B466" s="4" t="s">
        <v>1096</v>
      </c>
      <c r="C466" s="4" t="s">
        <v>1143</v>
      </c>
      <c r="D466" s="4" t="s">
        <v>1098</v>
      </c>
      <c r="E466" s="15">
        <v>45331.0</v>
      </c>
    </row>
    <row r="467">
      <c r="A467" s="4">
        <v>467.0</v>
      </c>
      <c r="B467" s="4" t="s">
        <v>1096</v>
      </c>
      <c r="C467" s="4" t="s">
        <v>1143</v>
      </c>
      <c r="D467" s="4" t="s">
        <v>1098</v>
      </c>
      <c r="E467" s="15">
        <v>45331.0</v>
      </c>
    </row>
    <row r="468">
      <c r="A468" s="4">
        <v>468.0</v>
      </c>
      <c r="B468" s="4" t="s">
        <v>1316</v>
      </c>
      <c r="C468" s="4" t="s">
        <v>1143</v>
      </c>
      <c r="D468" s="4" t="s">
        <v>1098</v>
      </c>
      <c r="E468" s="15">
        <v>45331.0</v>
      </c>
    </row>
    <row r="469">
      <c r="A469" s="4">
        <v>469.0</v>
      </c>
      <c r="B469" s="4" t="s">
        <v>1316</v>
      </c>
      <c r="C469" s="4" t="s">
        <v>1143</v>
      </c>
      <c r="D469" s="4" t="s">
        <v>1098</v>
      </c>
      <c r="E469" s="15">
        <v>45331.0</v>
      </c>
    </row>
    <row r="470">
      <c r="A470" s="4">
        <v>470.0</v>
      </c>
      <c r="B470" s="4" t="s">
        <v>1336</v>
      </c>
      <c r="C470" s="4" t="s">
        <v>1102</v>
      </c>
      <c r="D470" s="4" t="s">
        <v>1098</v>
      </c>
      <c r="E470" s="15">
        <v>45331.0</v>
      </c>
    </row>
    <row r="471">
      <c r="A471" s="4">
        <v>471.0</v>
      </c>
      <c r="B471" s="4" t="s">
        <v>1316</v>
      </c>
      <c r="C471" s="4" t="s">
        <v>1102</v>
      </c>
      <c r="D471" s="4" t="s">
        <v>1098</v>
      </c>
      <c r="E471" s="15">
        <v>45331.0</v>
      </c>
    </row>
    <row r="472">
      <c r="A472" s="4">
        <v>472.0</v>
      </c>
      <c r="B472" s="4" t="s">
        <v>1096</v>
      </c>
      <c r="C472" s="4" t="s">
        <v>1102</v>
      </c>
      <c r="D472" s="4" t="s">
        <v>1098</v>
      </c>
      <c r="E472" s="15">
        <v>45331.0</v>
      </c>
    </row>
    <row r="473">
      <c r="A473" s="4">
        <v>473.0</v>
      </c>
      <c r="B473" s="4" t="s">
        <v>1316</v>
      </c>
      <c r="C473" s="4" t="s">
        <v>1337</v>
      </c>
      <c r="D473" s="4" t="s">
        <v>1098</v>
      </c>
      <c r="E473" s="15">
        <v>45331.0</v>
      </c>
    </row>
    <row r="474">
      <c r="A474" s="4">
        <v>474.0</v>
      </c>
      <c r="B474" s="4" t="s">
        <v>1316</v>
      </c>
      <c r="C474" s="4" t="s">
        <v>1253</v>
      </c>
      <c r="D474" s="4" t="s">
        <v>1098</v>
      </c>
      <c r="E474" s="15">
        <v>45331.0</v>
      </c>
    </row>
    <row r="475">
      <c r="A475" s="4">
        <v>475.0</v>
      </c>
      <c r="B475" s="4" t="s">
        <v>1316</v>
      </c>
      <c r="C475" s="4" t="s">
        <v>1253</v>
      </c>
      <c r="D475" s="4" t="s">
        <v>1098</v>
      </c>
      <c r="E475" s="15">
        <v>45331.0</v>
      </c>
    </row>
    <row r="476">
      <c r="A476" s="4">
        <v>476.0</v>
      </c>
      <c r="B476" s="4" t="s">
        <v>1338</v>
      </c>
      <c r="C476" s="4" t="s">
        <v>1139</v>
      </c>
      <c r="D476" s="4" t="s">
        <v>1098</v>
      </c>
      <c r="E476" s="15">
        <v>45331.0</v>
      </c>
    </row>
    <row r="477">
      <c r="A477" s="4">
        <v>477.0</v>
      </c>
      <c r="B477" s="4" t="s">
        <v>1339</v>
      </c>
      <c r="C477" s="4" t="s">
        <v>1285</v>
      </c>
      <c r="D477" s="4" t="s">
        <v>1098</v>
      </c>
      <c r="E477" s="15">
        <v>45330.0</v>
      </c>
    </row>
    <row r="478">
      <c r="A478" s="4">
        <v>478.0</v>
      </c>
      <c r="B478" s="4" t="s">
        <v>1339</v>
      </c>
      <c r="C478" s="4" t="s">
        <v>1340</v>
      </c>
      <c r="D478" s="4" t="s">
        <v>1098</v>
      </c>
      <c r="E478" s="15">
        <v>45330.0</v>
      </c>
    </row>
    <row r="479">
      <c r="A479" s="4">
        <v>479.0</v>
      </c>
      <c r="B479" s="4" t="s">
        <v>1341</v>
      </c>
      <c r="C479" s="4" t="s">
        <v>1143</v>
      </c>
      <c r="D479" s="4" t="s">
        <v>1098</v>
      </c>
      <c r="E479" s="15">
        <v>45330.0</v>
      </c>
    </row>
    <row r="480">
      <c r="A480" s="4">
        <v>480.0</v>
      </c>
      <c r="B480" s="4" t="s">
        <v>1341</v>
      </c>
      <c r="C480" s="4" t="s">
        <v>1102</v>
      </c>
      <c r="D480" s="4" t="s">
        <v>1098</v>
      </c>
      <c r="E480" s="15">
        <v>45330.0</v>
      </c>
    </row>
    <row r="481">
      <c r="A481" s="4">
        <v>481.0</v>
      </c>
      <c r="B481" s="4" t="s">
        <v>1341</v>
      </c>
      <c r="C481" s="4" t="s">
        <v>1102</v>
      </c>
      <c r="D481" s="4" t="s">
        <v>1098</v>
      </c>
      <c r="E481" s="15">
        <v>45330.0</v>
      </c>
    </row>
    <row r="482">
      <c r="A482" s="4">
        <v>482.0</v>
      </c>
      <c r="B482" s="4" t="s">
        <v>1341</v>
      </c>
      <c r="C482" s="4" t="s">
        <v>1102</v>
      </c>
      <c r="D482" s="4" t="s">
        <v>1098</v>
      </c>
      <c r="E482" s="15">
        <v>45330.0</v>
      </c>
    </row>
    <row r="483">
      <c r="A483" s="4">
        <v>483.0</v>
      </c>
      <c r="B483" s="4" t="s">
        <v>1341</v>
      </c>
      <c r="C483" s="4" t="s">
        <v>1102</v>
      </c>
      <c r="D483" s="4" t="s">
        <v>1098</v>
      </c>
      <c r="E483" s="15">
        <v>45330.0</v>
      </c>
    </row>
    <row r="484">
      <c r="A484" s="4">
        <v>484.0</v>
      </c>
      <c r="B484" s="4" t="s">
        <v>1341</v>
      </c>
      <c r="C484" s="4" t="s">
        <v>1102</v>
      </c>
      <c r="D484" s="4" t="s">
        <v>1098</v>
      </c>
      <c r="E484" s="15">
        <v>45330.0</v>
      </c>
    </row>
    <row r="485">
      <c r="A485" s="4">
        <v>485.0</v>
      </c>
      <c r="B485" s="4" t="s">
        <v>1339</v>
      </c>
      <c r="C485" s="4" t="s">
        <v>1287</v>
      </c>
      <c r="D485" s="4" t="s">
        <v>1098</v>
      </c>
      <c r="E485" s="15">
        <v>45330.0</v>
      </c>
    </row>
    <row r="486">
      <c r="A486" s="4">
        <v>486.0</v>
      </c>
      <c r="B486" s="4" t="s">
        <v>1342</v>
      </c>
      <c r="C486" s="4" t="s">
        <v>1343</v>
      </c>
      <c r="D486" s="4" t="s">
        <v>1098</v>
      </c>
      <c r="E486" s="15">
        <v>45330.0</v>
      </c>
    </row>
    <row r="487">
      <c r="A487" s="4">
        <v>487.0</v>
      </c>
      <c r="B487" s="4" t="s">
        <v>1344</v>
      </c>
      <c r="C487" s="4" t="s">
        <v>1317</v>
      </c>
      <c r="D487" s="4" t="s">
        <v>1098</v>
      </c>
      <c r="E487" s="15">
        <v>45330.0</v>
      </c>
    </row>
    <row r="488">
      <c r="A488" s="4">
        <v>488.0</v>
      </c>
      <c r="B488" s="4" t="s">
        <v>1344</v>
      </c>
      <c r="C488" s="4" t="s">
        <v>1217</v>
      </c>
      <c r="D488" s="4" t="s">
        <v>1098</v>
      </c>
      <c r="E488" s="15">
        <v>45330.0</v>
      </c>
    </row>
    <row r="489">
      <c r="A489" s="4">
        <v>489.0</v>
      </c>
      <c r="B489" s="4" t="s">
        <v>1279</v>
      </c>
      <c r="C489" s="4" t="s">
        <v>1190</v>
      </c>
      <c r="D489" s="4" t="s">
        <v>1098</v>
      </c>
      <c r="E489" s="15">
        <v>45329.0</v>
      </c>
    </row>
    <row r="490">
      <c r="A490" s="4">
        <v>490.0</v>
      </c>
      <c r="B490" s="4" t="s">
        <v>1345</v>
      </c>
      <c r="C490" s="4" t="s">
        <v>1346</v>
      </c>
      <c r="D490" s="4" t="s">
        <v>1098</v>
      </c>
      <c r="E490" s="15">
        <v>45329.0</v>
      </c>
    </row>
    <row r="491">
      <c r="A491" s="4">
        <v>491.0</v>
      </c>
      <c r="B491" s="4" t="s">
        <v>1347</v>
      </c>
      <c r="C491" s="4" t="s">
        <v>1122</v>
      </c>
      <c r="D491" s="4" t="s">
        <v>1098</v>
      </c>
      <c r="E491" s="15">
        <v>45329.0</v>
      </c>
    </row>
    <row r="492">
      <c r="A492" s="4">
        <v>492.0</v>
      </c>
      <c r="B492" s="4" t="s">
        <v>1348</v>
      </c>
      <c r="C492" s="4" t="s">
        <v>1102</v>
      </c>
      <c r="D492" s="4" t="s">
        <v>1098</v>
      </c>
      <c r="E492" s="15">
        <v>45329.0</v>
      </c>
    </row>
    <row r="493">
      <c r="A493" s="4">
        <v>493.0</v>
      </c>
      <c r="B493" s="4" t="s">
        <v>1349</v>
      </c>
      <c r="C493" s="4" t="s">
        <v>1350</v>
      </c>
      <c r="D493" s="4" t="s">
        <v>1098</v>
      </c>
      <c r="E493" s="15">
        <v>45329.0</v>
      </c>
    </row>
    <row r="494">
      <c r="A494" s="4">
        <v>494.0</v>
      </c>
      <c r="B494" s="4" t="s">
        <v>1351</v>
      </c>
      <c r="C494" s="4" t="s">
        <v>1352</v>
      </c>
      <c r="D494" s="4" t="s">
        <v>1120</v>
      </c>
      <c r="E494" s="15">
        <v>45329.0</v>
      </c>
    </row>
    <row r="495">
      <c r="A495" s="4">
        <v>495.0</v>
      </c>
      <c r="B495" s="4" t="s">
        <v>1329</v>
      </c>
      <c r="C495" s="4" t="s">
        <v>1164</v>
      </c>
      <c r="D495" s="4" t="s">
        <v>1120</v>
      </c>
      <c r="E495" s="15">
        <v>45328.0</v>
      </c>
    </row>
    <row r="496">
      <c r="A496" s="4">
        <v>496.0</v>
      </c>
      <c r="B496" s="4" t="s">
        <v>1353</v>
      </c>
      <c r="C496" s="4" t="s">
        <v>1143</v>
      </c>
      <c r="D496" s="4" t="s">
        <v>1098</v>
      </c>
      <c r="E496" s="15">
        <v>45328.0</v>
      </c>
    </row>
    <row r="497">
      <c r="A497" s="4">
        <v>497.0</v>
      </c>
      <c r="B497" s="4" t="s">
        <v>1329</v>
      </c>
      <c r="C497" s="4" t="s">
        <v>1102</v>
      </c>
      <c r="D497" s="4" t="s">
        <v>1098</v>
      </c>
      <c r="E497" s="15">
        <v>45328.0</v>
      </c>
    </row>
    <row r="498">
      <c r="A498" s="4">
        <v>498.0</v>
      </c>
      <c r="B498" s="4" t="s">
        <v>805</v>
      </c>
      <c r="C498" s="4" t="s">
        <v>1102</v>
      </c>
      <c r="D498" s="4" t="s">
        <v>1098</v>
      </c>
      <c r="E498" s="15">
        <v>45328.0</v>
      </c>
    </row>
    <row r="499">
      <c r="A499" s="4">
        <v>499.0</v>
      </c>
      <c r="B499" s="4" t="s">
        <v>1329</v>
      </c>
      <c r="C499" s="4" t="s">
        <v>1102</v>
      </c>
      <c r="D499" s="4" t="s">
        <v>1098</v>
      </c>
      <c r="E499" s="15">
        <v>45328.0</v>
      </c>
    </row>
    <row r="500">
      <c r="A500" s="4">
        <v>500.0</v>
      </c>
      <c r="B500" s="4" t="s">
        <v>1353</v>
      </c>
      <c r="C500" s="4" t="s">
        <v>1139</v>
      </c>
      <c r="D500" s="4" t="s">
        <v>1098</v>
      </c>
      <c r="E500" s="15">
        <v>45328.0</v>
      </c>
    </row>
    <row r="501">
      <c r="A501" s="4">
        <v>501.0</v>
      </c>
      <c r="B501" s="4" t="s">
        <v>1354</v>
      </c>
      <c r="C501" s="4" t="s">
        <v>1139</v>
      </c>
      <c r="D501" s="4" t="s">
        <v>1098</v>
      </c>
      <c r="E501" s="15">
        <v>45328.0</v>
      </c>
    </row>
    <row r="502">
      <c r="A502" s="4">
        <v>502.0</v>
      </c>
      <c r="B502" s="4" t="s">
        <v>1354</v>
      </c>
      <c r="C502" s="4" t="s">
        <v>1139</v>
      </c>
      <c r="D502" s="4" t="s">
        <v>1098</v>
      </c>
      <c r="E502" s="15">
        <v>45328.0</v>
      </c>
    </row>
    <row r="503">
      <c r="A503" s="4">
        <v>503.0</v>
      </c>
      <c r="B503" s="4" t="s">
        <v>1355</v>
      </c>
      <c r="C503" s="4" t="s">
        <v>1139</v>
      </c>
      <c r="D503" s="4" t="s">
        <v>1098</v>
      </c>
      <c r="E503" s="15">
        <v>45328.0</v>
      </c>
    </row>
    <row r="504">
      <c r="A504" s="4">
        <v>504.0</v>
      </c>
      <c r="B504" s="4" t="s">
        <v>1355</v>
      </c>
      <c r="C504" s="4" t="s">
        <v>1356</v>
      </c>
      <c r="D504" s="4" t="s">
        <v>1098</v>
      </c>
      <c r="E504" s="15">
        <v>45328.0</v>
      </c>
    </row>
    <row r="505">
      <c r="A505" s="4">
        <v>505.0</v>
      </c>
      <c r="B505" s="4" t="s">
        <v>1355</v>
      </c>
      <c r="C505" s="4" t="s">
        <v>1356</v>
      </c>
      <c r="D505" s="4" t="s">
        <v>1098</v>
      </c>
      <c r="E505" s="15">
        <v>45328.0</v>
      </c>
    </row>
    <row r="506">
      <c r="A506" s="4">
        <v>506.0</v>
      </c>
      <c r="B506" s="4" t="s">
        <v>1355</v>
      </c>
      <c r="C506" s="4" t="s">
        <v>1357</v>
      </c>
      <c r="D506" s="4" t="s">
        <v>1098</v>
      </c>
      <c r="E506" s="15">
        <v>45328.0</v>
      </c>
    </row>
    <row r="507">
      <c r="A507" s="4">
        <v>507.0</v>
      </c>
      <c r="B507" s="4" t="s">
        <v>1355</v>
      </c>
      <c r="C507" s="4" t="s">
        <v>1357</v>
      </c>
      <c r="D507" s="4" t="s">
        <v>1098</v>
      </c>
      <c r="E507" s="15">
        <v>45328.0</v>
      </c>
    </row>
    <row r="508">
      <c r="A508" s="4">
        <v>508.0</v>
      </c>
      <c r="B508" s="4" t="s">
        <v>1358</v>
      </c>
      <c r="C508" s="4" t="s">
        <v>1256</v>
      </c>
      <c r="D508" s="4" t="s">
        <v>1098</v>
      </c>
      <c r="E508" s="15">
        <v>45328.0</v>
      </c>
    </row>
    <row r="509">
      <c r="A509" s="4">
        <v>509.0</v>
      </c>
      <c r="B509" s="4" t="s">
        <v>1355</v>
      </c>
      <c r="C509" s="4" t="s">
        <v>1317</v>
      </c>
      <c r="D509" s="4" t="s">
        <v>1098</v>
      </c>
      <c r="E509" s="15">
        <v>45328.0</v>
      </c>
    </row>
    <row r="510">
      <c r="A510" s="4">
        <v>510.0</v>
      </c>
      <c r="B510" s="4" t="s">
        <v>1355</v>
      </c>
      <c r="C510" s="4" t="s">
        <v>1290</v>
      </c>
      <c r="D510" s="4" t="s">
        <v>1098</v>
      </c>
      <c r="E510" s="15">
        <v>45328.0</v>
      </c>
    </row>
    <row r="511">
      <c r="A511" s="4">
        <v>511.0</v>
      </c>
      <c r="B511" s="4" t="s">
        <v>1355</v>
      </c>
      <c r="C511" s="4" t="s">
        <v>1318</v>
      </c>
      <c r="D511" s="4" t="s">
        <v>1098</v>
      </c>
      <c r="E511" s="15">
        <v>45328.0</v>
      </c>
    </row>
    <row r="512">
      <c r="A512" s="4">
        <v>512.0</v>
      </c>
      <c r="B512" s="4" t="s">
        <v>1355</v>
      </c>
      <c r="C512" s="4" t="s">
        <v>1187</v>
      </c>
      <c r="D512" s="4" t="s">
        <v>1098</v>
      </c>
      <c r="E512" s="15">
        <v>45328.0</v>
      </c>
    </row>
    <row r="513">
      <c r="A513" s="4">
        <v>513.0</v>
      </c>
      <c r="B513" s="4" t="s">
        <v>1355</v>
      </c>
      <c r="C513" s="4" t="s">
        <v>1115</v>
      </c>
      <c r="D513" s="4" t="s">
        <v>1098</v>
      </c>
      <c r="E513" s="15">
        <v>45328.0</v>
      </c>
    </row>
    <row r="514">
      <c r="A514" s="4">
        <v>514.0</v>
      </c>
      <c r="B514" s="4" t="s">
        <v>1355</v>
      </c>
      <c r="C514" s="4" t="s">
        <v>1319</v>
      </c>
      <c r="D514" s="4" t="s">
        <v>1098</v>
      </c>
      <c r="E514" s="15">
        <v>45328.0</v>
      </c>
    </row>
    <row r="515">
      <c r="A515" s="4">
        <v>515.0</v>
      </c>
      <c r="B515" s="4" t="s">
        <v>1359</v>
      </c>
      <c r="C515" s="4" t="s">
        <v>1259</v>
      </c>
      <c r="D515" s="4" t="s">
        <v>1098</v>
      </c>
      <c r="E515" s="15">
        <v>45328.0</v>
      </c>
    </row>
    <row r="516">
      <c r="A516" s="4">
        <v>516.0</v>
      </c>
      <c r="B516" s="4" t="s">
        <v>1329</v>
      </c>
      <c r="C516" s="4" t="s">
        <v>1189</v>
      </c>
      <c r="D516" s="4" t="s">
        <v>1098</v>
      </c>
      <c r="E516" s="15">
        <v>45328.0</v>
      </c>
    </row>
    <row r="517">
      <c r="A517" s="4">
        <v>517.0</v>
      </c>
      <c r="B517" s="4" t="s">
        <v>1198</v>
      </c>
      <c r="C517" s="4" t="s">
        <v>1190</v>
      </c>
      <c r="D517" s="4" t="s">
        <v>1098</v>
      </c>
      <c r="E517" s="15">
        <v>45327.0</v>
      </c>
    </row>
    <row r="518">
      <c r="A518" s="4">
        <v>518.0</v>
      </c>
      <c r="B518" s="4" t="s">
        <v>1279</v>
      </c>
      <c r="C518" s="4" t="s">
        <v>1190</v>
      </c>
      <c r="D518" s="4" t="s">
        <v>1098</v>
      </c>
      <c r="E518" s="15">
        <v>45327.0</v>
      </c>
    </row>
    <row r="519">
      <c r="A519" s="4">
        <v>519.0</v>
      </c>
      <c r="B519" s="4" t="s">
        <v>1267</v>
      </c>
      <c r="C519" s="4" t="s">
        <v>1190</v>
      </c>
      <c r="D519" s="4" t="s">
        <v>1098</v>
      </c>
      <c r="E519" s="15">
        <v>45327.0</v>
      </c>
    </row>
    <row r="520">
      <c r="A520" s="4">
        <v>520.0</v>
      </c>
      <c r="B520" s="4" t="s">
        <v>1198</v>
      </c>
      <c r="C520" s="4" t="s">
        <v>1190</v>
      </c>
      <c r="D520" s="4" t="s">
        <v>1098</v>
      </c>
      <c r="E520" s="15">
        <v>45327.0</v>
      </c>
    </row>
    <row r="521">
      <c r="A521" s="4">
        <v>521.0</v>
      </c>
      <c r="B521" s="4" t="s">
        <v>1360</v>
      </c>
      <c r="C521" s="4" t="s">
        <v>1325</v>
      </c>
      <c r="D521" s="4" t="s">
        <v>1098</v>
      </c>
      <c r="E521" s="15">
        <v>45327.0</v>
      </c>
    </row>
    <row r="522">
      <c r="A522" s="4">
        <v>522.0</v>
      </c>
      <c r="B522" s="4" t="s">
        <v>1361</v>
      </c>
      <c r="C522" s="4" t="s">
        <v>1101</v>
      </c>
      <c r="D522" s="4" t="s">
        <v>1098</v>
      </c>
      <c r="E522" s="15">
        <v>45327.0</v>
      </c>
    </row>
    <row r="523">
      <c r="A523" s="4">
        <v>523.0</v>
      </c>
      <c r="B523" s="4" t="s">
        <v>1361</v>
      </c>
      <c r="C523" s="4" t="s">
        <v>1143</v>
      </c>
      <c r="D523" s="4" t="s">
        <v>1098</v>
      </c>
      <c r="E523" s="15">
        <v>45327.0</v>
      </c>
    </row>
    <row r="524">
      <c r="A524" s="4">
        <v>524.0</v>
      </c>
      <c r="B524" s="4" t="s">
        <v>1295</v>
      </c>
      <c r="C524" s="4" t="s">
        <v>1102</v>
      </c>
      <c r="D524" s="4" t="s">
        <v>1098</v>
      </c>
      <c r="E524" s="15">
        <v>45327.0</v>
      </c>
    </row>
    <row r="525">
      <c r="A525" s="4">
        <v>525.0</v>
      </c>
      <c r="B525" s="4" t="s">
        <v>1361</v>
      </c>
      <c r="C525" s="4" t="s">
        <v>1102</v>
      </c>
      <c r="D525" s="4" t="s">
        <v>1098</v>
      </c>
      <c r="E525" s="15">
        <v>45327.0</v>
      </c>
    </row>
    <row r="526">
      <c r="A526" s="4">
        <v>526.0</v>
      </c>
      <c r="B526" s="4" t="s">
        <v>1361</v>
      </c>
      <c r="C526" s="4" t="s">
        <v>1102</v>
      </c>
      <c r="D526" s="4" t="s">
        <v>1098</v>
      </c>
      <c r="E526" s="15">
        <v>45327.0</v>
      </c>
    </row>
    <row r="527">
      <c r="A527" s="4">
        <v>527.0</v>
      </c>
      <c r="B527" s="4" t="s">
        <v>1362</v>
      </c>
      <c r="C527" s="4" t="s">
        <v>1102</v>
      </c>
      <c r="D527" s="4" t="s">
        <v>1098</v>
      </c>
      <c r="E527" s="15">
        <v>45327.0</v>
      </c>
    </row>
    <row r="528">
      <c r="A528" s="4">
        <v>528.0</v>
      </c>
      <c r="B528" s="4" t="s">
        <v>1198</v>
      </c>
      <c r="C528" s="4" t="s">
        <v>1102</v>
      </c>
      <c r="D528" s="4" t="s">
        <v>1098</v>
      </c>
      <c r="E528" s="15">
        <v>45327.0</v>
      </c>
    </row>
    <row r="529">
      <c r="A529" s="4">
        <v>529.0</v>
      </c>
      <c r="B529" s="4" t="s">
        <v>1329</v>
      </c>
      <c r="C529" s="4" t="s">
        <v>1102</v>
      </c>
      <c r="D529" s="4" t="s">
        <v>1098</v>
      </c>
      <c r="E529" s="15">
        <v>45327.0</v>
      </c>
    </row>
    <row r="530">
      <c r="A530" s="4">
        <v>530.0</v>
      </c>
      <c r="B530" s="4" t="s">
        <v>1363</v>
      </c>
      <c r="C530" s="4" t="s">
        <v>1102</v>
      </c>
      <c r="D530" s="4" t="s">
        <v>1098</v>
      </c>
      <c r="E530" s="15">
        <v>45327.0</v>
      </c>
    </row>
    <row r="531">
      <c r="A531" s="4">
        <v>531.0</v>
      </c>
      <c r="B531" s="4" t="s">
        <v>1360</v>
      </c>
      <c r="C531" s="4" t="s">
        <v>1102</v>
      </c>
      <c r="D531" s="4" t="s">
        <v>1098</v>
      </c>
      <c r="E531" s="15">
        <v>45327.0</v>
      </c>
    </row>
    <row r="532">
      <c r="A532" s="4">
        <v>532.0</v>
      </c>
      <c r="B532" s="4" t="s">
        <v>1329</v>
      </c>
      <c r="C532" s="4" t="s">
        <v>1259</v>
      </c>
      <c r="D532" s="4" t="s">
        <v>1098</v>
      </c>
      <c r="E532" s="15">
        <v>45327.0</v>
      </c>
    </row>
    <row r="533">
      <c r="A533" s="4">
        <v>533.0</v>
      </c>
      <c r="B533" s="4" t="s">
        <v>1267</v>
      </c>
      <c r="C533" s="4" t="s">
        <v>1364</v>
      </c>
      <c r="D533" s="4" t="s">
        <v>1120</v>
      </c>
      <c r="E533" s="15">
        <v>45327.0</v>
      </c>
    </row>
    <row r="534">
      <c r="A534" s="4">
        <v>534.0</v>
      </c>
      <c r="B534" s="4" t="s">
        <v>1365</v>
      </c>
      <c r="C534" s="4" t="s">
        <v>1102</v>
      </c>
      <c r="D534" s="4" t="s">
        <v>1098</v>
      </c>
      <c r="E534" s="15">
        <v>45326.0</v>
      </c>
    </row>
    <row r="535">
      <c r="A535" s="4">
        <v>535.0</v>
      </c>
      <c r="B535" s="4" t="s">
        <v>1366</v>
      </c>
      <c r="C535" s="4" t="s">
        <v>1102</v>
      </c>
      <c r="D535" s="4" t="s">
        <v>1098</v>
      </c>
      <c r="E535" s="15">
        <v>45326.0</v>
      </c>
    </row>
    <row r="536">
      <c r="A536" s="4">
        <v>536.0</v>
      </c>
      <c r="B536" s="4" t="s">
        <v>1366</v>
      </c>
      <c r="C536" s="4" t="s">
        <v>1102</v>
      </c>
      <c r="D536" s="4" t="s">
        <v>1098</v>
      </c>
      <c r="E536" s="15">
        <v>45326.0</v>
      </c>
    </row>
    <row r="537">
      <c r="A537" s="4">
        <v>537.0</v>
      </c>
      <c r="B537" s="4" t="s">
        <v>1367</v>
      </c>
      <c r="C537" s="4" t="s">
        <v>1195</v>
      </c>
      <c r="D537" s="4" t="s">
        <v>1098</v>
      </c>
      <c r="E537" s="15">
        <v>45325.0</v>
      </c>
    </row>
    <row r="538">
      <c r="A538" s="4">
        <v>538.0</v>
      </c>
      <c r="B538" s="4" t="s">
        <v>1368</v>
      </c>
      <c r="C538" s="4" t="s">
        <v>1102</v>
      </c>
      <c r="D538" s="4" t="s">
        <v>1098</v>
      </c>
      <c r="E538" s="15">
        <v>45325.0</v>
      </c>
    </row>
    <row r="539">
      <c r="A539" s="4">
        <v>539.0</v>
      </c>
      <c r="B539" s="4" t="s">
        <v>1338</v>
      </c>
      <c r="C539" s="4" t="s">
        <v>1102</v>
      </c>
      <c r="D539" s="4" t="s">
        <v>1098</v>
      </c>
      <c r="E539" s="15">
        <v>45325.0</v>
      </c>
    </row>
    <row r="540">
      <c r="A540" s="4">
        <v>540.0</v>
      </c>
      <c r="B540" s="4" t="s">
        <v>1369</v>
      </c>
      <c r="C540" s="4" t="s">
        <v>1102</v>
      </c>
      <c r="D540" s="4" t="s">
        <v>1098</v>
      </c>
      <c r="E540" s="15">
        <v>45325.0</v>
      </c>
    </row>
    <row r="541">
      <c r="A541" s="4">
        <v>541.0</v>
      </c>
      <c r="B541" s="4" t="s">
        <v>1355</v>
      </c>
      <c r="C541" s="4" t="s">
        <v>1185</v>
      </c>
      <c r="D541" s="4" t="s">
        <v>1098</v>
      </c>
      <c r="E541" s="15">
        <v>45325.0</v>
      </c>
    </row>
    <row r="542">
      <c r="A542" s="4">
        <v>542.0</v>
      </c>
      <c r="B542" s="4" t="s">
        <v>1355</v>
      </c>
      <c r="C542" s="4" t="s">
        <v>1111</v>
      </c>
      <c r="D542" s="4" t="s">
        <v>1098</v>
      </c>
      <c r="E542" s="15">
        <v>45325.0</v>
      </c>
    </row>
    <row r="543">
      <c r="A543" s="4">
        <v>543.0</v>
      </c>
      <c r="B543" s="4" t="s">
        <v>1355</v>
      </c>
      <c r="C543" s="4" t="s">
        <v>1233</v>
      </c>
      <c r="D543" s="4" t="s">
        <v>1098</v>
      </c>
      <c r="E543" s="15">
        <v>45325.0</v>
      </c>
    </row>
    <row r="544">
      <c r="A544" s="4">
        <v>544.0</v>
      </c>
      <c r="B544" s="4" t="s">
        <v>1216</v>
      </c>
      <c r="C544" s="4" t="s">
        <v>1370</v>
      </c>
      <c r="D544" s="4" t="s">
        <v>1098</v>
      </c>
      <c r="E544" s="15">
        <v>45325.0</v>
      </c>
    </row>
    <row r="545">
      <c r="A545" s="4">
        <v>545.0</v>
      </c>
      <c r="B545" s="4" t="s">
        <v>1355</v>
      </c>
      <c r="C545" s="4" t="s">
        <v>1128</v>
      </c>
      <c r="D545" s="4" t="s">
        <v>1098</v>
      </c>
      <c r="E545" s="15">
        <v>45325.0</v>
      </c>
    </row>
    <row r="546">
      <c r="A546" s="4">
        <v>546.0</v>
      </c>
      <c r="B546" s="4" t="s">
        <v>1355</v>
      </c>
      <c r="C546" s="4" t="s">
        <v>1371</v>
      </c>
      <c r="D546" s="4" t="s">
        <v>1098</v>
      </c>
      <c r="E546" s="15">
        <v>45325.0</v>
      </c>
    </row>
    <row r="547">
      <c r="A547" s="4">
        <v>547.0</v>
      </c>
      <c r="B547" s="4" t="s">
        <v>1355</v>
      </c>
      <c r="C547" s="4" t="s">
        <v>1139</v>
      </c>
      <c r="D547" s="4" t="s">
        <v>1098</v>
      </c>
      <c r="E547" s="15">
        <v>45325.0</v>
      </c>
    </row>
    <row r="548">
      <c r="A548" s="4">
        <v>548.0</v>
      </c>
      <c r="B548" s="4" t="s">
        <v>1368</v>
      </c>
      <c r="C548" s="4" t="s">
        <v>1372</v>
      </c>
      <c r="D548" s="4" t="s">
        <v>1098</v>
      </c>
      <c r="E548" s="15">
        <v>45325.0</v>
      </c>
    </row>
    <row r="549">
      <c r="A549" s="4">
        <v>549.0</v>
      </c>
      <c r="B549" s="4" t="s">
        <v>1216</v>
      </c>
      <c r="C549" s="4" t="s">
        <v>1187</v>
      </c>
      <c r="D549" s="4" t="s">
        <v>1098</v>
      </c>
      <c r="E549" s="15">
        <v>45325.0</v>
      </c>
    </row>
    <row r="550">
      <c r="A550" s="4">
        <v>550.0</v>
      </c>
      <c r="B550" s="4" t="s">
        <v>1373</v>
      </c>
      <c r="C550" s="4" t="s">
        <v>1217</v>
      </c>
      <c r="D550" s="4" t="s">
        <v>1098</v>
      </c>
      <c r="E550" s="15">
        <v>45325.0</v>
      </c>
    </row>
    <row r="551">
      <c r="A551" s="4">
        <v>551.0</v>
      </c>
      <c r="B551" s="4" t="s">
        <v>1267</v>
      </c>
      <c r="C551" s="4" t="s">
        <v>1190</v>
      </c>
      <c r="D551" s="4" t="s">
        <v>1098</v>
      </c>
      <c r="E551" s="15">
        <v>45324.0</v>
      </c>
    </row>
    <row r="552">
      <c r="A552" s="4">
        <v>552.0</v>
      </c>
      <c r="B552" s="4" t="s">
        <v>1151</v>
      </c>
      <c r="C552" s="4" t="s">
        <v>1131</v>
      </c>
      <c r="D552" s="4" t="s">
        <v>1098</v>
      </c>
      <c r="E552" s="15">
        <v>45324.0</v>
      </c>
    </row>
    <row r="553">
      <c r="A553" s="4">
        <v>553.0</v>
      </c>
      <c r="B553" s="4" t="s">
        <v>1329</v>
      </c>
      <c r="C553" s="4" t="s">
        <v>1325</v>
      </c>
      <c r="D553" s="4" t="s">
        <v>1098</v>
      </c>
      <c r="E553" s="15">
        <v>45324.0</v>
      </c>
    </row>
    <row r="554">
      <c r="A554" s="4">
        <v>554.0</v>
      </c>
      <c r="B554" s="4" t="s">
        <v>1177</v>
      </c>
      <c r="C554" s="4" t="s">
        <v>1325</v>
      </c>
      <c r="D554" s="4" t="s">
        <v>1098</v>
      </c>
      <c r="E554" s="15">
        <v>45324.0</v>
      </c>
    </row>
    <row r="555">
      <c r="A555" s="4">
        <v>555.0</v>
      </c>
      <c r="B555" s="4" t="s">
        <v>1374</v>
      </c>
      <c r="C555" s="4" t="s">
        <v>1207</v>
      </c>
      <c r="D555" s="4" t="s">
        <v>1098</v>
      </c>
      <c r="E555" s="15">
        <v>45324.0</v>
      </c>
    </row>
    <row r="556">
      <c r="A556" s="4">
        <v>556.0</v>
      </c>
      <c r="B556" s="4" t="s">
        <v>1177</v>
      </c>
      <c r="C556" s="4" t="s">
        <v>1122</v>
      </c>
      <c r="D556" s="4" t="s">
        <v>1098</v>
      </c>
      <c r="E556" s="15">
        <v>45324.0</v>
      </c>
    </row>
    <row r="557">
      <c r="A557" s="4">
        <v>557.0</v>
      </c>
      <c r="B557" s="4" t="s">
        <v>1375</v>
      </c>
      <c r="C557" s="4" t="s">
        <v>1102</v>
      </c>
      <c r="D557" s="4" t="s">
        <v>1098</v>
      </c>
      <c r="E557" s="15">
        <v>45324.0</v>
      </c>
    </row>
    <row r="558">
      <c r="A558" s="4">
        <v>558.0</v>
      </c>
      <c r="B558" s="4" t="s">
        <v>1376</v>
      </c>
      <c r="C558" s="4" t="s">
        <v>1102</v>
      </c>
      <c r="D558" s="4" t="s">
        <v>1098</v>
      </c>
      <c r="E558" s="15">
        <v>45324.0</v>
      </c>
    </row>
    <row r="559">
      <c r="A559" s="4">
        <v>559.0</v>
      </c>
      <c r="B559" s="4" t="s">
        <v>1373</v>
      </c>
      <c r="C559" s="4" t="s">
        <v>1102</v>
      </c>
      <c r="D559" s="4" t="s">
        <v>1098</v>
      </c>
      <c r="E559" s="15">
        <v>45324.0</v>
      </c>
    </row>
    <row r="560">
      <c r="A560" s="4">
        <v>560.0</v>
      </c>
      <c r="B560" s="4" t="s">
        <v>1342</v>
      </c>
      <c r="C560" s="4" t="s">
        <v>1343</v>
      </c>
      <c r="D560" s="4" t="s">
        <v>1098</v>
      </c>
      <c r="E560" s="15">
        <v>45324.0</v>
      </c>
    </row>
    <row r="561">
      <c r="A561" s="4">
        <v>561.0</v>
      </c>
      <c r="B561" s="4" t="s">
        <v>1329</v>
      </c>
      <c r="C561" s="4" t="s">
        <v>1259</v>
      </c>
      <c r="D561" s="4" t="s">
        <v>1098</v>
      </c>
      <c r="E561" s="15">
        <v>45324.0</v>
      </c>
    </row>
    <row r="562">
      <c r="A562" s="4">
        <v>562.0</v>
      </c>
      <c r="B562" s="4" t="s">
        <v>1118</v>
      </c>
      <c r="C562" s="4" t="s">
        <v>1217</v>
      </c>
      <c r="D562" s="4" t="s">
        <v>1098</v>
      </c>
      <c r="E562" s="15">
        <v>45324.0</v>
      </c>
    </row>
    <row r="563">
      <c r="A563" s="4">
        <v>563.0</v>
      </c>
      <c r="B563" s="4" t="s">
        <v>1374</v>
      </c>
      <c r="C563" s="4" t="s">
        <v>1377</v>
      </c>
      <c r="D563" s="4" t="s">
        <v>1098</v>
      </c>
      <c r="E563" s="15">
        <v>45324.0</v>
      </c>
    </row>
    <row r="564">
      <c r="A564" s="4">
        <v>564.0</v>
      </c>
      <c r="B564" s="4" t="s">
        <v>1374</v>
      </c>
      <c r="C564" s="4" t="s">
        <v>1377</v>
      </c>
      <c r="D564" s="4" t="s">
        <v>1098</v>
      </c>
      <c r="E564" s="15">
        <v>45324.0</v>
      </c>
    </row>
    <row r="565">
      <c r="A565" s="4">
        <v>565.0</v>
      </c>
      <c r="B565" s="4" t="s">
        <v>1250</v>
      </c>
      <c r="C565" s="4" t="s">
        <v>1189</v>
      </c>
      <c r="D565" s="4" t="s">
        <v>1098</v>
      </c>
      <c r="E565" s="15">
        <v>45324.0</v>
      </c>
    </row>
    <row r="566">
      <c r="A566" s="4">
        <v>566.0</v>
      </c>
      <c r="B566" s="4" t="s">
        <v>1329</v>
      </c>
      <c r="C566" s="4" t="s">
        <v>1378</v>
      </c>
      <c r="D566" s="4" t="s">
        <v>1120</v>
      </c>
      <c r="E566" s="15">
        <v>45324.0</v>
      </c>
    </row>
    <row r="567">
      <c r="A567" s="4">
        <v>567.0</v>
      </c>
      <c r="B567" s="4" t="s">
        <v>1379</v>
      </c>
      <c r="C567" s="4" t="s">
        <v>1101</v>
      </c>
      <c r="D567" s="4" t="s">
        <v>1098</v>
      </c>
      <c r="E567" s="15">
        <v>45323.0</v>
      </c>
    </row>
    <row r="568">
      <c r="A568" s="4">
        <v>568.0</v>
      </c>
      <c r="B568" s="4" t="s">
        <v>1380</v>
      </c>
      <c r="C568" s="4" t="s">
        <v>1102</v>
      </c>
      <c r="D568" s="4" t="s">
        <v>1098</v>
      </c>
      <c r="E568" s="15">
        <v>45323.0</v>
      </c>
    </row>
    <row r="569">
      <c r="A569" s="4">
        <v>569.0</v>
      </c>
      <c r="B569" s="4" t="s">
        <v>1381</v>
      </c>
      <c r="C569" s="4" t="s">
        <v>1102</v>
      </c>
      <c r="D569" s="4" t="s">
        <v>1098</v>
      </c>
      <c r="E569" s="15">
        <v>45323.0</v>
      </c>
    </row>
    <row r="570">
      <c r="A570" s="4">
        <v>570.0</v>
      </c>
      <c r="B570" s="4" t="s">
        <v>1382</v>
      </c>
      <c r="C570" s="4" t="s">
        <v>1102</v>
      </c>
      <c r="D570" s="4" t="s">
        <v>1098</v>
      </c>
      <c r="E570" s="15">
        <v>45323.0</v>
      </c>
    </row>
    <row r="571">
      <c r="A571" s="4">
        <v>571.0</v>
      </c>
      <c r="B571" s="4" t="s">
        <v>1383</v>
      </c>
      <c r="C571" s="4" t="s">
        <v>1102</v>
      </c>
      <c r="D571" s="4" t="s">
        <v>1098</v>
      </c>
      <c r="E571" s="15">
        <v>45323.0</v>
      </c>
    </row>
    <row r="572">
      <c r="A572" s="4">
        <v>572.0</v>
      </c>
      <c r="B572" s="4" t="s">
        <v>1384</v>
      </c>
      <c r="C572" s="4" t="s">
        <v>1102</v>
      </c>
      <c r="D572" s="4" t="s">
        <v>1098</v>
      </c>
      <c r="E572" s="15">
        <v>45323.0</v>
      </c>
    </row>
    <row r="573">
      <c r="A573" s="4">
        <v>573.0</v>
      </c>
      <c r="B573" s="4" t="s">
        <v>1385</v>
      </c>
      <c r="C573" s="4" t="s">
        <v>1128</v>
      </c>
      <c r="D573" s="4" t="s">
        <v>1098</v>
      </c>
      <c r="E573" s="15">
        <v>45323.0</v>
      </c>
    </row>
    <row r="574">
      <c r="A574" s="4">
        <v>574.0</v>
      </c>
      <c r="B574" s="4" t="s">
        <v>1385</v>
      </c>
      <c r="C574" s="4" t="s">
        <v>1187</v>
      </c>
      <c r="D574" s="4" t="s">
        <v>1098</v>
      </c>
      <c r="E574" s="15">
        <v>45323.0</v>
      </c>
    </row>
    <row r="575">
      <c r="A575" s="4">
        <v>575.0</v>
      </c>
      <c r="B575" s="4" t="s">
        <v>1386</v>
      </c>
      <c r="C575" s="4" t="s">
        <v>1187</v>
      </c>
      <c r="D575" s="4" t="s">
        <v>1098</v>
      </c>
      <c r="E575" s="15">
        <v>45323.0</v>
      </c>
    </row>
    <row r="576">
      <c r="A576" s="4">
        <v>576.0</v>
      </c>
      <c r="B576" s="4" t="s">
        <v>1151</v>
      </c>
      <c r="C576" s="4" t="s">
        <v>1328</v>
      </c>
      <c r="D576" s="4" t="s">
        <v>1098</v>
      </c>
      <c r="E576" s="15">
        <v>45323.0</v>
      </c>
    </row>
    <row r="577">
      <c r="A577" s="4">
        <v>577.0</v>
      </c>
      <c r="B577" s="4" t="s">
        <v>1382</v>
      </c>
      <c r="C577" s="4" t="s">
        <v>1217</v>
      </c>
      <c r="D577" s="4" t="s">
        <v>1098</v>
      </c>
      <c r="E577" s="15">
        <v>45323.0</v>
      </c>
    </row>
    <row r="578">
      <c r="A578" s="4">
        <v>578.0</v>
      </c>
      <c r="B578" s="4" t="s">
        <v>1240</v>
      </c>
      <c r="C578" s="4" t="s">
        <v>1189</v>
      </c>
      <c r="D578" s="4" t="s">
        <v>1098</v>
      </c>
      <c r="E578" s="15">
        <v>45323.0</v>
      </c>
    </row>
    <row r="579">
      <c r="A579" s="4">
        <v>579.0</v>
      </c>
      <c r="B579" s="4" t="s">
        <v>106</v>
      </c>
      <c r="C579" s="4" t="s">
        <v>1131</v>
      </c>
      <c r="D579" s="4" t="s">
        <v>1098</v>
      </c>
      <c r="E579" s="15">
        <v>45322.0</v>
      </c>
    </row>
    <row r="580">
      <c r="A580" s="4">
        <v>580.0</v>
      </c>
      <c r="B580" s="4" t="s">
        <v>1242</v>
      </c>
      <c r="C580" s="4" t="s">
        <v>1119</v>
      </c>
      <c r="D580" s="4" t="s">
        <v>1120</v>
      </c>
      <c r="E580" s="15">
        <v>45322.0</v>
      </c>
    </row>
    <row r="581">
      <c r="A581" s="4">
        <v>581.0</v>
      </c>
      <c r="B581" s="4" t="s">
        <v>1383</v>
      </c>
      <c r="C581" s="4" t="s">
        <v>1102</v>
      </c>
      <c r="D581" s="4" t="s">
        <v>1098</v>
      </c>
      <c r="E581" s="15">
        <v>45322.0</v>
      </c>
    </row>
    <row r="582">
      <c r="A582" s="4">
        <v>582.0</v>
      </c>
      <c r="B582" s="4" t="s">
        <v>1387</v>
      </c>
      <c r="C582" s="4" t="s">
        <v>1102</v>
      </c>
      <c r="D582" s="4" t="s">
        <v>1098</v>
      </c>
      <c r="E582" s="15">
        <v>45322.0</v>
      </c>
    </row>
    <row r="583">
      <c r="A583" s="4">
        <v>583.0</v>
      </c>
      <c r="B583" s="4" t="s">
        <v>1388</v>
      </c>
      <c r="C583" s="4" t="s">
        <v>1102</v>
      </c>
      <c r="D583" s="4" t="s">
        <v>1098</v>
      </c>
      <c r="E583" s="15">
        <v>45322.0</v>
      </c>
    </row>
    <row r="584">
      <c r="A584" s="4">
        <v>584.0</v>
      </c>
      <c r="B584" s="4" t="s">
        <v>1389</v>
      </c>
      <c r="C584" s="4" t="s">
        <v>1102</v>
      </c>
      <c r="D584" s="4" t="s">
        <v>1098</v>
      </c>
      <c r="E584" s="15">
        <v>45322.0</v>
      </c>
    </row>
    <row r="585">
      <c r="A585" s="4">
        <v>585.0</v>
      </c>
      <c r="B585" s="4" t="s">
        <v>1390</v>
      </c>
      <c r="C585" s="4" t="s">
        <v>1256</v>
      </c>
      <c r="D585" s="4" t="s">
        <v>1098</v>
      </c>
      <c r="E585" s="15">
        <v>45322.0</v>
      </c>
    </row>
    <row r="586">
      <c r="A586" s="4">
        <v>586.0</v>
      </c>
      <c r="B586" s="4" t="s">
        <v>1254</v>
      </c>
      <c r="C586" s="4" t="s">
        <v>1187</v>
      </c>
      <c r="D586" s="4" t="s">
        <v>1098</v>
      </c>
      <c r="E586" s="15">
        <v>45322.0</v>
      </c>
    </row>
    <row r="587">
      <c r="A587" s="4">
        <v>587.0</v>
      </c>
      <c r="B587" s="4" t="s">
        <v>1254</v>
      </c>
      <c r="C587" s="4" t="s">
        <v>1116</v>
      </c>
      <c r="D587" s="4" t="s">
        <v>1098</v>
      </c>
      <c r="E587" s="15">
        <v>45322.0</v>
      </c>
    </row>
    <row r="588">
      <c r="A588" s="4">
        <v>588.0</v>
      </c>
      <c r="B588" s="4" t="s">
        <v>1103</v>
      </c>
      <c r="C588" s="4" t="s">
        <v>1191</v>
      </c>
      <c r="D588" s="4" t="s">
        <v>1098</v>
      </c>
      <c r="E588" s="15">
        <v>45321.0</v>
      </c>
    </row>
    <row r="589">
      <c r="A589" s="4">
        <v>589.0</v>
      </c>
      <c r="B589" s="4" t="s">
        <v>82</v>
      </c>
      <c r="C589" s="4" t="s">
        <v>1131</v>
      </c>
      <c r="D589" s="4" t="s">
        <v>1098</v>
      </c>
      <c r="E589" s="15">
        <v>45321.0</v>
      </c>
    </row>
    <row r="590">
      <c r="A590" s="4">
        <v>590.0</v>
      </c>
      <c r="B590" s="4" t="s">
        <v>1391</v>
      </c>
      <c r="C590" s="4" t="s">
        <v>1131</v>
      </c>
      <c r="D590" s="4" t="s">
        <v>1098</v>
      </c>
      <c r="E590" s="15">
        <v>45321.0</v>
      </c>
    </row>
    <row r="591">
      <c r="A591" s="4">
        <v>591.0</v>
      </c>
      <c r="B591" s="4" t="s">
        <v>1132</v>
      </c>
      <c r="C591" s="4" t="s">
        <v>1131</v>
      </c>
      <c r="D591" s="4" t="s">
        <v>1098</v>
      </c>
      <c r="E591" s="15">
        <v>45321.0</v>
      </c>
    </row>
    <row r="592">
      <c r="A592" s="4">
        <v>592.0</v>
      </c>
      <c r="B592" s="4" t="s">
        <v>1392</v>
      </c>
      <c r="C592" s="4" t="s">
        <v>1131</v>
      </c>
      <c r="D592" s="4" t="s">
        <v>1098</v>
      </c>
      <c r="E592" s="15">
        <v>45321.0</v>
      </c>
    </row>
    <row r="593">
      <c r="A593" s="4">
        <v>593.0</v>
      </c>
      <c r="B593" s="4" t="s">
        <v>1392</v>
      </c>
      <c r="C593" s="4" t="s">
        <v>1131</v>
      </c>
      <c r="D593" s="4" t="s">
        <v>1098</v>
      </c>
      <c r="E593" s="15">
        <v>45321.0</v>
      </c>
    </row>
    <row r="594">
      <c r="A594" s="4">
        <v>594.0</v>
      </c>
      <c r="B594" s="4" t="s">
        <v>1393</v>
      </c>
      <c r="C594" s="4" t="s">
        <v>1131</v>
      </c>
      <c r="D594" s="4" t="s">
        <v>1098</v>
      </c>
      <c r="E594" s="15">
        <v>45321.0</v>
      </c>
    </row>
    <row r="595">
      <c r="A595" s="4">
        <v>595.0</v>
      </c>
      <c r="B595" s="4" t="s">
        <v>117</v>
      </c>
      <c r="C595" s="4" t="s">
        <v>1131</v>
      </c>
      <c r="D595" s="4" t="s">
        <v>1098</v>
      </c>
      <c r="E595" s="15">
        <v>45321.0</v>
      </c>
    </row>
    <row r="596">
      <c r="A596" s="4">
        <v>596.0</v>
      </c>
      <c r="B596" s="4" t="s">
        <v>1132</v>
      </c>
      <c r="C596" s="4" t="s">
        <v>1131</v>
      </c>
      <c r="D596" s="4" t="s">
        <v>1098</v>
      </c>
      <c r="E596" s="15">
        <v>45321.0</v>
      </c>
    </row>
    <row r="597">
      <c r="A597" s="4">
        <v>597.0</v>
      </c>
      <c r="B597" s="4" t="s">
        <v>1392</v>
      </c>
      <c r="C597" s="4" t="s">
        <v>1131</v>
      </c>
      <c r="D597" s="4" t="s">
        <v>1098</v>
      </c>
      <c r="E597" s="15">
        <v>45321.0</v>
      </c>
    </row>
    <row r="598">
      <c r="A598" s="4">
        <v>598.0</v>
      </c>
      <c r="B598" s="4" t="s">
        <v>1394</v>
      </c>
      <c r="C598" s="4" t="s">
        <v>1131</v>
      </c>
      <c r="D598" s="4" t="s">
        <v>1098</v>
      </c>
      <c r="E598" s="15">
        <v>45321.0</v>
      </c>
    </row>
    <row r="599">
      <c r="A599" s="4">
        <v>599.0</v>
      </c>
      <c r="B599" s="4" t="s">
        <v>1395</v>
      </c>
      <c r="C599" s="4" t="s">
        <v>1131</v>
      </c>
      <c r="D599" s="4" t="s">
        <v>1098</v>
      </c>
      <c r="E599" s="15">
        <v>45321.0</v>
      </c>
    </row>
    <row r="600">
      <c r="A600" s="4">
        <v>600.0</v>
      </c>
      <c r="B600" s="4" t="s">
        <v>231</v>
      </c>
      <c r="C600" s="4" t="s">
        <v>1131</v>
      </c>
      <c r="D600" s="4" t="s">
        <v>1098</v>
      </c>
      <c r="E600" s="15">
        <v>45321.0</v>
      </c>
    </row>
    <row r="601">
      <c r="A601" s="4">
        <v>601.0</v>
      </c>
      <c r="B601" s="4" t="s">
        <v>1396</v>
      </c>
      <c r="C601" s="4" t="s">
        <v>1131</v>
      </c>
      <c r="D601" s="4" t="s">
        <v>1098</v>
      </c>
      <c r="E601" s="15">
        <v>45321.0</v>
      </c>
    </row>
    <row r="602">
      <c r="A602" s="4">
        <v>602.0</v>
      </c>
      <c r="B602" s="4" t="s">
        <v>1397</v>
      </c>
      <c r="C602" s="4" t="s">
        <v>1131</v>
      </c>
      <c r="D602" s="4" t="s">
        <v>1098</v>
      </c>
      <c r="E602" s="15">
        <v>45321.0</v>
      </c>
    </row>
    <row r="603">
      <c r="A603" s="4">
        <v>603.0</v>
      </c>
      <c r="B603" s="4" t="s">
        <v>82</v>
      </c>
      <c r="C603" s="4" t="s">
        <v>1131</v>
      </c>
      <c r="D603" s="4" t="s">
        <v>1098</v>
      </c>
      <c r="E603" s="15">
        <v>45321.0</v>
      </c>
    </row>
    <row r="604">
      <c r="A604" s="4">
        <v>604.0</v>
      </c>
      <c r="B604" s="4" t="s">
        <v>1132</v>
      </c>
      <c r="C604" s="4" t="s">
        <v>1131</v>
      </c>
      <c r="D604" s="4" t="s">
        <v>1098</v>
      </c>
      <c r="E604" s="15">
        <v>45321.0</v>
      </c>
    </row>
    <row r="605">
      <c r="A605" s="4">
        <v>605.0</v>
      </c>
      <c r="B605" s="4" t="s">
        <v>1395</v>
      </c>
      <c r="C605" s="4" t="s">
        <v>1131</v>
      </c>
      <c r="D605" s="4" t="s">
        <v>1098</v>
      </c>
      <c r="E605" s="15">
        <v>45321.0</v>
      </c>
    </row>
    <row r="606">
      <c r="A606" s="4">
        <v>606.0</v>
      </c>
      <c r="B606" s="4" t="s">
        <v>1395</v>
      </c>
      <c r="C606" s="4" t="s">
        <v>1131</v>
      </c>
      <c r="D606" s="4" t="s">
        <v>1098</v>
      </c>
      <c r="E606" s="15">
        <v>45321.0</v>
      </c>
    </row>
    <row r="607">
      <c r="A607" s="4">
        <v>607.0</v>
      </c>
      <c r="B607" s="4" t="s">
        <v>1395</v>
      </c>
      <c r="C607" s="4" t="s">
        <v>1131</v>
      </c>
      <c r="D607" s="4" t="s">
        <v>1098</v>
      </c>
      <c r="E607" s="15">
        <v>45321.0</v>
      </c>
    </row>
    <row r="608">
      <c r="A608" s="4">
        <v>608.0</v>
      </c>
      <c r="B608" s="4" t="s">
        <v>1132</v>
      </c>
      <c r="C608" s="4" t="s">
        <v>1131</v>
      </c>
      <c r="D608" s="4" t="s">
        <v>1098</v>
      </c>
      <c r="E608" s="15">
        <v>45321.0</v>
      </c>
    </row>
    <row r="609">
      <c r="A609" s="4">
        <v>609.0</v>
      </c>
      <c r="B609" s="4" t="s">
        <v>1395</v>
      </c>
      <c r="C609" s="4" t="s">
        <v>1131</v>
      </c>
      <c r="D609" s="4" t="s">
        <v>1098</v>
      </c>
      <c r="E609" s="15">
        <v>45321.0</v>
      </c>
    </row>
    <row r="610">
      <c r="A610" s="4">
        <v>610.0</v>
      </c>
      <c r="B610" s="4" t="s">
        <v>1395</v>
      </c>
      <c r="C610" s="4" t="s">
        <v>1131</v>
      </c>
      <c r="D610" s="4" t="s">
        <v>1098</v>
      </c>
      <c r="E610" s="15">
        <v>45321.0</v>
      </c>
    </row>
    <row r="611">
      <c r="A611" s="4">
        <v>611.0</v>
      </c>
      <c r="B611" s="4" t="s">
        <v>1395</v>
      </c>
      <c r="C611" s="4" t="s">
        <v>1131</v>
      </c>
      <c r="D611" s="4" t="s">
        <v>1098</v>
      </c>
      <c r="E611" s="15">
        <v>45321.0</v>
      </c>
    </row>
    <row r="612">
      <c r="A612" s="4">
        <v>612.0</v>
      </c>
      <c r="B612" s="4" t="s">
        <v>1395</v>
      </c>
      <c r="C612" s="4" t="s">
        <v>1131</v>
      </c>
      <c r="D612" s="4" t="s">
        <v>1098</v>
      </c>
      <c r="E612" s="15">
        <v>45321.0</v>
      </c>
    </row>
    <row r="613">
      <c r="A613" s="4">
        <v>613.0</v>
      </c>
      <c r="B613" s="4" t="s">
        <v>1395</v>
      </c>
      <c r="C613" s="4" t="s">
        <v>1131</v>
      </c>
      <c r="D613" s="4" t="s">
        <v>1098</v>
      </c>
      <c r="E613" s="15">
        <v>45321.0</v>
      </c>
    </row>
    <row r="614">
      <c r="A614" s="4">
        <v>614.0</v>
      </c>
      <c r="B614" s="4" t="s">
        <v>1395</v>
      </c>
      <c r="C614" s="4" t="s">
        <v>1131</v>
      </c>
      <c r="D614" s="4" t="s">
        <v>1098</v>
      </c>
      <c r="E614" s="15">
        <v>45321.0</v>
      </c>
    </row>
    <row r="615">
      <c r="A615" s="4">
        <v>615.0</v>
      </c>
      <c r="B615" s="4" t="s">
        <v>1132</v>
      </c>
      <c r="C615" s="4" t="s">
        <v>1131</v>
      </c>
      <c r="D615" s="4" t="s">
        <v>1098</v>
      </c>
      <c r="E615" s="15">
        <v>45321.0</v>
      </c>
    </row>
    <row r="616">
      <c r="A616" s="4">
        <v>616.0</v>
      </c>
      <c r="B616" s="4" t="s">
        <v>1132</v>
      </c>
      <c r="C616" s="4" t="s">
        <v>1131</v>
      </c>
      <c r="D616" s="4" t="s">
        <v>1098</v>
      </c>
      <c r="E616" s="15">
        <v>45321.0</v>
      </c>
    </row>
    <row r="617">
      <c r="A617" s="4">
        <v>617.0</v>
      </c>
      <c r="B617" s="4" t="s">
        <v>106</v>
      </c>
      <c r="C617" s="4" t="s">
        <v>1131</v>
      </c>
      <c r="D617" s="4" t="s">
        <v>1098</v>
      </c>
      <c r="E617" s="15">
        <v>45321.0</v>
      </c>
    </row>
    <row r="618">
      <c r="A618" s="4">
        <v>618.0</v>
      </c>
      <c r="B618" s="4" t="s">
        <v>1132</v>
      </c>
      <c r="C618" s="4" t="s">
        <v>1131</v>
      </c>
      <c r="D618" s="4" t="s">
        <v>1098</v>
      </c>
      <c r="E618" s="15">
        <v>45321.0</v>
      </c>
    </row>
    <row r="619">
      <c r="A619" s="4">
        <v>619.0</v>
      </c>
      <c r="B619" s="4" t="s">
        <v>1398</v>
      </c>
      <c r="C619" s="4" t="s">
        <v>1131</v>
      </c>
      <c r="D619" s="4" t="s">
        <v>1098</v>
      </c>
      <c r="E619" s="15">
        <v>45321.0</v>
      </c>
    </row>
    <row r="620">
      <c r="A620" s="4">
        <v>620.0</v>
      </c>
      <c r="B620" s="4" t="s">
        <v>633</v>
      </c>
      <c r="C620" s="4" t="s">
        <v>1131</v>
      </c>
      <c r="D620" s="4" t="s">
        <v>1098</v>
      </c>
      <c r="E620" s="15">
        <v>45321.0</v>
      </c>
    </row>
    <row r="621">
      <c r="A621" s="4">
        <v>621.0</v>
      </c>
      <c r="B621" s="4" t="s">
        <v>1132</v>
      </c>
      <c r="C621" s="4" t="s">
        <v>1131</v>
      </c>
      <c r="D621" s="4" t="s">
        <v>1098</v>
      </c>
      <c r="E621" s="15">
        <v>45321.0</v>
      </c>
    </row>
    <row r="622">
      <c r="A622" s="4">
        <v>622.0</v>
      </c>
      <c r="B622" s="4" t="s">
        <v>1399</v>
      </c>
      <c r="C622" s="4" t="s">
        <v>1131</v>
      </c>
      <c r="D622" s="4" t="s">
        <v>1098</v>
      </c>
      <c r="E622" s="15">
        <v>45321.0</v>
      </c>
    </row>
    <row r="623">
      <c r="A623" s="4">
        <v>623.0</v>
      </c>
      <c r="B623" s="4" t="s">
        <v>1399</v>
      </c>
      <c r="C623" s="4" t="s">
        <v>1131</v>
      </c>
      <c r="D623" s="4" t="s">
        <v>1098</v>
      </c>
      <c r="E623" s="15">
        <v>45321.0</v>
      </c>
    </row>
    <row r="624">
      <c r="A624" s="4">
        <v>624.0</v>
      </c>
      <c r="B624" s="4" t="s">
        <v>1396</v>
      </c>
      <c r="C624" s="4" t="s">
        <v>1131</v>
      </c>
      <c r="D624" s="4" t="s">
        <v>1098</v>
      </c>
      <c r="E624" s="15">
        <v>45321.0</v>
      </c>
    </row>
    <row r="625">
      <c r="A625" s="4">
        <v>625.0</v>
      </c>
      <c r="B625" s="4" t="s">
        <v>112</v>
      </c>
      <c r="C625" s="4" t="s">
        <v>1131</v>
      </c>
      <c r="D625" s="4" t="s">
        <v>1098</v>
      </c>
      <c r="E625" s="15">
        <v>45321.0</v>
      </c>
    </row>
    <row r="626">
      <c r="A626" s="4">
        <v>626.0</v>
      </c>
      <c r="B626" s="4" t="s">
        <v>1393</v>
      </c>
      <c r="C626" s="4" t="s">
        <v>1131</v>
      </c>
      <c r="D626" s="4" t="s">
        <v>1098</v>
      </c>
      <c r="E626" s="15">
        <v>45321.0</v>
      </c>
    </row>
    <row r="627">
      <c r="A627" s="4">
        <v>627.0</v>
      </c>
      <c r="B627" s="4" t="s">
        <v>1400</v>
      </c>
      <c r="C627" s="4" t="s">
        <v>1131</v>
      </c>
      <c r="D627" s="4" t="s">
        <v>1098</v>
      </c>
      <c r="E627" s="15">
        <v>45321.0</v>
      </c>
    </row>
    <row r="628">
      <c r="A628" s="4">
        <v>628.0</v>
      </c>
      <c r="B628" s="4" t="s">
        <v>1396</v>
      </c>
      <c r="C628" s="4" t="s">
        <v>1131</v>
      </c>
      <c r="D628" s="4" t="s">
        <v>1098</v>
      </c>
      <c r="E628" s="15">
        <v>45321.0</v>
      </c>
    </row>
    <row r="629">
      <c r="A629" s="4">
        <v>629.0</v>
      </c>
      <c r="B629" s="4" t="s">
        <v>1400</v>
      </c>
      <c r="C629" s="4" t="s">
        <v>1131</v>
      </c>
      <c r="D629" s="4" t="s">
        <v>1098</v>
      </c>
      <c r="E629" s="15">
        <v>45321.0</v>
      </c>
    </row>
    <row r="630">
      <c r="A630" s="4">
        <v>630.0</v>
      </c>
      <c r="B630" s="4" t="s">
        <v>393</v>
      </c>
      <c r="C630" s="4" t="s">
        <v>1131</v>
      </c>
      <c r="D630" s="4" t="s">
        <v>1098</v>
      </c>
      <c r="E630" s="15">
        <v>45321.0</v>
      </c>
    </row>
    <row r="631">
      <c r="A631" s="4">
        <v>631.0</v>
      </c>
      <c r="B631" s="4" t="s">
        <v>1399</v>
      </c>
      <c r="C631" s="4" t="s">
        <v>1325</v>
      </c>
      <c r="D631" s="4" t="s">
        <v>1098</v>
      </c>
      <c r="E631" s="15">
        <v>45321.0</v>
      </c>
    </row>
    <row r="632">
      <c r="A632" s="4">
        <v>632.0</v>
      </c>
      <c r="B632" s="4" t="s">
        <v>393</v>
      </c>
      <c r="C632" s="4" t="s">
        <v>1325</v>
      </c>
      <c r="D632" s="4" t="s">
        <v>1098</v>
      </c>
      <c r="E632" s="15">
        <v>45321.0</v>
      </c>
    </row>
    <row r="633">
      <c r="A633" s="4">
        <v>633.0</v>
      </c>
      <c r="B633" s="4" t="s">
        <v>1401</v>
      </c>
      <c r="C633" s="4" t="s">
        <v>1325</v>
      </c>
      <c r="D633" s="4" t="s">
        <v>1098</v>
      </c>
      <c r="E633" s="15">
        <v>45321.0</v>
      </c>
    </row>
    <row r="634">
      <c r="A634" s="4">
        <v>634.0</v>
      </c>
      <c r="B634" s="4" t="s">
        <v>1394</v>
      </c>
      <c r="C634" s="4" t="s">
        <v>1325</v>
      </c>
      <c r="D634" s="4" t="s">
        <v>1098</v>
      </c>
      <c r="E634" s="15">
        <v>45321.0</v>
      </c>
    </row>
    <row r="635">
      <c r="A635" s="4">
        <v>635.0</v>
      </c>
      <c r="B635" s="4" t="s">
        <v>1397</v>
      </c>
      <c r="C635" s="4" t="s">
        <v>1325</v>
      </c>
      <c r="D635" s="4" t="s">
        <v>1098</v>
      </c>
      <c r="E635" s="15">
        <v>45321.0</v>
      </c>
    </row>
    <row r="636">
      <c r="A636" s="4">
        <v>636.0</v>
      </c>
      <c r="B636" s="4" t="s">
        <v>1401</v>
      </c>
      <c r="C636" s="4" t="s">
        <v>1325</v>
      </c>
      <c r="D636" s="4" t="s">
        <v>1098</v>
      </c>
      <c r="E636" s="15">
        <v>45321.0</v>
      </c>
    </row>
    <row r="637">
      <c r="A637" s="4">
        <v>637.0</v>
      </c>
      <c r="B637" s="4" t="s">
        <v>1402</v>
      </c>
      <c r="C637" s="4" t="s">
        <v>1325</v>
      </c>
      <c r="D637" s="4" t="s">
        <v>1098</v>
      </c>
      <c r="E637" s="15">
        <v>45321.0</v>
      </c>
    </row>
    <row r="638">
      <c r="A638" s="4">
        <v>638.0</v>
      </c>
      <c r="B638" s="4" t="s">
        <v>1402</v>
      </c>
      <c r="C638" s="4" t="s">
        <v>1325</v>
      </c>
      <c r="D638" s="4" t="s">
        <v>1098</v>
      </c>
      <c r="E638" s="15">
        <v>45321.0</v>
      </c>
    </row>
    <row r="639">
      <c r="A639" s="4">
        <v>639.0</v>
      </c>
      <c r="B639" s="4" t="s">
        <v>633</v>
      </c>
      <c r="C639" s="4" t="s">
        <v>1325</v>
      </c>
      <c r="D639" s="4" t="s">
        <v>1098</v>
      </c>
      <c r="E639" s="15">
        <v>45321.0</v>
      </c>
    </row>
    <row r="640">
      <c r="A640" s="4">
        <v>640.0</v>
      </c>
      <c r="B640" s="4" t="s">
        <v>1402</v>
      </c>
      <c r="C640" s="4" t="s">
        <v>1325</v>
      </c>
      <c r="D640" s="4" t="s">
        <v>1098</v>
      </c>
      <c r="E640" s="15">
        <v>45321.0</v>
      </c>
    </row>
    <row r="641">
      <c r="A641" s="4">
        <v>641.0</v>
      </c>
      <c r="B641" s="4" t="s">
        <v>393</v>
      </c>
      <c r="C641" s="4" t="s">
        <v>1122</v>
      </c>
      <c r="D641" s="4" t="s">
        <v>1098</v>
      </c>
      <c r="E641" s="15">
        <v>45321.0</v>
      </c>
    </row>
    <row r="642">
      <c r="A642" s="4">
        <v>642.0</v>
      </c>
      <c r="B642" s="4" t="s">
        <v>1403</v>
      </c>
      <c r="C642" s="4" t="s">
        <v>1122</v>
      </c>
      <c r="D642" s="4" t="s">
        <v>1098</v>
      </c>
      <c r="E642" s="15">
        <v>45321.0</v>
      </c>
    </row>
    <row r="643">
      <c r="A643" s="4">
        <v>643.0</v>
      </c>
      <c r="B643" s="4" t="s">
        <v>112</v>
      </c>
      <c r="C643" s="4" t="s">
        <v>1122</v>
      </c>
      <c r="D643" s="4" t="s">
        <v>1098</v>
      </c>
      <c r="E643" s="15">
        <v>45321.0</v>
      </c>
    </row>
    <row r="644">
      <c r="A644" s="4">
        <v>644.0</v>
      </c>
      <c r="B644" s="4" t="s">
        <v>1394</v>
      </c>
      <c r="C644" s="4" t="s">
        <v>1122</v>
      </c>
      <c r="D644" s="4" t="s">
        <v>1098</v>
      </c>
      <c r="E644" s="15">
        <v>45321.0</v>
      </c>
    </row>
    <row r="645">
      <c r="A645" s="4">
        <v>645.0</v>
      </c>
      <c r="B645" s="4" t="s">
        <v>231</v>
      </c>
      <c r="C645" s="4" t="s">
        <v>1122</v>
      </c>
      <c r="D645" s="4" t="s">
        <v>1098</v>
      </c>
      <c r="E645" s="15">
        <v>45321.0</v>
      </c>
    </row>
    <row r="646">
      <c r="A646" s="4">
        <v>646.0</v>
      </c>
      <c r="B646" s="4" t="s">
        <v>1396</v>
      </c>
      <c r="C646" s="4" t="s">
        <v>1122</v>
      </c>
      <c r="D646" s="4" t="s">
        <v>1098</v>
      </c>
      <c r="E646" s="15">
        <v>45321.0</v>
      </c>
    </row>
    <row r="647">
      <c r="A647" s="4">
        <v>647.0</v>
      </c>
      <c r="B647" s="4" t="s">
        <v>1103</v>
      </c>
      <c r="C647" s="4" t="s">
        <v>1122</v>
      </c>
      <c r="D647" s="4" t="s">
        <v>1098</v>
      </c>
      <c r="E647" s="15">
        <v>45321.0</v>
      </c>
    </row>
    <row r="648">
      <c r="A648" s="4">
        <v>648.0</v>
      </c>
      <c r="B648" s="4" t="s">
        <v>231</v>
      </c>
      <c r="C648" s="4" t="s">
        <v>1122</v>
      </c>
      <c r="D648" s="4" t="s">
        <v>1098</v>
      </c>
      <c r="E648" s="15">
        <v>45321.0</v>
      </c>
    </row>
    <row r="649">
      <c r="A649" s="4">
        <v>649.0</v>
      </c>
      <c r="B649" s="4" t="s">
        <v>231</v>
      </c>
      <c r="C649" s="4" t="s">
        <v>1122</v>
      </c>
      <c r="D649" s="4" t="s">
        <v>1098</v>
      </c>
      <c r="E649" s="15">
        <v>45321.0</v>
      </c>
    </row>
    <row r="650">
      <c r="A650" s="4">
        <v>650.0</v>
      </c>
      <c r="B650" s="4" t="s">
        <v>231</v>
      </c>
      <c r="C650" s="4" t="s">
        <v>1122</v>
      </c>
      <c r="D650" s="4" t="s">
        <v>1098</v>
      </c>
      <c r="E650" s="15">
        <v>45321.0</v>
      </c>
    </row>
    <row r="651">
      <c r="A651" s="4">
        <v>651.0</v>
      </c>
      <c r="B651" s="4" t="s">
        <v>231</v>
      </c>
      <c r="C651" s="4" t="s">
        <v>1122</v>
      </c>
      <c r="D651" s="4" t="s">
        <v>1098</v>
      </c>
      <c r="E651" s="15">
        <v>45321.0</v>
      </c>
    </row>
    <row r="652">
      <c r="A652" s="4">
        <v>652.0</v>
      </c>
      <c r="B652" s="4" t="s">
        <v>231</v>
      </c>
      <c r="C652" s="4" t="s">
        <v>1122</v>
      </c>
      <c r="D652" s="4" t="s">
        <v>1098</v>
      </c>
      <c r="E652" s="15">
        <v>45321.0</v>
      </c>
    </row>
    <row r="653">
      <c r="A653" s="4">
        <v>653.0</v>
      </c>
      <c r="B653" s="4" t="s">
        <v>1404</v>
      </c>
      <c r="C653" s="4" t="s">
        <v>1122</v>
      </c>
      <c r="D653" s="4" t="s">
        <v>1098</v>
      </c>
      <c r="E653" s="15">
        <v>45321.0</v>
      </c>
    </row>
    <row r="654">
      <c r="A654" s="4">
        <v>654.0</v>
      </c>
      <c r="B654" s="4" t="s">
        <v>1405</v>
      </c>
      <c r="C654" s="4" t="s">
        <v>1122</v>
      </c>
      <c r="D654" s="4" t="s">
        <v>1098</v>
      </c>
      <c r="E654" s="15">
        <v>45321.0</v>
      </c>
    </row>
    <row r="655">
      <c r="A655" s="4">
        <v>655.0</v>
      </c>
      <c r="B655" s="4" t="s">
        <v>1404</v>
      </c>
      <c r="C655" s="4" t="s">
        <v>1122</v>
      </c>
      <c r="D655" s="4" t="s">
        <v>1098</v>
      </c>
      <c r="E655" s="15">
        <v>45321.0</v>
      </c>
    </row>
    <row r="656">
      <c r="A656" s="4">
        <v>656.0</v>
      </c>
      <c r="B656" s="4" t="s">
        <v>1399</v>
      </c>
      <c r="C656" s="4" t="s">
        <v>1122</v>
      </c>
      <c r="D656" s="4" t="s">
        <v>1098</v>
      </c>
      <c r="E656" s="15">
        <v>45321.0</v>
      </c>
    </row>
    <row r="657">
      <c r="A657" s="4">
        <v>657.0</v>
      </c>
      <c r="B657" s="4" t="s">
        <v>231</v>
      </c>
      <c r="C657" s="4" t="s">
        <v>1122</v>
      </c>
      <c r="D657" s="4" t="s">
        <v>1098</v>
      </c>
      <c r="E657" s="15">
        <v>45321.0</v>
      </c>
    </row>
    <row r="658">
      <c r="A658" s="4">
        <v>658.0</v>
      </c>
      <c r="B658" s="4" t="s">
        <v>1403</v>
      </c>
      <c r="C658" s="4" t="s">
        <v>1122</v>
      </c>
      <c r="D658" s="4" t="s">
        <v>1098</v>
      </c>
      <c r="E658" s="15">
        <v>45321.0</v>
      </c>
    </row>
    <row r="659">
      <c r="A659" s="4">
        <v>659.0</v>
      </c>
      <c r="B659" s="4" t="s">
        <v>106</v>
      </c>
      <c r="C659" s="4" t="s">
        <v>1122</v>
      </c>
      <c r="D659" s="4" t="s">
        <v>1098</v>
      </c>
      <c r="E659" s="15">
        <v>45321.0</v>
      </c>
    </row>
    <row r="660">
      <c r="A660" s="4">
        <v>660.0</v>
      </c>
      <c r="B660" s="4" t="s">
        <v>1399</v>
      </c>
      <c r="C660" s="4" t="s">
        <v>1122</v>
      </c>
      <c r="D660" s="4" t="s">
        <v>1098</v>
      </c>
      <c r="E660" s="15">
        <v>45321.0</v>
      </c>
    </row>
    <row r="661">
      <c r="A661" s="4">
        <v>661.0</v>
      </c>
      <c r="B661" s="4" t="s">
        <v>112</v>
      </c>
      <c r="C661" s="4" t="s">
        <v>1122</v>
      </c>
      <c r="D661" s="4" t="s">
        <v>1098</v>
      </c>
      <c r="E661" s="15">
        <v>45321.0</v>
      </c>
    </row>
    <row r="662">
      <c r="A662" s="4">
        <v>662.0</v>
      </c>
      <c r="B662" s="4" t="s">
        <v>1406</v>
      </c>
      <c r="C662" s="4" t="s">
        <v>1122</v>
      </c>
      <c r="D662" s="4" t="s">
        <v>1098</v>
      </c>
      <c r="E662" s="15">
        <v>45321.0</v>
      </c>
    </row>
    <row r="663">
      <c r="A663" s="4">
        <v>663.0</v>
      </c>
      <c r="B663" s="4" t="s">
        <v>1206</v>
      </c>
      <c r="C663" s="4" t="s">
        <v>1122</v>
      </c>
      <c r="D663" s="4" t="s">
        <v>1098</v>
      </c>
      <c r="E663" s="15">
        <v>45321.0</v>
      </c>
    </row>
    <row r="664">
      <c r="A664" s="4">
        <v>664.0</v>
      </c>
      <c r="B664" s="4" t="s">
        <v>1397</v>
      </c>
      <c r="C664" s="4" t="s">
        <v>1122</v>
      </c>
      <c r="D664" s="4" t="s">
        <v>1098</v>
      </c>
      <c r="E664" s="15">
        <v>45321.0</v>
      </c>
    </row>
    <row r="665">
      <c r="A665" s="4">
        <v>665.0</v>
      </c>
      <c r="B665" s="4" t="s">
        <v>1206</v>
      </c>
      <c r="C665" s="4" t="s">
        <v>1122</v>
      </c>
      <c r="D665" s="4" t="s">
        <v>1098</v>
      </c>
      <c r="E665" s="15">
        <v>45321.0</v>
      </c>
    </row>
    <row r="666">
      <c r="A666" s="4">
        <v>666.0</v>
      </c>
      <c r="B666" s="4" t="s">
        <v>1103</v>
      </c>
      <c r="C666" s="4" t="s">
        <v>1122</v>
      </c>
      <c r="D666" s="4" t="s">
        <v>1098</v>
      </c>
      <c r="E666" s="15">
        <v>45321.0</v>
      </c>
    </row>
    <row r="667">
      <c r="A667" s="4">
        <v>667.0</v>
      </c>
      <c r="B667" s="4" t="s">
        <v>983</v>
      </c>
      <c r="C667" s="4" t="s">
        <v>1122</v>
      </c>
      <c r="D667" s="4" t="s">
        <v>1098</v>
      </c>
      <c r="E667" s="15">
        <v>45321.0</v>
      </c>
    </row>
    <row r="668">
      <c r="A668" s="4">
        <v>668.0</v>
      </c>
      <c r="B668" s="4" t="s">
        <v>983</v>
      </c>
      <c r="C668" s="4" t="s">
        <v>1122</v>
      </c>
      <c r="D668" s="4" t="s">
        <v>1098</v>
      </c>
      <c r="E668" s="15">
        <v>45321.0</v>
      </c>
    </row>
    <row r="669">
      <c r="A669" s="4">
        <v>669.0</v>
      </c>
      <c r="B669" s="4" t="s">
        <v>1400</v>
      </c>
      <c r="C669" s="4" t="s">
        <v>1122</v>
      </c>
      <c r="D669" s="4" t="s">
        <v>1098</v>
      </c>
      <c r="E669" s="15">
        <v>45321.0</v>
      </c>
    </row>
    <row r="670">
      <c r="A670" s="4">
        <v>670.0</v>
      </c>
      <c r="B670" s="4" t="s">
        <v>633</v>
      </c>
      <c r="C670" s="4" t="s">
        <v>1122</v>
      </c>
      <c r="D670" s="4" t="s">
        <v>1098</v>
      </c>
      <c r="E670" s="15">
        <v>45321.0</v>
      </c>
    </row>
    <row r="671">
      <c r="A671" s="4">
        <v>671.0</v>
      </c>
      <c r="B671" s="4" t="s">
        <v>112</v>
      </c>
      <c r="C671" s="4" t="s">
        <v>1122</v>
      </c>
      <c r="D671" s="4" t="s">
        <v>1098</v>
      </c>
      <c r="E671" s="15">
        <v>45321.0</v>
      </c>
    </row>
    <row r="672">
      <c r="A672" s="4">
        <v>672.0</v>
      </c>
      <c r="B672" s="4" t="s">
        <v>1400</v>
      </c>
      <c r="C672" s="4" t="s">
        <v>1122</v>
      </c>
      <c r="D672" s="4" t="s">
        <v>1098</v>
      </c>
      <c r="E672" s="15">
        <v>45321.0</v>
      </c>
    </row>
    <row r="673">
      <c r="A673" s="4">
        <v>673.0</v>
      </c>
      <c r="B673" s="4" t="s">
        <v>1396</v>
      </c>
      <c r="C673" s="4" t="s">
        <v>1122</v>
      </c>
      <c r="D673" s="4" t="s">
        <v>1098</v>
      </c>
      <c r="E673" s="15">
        <v>45321.0</v>
      </c>
    </row>
    <row r="674">
      <c r="A674" s="4">
        <v>674.0</v>
      </c>
      <c r="B674" s="4" t="s">
        <v>1396</v>
      </c>
      <c r="C674" s="4" t="s">
        <v>1122</v>
      </c>
      <c r="D674" s="4" t="s">
        <v>1098</v>
      </c>
      <c r="E674" s="15">
        <v>45321.0</v>
      </c>
    </row>
    <row r="675">
      <c r="A675" s="4">
        <v>675.0</v>
      </c>
      <c r="B675" s="4" t="s">
        <v>1391</v>
      </c>
      <c r="C675" s="4" t="s">
        <v>1122</v>
      </c>
      <c r="D675" s="4" t="s">
        <v>1098</v>
      </c>
      <c r="E675" s="15">
        <v>45321.0</v>
      </c>
    </row>
    <row r="676">
      <c r="A676" s="4">
        <v>676.0</v>
      </c>
      <c r="B676" s="4" t="s">
        <v>1392</v>
      </c>
      <c r="C676" s="4" t="s">
        <v>1122</v>
      </c>
      <c r="D676" s="4" t="s">
        <v>1098</v>
      </c>
      <c r="E676" s="15">
        <v>45321.0</v>
      </c>
    </row>
    <row r="677">
      <c r="A677" s="4">
        <v>677.0</v>
      </c>
      <c r="B677" s="4" t="s">
        <v>112</v>
      </c>
      <c r="C677" s="4" t="s">
        <v>1122</v>
      </c>
      <c r="D677" s="4" t="s">
        <v>1098</v>
      </c>
      <c r="E677" s="15">
        <v>45321.0</v>
      </c>
    </row>
    <row r="678">
      <c r="A678" s="4">
        <v>678.0</v>
      </c>
      <c r="B678" s="4" t="s">
        <v>1400</v>
      </c>
      <c r="C678" s="4" t="s">
        <v>1122</v>
      </c>
      <c r="D678" s="4" t="s">
        <v>1098</v>
      </c>
      <c r="E678" s="15">
        <v>45321.0</v>
      </c>
    </row>
    <row r="679">
      <c r="A679" s="4">
        <v>679.0</v>
      </c>
      <c r="B679" s="4" t="s">
        <v>1392</v>
      </c>
      <c r="C679" s="4" t="s">
        <v>1122</v>
      </c>
      <c r="D679" s="4" t="s">
        <v>1098</v>
      </c>
      <c r="E679" s="15">
        <v>45321.0</v>
      </c>
    </row>
    <row r="680">
      <c r="A680" s="4">
        <v>680.0</v>
      </c>
      <c r="B680" s="4" t="s">
        <v>1393</v>
      </c>
      <c r="C680" s="4" t="s">
        <v>1122</v>
      </c>
      <c r="D680" s="4" t="s">
        <v>1098</v>
      </c>
      <c r="E680" s="15">
        <v>45321.0</v>
      </c>
    </row>
    <row r="681">
      <c r="A681" s="4">
        <v>681.0</v>
      </c>
      <c r="B681" s="4" t="s">
        <v>1398</v>
      </c>
      <c r="C681" s="4" t="s">
        <v>1122</v>
      </c>
      <c r="D681" s="4" t="s">
        <v>1098</v>
      </c>
      <c r="E681" s="15">
        <v>45321.0</v>
      </c>
    </row>
    <row r="682">
      <c r="A682" s="4">
        <v>682.0</v>
      </c>
      <c r="B682" s="4" t="s">
        <v>1407</v>
      </c>
      <c r="C682" s="4" t="s">
        <v>1122</v>
      </c>
      <c r="D682" s="4" t="s">
        <v>1098</v>
      </c>
      <c r="E682" s="15">
        <v>45321.0</v>
      </c>
    </row>
    <row r="683">
      <c r="A683" s="4">
        <v>683.0</v>
      </c>
      <c r="B683" s="4" t="s">
        <v>1402</v>
      </c>
      <c r="C683" s="4" t="s">
        <v>1122</v>
      </c>
      <c r="D683" s="4" t="s">
        <v>1098</v>
      </c>
      <c r="E683" s="15">
        <v>45321.0</v>
      </c>
    </row>
    <row r="684">
      <c r="A684" s="4">
        <v>684.0</v>
      </c>
      <c r="B684" s="4" t="s">
        <v>231</v>
      </c>
      <c r="C684" s="4" t="s">
        <v>1122</v>
      </c>
      <c r="D684" s="4" t="s">
        <v>1098</v>
      </c>
      <c r="E684" s="15">
        <v>45321.0</v>
      </c>
    </row>
    <row r="685">
      <c r="A685" s="4">
        <v>685.0</v>
      </c>
      <c r="B685" s="4" t="s">
        <v>117</v>
      </c>
      <c r="C685" s="4" t="s">
        <v>1122</v>
      </c>
      <c r="D685" s="4" t="s">
        <v>1098</v>
      </c>
      <c r="E685" s="15">
        <v>45321.0</v>
      </c>
    </row>
    <row r="686">
      <c r="A686" s="4">
        <v>686.0</v>
      </c>
      <c r="B686" s="4" t="s">
        <v>106</v>
      </c>
      <c r="C686" s="4" t="s">
        <v>1122</v>
      </c>
      <c r="D686" s="4" t="s">
        <v>1098</v>
      </c>
      <c r="E686" s="15">
        <v>45321.0</v>
      </c>
    </row>
    <row r="687">
      <c r="A687" s="4">
        <v>687.0</v>
      </c>
      <c r="B687" s="4" t="s">
        <v>231</v>
      </c>
      <c r="C687" s="4" t="s">
        <v>1122</v>
      </c>
      <c r="D687" s="4" t="s">
        <v>1098</v>
      </c>
      <c r="E687" s="15">
        <v>45321.0</v>
      </c>
    </row>
    <row r="688">
      <c r="A688" s="4">
        <v>688.0</v>
      </c>
      <c r="B688" s="4" t="s">
        <v>1402</v>
      </c>
      <c r="C688" s="4" t="s">
        <v>1122</v>
      </c>
      <c r="D688" s="4" t="s">
        <v>1098</v>
      </c>
      <c r="E688" s="15">
        <v>45321.0</v>
      </c>
    </row>
    <row r="689">
      <c r="A689" s="4">
        <v>689.0</v>
      </c>
      <c r="B689" s="4" t="s">
        <v>231</v>
      </c>
      <c r="C689" s="4" t="s">
        <v>1122</v>
      </c>
      <c r="D689" s="4" t="s">
        <v>1098</v>
      </c>
      <c r="E689" s="15">
        <v>45321.0</v>
      </c>
    </row>
    <row r="690">
      <c r="A690" s="4">
        <v>690.0</v>
      </c>
      <c r="B690" s="4" t="s">
        <v>231</v>
      </c>
      <c r="C690" s="4" t="s">
        <v>1122</v>
      </c>
      <c r="D690" s="4" t="s">
        <v>1098</v>
      </c>
      <c r="E690" s="15">
        <v>45321.0</v>
      </c>
    </row>
    <row r="691">
      <c r="A691" s="4">
        <v>691.0</v>
      </c>
      <c r="B691" s="4" t="s">
        <v>106</v>
      </c>
      <c r="C691" s="4" t="s">
        <v>1122</v>
      </c>
      <c r="D691" s="4" t="s">
        <v>1098</v>
      </c>
      <c r="E691" s="15">
        <v>45321.0</v>
      </c>
    </row>
    <row r="692">
      <c r="A692" s="4">
        <v>692.0</v>
      </c>
      <c r="B692" s="4" t="s">
        <v>112</v>
      </c>
      <c r="C692" s="4" t="s">
        <v>1122</v>
      </c>
      <c r="D692" s="4" t="s">
        <v>1098</v>
      </c>
      <c r="E692" s="15">
        <v>45321.0</v>
      </c>
    </row>
    <row r="693">
      <c r="A693" s="4">
        <v>693.0</v>
      </c>
      <c r="B693" s="4" t="s">
        <v>1394</v>
      </c>
      <c r="C693" s="4" t="s">
        <v>1122</v>
      </c>
      <c r="D693" s="4" t="s">
        <v>1098</v>
      </c>
      <c r="E693" s="15">
        <v>45321.0</v>
      </c>
    </row>
    <row r="694">
      <c r="A694" s="4">
        <v>694.0</v>
      </c>
      <c r="B694" s="4" t="s">
        <v>82</v>
      </c>
      <c r="C694" s="4" t="s">
        <v>1122</v>
      </c>
      <c r="D694" s="4" t="s">
        <v>1098</v>
      </c>
      <c r="E694" s="15">
        <v>45321.0</v>
      </c>
    </row>
    <row r="695">
      <c r="A695" s="4">
        <v>695.0</v>
      </c>
      <c r="B695" s="4" t="s">
        <v>82</v>
      </c>
      <c r="C695" s="4" t="s">
        <v>1122</v>
      </c>
      <c r="D695" s="4" t="s">
        <v>1098</v>
      </c>
      <c r="E695" s="15">
        <v>45321.0</v>
      </c>
    </row>
    <row r="696">
      <c r="A696" s="4">
        <v>696.0</v>
      </c>
      <c r="B696" s="4" t="s">
        <v>1403</v>
      </c>
      <c r="C696" s="4" t="s">
        <v>1122</v>
      </c>
      <c r="D696" s="4" t="s">
        <v>1098</v>
      </c>
      <c r="E696" s="15">
        <v>45321.0</v>
      </c>
    </row>
    <row r="697">
      <c r="A697" s="4">
        <v>697.0</v>
      </c>
      <c r="B697" s="4" t="s">
        <v>1400</v>
      </c>
      <c r="C697" s="4" t="s">
        <v>1122</v>
      </c>
      <c r="D697" s="4" t="s">
        <v>1098</v>
      </c>
      <c r="E697" s="15">
        <v>45321.0</v>
      </c>
    </row>
    <row r="698">
      <c r="A698" s="4">
        <v>698.0</v>
      </c>
      <c r="B698" s="4" t="s">
        <v>231</v>
      </c>
      <c r="C698" s="4" t="s">
        <v>1122</v>
      </c>
      <c r="D698" s="4" t="s">
        <v>1098</v>
      </c>
      <c r="E698" s="15">
        <v>45321.0</v>
      </c>
    </row>
    <row r="699">
      <c r="A699" s="4">
        <v>699.0</v>
      </c>
      <c r="B699" s="4" t="s">
        <v>1399</v>
      </c>
      <c r="C699" s="4" t="s">
        <v>1122</v>
      </c>
      <c r="D699" s="4" t="s">
        <v>1098</v>
      </c>
      <c r="E699" s="15">
        <v>45321.0</v>
      </c>
    </row>
    <row r="700">
      <c r="A700" s="4">
        <v>700.0</v>
      </c>
      <c r="B700" s="4" t="s">
        <v>1103</v>
      </c>
      <c r="C700" s="4" t="s">
        <v>1122</v>
      </c>
      <c r="D700" s="4" t="s">
        <v>1098</v>
      </c>
      <c r="E700" s="15">
        <v>45321.0</v>
      </c>
    </row>
    <row r="701">
      <c r="A701" s="4">
        <v>701.0</v>
      </c>
      <c r="B701" s="4" t="s">
        <v>1396</v>
      </c>
      <c r="C701" s="4" t="s">
        <v>1122</v>
      </c>
      <c r="D701" s="4" t="s">
        <v>1098</v>
      </c>
      <c r="E701" s="15">
        <v>45321.0</v>
      </c>
    </row>
    <row r="702">
      <c r="A702" s="4">
        <v>702.0</v>
      </c>
      <c r="B702" s="4" t="s">
        <v>1183</v>
      </c>
      <c r="C702" s="4" t="s">
        <v>1143</v>
      </c>
      <c r="D702" s="4" t="s">
        <v>1098</v>
      </c>
      <c r="E702" s="15">
        <v>45321.0</v>
      </c>
    </row>
    <row r="703">
      <c r="A703" s="4">
        <v>703.0</v>
      </c>
      <c r="B703" s="4" t="s">
        <v>1183</v>
      </c>
      <c r="C703" s="4" t="s">
        <v>1143</v>
      </c>
      <c r="D703" s="4" t="s">
        <v>1098</v>
      </c>
      <c r="E703" s="15">
        <v>45321.0</v>
      </c>
    </row>
    <row r="704">
      <c r="A704" s="4">
        <v>704.0</v>
      </c>
      <c r="B704" s="4" t="s">
        <v>1183</v>
      </c>
      <c r="C704" s="4" t="s">
        <v>1143</v>
      </c>
      <c r="D704" s="4" t="s">
        <v>1098</v>
      </c>
      <c r="E704" s="15">
        <v>45321.0</v>
      </c>
    </row>
    <row r="705">
      <c r="A705" s="4">
        <v>705.0</v>
      </c>
      <c r="B705" s="4" t="s">
        <v>1183</v>
      </c>
      <c r="C705" s="4" t="s">
        <v>1143</v>
      </c>
      <c r="D705" s="4" t="s">
        <v>1098</v>
      </c>
      <c r="E705" s="15">
        <v>45321.0</v>
      </c>
    </row>
    <row r="706">
      <c r="A706" s="4">
        <v>706.0</v>
      </c>
      <c r="B706" s="4" t="s">
        <v>1183</v>
      </c>
      <c r="C706" s="4" t="s">
        <v>1143</v>
      </c>
      <c r="D706" s="4" t="s">
        <v>1098</v>
      </c>
      <c r="E706" s="15">
        <v>45321.0</v>
      </c>
    </row>
    <row r="707">
      <c r="A707" s="4">
        <v>707.0</v>
      </c>
      <c r="B707" s="4" t="s">
        <v>1183</v>
      </c>
      <c r="C707" s="4" t="s">
        <v>1143</v>
      </c>
      <c r="D707" s="4" t="s">
        <v>1098</v>
      </c>
      <c r="E707" s="15">
        <v>45321.0</v>
      </c>
    </row>
    <row r="708">
      <c r="A708" s="4">
        <v>708.0</v>
      </c>
      <c r="B708" s="4" t="s">
        <v>1360</v>
      </c>
      <c r="C708" s="4" t="s">
        <v>1102</v>
      </c>
      <c r="D708" s="4" t="s">
        <v>1098</v>
      </c>
      <c r="E708" s="15">
        <v>45321.0</v>
      </c>
    </row>
    <row r="709">
      <c r="A709" s="4">
        <v>709.0</v>
      </c>
      <c r="B709" s="4" t="s">
        <v>1153</v>
      </c>
      <c r="C709" s="4" t="s">
        <v>1102</v>
      </c>
      <c r="D709" s="4" t="s">
        <v>1098</v>
      </c>
      <c r="E709" s="15">
        <v>45321.0</v>
      </c>
    </row>
    <row r="710">
      <c r="A710" s="4">
        <v>710.0</v>
      </c>
      <c r="B710" s="4" t="s">
        <v>1408</v>
      </c>
      <c r="C710" s="4" t="s">
        <v>1409</v>
      </c>
      <c r="D710" s="4" t="s">
        <v>1098</v>
      </c>
      <c r="E710" s="15">
        <v>45321.0</v>
      </c>
    </row>
    <row r="711">
      <c r="A711" s="4">
        <v>711.0</v>
      </c>
      <c r="B711" s="4" t="s">
        <v>1410</v>
      </c>
      <c r="C711" s="4" t="s">
        <v>1372</v>
      </c>
      <c r="D711" s="4" t="s">
        <v>1098</v>
      </c>
      <c r="E711" s="15">
        <v>45321.0</v>
      </c>
    </row>
    <row r="712">
      <c r="A712" s="4">
        <v>712.0</v>
      </c>
      <c r="B712" s="4" t="s">
        <v>1408</v>
      </c>
      <c r="C712" s="4" t="s">
        <v>1411</v>
      </c>
      <c r="D712" s="4" t="s">
        <v>1098</v>
      </c>
      <c r="E712" s="15">
        <v>45321.0</v>
      </c>
    </row>
    <row r="713">
      <c r="A713" s="4">
        <v>713.0</v>
      </c>
      <c r="B713" s="4" t="s">
        <v>1389</v>
      </c>
      <c r="C713" s="4" t="s">
        <v>1203</v>
      </c>
      <c r="D713" s="4" t="s">
        <v>1098</v>
      </c>
      <c r="E713" s="15">
        <v>45321.0</v>
      </c>
    </row>
    <row r="714">
      <c r="A714" s="4">
        <v>714.0</v>
      </c>
      <c r="B714" s="4" t="s">
        <v>1403</v>
      </c>
      <c r="C714" s="4" t="s">
        <v>1377</v>
      </c>
      <c r="D714" s="4" t="s">
        <v>1098</v>
      </c>
      <c r="E714" s="15">
        <v>45321.0</v>
      </c>
    </row>
    <row r="715">
      <c r="A715" s="4">
        <v>715.0</v>
      </c>
      <c r="B715" s="4" t="s">
        <v>983</v>
      </c>
      <c r="C715" s="4" t="s">
        <v>1189</v>
      </c>
      <c r="D715" s="4" t="s">
        <v>1098</v>
      </c>
      <c r="E715" s="15">
        <v>45321.0</v>
      </c>
    </row>
    <row r="716">
      <c r="A716" s="4">
        <v>716.0</v>
      </c>
      <c r="B716" s="4" t="s">
        <v>1392</v>
      </c>
      <c r="C716" s="4" t="s">
        <v>1189</v>
      </c>
      <c r="D716" s="4" t="s">
        <v>1098</v>
      </c>
      <c r="E716" s="15">
        <v>45321.0</v>
      </c>
    </row>
    <row r="717">
      <c r="A717" s="4">
        <v>717.0</v>
      </c>
      <c r="B717" s="4" t="s">
        <v>1392</v>
      </c>
      <c r="C717" s="4" t="s">
        <v>1189</v>
      </c>
      <c r="D717" s="4" t="s">
        <v>1098</v>
      </c>
      <c r="E717" s="15">
        <v>45321.0</v>
      </c>
    </row>
    <row r="718">
      <c r="A718" s="4">
        <v>718.0</v>
      </c>
      <c r="B718" s="4" t="s">
        <v>117</v>
      </c>
      <c r="C718" s="4" t="s">
        <v>1189</v>
      </c>
      <c r="D718" s="4" t="s">
        <v>1098</v>
      </c>
      <c r="E718" s="15">
        <v>45321.0</v>
      </c>
    </row>
    <row r="719">
      <c r="A719" s="4">
        <v>719.0</v>
      </c>
      <c r="B719" s="4" t="s">
        <v>117</v>
      </c>
      <c r="C719" s="4" t="s">
        <v>1189</v>
      </c>
      <c r="D719" s="4" t="s">
        <v>1098</v>
      </c>
      <c r="E719" s="15">
        <v>45321.0</v>
      </c>
    </row>
    <row r="720">
      <c r="A720" s="4">
        <v>720.0</v>
      </c>
      <c r="B720" s="4" t="s">
        <v>1397</v>
      </c>
      <c r="C720" s="4" t="s">
        <v>1189</v>
      </c>
      <c r="D720" s="4" t="s">
        <v>1098</v>
      </c>
      <c r="E720" s="15">
        <v>45321.0</v>
      </c>
    </row>
    <row r="721">
      <c r="A721" s="4">
        <v>721.0</v>
      </c>
      <c r="B721" s="4" t="s">
        <v>1412</v>
      </c>
      <c r="C721" s="4" t="s">
        <v>1189</v>
      </c>
      <c r="D721" s="4" t="s">
        <v>1098</v>
      </c>
      <c r="E721" s="15">
        <v>45321.0</v>
      </c>
    </row>
    <row r="722">
      <c r="A722" s="4">
        <v>722.0</v>
      </c>
      <c r="B722" s="4" t="s">
        <v>983</v>
      </c>
      <c r="C722" s="4" t="s">
        <v>1189</v>
      </c>
      <c r="D722" s="4" t="s">
        <v>1098</v>
      </c>
      <c r="E722" s="15">
        <v>45321.0</v>
      </c>
    </row>
    <row r="723">
      <c r="A723" s="4">
        <v>723.0</v>
      </c>
      <c r="B723" s="4" t="s">
        <v>1412</v>
      </c>
      <c r="C723" s="4" t="s">
        <v>1189</v>
      </c>
      <c r="D723" s="4" t="s">
        <v>1098</v>
      </c>
      <c r="E723" s="15">
        <v>45321.0</v>
      </c>
    </row>
    <row r="724">
      <c r="A724" s="4">
        <v>724.0</v>
      </c>
      <c r="B724" s="4" t="s">
        <v>983</v>
      </c>
      <c r="C724" s="4" t="s">
        <v>1189</v>
      </c>
      <c r="D724" s="4" t="s">
        <v>1098</v>
      </c>
      <c r="E724" s="15">
        <v>45321.0</v>
      </c>
    </row>
    <row r="725">
      <c r="A725" s="4">
        <v>725.0</v>
      </c>
      <c r="B725" s="4" t="s">
        <v>1393</v>
      </c>
      <c r="C725" s="4" t="s">
        <v>1189</v>
      </c>
      <c r="D725" s="4" t="s">
        <v>1098</v>
      </c>
      <c r="E725" s="15">
        <v>45321.0</v>
      </c>
    </row>
    <row r="726">
      <c r="A726" s="4">
        <v>726.0</v>
      </c>
      <c r="B726" s="4" t="s">
        <v>1412</v>
      </c>
      <c r="C726" s="4" t="s">
        <v>1189</v>
      </c>
      <c r="D726" s="4" t="s">
        <v>1098</v>
      </c>
      <c r="E726" s="15">
        <v>45321.0</v>
      </c>
    </row>
    <row r="727">
      <c r="A727" s="4">
        <v>727.0</v>
      </c>
      <c r="B727" s="4" t="s">
        <v>1103</v>
      </c>
      <c r="C727" s="4" t="s">
        <v>1189</v>
      </c>
      <c r="D727" s="4" t="s">
        <v>1098</v>
      </c>
      <c r="E727" s="15">
        <v>45321.0</v>
      </c>
    </row>
    <row r="728">
      <c r="A728" s="4">
        <v>728.0</v>
      </c>
      <c r="B728" s="4" t="s">
        <v>1412</v>
      </c>
      <c r="C728" s="4" t="s">
        <v>1189</v>
      </c>
      <c r="D728" s="4" t="s">
        <v>1098</v>
      </c>
      <c r="E728" s="15">
        <v>45321.0</v>
      </c>
    </row>
    <row r="729">
      <c r="A729" s="4">
        <v>729.0</v>
      </c>
      <c r="B729" s="4" t="s">
        <v>231</v>
      </c>
      <c r="C729" s="4" t="s">
        <v>1189</v>
      </c>
      <c r="D729" s="4" t="s">
        <v>1098</v>
      </c>
      <c r="E729" s="15">
        <v>45321.0</v>
      </c>
    </row>
    <row r="730">
      <c r="A730" s="4">
        <v>730.0</v>
      </c>
      <c r="B730" s="4" t="s">
        <v>231</v>
      </c>
      <c r="C730" s="4" t="s">
        <v>1189</v>
      </c>
      <c r="D730" s="4" t="s">
        <v>1098</v>
      </c>
      <c r="E730" s="15">
        <v>45321.0</v>
      </c>
    </row>
    <row r="731">
      <c r="A731" s="4">
        <v>731.0</v>
      </c>
      <c r="B731" s="4" t="s">
        <v>1391</v>
      </c>
      <c r="C731" s="4" t="s">
        <v>1189</v>
      </c>
      <c r="D731" s="4" t="s">
        <v>1098</v>
      </c>
      <c r="E731" s="15">
        <v>45321.0</v>
      </c>
    </row>
    <row r="732">
      <c r="A732" s="4">
        <v>732.0</v>
      </c>
      <c r="B732" s="4" t="s">
        <v>983</v>
      </c>
      <c r="C732" s="4" t="s">
        <v>1189</v>
      </c>
      <c r="D732" s="4" t="s">
        <v>1098</v>
      </c>
      <c r="E732" s="15">
        <v>45321.0</v>
      </c>
    </row>
    <row r="733">
      <c r="A733" s="4">
        <v>733.0</v>
      </c>
      <c r="B733" s="4" t="s">
        <v>1206</v>
      </c>
      <c r="C733" s="4" t="s">
        <v>1189</v>
      </c>
      <c r="D733" s="4" t="s">
        <v>1098</v>
      </c>
      <c r="E733" s="15">
        <v>45321.0</v>
      </c>
    </row>
    <row r="734">
      <c r="A734" s="4">
        <v>734.0</v>
      </c>
      <c r="B734" s="4" t="s">
        <v>1392</v>
      </c>
      <c r="C734" s="4" t="s">
        <v>1189</v>
      </c>
      <c r="D734" s="4" t="s">
        <v>1098</v>
      </c>
      <c r="E734" s="15">
        <v>45321.0</v>
      </c>
    </row>
    <row r="735">
      <c r="A735" s="4">
        <v>735.0</v>
      </c>
      <c r="B735" s="4" t="s">
        <v>112</v>
      </c>
      <c r="C735" s="4" t="s">
        <v>1189</v>
      </c>
      <c r="D735" s="4" t="s">
        <v>1098</v>
      </c>
      <c r="E735" s="15">
        <v>45321.0</v>
      </c>
    </row>
    <row r="736">
      <c r="A736" s="4">
        <v>736.0</v>
      </c>
      <c r="B736" s="4" t="s">
        <v>112</v>
      </c>
      <c r="C736" s="4" t="s">
        <v>1189</v>
      </c>
      <c r="D736" s="4" t="s">
        <v>1098</v>
      </c>
      <c r="E736" s="15">
        <v>45321.0</v>
      </c>
    </row>
    <row r="737">
      <c r="A737" s="4">
        <v>737.0</v>
      </c>
      <c r="B737" s="4" t="s">
        <v>112</v>
      </c>
      <c r="C737" s="4" t="s">
        <v>1189</v>
      </c>
      <c r="D737" s="4" t="s">
        <v>1098</v>
      </c>
      <c r="E737" s="15">
        <v>45321.0</v>
      </c>
    </row>
    <row r="738">
      <c r="A738" s="4">
        <v>738.0</v>
      </c>
      <c r="B738" s="4" t="s">
        <v>1394</v>
      </c>
      <c r="C738" s="4" t="s">
        <v>1189</v>
      </c>
      <c r="D738" s="4" t="s">
        <v>1098</v>
      </c>
      <c r="E738" s="15">
        <v>45321.0</v>
      </c>
    </row>
    <row r="739">
      <c r="A739" s="4">
        <v>739.0</v>
      </c>
      <c r="B739" s="4" t="s">
        <v>1394</v>
      </c>
      <c r="C739" s="4" t="s">
        <v>1189</v>
      </c>
      <c r="D739" s="4" t="s">
        <v>1098</v>
      </c>
      <c r="E739" s="15">
        <v>45321.0</v>
      </c>
    </row>
    <row r="740">
      <c r="A740" s="4">
        <v>740.0</v>
      </c>
      <c r="B740" s="4" t="s">
        <v>1242</v>
      </c>
      <c r="C740" s="4" t="s">
        <v>1189</v>
      </c>
      <c r="D740" s="4" t="s">
        <v>1098</v>
      </c>
      <c r="E740" s="15">
        <v>45321.0</v>
      </c>
    </row>
    <row r="741">
      <c r="A741" s="4">
        <v>741.0</v>
      </c>
      <c r="B741" s="4" t="s">
        <v>1399</v>
      </c>
      <c r="C741" s="4" t="s">
        <v>1189</v>
      </c>
      <c r="D741" s="4" t="s">
        <v>1098</v>
      </c>
      <c r="E741" s="15">
        <v>45321.0</v>
      </c>
    </row>
    <row r="742">
      <c r="A742" s="4">
        <v>742.0</v>
      </c>
      <c r="B742" s="4" t="s">
        <v>112</v>
      </c>
      <c r="C742" s="4" t="s">
        <v>1189</v>
      </c>
      <c r="D742" s="4" t="s">
        <v>1098</v>
      </c>
      <c r="E742" s="15">
        <v>45321.0</v>
      </c>
    </row>
    <row r="743">
      <c r="A743" s="4">
        <v>743.0</v>
      </c>
      <c r="B743" s="4" t="s">
        <v>1399</v>
      </c>
      <c r="C743" s="4" t="s">
        <v>1189</v>
      </c>
      <c r="D743" s="4" t="s">
        <v>1098</v>
      </c>
      <c r="E743" s="15">
        <v>45321.0</v>
      </c>
    </row>
    <row r="744">
      <c r="A744" s="4">
        <v>744.0</v>
      </c>
      <c r="B744" s="4" t="s">
        <v>393</v>
      </c>
      <c r="C744" s="4" t="s">
        <v>1189</v>
      </c>
      <c r="D744" s="4" t="s">
        <v>1098</v>
      </c>
      <c r="E744" s="15">
        <v>45321.0</v>
      </c>
    </row>
    <row r="745">
      <c r="A745" s="4">
        <v>745.0</v>
      </c>
      <c r="B745" s="4" t="s">
        <v>633</v>
      </c>
      <c r="C745" s="4" t="s">
        <v>1189</v>
      </c>
      <c r="D745" s="4" t="s">
        <v>1098</v>
      </c>
      <c r="E745" s="15">
        <v>45321.0</v>
      </c>
    </row>
    <row r="746">
      <c r="A746" s="4">
        <v>746.0</v>
      </c>
      <c r="B746" s="4" t="s">
        <v>1399</v>
      </c>
      <c r="C746" s="4" t="s">
        <v>1189</v>
      </c>
      <c r="D746" s="4" t="s">
        <v>1098</v>
      </c>
      <c r="E746" s="15">
        <v>45321.0</v>
      </c>
    </row>
    <row r="747">
      <c r="A747" s="4">
        <v>747.0</v>
      </c>
      <c r="B747" s="4" t="s">
        <v>82</v>
      </c>
      <c r="C747" s="4" t="s">
        <v>1189</v>
      </c>
      <c r="D747" s="4" t="s">
        <v>1098</v>
      </c>
      <c r="E747" s="15">
        <v>45321.0</v>
      </c>
    </row>
    <row r="748">
      <c r="A748" s="4">
        <v>748.0</v>
      </c>
      <c r="B748" s="4" t="s">
        <v>1399</v>
      </c>
      <c r="C748" s="4" t="s">
        <v>1189</v>
      </c>
      <c r="D748" s="4" t="s">
        <v>1098</v>
      </c>
      <c r="E748" s="15">
        <v>45321.0</v>
      </c>
    </row>
    <row r="749">
      <c r="A749" s="4">
        <v>749.0</v>
      </c>
      <c r="B749" s="4" t="s">
        <v>82</v>
      </c>
      <c r="C749" s="4" t="s">
        <v>1189</v>
      </c>
      <c r="D749" s="4" t="s">
        <v>1098</v>
      </c>
      <c r="E749" s="15">
        <v>45321.0</v>
      </c>
    </row>
    <row r="750">
      <c r="A750" s="4">
        <v>750.0</v>
      </c>
      <c r="B750" s="4" t="s">
        <v>1399</v>
      </c>
      <c r="C750" s="4" t="s">
        <v>1189</v>
      </c>
      <c r="D750" s="4" t="s">
        <v>1098</v>
      </c>
      <c r="E750" s="15">
        <v>45321.0</v>
      </c>
    </row>
    <row r="751">
      <c r="A751" s="4">
        <v>751.0</v>
      </c>
      <c r="B751" s="4" t="s">
        <v>1396</v>
      </c>
      <c r="C751" s="4" t="s">
        <v>1189</v>
      </c>
      <c r="D751" s="4" t="s">
        <v>1098</v>
      </c>
      <c r="E751" s="15">
        <v>45321.0</v>
      </c>
    </row>
    <row r="752">
      <c r="A752" s="4">
        <v>752.0</v>
      </c>
      <c r="B752" s="4" t="s">
        <v>1396</v>
      </c>
      <c r="C752" s="4" t="s">
        <v>1189</v>
      </c>
      <c r="D752" s="4" t="s">
        <v>1098</v>
      </c>
      <c r="E752" s="15">
        <v>45321.0</v>
      </c>
    </row>
    <row r="753">
      <c r="A753" s="4">
        <v>753.0</v>
      </c>
      <c r="B753" s="4" t="s">
        <v>1396</v>
      </c>
      <c r="C753" s="4" t="s">
        <v>1189</v>
      </c>
      <c r="D753" s="4" t="s">
        <v>1098</v>
      </c>
      <c r="E753" s="15">
        <v>45321.0</v>
      </c>
    </row>
    <row r="754">
      <c r="A754" s="4">
        <v>754.0</v>
      </c>
      <c r="B754" s="4" t="s">
        <v>1396</v>
      </c>
      <c r="C754" s="4" t="s">
        <v>1189</v>
      </c>
      <c r="D754" s="4" t="s">
        <v>1098</v>
      </c>
      <c r="E754" s="15">
        <v>45321.0</v>
      </c>
    </row>
    <row r="755">
      <c r="A755" s="4">
        <v>755.0</v>
      </c>
      <c r="B755" s="4" t="s">
        <v>1399</v>
      </c>
      <c r="C755" s="4" t="s">
        <v>1189</v>
      </c>
      <c r="D755" s="4" t="s">
        <v>1098</v>
      </c>
      <c r="E755" s="15">
        <v>45321.0</v>
      </c>
    </row>
    <row r="756">
      <c r="A756" s="4">
        <v>756.0</v>
      </c>
      <c r="B756" s="4" t="s">
        <v>1402</v>
      </c>
      <c r="C756" s="4" t="s">
        <v>1189</v>
      </c>
      <c r="D756" s="4" t="s">
        <v>1098</v>
      </c>
      <c r="E756" s="15">
        <v>45321.0</v>
      </c>
    </row>
    <row r="757">
      <c r="A757" s="4">
        <v>757.0</v>
      </c>
      <c r="B757" s="4" t="s">
        <v>1402</v>
      </c>
      <c r="C757" s="4" t="s">
        <v>1189</v>
      </c>
      <c r="D757" s="4" t="s">
        <v>1098</v>
      </c>
      <c r="E757" s="15">
        <v>45321.0</v>
      </c>
    </row>
    <row r="758">
      <c r="A758" s="4">
        <v>758.0</v>
      </c>
      <c r="B758" s="4" t="s">
        <v>1402</v>
      </c>
      <c r="C758" s="4" t="s">
        <v>1189</v>
      </c>
      <c r="D758" s="4" t="s">
        <v>1098</v>
      </c>
      <c r="E758" s="15">
        <v>45321.0</v>
      </c>
    </row>
    <row r="759">
      <c r="A759" s="4">
        <v>759.0</v>
      </c>
      <c r="B759" s="4" t="s">
        <v>1398</v>
      </c>
      <c r="C759" s="4" t="s">
        <v>1189</v>
      </c>
      <c r="D759" s="4" t="s">
        <v>1098</v>
      </c>
      <c r="E759" s="15">
        <v>45321.0</v>
      </c>
    </row>
    <row r="760">
      <c r="A760" s="4">
        <v>760.0</v>
      </c>
      <c r="B760" s="4" t="s">
        <v>1407</v>
      </c>
      <c r="C760" s="4" t="s">
        <v>1189</v>
      </c>
      <c r="D760" s="4" t="s">
        <v>1098</v>
      </c>
      <c r="E760" s="15">
        <v>45321.0</v>
      </c>
    </row>
    <row r="761">
      <c r="A761" s="4">
        <v>761.0</v>
      </c>
      <c r="B761" s="4" t="s">
        <v>1396</v>
      </c>
      <c r="C761" s="4" t="s">
        <v>1189</v>
      </c>
      <c r="D761" s="4" t="s">
        <v>1098</v>
      </c>
      <c r="E761" s="15">
        <v>45321.0</v>
      </c>
    </row>
    <row r="762">
      <c r="A762" s="4">
        <v>762.0</v>
      </c>
      <c r="B762" s="4" t="s">
        <v>1396</v>
      </c>
      <c r="C762" s="4" t="s">
        <v>1189</v>
      </c>
      <c r="D762" s="4" t="s">
        <v>1098</v>
      </c>
      <c r="E762" s="15">
        <v>45321.0</v>
      </c>
    </row>
    <row r="763">
      <c r="A763" s="4">
        <v>763.0</v>
      </c>
      <c r="B763" s="4" t="s">
        <v>1396</v>
      </c>
      <c r="C763" s="4" t="s">
        <v>1189</v>
      </c>
      <c r="D763" s="4" t="s">
        <v>1098</v>
      </c>
      <c r="E763" s="15">
        <v>45321.0</v>
      </c>
    </row>
    <row r="764">
      <c r="A764" s="4">
        <v>764.0</v>
      </c>
      <c r="B764" s="4" t="s">
        <v>106</v>
      </c>
      <c r="C764" s="4" t="s">
        <v>1189</v>
      </c>
      <c r="D764" s="4" t="s">
        <v>1098</v>
      </c>
      <c r="E764" s="15">
        <v>45321.0</v>
      </c>
    </row>
    <row r="765">
      <c r="A765" s="4">
        <v>765.0</v>
      </c>
      <c r="B765" s="4" t="s">
        <v>1402</v>
      </c>
      <c r="C765" s="4" t="s">
        <v>1189</v>
      </c>
      <c r="D765" s="4" t="s">
        <v>1098</v>
      </c>
      <c r="E765" s="15">
        <v>45321.0</v>
      </c>
    </row>
    <row r="766">
      <c r="A766" s="4">
        <v>766.0</v>
      </c>
      <c r="B766" s="4" t="s">
        <v>1413</v>
      </c>
      <c r="C766" s="4" t="s">
        <v>1189</v>
      </c>
      <c r="D766" s="4" t="s">
        <v>1098</v>
      </c>
      <c r="E766" s="15">
        <v>45321.0</v>
      </c>
    </row>
    <row r="767">
      <c r="A767" s="4">
        <v>767.0</v>
      </c>
      <c r="B767" s="4" t="s">
        <v>1400</v>
      </c>
      <c r="C767" s="4" t="s">
        <v>1189</v>
      </c>
      <c r="D767" s="4" t="s">
        <v>1098</v>
      </c>
      <c r="E767" s="15">
        <v>45321.0</v>
      </c>
    </row>
    <row r="768">
      <c r="A768" s="4">
        <v>768.0</v>
      </c>
      <c r="B768" s="4" t="s">
        <v>1400</v>
      </c>
      <c r="C768" s="4" t="s">
        <v>1189</v>
      </c>
      <c r="D768" s="4" t="s">
        <v>1098</v>
      </c>
      <c r="E768" s="15">
        <v>45321.0</v>
      </c>
    </row>
    <row r="769">
      <c r="A769" s="4">
        <v>769.0</v>
      </c>
      <c r="B769" s="4" t="s">
        <v>1413</v>
      </c>
      <c r="C769" s="4" t="s">
        <v>1189</v>
      </c>
      <c r="D769" s="4" t="s">
        <v>1098</v>
      </c>
      <c r="E769" s="15">
        <v>45321.0</v>
      </c>
    </row>
    <row r="770">
      <c r="A770" s="4">
        <v>770.0</v>
      </c>
      <c r="B770" s="4" t="s">
        <v>1400</v>
      </c>
      <c r="C770" s="4" t="s">
        <v>1189</v>
      </c>
      <c r="D770" s="4" t="s">
        <v>1098</v>
      </c>
      <c r="E770" s="15">
        <v>45321.0</v>
      </c>
    </row>
    <row r="771">
      <c r="A771" s="4">
        <v>771.0</v>
      </c>
      <c r="B771" s="4" t="s">
        <v>1413</v>
      </c>
      <c r="C771" s="4" t="s">
        <v>1189</v>
      </c>
      <c r="D771" s="4" t="s">
        <v>1098</v>
      </c>
      <c r="E771" s="15">
        <v>45321.0</v>
      </c>
    </row>
    <row r="772">
      <c r="A772" s="4">
        <v>772.0</v>
      </c>
      <c r="B772" s="4" t="s">
        <v>1413</v>
      </c>
      <c r="C772" s="4" t="s">
        <v>1189</v>
      </c>
      <c r="D772" s="4" t="s">
        <v>1098</v>
      </c>
      <c r="E772" s="15">
        <v>45321.0</v>
      </c>
    </row>
    <row r="773">
      <c r="A773" s="4">
        <v>773.0</v>
      </c>
      <c r="B773" s="4" t="s">
        <v>1400</v>
      </c>
      <c r="C773" s="4" t="s">
        <v>1189</v>
      </c>
      <c r="D773" s="4" t="s">
        <v>1098</v>
      </c>
      <c r="E773" s="15">
        <v>45321.0</v>
      </c>
    </row>
    <row r="774">
      <c r="A774" s="4">
        <v>774.0</v>
      </c>
      <c r="B774" s="4" t="s">
        <v>1400</v>
      </c>
      <c r="C774" s="4" t="s">
        <v>1189</v>
      </c>
      <c r="D774" s="4" t="s">
        <v>1098</v>
      </c>
      <c r="E774" s="15">
        <v>45321.0</v>
      </c>
    </row>
    <row r="775">
      <c r="A775" s="4">
        <v>775.0</v>
      </c>
      <c r="B775" s="4" t="s">
        <v>231</v>
      </c>
      <c r="C775" s="4" t="s">
        <v>1189</v>
      </c>
      <c r="D775" s="4" t="s">
        <v>1098</v>
      </c>
      <c r="E775" s="15">
        <v>45321.0</v>
      </c>
    </row>
    <row r="776">
      <c r="A776" s="4">
        <v>776.0</v>
      </c>
      <c r="B776" s="4" t="s">
        <v>1403</v>
      </c>
      <c r="C776" s="4" t="s">
        <v>1205</v>
      </c>
      <c r="D776" s="4" t="s">
        <v>1098</v>
      </c>
      <c r="E776" s="15">
        <v>45321.0</v>
      </c>
    </row>
    <row r="777">
      <c r="A777" s="4">
        <v>777.0</v>
      </c>
      <c r="B777" s="4" t="s">
        <v>1402</v>
      </c>
      <c r="C777" s="4" t="s">
        <v>1205</v>
      </c>
      <c r="D777" s="4" t="s">
        <v>1098</v>
      </c>
      <c r="E777" s="15">
        <v>45321.0</v>
      </c>
    </row>
    <row r="778">
      <c r="A778" s="4">
        <v>778.0</v>
      </c>
      <c r="B778" s="4" t="s">
        <v>1402</v>
      </c>
      <c r="C778" s="4" t="s">
        <v>1205</v>
      </c>
      <c r="D778" s="4" t="s">
        <v>1098</v>
      </c>
      <c r="E778" s="15">
        <v>45321.0</v>
      </c>
    </row>
    <row r="779">
      <c r="A779" s="4">
        <v>779.0</v>
      </c>
      <c r="B779" s="4" t="s">
        <v>633</v>
      </c>
      <c r="C779" s="4" t="s">
        <v>1205</v>
      </c>
      <c r="D779" s="4" t="s">
        <v>1098</v>
      </c>
      <c r="E779" s="15">
        <v>45321.0</v>
      </c>
    </row>
    <row r="780">
      <c r="A780" s="4">
        <v>780.0</v>
      </c>
      <c r="B780" s="4" t="s">
        <v>1132</v>
      </c>
      <c r="C780" s="4" t="s">
        <v>1205</v>
      </c>
      <c r="D780" s="4" t="s">
        <v>1098</v>
      </c>
      <c r="E780" s="15">
        <v>45321.0</v>
      </c>
    </row>
    <row r="781">
      <c r="A781" s="4">
        <v>781.0</v>
      </c>
      <c r="B781" s="4" t="s">
        <v>1402</v>
      </c>
      <c r="C781" s="4" t="s">
        <v>1205</v>
      </c>
      <c r="D781" s="4" t="s">
        <v>1098</v>
      </c>
      <c r="E781" s="15">
        <v>45321.0</v>
      </c>
    </row>
    <row r="782">
      <c r="A782" s="4">
        <v>782.0</v>
      </c>
      <c r="B782" s="4" t="s">
        <v>1389</v>
      </c>
      <c r="C782" s="4" t="s">
        <v>1205</v>
      </c>
      <c r="D782" s="4" t="s">
        <v>1098</v>
      </c>
      <c r="E782" s="15">
        <v>45321.0</v>
      </c>
    </row>
    <row r="783">
      <c r="A783" s="4">
        <v>783.0</v>
      </c>
      <c r="B783" s="4" t="s">
        <v>1404</v>
      </c>
      <c r="C783" s="4" t="s">
        <v>1222</v>
      </c>
      <c r="D783" s="4" t="s">
        <v>1098</v>
      </c>
      <c r="E783" s="15">
        <v>45321.0</v>
      </c>
    </row>
    <row r="784">
      <c r="A784" s="4">
        <v>784.0</v>
      </c>
      <c r="B784" s="4" t="s">
        <v>1146</v>
      </c>
      <c r="C784" s="4" t="s">
        <v>1190</v>
      </c>
      <c r="D784" s="4" t="s">
        <v>1098</v>
      </c>
      <c r="E784" s="15">
        <v>45320.0</v>
      </c>
    </row>
    <row r="785">
      <c r="A785" s="4">
        <v>785.0</v>
      </c>
      <c r="B785" s="4" t="s">
        <v>1267</v>
      </c>
      <c r="C785" s="4" t="s">
        <v>1190</v>
      </c>
      <c r="D785" s="4" t="s">
        <v>1098</v>
      </c>
      <c r="E785" s="15">
        <v>45320.0</v>
      </c>
    </row>
    <row r="786">
      <c r="A786" s="4">
        <v>786.0</v>
      </c>
      <c r="B786" s="4" t="s">
        <v>1105</v>
      </c>
      <c r="C786" s="4" t="s">
        <v>1190</v>
      </c>
      <c r="D786" s="4" t="s">
        <v>1098</v>
      </c>
      <c r="E786" s="15">
        <v>45320.0</v>
      </c>
    </row>
    <row r="787">
      <c r="A787" s="4">
        <v>787.0</v>
      </c>
      <c r="B787" s="4" t="s">
        <v>1414</v>
      </c>
      <c r="C787" s="4" t="s">
        <v>1122</v>
      </c>
      <c r="D787" s="4" t="s">
        <v>1098</v>
      </c>
      <c r="E787" s="15">
        <v>45320.0</v>
      </c>
    </row>
    <row r="788">
      <c r="A788" s="4">
        <v>788.0</v>
      </c>
      <c r="B788" s="4" t="s">
        <v>1415</v>
      </c>
      <c r="C788" s="4" t="s">
        <v>1143</v>
      </c>
      <c r="D788" s="4" t="s">
        <v>1098</v>
      </c>
      <c r="E788" s="15">
        <v>45320.0</v>
      </c>
    </row>
    <row r="789">
      <c r="A789" s="4">
        <v>789.0</v>
      </c>
      <c r="B789" s="4" t="s">
        <v>1416</v>
      </c>
      <c r="C789" s="4" t="s">
        <v>1102</v>
      </c>
      <c r="D789" s="4" t="s">
        <v>1098</v>
      </c>
      <c r="E789" s="15">
        <v>45320.0</v>
      </c>
    </row>
    <row r="790">
      <c r="A790" s="4">
        <v>790.0</v>
      </c>
      <c r="B790" s="4" t="s">
        <v>1225</v>
      </c>
      <c r="C790" s="4" t="s">
        <v>1102</v>
      </c>
      <c r="D790" s="4" t="s">
        <v>1098</v>
      </c>
      <c r="E790" s="15">
        <v>45320.0</v>
      </c>
    </row>
    <row r="791">
      <c r="A791" s="4">
        <v>791.0</v>
      </c>
      <c r="B791" s="4" t="s">
        <v>1415</v>
      </c>
      <c r="C791" s="4" t="s">
        <v>1102</v>
      </c>
      <c r="D791" s="4" t="s">
        <v>1098</v>
      </c>
      <c r="E791" s="15">
        <v>45320.0</v>
      </c>
    </row>
    <row r="792">
      <c r="A792" s="4">
        <v>792.0</v>
      </c>
      <c r="B792" s="4" t="s">
        <v>1417</v>
      </c>
      <c r="C792" s="4" t="s">
        <v>1102</v>
      </c>
      <c r="D792" s="4" t="s">
        <v>1098</v>
      </c>
      <c r="E792" s="15">
        <v>45320.0</v>
      </c>
    </row>
    <row r="793">
      <c r="A793" s="4">
        <v>793.0</v>
      </c>
      <c r="B793" s="4" t="s">
        <v>1242</v>
      </c>
      <c r="C793" s="4" t="s">
        <v>1102</v>
      </c>
      <c r="D793" s="4" t="s">
        <v>1098</v>
      </c>
      <c r="E793" s="15">
        <v>45320.0</v>
      </c>
    </row>
    <row r="794">
      <c r="A794" s="4">
        <v>794.0</v>
      </c>
      <c r="B794" s="4" t="s">
        <v>1417</v>
      </c>
      <c r="C794" s="4" t="s">
        <v>1185</v>
      </c>
      <c r="D794" s="4" t="s">
        <v>1098</v>
      </c>
      <c r="E794" s="15">
        <v>45320.0</v>
      </c>
    </row>
    <row r="795">
      <c r="A795" s="4">
        <v>795.0</v>
      </c>
      <c r="B795" s="4" t="s">
        <v>1418</v>
      </c>
      <c r="C795" s="4" t="s">
        <v>1111</v>
      </c>
      <c r="D795" s="4" t="s">
        <v>1098</v>
      </c>
      <c r="E795" s="15">
        <v>45320.0</v>
      </c>
    </row>
    <row r="796">
      <c r="A796" s="4">
        <v>796.0</v>
      </c>
      <c r="B796" s="4" t="s">
        <v>1417</v>
      </c>
      <c r="C796" s="4" t="s">
        <v>1111</v>
      </c>
      <c r="D796" s="4" t="s">
        <v>1098</v>
      </c>
      <c r="E796" s="15">
        <v>45320.0</v>
      </c>
    </row>
    <row r="797">
      <c r="A797" s="4">
        <v>797.0</v>
      </c>
      <c r="B797" s="4" t="s">
        <v>1415</v>
      </c>
      <c r="C797" s="4" t="s">
        <v>1233</v>
      </c>
      <c r="D797" s="4" t="s">
        <v>1098</v>
      </c>
      <c r="E797" s="15">
        <v>45320.0</v>
      </c>
    </row>
    <row r="798">
      <c r="A798" s="4">
        <v>798.0</v>
      </c>
      <c r="B798" s="4" t="s">
        <v>1417</v>
      </c>
      <c r="C798" s="4" t="s">
        <v>1233</v>
      </c>
      <c r="D798" s="4" t="s">
        <v>1098</v>
      </c>
      <c r="E798" s="15">
        <v>45320.0</v>
      </c>
    </row>
    <row r="799">
      <c r="A799" s="4">
        <v>799.0</v>
      </c>
      <c r="B799" s="4" t="s">
        <v>1417</v>
      </c>
      <c r="C799" s="4" t="s">
        <v>1128</v>
      </c>
      <c r="D799" s="4" t="s">
        <v>1098</v>
      </c>
      <c r="E799" s="15">
        <v>45320.0</v>
      </c>
    </row>
    <row r="800">
      <c r="A800" s="4">
        <v>800.0</v>
      </c>
      <c r="B800" s="4" t="s">
        <v>1415</v>
      </c>
      <c r="C800" s="4" t="s">
        <v>1419</v>
      </c>
      <c r="D800" s="4" t="s">
        <v>1098</v>
      </c>
      <c r="E800" s="15">
        <v>45320.0</v>
      </c>
    </row>
    <row r="801">
      <c r="A801" s="4">
        <v>801.0</v>
      </c>
      <c r="B801" s="4" t="s">
        <v>1417</v>
      </c>
      <c r="C801" s="4" t="s">
        <v>1371</v>
      </c>
      <c r="D801" s="4" t="s">
        <v>1098</v>
      </c>
      <c r="E801" s="15">
        <v>45320.0</v>
      </c>
    </row>
    <row r="802">
      <c r="A802" s="4">
        <v>802.0</v>
      </c>
      <c r="B802" s="4" t="s">
        <v>1415</v>
      </c>
      <c r="C802" s="4" t="s">
        <v>1371</v>
      </c>
      <c r="D802" s="4" t="s">
        <v>1098</v>
      </c>
      <c r="E802" s="15">
        <v>45320.0</v>
      </c>
    </row>
    <row r="803">
      <c r="A803" s="4">
        <v>803.0</v>
      </c>
      <c r="B803" s="4" t="s">
        <v>1415</v>
      </c>
      <c r="C803" s="4" t="s">
        <v>1138</v>
      </c>
      <c r="D803" s="4" t="s">
        <v>1098</v>
      </c>
      <c r="E803" s="15">
        <v>45320.0</v>
      </c>
    </row>
    <row r="804">
      <c r="A804" s="4">
        <v>804.0</v>
      </c>
      <c r="B804" s="4" t="s">
        <v>1415</v>
      </c>
      <c r="C804" s="4" t="s">
        <v>1139</v>
      </c>
      <c r="D804" s="4" t="s">
        <v>1098</v>
      </c>
      <c r="E804" s="15">
        <v>45320.0</v>
      </c>
    </row>
    <row r="805">
      <c r="A805" s="4">
        <v>805.0</v>
      </c>
      <c r="B805" s="4" t="s">
        <v>1417</v>
      </c>
      <c r="C805" s="4" t="s">
        <v>1139</v>
      </c>
      <c r="D805" s="4" t="s">
        <v>1098</v>
      </c>
      <c r="E805" s="15">
        <v>45320.0</v>
      </c>
    </row>
    <row r="806">
      <c r="A806" s="4">
        <v>806.0</v>
      </c>
      <c r="B806" s="4" t="s">
        <v>1417</v>
      </c>
      <c r="C806" s="4" t="s">
        <v>1215</v>
      </c>
      <c r="D806" s="4" t="s">
        <v>1098</v>
      </c>
      <c r="E806" s="15">
        <v>45320.0</v>
      </c>
    </row>
    <row r="807">
      <c r="A807" s="4">
        <v>807.0</v>
      </c>
      <c r="B807" s="4" t="s">
        <v>1417</v>
      </c>
      <c r="C807" s="4" t="s">
        <v>1356</v>
      </c>
      <c r="D807" s="4" t="s">
        <v>1098</v>
      </c>
      <c r="E807" s="15">
        <v>45320.0</v>
      </c>
    </row>
    <row r="808">
      <c r="A808" s="4">
        <v>808.0</v>
      </c>
      <c r="B808" s="4" t="s">
        <v>1417</v>
      </c>
      <c r="C808" s="4" t="s">
        <v>1357</v>
      </c>
      <c r="D808" s="4" t="s">
        <v>1098</v>
      </c>
      <c r="E808" s="15">
        <v>45320.0</v>
      </c>
    </row>
    <row r="809">
      <c r="A809" s="4">
        <v>809.0</v>
      </c>
      <c r="B809" s="4" t="s">
        <v>1420</v>
      </c>
      <c r="C809" s="4" t="s">
        <v>1421</v>
      </c>
      <c r="D809" s="4" t="s">
        <v>1098</v>
      </c>
      <c r="E809" s="15">
        <v>45320.0</v>
      </c>
    </row>
    <row r="810">
      <c r="A810" s="4">
        <v>810.0</v>
      </c>
      <c r="B810" s="4" t="s">
        <v>1420</v>
      </c>
      <c r="C810" s="4" t="s">
        <v>1421</v>
      </c>
      <c r="D810" s="4" t="s">
        <v>1098</v>
      </c>
      <c r="E810" s="15">
        <v>45320.0</v>
      </c>
    </row>
    <row r="811">
      <c r="A811" s="4">
        <v>811.0</v>
      </c>
      <c r="B811" s="4" t="s">
        <v>1420</v>
      </c>
      <c r="C811" s="4" t="s">
        <v>1421</v>
      </c>
      <c r="D811" s="4" t="s">
        <v>1098</v>
      </c>
      <c r="E811" s="15">
        <v>45320.0</v>
      </c>
    </row>
    <row r="812">
      <c r="A812" s="4">
        <v>812.0</v>
      </c>
      <c r="B812" s="4" t="s">
        <v>1420</v>
      </c>
      <c r="C812" s="4" t="s">
        <v>1421</v>
      </c>
      <c r="D812" s="4" t="s">
        <v>1098</v>
      </c>
      <c r="E812" s="15">
        <v>45320.0</v>
      </c>
    </row>
    <row r="813">
      <c r="A813" s="4">
        <v>813.0</v>
      </c>
      <c r="B813" s="4" t="s">
        <v>1417</v>
      </c>
      <c r="C813" s="4" t="s">
        <v>1317</v>
      </c>
      <c r="D813" s="4" t="s">
        <v>1098</v>
      </c>
      <c r="E813" s="15">
        <v>45320.0</v>
      </c>
    </row>
    <row r="814">
      <c r="A814" s="4">
        <v>814.0</v>
      </c>
      <c r="B814" s="4" t="s">
        <v>1420</v>
      </c>
      <c r="C814" s="4" t="s">
        <v>1317</v>
      </c>
      <c r="D814" s="4" t="s">
        <v>1098</v>
      </c>
      <c r="E814" s="15">
        <v>45320.0</v>
      </c>
    </row>
    <row r="815">
      <c r="A815" s="4">
        <v>815.0</v>
      </c>
      <c r="B815" s="4" t="s">
        <v>1415</v>
      </c>
      <c r="C815" s="4" t="s">
        <v>1422</v>
      </c>
      <c r="D815" s="4" t="s">
        <v>1098</v>
      </c>
      <c r="E815" s="15">
        <v>45320.0</v>
      </c>
    </row>
    <row r="816">
      <c r="A816" s="4">
        <v>816.0</v>
      </c>
      <c r="B816" s="4" t="s">
        <v>1415</v>
      </c>
      <c r="C816" s="4" t="s">
        <v>1423</v>
      </c>
      <c r="D816" s="4" t="s">
        <v>1098</v>
      </c>
      <c r="E816" s="15">
        <v>45320.0</v>
      </c>
    </row>
    <row r="817">
      <c r="A817" s="4">
        <v>817.0</v>
      </c>
      <c r="B817" s="4" t="s">
        <v>1417</v>
      </c>
      <c r="C817" s="4" t="s">
        <v>1290</v>
      </c>
      <c r="D817" s="4" t="s">
        <v>1098</v>
      </c>
      <c r="E817" s="15">
        <v>45320.0</v>
      </c>
    </row>
    <row r="818">
      <c r="A818" s="4">
        <v>818.0</v>
      </c>
      <c r="B818" s="4" t="s">
        <v>1415</v>
      </c>
      <c r="C818" s="4" t="s">
        <v>1290</v>
      </c>
      <c r="D818" s="4" t="s">
        <v>1098</v>
      </c>
      <c r="E818" s="15">
        <v>45320.0</v>
      </c>
    </row>
    <row r="819">
      <c r="A819" s="4">
        <v>819.0</v>
      </c>
      <c r="B819" s="4" t="s">
        <v>1417</v>
      </c>
      <c r="C819" s="4" t="s">
        <v>1318</v>
      </c>
      <c r="D819" s="4" t="s">
        <v>1098</v>
      </c>
      <c r="E819" s="15">
        <v>45320.0</v>
      </c>
    </row>
    <row r="820">
      <c r="A820" s="4">
        <v>820.0</v>
      </c>
      <c r="B820" s="4" t="s">
        <v>1417</v>
      </c>
      <c r="C820" s="4" t="s">
        <v>1187</v>
      </c>
      <c r="D820" s="4" t="s">
        <v>1098</v>
      </c>
      <c r="E820" s="15">
        <v>45320.0</v>
      </c>
    </row>
    <row r="821">
      <c r="A821" s="4">
        <v>821.0</v>
      </c>
      <c r="B821" s="4" t="s">
        <v>1417</v>
      </c>
      <c r="C821" s="4" t="s">
        <v>1115</v>
      </c>
      <c r="D821" s="4" t="s">
        <v>1098</v>
      </c>
      <c r="E821" s="15">
        <v>45320.0</v>
      </c>
    </row>
    <row r="822">
      <c r="A822" s="4">
        <v>822.0</v>
      </c>
      <c r="B822" s="4" t="s">
        <v>1415</v>
      </c>
      <c r="C822" s="4" t="s">
        <v>1116</v>
      </c>
      <c r="D822" s="4" t="s">
        <v>1098</v>
      </c>
      <c r="E822" s="15">
        <v>45320.0</v>
      </c>
    </row>
    <row r="823">
      <c r="A823" s="4">
        <v>823.0</v>
      </c>
      <c r="B823" s="4" t="s">
        <v>1418</v>
      </c>
      <c r="C823" s="4" t="s">
        <v>1116</v>
      </c>
      <c r="D823" s="4" t="s">
        <v>1098</v>
      </c>
      <c r="E823" s="15">
        <v>45320.0</v>
      </c>
    </row>
    <row r="824">
      <c r="A824" s="4">
        <v>824.0</v>
      </c>
      <c r="B824" s="4" t="s">
        <v>1417</v>
      </c>
      <c r="C824" s="4" t="s">
        <v>1116</v>
      </c>
      <c r="D824" s="4" t="s">
        <v>1098</v>
      </c>
      <c r="E824" s="15">
        <v>45320.0</v>
      </c>
    </row>
    <row r="825">
      <c r="A825" s="4">
        <v>825.0</v>
      </c>
      <c r="B825" s="4" t="s">
        <v>1415</v>
      </c>
      <c r="C825" s="4" t="s">
        <v>1116</v>
      </c>
      <c r="D825" s="4" t="s">
        <v>1098</v>
      </c>
      <c r="E825" s="15">
        <v>45320.0</v>
      </c>
    </row>
    <row r="826">
      <c r="A826" s="4">
        <v>826.0</v>
      </c>
      <c r="B826" s="4" t="s">
        <v>1415</v>
      </c>
      <c r="C826" s="4" t="s">
        <v>1116</v>
      </c>
      <c r="D826" s="4" t="s">
        <v>1098</v>
      </c>
      <c r="E826" s="15">
        <v>45320.0</v>
      </c>
    </row>
    <row r="827">
      <c r="A827" s="4">
        <v>827.0</v>
      </c>
      <c r="B827" s="4" t="s">
        <v>1417</v>
      </c>
      <c r="C827" s="4" t="s">
        <v>1217</v>
      </c>
      <c r="D827" s="4" t="s">
        <v>1098</v>
      </c>
      <c r="E827" s="15">
        <v>45320.0</v>
      </c>
    </row>
    <row r="828">
      <c r="A828" s="4">
        <v>828.0</v>
      </c>
      <c r="B828" s="4" t="s">
        <v>1417</v>
      </c>
      <c r="C828" s="4" t="s">
        <v>1217</v>
      </c>
      <c r="D828" s="4" t="s">
        <v>1098</v>
      </c>
      <c r="E828" s="15">
        <v>45320.0</v>
      </c>
    </row>
    <row r="829">
      <c r="A829" s="4">
        <v>829.0</v>
      </c>
      <c r="B829" s="4" t="s">
        <v>1242</v>
      </c>
      <c r="C829" s="4" t="s">
        <v>1205</v>
      </c>
      <c r="D829" s="4" t="s">
        <v>1098</v>
      </c>
      <c r="E829" s="15">
        <v>45320.0</v>
      </c>
    </row>
    <row r="830">
      <c r="A830" s="4">
        <v>830.0</v>
      </c>
      <c r="B830" s="4" t="s">
        <v>1132</v>
      </c>
      <c r="C830" s="4" t="s">
        <v>1205</v>
      </c>
      <c r="D830" s="4" t="s">
        <v>1098</v>
      </c>
      <c r="E830" s="15">
        <v>45320.0</v>
      </c>
    </row>
    <row r="831">
      <c r="A831" s="4">
        <v>831.0</v>
      </c>
      <c r="B831" s="4" t="s">
        <v>1414</v>
      </c>
      <c r="C831" s="4" t="s">
        <v>1352</v>
      </c>
      <c r="D831" s="4" t="s">
        <v>1120</v>
      </c>
      <c r="E831" s="15">
        <v>45320.0</v>
      </c>
    </row>
    <row r="832">
      <c r="A832" s="4">
        <v>832.0</v>
      </c>
      <c r="B832" s="4" t="s">
        <v>1424</v>
      </c>
      <c r="C832" s="4" t="s">
        <v>1325</v>
      </c>
      <c r="D832" s="4" t="s">
        <v>1098</v>
      </c>
      <c r="E832" s="15">
        <v>45319.0</v>
      </c>
    </row>
    <row r="833">
      <c r="A833" s="4">
        <v>833.0</v>
      </c>
      <c r="B833" s="4" t="s">
        <v>1424</v>
      </c>
      <c r="C833" s="4" t="s">
        <v>1122</v>
      </c>
      <c r="D833" s="4" t="s">
        <v>1098</v>
      </c>
      <c r="E833" s="15">
        <v>45319.0</v>
      </c>
    </row>
    <row r="834">
      <c r="A834" s="4">
        <v>834.0</v>
      </c>
      <c r="B834" s="4" t="s">
        <v>1424</v>
      </c>
      <c r="C834" s="4" t="s">
        <v>1102</v>
      </c>
      <c r="D834" s="4" t="s">
        <v>1098</v>
      </c>
      <c r="E834" s="15">
        <v>45319.0</v>
      </c>
    </row>
    <row r="835">
      <c r="A835" s="4">
        <v>835.0</v>
      </c>
      <c r="B835" s="4" t="s">
        <v>1424</v>
      </c>
      <c r="C835" s="4" t="s">
        <v>1102</v>
      </c>
      <c r="D835" s="4" t="s">
        <v>1098</v>
      </c>
      <c r="E835" s="15">
        <v>45319.0</v>
      </c>
    </row>
    <row r="836">
      <c r="A836" s="4">
        <v>836.0</v>
      </c>
      <c r="B836" s="4" t="s">
        <v>1425</v>
      </c>
      <c r="C836" s="4" t="s">
        <v>1256</v>
      </c>
      <c r="D836" s="4" t="s">
        <v>1098</v>
      </c>
      <c r="E836" s="15">
        <v>45319.0</v>
      </c>
    </row>
    <row r="837">
      <c r="A837" s="4">
        <v>837.0</v>
      </c>
      <c r="B837" s="4" t="s">
        <v>1424</v>
      </c>
      <c r="C837" s="4" t="s">
        <v>1187</v>
      </c>
      <c r="D837" s="4" t="s">
        <v>1098</v>
      </c>
      <c r="E837" s="15">
        <v>45319.0</v>
      </c>
    </row>
    <row r="838">
      <c r="A838" s="4">
        <v>838.0</v>
      </c>
      <c r="B838" s="4" t="s">
        <v>1424</v>
      </c>
      <c r="C838" s="4" t="s">
        <v>1187</v>
      </c>
      <c r="D838" s="4" t="s">
        <v>1098</v>
      </c>
      <c r="E838" s="15">
        <v>45319.0</v>
      </c>
    </row>
    <row r="839">
      <c r="A839" s="4">
        <v>839.0</v>
      </c>
      <c r="B839" s="4" t="s">
        <v>1426</v>
      </c>
      <c r="C839" s="4" t="s">
        <v>1119</v>
      </c>
      <c r="D839" s="4" t="s">
        <v>1120</v>
      </c>
      <c r="E839" s="15">
        <v>45318.0</v>
      </c>
    </row>
    <row r="840">
      <c r="A840" s="4">
        <v>840.0</v>
      </c>
      <c r="B840" s="4" t="s">
        <v>1417</v>
      </c>
      <c r="C840" s="4" t="s">
        <v>1122</v>
      </c>
      <c r="D840" s="4" t="s">
        <v>1098</v>
      </c>
      <c r="E840" s="15">
        <v>45318.0</v>
      </c>
    </row>
    <row r="841">
      <c r="A841" s="4">
        <v>841.0</v>
      </c>
      <c r="B841" s="4" t="s">
        <v>1427</v>
      </c>
      <c r="C841" s="4" t="s">
        <v>1102</v>
      </c>
      <c r="D841" s="4" t="s">
        <v>1098</v>
      </c>
      <c r="E841" s="15">
        <v>45318.0</v>
      </c>
    </row>
    <row r="842">
      <c r="A842" s="4">
        <v>842.0</v>
      </c>
      <c r="B842" s="4" t="s">
        <v>1424</v>
      </c>
      <c r="C842" s="4" t="s">
        <v>1102</v>
      </c>
      <c r="D842" s="4" t="s">
        <v>1098</v>
      </c>
      <c r="E842" s="15">
        <v>45318.0</v>
      </c>
    </row>
    <row r="843">
      <c r="A843" s="4">
        <v>843.0</v>
      </c>
      <c r="B843" s="4" t="s">
        <v>1132</v>
      </c>
      <c r="C843" s="4" t="s">
        <v>1205</v>
      </c>
      <c r="D843" s="4" t="s">
        <v>1098</v>
      </c>
      <c r="E843" s="15">
        <v>45318.0</v>
      </c>
    </row>
    <row r="844">
      <c r="A844" s="4">
        <v>844.0</v>
      </c>
      <c r="B844" s="4" t="s">
        <v>1176</v>
      </c>
      <c r="C844" s="4" t="s">
        <v>1164</v>
      </c>
      <c r="D844" s="4" t="s">
        <v>1120</v>
      </c>
      <c r="E844" s="15">
        <v>45317.0</v>
      </c>
    </row>
    <row r="845">
      <c r="A845" s="4">
        <v>845.0</v>
      </c>
      <c r="B845" s="4" t="s">
        <v>1327</v>
      </c>
      <c r="C845" s="4" t="s">
        <v>1119</v>
      </c>
      <c r="D845" s="4" t="s">
        <v>1120</v>
      </c>
      <c r="E845" s="15">
        <v>45317.0</v>
      </c>
    </row>
    <row r="846">
      <c r="A846" s="4">
        <v>846.0</v>
      </c>
      <c r="B846" s="4" t="s">
        <v>1327</v>
      </c>
      <c r="C846" s="4" t="s">
        <v>1119</v>
      </c>
      <c r="D846" s="4" t="s">
        <v>1120</v>
      </c>
      <c r="E846" s="15">
        <v>45317.0</v>
      </c>
    </row>
    <row r="847">
      <c r="A847" s="4">
        <v>847.0</v>
      </c>
      <c r="B847" s="4" t="s">
        <v>1327</v>
      </c>
      <c r="C847" s="4" t="s">
        <v>1119</v>
      </c>
      <c r="D847" s="4" t="s">
        <v>1120</v>
      </c>
      <c r="E847" s="15">
        <v>45317.0</v>
      </c>
    </row>
    <row r="848">
      <c r="A848" s="4">
        <v>848.0</v>
      </c>
      <c r="B848" s="4" t="s">
        <v>1428</v>
      </c>
      <c r="C848" s="4" t="s">
        <v>1429</v>
      </c>
      <c r="D848" s="4" t="s">
        <v>1098</v>
      </c>
      <c r="E848" s="15">
        <v>45317.0</v>
      </c>
    </row>
    <row r="849">
      <c r="A849" s="4">
        <v>849.0</v>
      </c>
      <c r="B849" s="4" t="s">
        <v>1428</v>
      </c>
      <c r="C849" s="4" t="s">
        <v>1264</v>
      </c>
      <c r="D849" s="4" t="s">
        <v>1098</v>
      </c>
      <c r="E849" s="15">
        <v>45317.0</v>
      </c>
    </row>
    <row r="850">
      <c r="A850" s="4">
        <v>850.0</v>
      </c>
      <c r="B850" s="4" t="s">
        <v>1430</v>
      </c>
      <c r="C850" s="4" t="s">
        <v>1102</v>
      </c>
      <c r="D850" s="4" t="s">
        <v>1098</v>
      </c>
      <c r="E850" s="15">
        <v>45317.0</v>
      </c>
    </row>
    <row r="851">
      <c r="A851" s="4">
        <v>851.0</v>
      </c>
      <c r="B851" s="4" t="s">
        <v>1424</v>
      </c>
      <c r="C851" s="4" t="s">
        <v>1102</v>
      </c>
      <c r="D851" s="4" t="s">
        <v>1098</v>
      </c>
      <c r="E851" s="15">
        <v>45317.0</v>
      </c>
    </row>
    <row r="852">
      <c r="A852" s="4">
        <v>852.0</v>
      </c>
      <c r="B852" s="4" t="s">
        <v>1431</v>
      </c>
      <c r="C852" s="4" t="s">
        <v>1102</v>
      </c>
      <c r="D852" s="4" t="s">
        <v>1098</v>
      </c>
      <c r="E852" s="15">
        <v>45317.0</v>
      </c>
    </row>
    <row r="853">
      <c r="A853" s="4">
        <v>853.0</v>
      </c>
      <c r="B853" s="4" t="s">
        <v>1267</v>
      </c>
      <c r="C853" s="4" t="s">
        <v>1102</v>
      </c>
      <c r="D853" s="4" t="s">
        <v>1098</v>
      </c>
      <c r="E853" s="15">
        <v>45317.0</v>
      </c>
    </row>
    <row r="854">
      <c r="A854" s="4">
        <v>854.0</v>
      </c>
      <c r="B854" s="4" t="s">
        <v>1417</v>
      </c>
      <c r="C854" s="4" t="s">
        <v>1215</v>
      </c>
      <c r="D854" s="4" t="s">
        <v>1098</v>
      </c>
      <c r="E854" s="15">
        <v>45317.0</v>
      </c>
    </row>
    <row r="855">
      <c r="A855" s="4">
        <v>855.0</v>
      </c>
      <c r="B855" s="4" t="s">
        <v>1417</v>
      </c>
      <c r="C855" s="4" t="s">
        <v>1215</v>
      </c>
      <c r="D855" s="4" t="s">
        <v>1098</v>
      </c>
      <c r="E855" s="15">
        <v>45317.0</v>
      </c>
    </row>
    <row r="856">
      <c r="A856" s="4">
        <v>856.0</v>
      </c>
      <c r="B856" s="4" t="s">
        <v>1432</v>
      </c>
      <c r="C856" s="4" t="s">
        <v>1215</v>
      </c>
      <c r="D856" s="4" t="s">
        <v>1098</v>
      </c>
      <c r="E856" s="15">
        <v>45317.0</v>
      </c>
    </row>
    <row r="857">
      <c r="A857" s="4">
        <v>857.0</v>
      </c>
      <c r="B857" s="4" t="s">
        <v>1425</v>
      </c>
      <c r="C857" s="4" t="s">
        <v>1433</v>
      </c>
      <c r="D857" s="4" t="s">
        <v>1098</v>
      </c>
      <c r="E857" s="15">
        <v>45317.0</v>
      </c>
    </row>
    <row r="858">
      <c r="A858" s="4">
        <v>858.0</v>
      </c>
      <c r="B858" s="4" t="s">
        <v>1425</v>
      </c>
      <c r="C858" s="4" t="s">
        <v>1433</v>
      </c>
      <c r="D858" s="4" t="s">
        <v>1098</v>
      </c>
      <c r="E858" s="15">
        <v>45317.0</v>
      </c>
    </row>
    <row r="859">
      <c r="A859" s="4">
        <v>859.0</v>
      </c>
      <c r="B859" s="4" t="s">
        <v>1425</v>
      </c>
      <c r="C859" s="4" t="s">
        <v>1433</v>
      </c>
      <c r="D859" s="4" t="s">
        <v>1098</v>
      </c>
      <c r="E859" s="15">
        <v>45317.0</v>
      </c>
    </row>
    <row r="860">
      <c r="A860" s="4">
        <v>860.0</v>
      </c>
      <c r="B860" s="4" t="s">
        <v>1425</v>
      </c>
      <c r="C860" s="4" t="s">
        <v>1433</v>
      </c>
      <c r="D860" s="4" t="s">
        <v>1098</v>
      </c>
      <c r="E860" s="15">
        <v>45317.0</v>
      </c>
    </row>
    <row r="861">
      <c r="A861" s="4">
        <v>861.0</v>
      </c>
      <c r="B861" s="4" t="s">
        <v>1425</v>
      </c>
      <c r="C861" s="4" t="s">
        <v>1433</v>
      </c>
      <c r="D861" s="4" t="s">
        <v>1098</v>
      </c>
      <c r="E861" s="15">
        <v>45317.0</v>
      </c>
    </row>
    <row r="862">
      <c r="A862" s="4">
        <v>862.0</v>
      </c>
      <c r="B862" s="4" t="s">
        <v>1425</v>
      </c>
      <c r="C862" s="4" t="s">
        <v>1433</v>
      </c>
      <c r="D862" s="4" t="s">
        <v>1098</v>
      </c>
      <c r="E862" s="15">
        <v>45317.0</v>
      </c>
    </row>
    <row r="863">
      <c r="A863" s="4">
        <v>863.0</v>
      </c>
      <c r="B863" s="4" t="s">
        <v>1425</v>
      </c>
      <c r="C863" s="4" t="s">
        <v>1433</v>
      </c>
      <c r="D863" s="4" t="s">
        <v>1098</v>
      </c>
      <c r="E863" s="15">
        <v>45317.0</v>
      </c>
    </row>
    <row r="864">
      <c r="A864" s="4">
        <v>864.0</v>
      </c>
      <c r="B864" s="4" t="s">
        <v>1425</v>
      </c>
      <c r="C864" s="4" t="s">
        <v>1433</v>
      </c>
      <c r="D864" s="4" t="s">
        <v>1098</v>
      </c>
      <c r="E864" s="15">
        <v>45317.0</v>
      </c>
    </row>
    <row r="865">
      <c r="A865" s="4">
        <v>865.0</v>
      </c>
      <c r="B865" s="4" t="s">
        <v>1425</v>
      </c>
      <c r="C865" s="4" t="s">
        <v>1256</v>
      </c>
      <c r="D865" s="4" t="s">
        <v>1098</v>
      </c>
      <c r="E865" s="15">
        <v>45317.0</v>
      </c>
    </row>
    <row r="866">
      <c r="A866" s="4">
        <v>866.0</v>
      </c>
      <c r="B866" s="4" t="s">
        <v>1425</v>
      </c>
      <c r="C866" s="4" t="s">
        <v>1256</v>
      </c>
      <c r="D866" s="4" t="s">
        <v>1098</v>
      </c>
      <c r="E866" s="15">
        <v>45317.0</v>
      </c>
    </row>
    <row r="867">
      <c r="A867" s="4">
        <v>867.0</v>
      </c>
      <c r="B867" s="4" t="s">
        <v>1425</v>
      </c>
      <c r="C867" s="4" t="s">
        <v>1256</v>
      </c>
      <c r="D867" s="4" t="s">
        <v>1098</v>
      </c>
      <c r="E867" s="15">
        <v>45317.0</v>
      </c>
    </row>
    <row r="868">
      <c r="A868" s="4">
        <v>868.0</v>
      </c>
      <c r="B868" s="4" t="s">
        <v>1425</v>
      </c>
      <c r="C868" s="4" t="s">
        <v>1256</v>
      </c>
      <c r="D868" s="4" t="s">
        <v>1098</v>
      </c>
      <c r="E868" s="15">
        <v>45317.0</v>
      </c>
    </row>
    <row r="869">
      <c r="A869" s="4">
        <v>869.0</v>
      </c>
      <c r="B869" s="4" t="s">
        <v>1425</v>
      </c>
      <c r="C869" s="4" t="s">
        <v>1256</v>
      </c>
      <c r="D869" s="4" t="s">
        <v>1098</v>
      </c>
      <c r="E869" s="15">
        <v>45317.0</v>
      </c>
    </row>
    <row r="870">
      <c r="A870" s="4">
        <v>870.0</v>
      </c>
      <c r="B870" s="4" t="s">
        <v>1425</v>
      </c>
      <c r="C870" s="4" t="s">
        <v>1256</v>
      </c>
      <c r="D870" s="4" t="s">
        <v>1098</v>
      </c>
      <c r="E870" s="15">
        <v>45317.0</v>
      </c>
    </row>
    <row r="871">
      <c r="A871" s="4">
        <v>871.0</v>
      </c>
      <c r="B871" s="4" t="s">
        <v>1425</v>
      </c>
      <c r="C871" s="4" t="s">
        <v>1256</v>
      </c>
      <c r="D871" s="4" t="s">
        <v>1098</v>
      </c>
      <c r="E871" s="15">
        <v>45317.0</v>
      </c>
    </row>
    <row r="872">
      <c r="A872" s="4">
        <v>872.0</v>
      </c>
      <c r="B872" s="4" t="s">
        <v>1425</v>
      </c>
      <c r="C872" s="4" t="s">
        <v>1256</v>
      </c>
      <c r="D872" s="4" t="s">
        <v>1098</v>
      </c>
      <c r="E872" s="15">
        <v>45317.0</v>
      </c>
    </row>
    <row r="873">
      <c r="A873" s="4">
        <v>873.0</v>
      </c>
      <c r="B873" s="4" t="s">
        <v>1425</v>
      </c>
      <c r="C873" s="4" t="s">
        <v>1256</v>
      </c>
      <c r="D873" s="4" t="s">
        <v>1098</v>
      </c>
      <c r="E873" s="15">
        <v>45317.0</v>
      </c>
    </row>
    <row r="874">
      <c r="A874" s="4">
        <v>874.0</v>
      </c>
      <c r="B874" s="4" t="s">
        <v>1425</v>
      </c>
      <c r="C874" s="4" t="s">
        <v>1256</v>
      </c>
      <c r="D874" s="4" t="s">
        <v>1098</v>
      </c>
      <c r="E874" s="15">
        <v>45317.0</v>
      </c>
    </row>
    <row r="875">
      <c r="A875" s="4">
        <v>875.0</v>
      </c>
      <c r="B875" s="4" t="s">
        <v>1425</v>
      </c>
      <c r="C875" s="4" t="s">
        <v>1256</v>
      </c>
      <c r="D875" s="4" t="s">
        <v>1098</v>
      </c>
      <c r="E875" s="15">
        <v>45317.0</v>
      </c>
    </row>
    <row r="876">
      <c r="A876" s="4">
        <v>876.0</v>
      </c>
      <c r="B876" s="4" t="s">
        <v>1425</v>
      </c>
      <c r="C876" s="4" t="s">
        <v>1256</v>
      </c>
      <c r="D876" s="4" t="s">
        <v>1098</v>
      </c>
      <c r="E876" s="15">
        <v>45317.0</v>
      </c>
    </row>
    <row r="877">
      <c r="A877" s="4">
        <v>877.0</v>
      </c>
      <c r="B877" s="4" t="s">
        <v>1434</v>
      </c>
      <c r="C877" s="4" t="s">
        <v>1435</v>
      </c>
      <c r="D877" s="4" t="s">
        <v>1098</v>
      </c>
      <c r="E877" s="15">
        <v>45317.0</v>
      </c>
    </row>
    <row r="878">
      <c r="A878" s="4">
        <v>878.0</v>
      </c>
      <c r="B878" s="4" t="s">
        <v>1428</v>
      </c>
      <c r="C878" s="4" t="s">
        <v>1435</v>
      </c>
      <c r="D878" s="4" t="s">
        <v>1098</v>
      </c>
      <c r="E878" s="15">
        <v>45317.0</v>
      </c>
    </row>
    <row r="879">
      <c r="A879" s="4">
        <v>879.0</v>
      </c>
      <c r="B879" s="4" t="s">
        <v>1176</v>
      </c>
      <c r="C879" s="4" t="s">
        <v>1378</v>
      </c>
      <c r="D879" s="4" t="s">
        <v>1120</v>
      </c>
      <c r="E879" s="15">
        <v>45317.0</v>
      </c>
    </row>
    <row r="880">
      <c r="A880" s="4">
        <v>880.0</v>
      </c>
      <c r="B880" s="4" t="s">
        <v>1176</v>
      </c>
      <c r="C880" s="4" t="s">
        <v>1436</v>
      </c>
      <c r="D880" s="4" t="s">
        <v>1120</v>
      </c>
      <c r="E880" s="15">
        <v>45317.0</v>
      </c>
    </row>
    <row r="881">
      <c r="A881" s="4">
        <v>881.0</v>
      </c>
      <c r="B881" s="4" t="s">
        <v>1176</v>
      </c>
      <c r="C881" s="4" t="s">
        <v>1437</v>
      </c>
      <c r="D881" s="4" t="s">
        <v>1120</v>
      </c>
      <c r="E881" s="15">
        <v>45317.0</v>
      </c>
    </row>
    <row r="882">
      <c r="A882" s="4">
        <v>882.0</v>
      </c>
      <c r="B882" s="4" t="s">
        <v>1432</v>
      </c>
      <c r="C882" s="4" t="s">
        <v>1143</v>
      </c>
      <c r="D882" s="4" t="s">
        <v>1098</v>
      </c>
      <c r="E882" s="15">
        <v>45316.0</v>
      </c>
    </row>
    <row r="883">
      <c r="A883" s="4">
        <v>883.0</v>
      </c>
      <c r="B883" s="4" t="s">
        <v>1438</v>
      </c>
      <c r="C883" s="4" t="s">
        <v>1143</v>
      </c>
      <c r="D883" s="4" t="s">
        <v>1098</v>
      </c>
      <c r="E883" s="15">
        <v>45316.0</v>
      </c>
    </row>
    <row r="884">
      <c r="A884" s="4">
        <v>884.0</v>
      </c>
      <c r="B884" s="4" t="s">
        <v>1432</v>
      </c>
      <c r="C884" s="4" t="s">
        <v>1143</v>
      </c>
      <c r="D884" s="4" t="s">
        <v>1098</v>
      </c>
      <c r="E884" s="15">
        <v>45316.0</v>
      </c>
    </row>
    <row r="885">
      <c r="A885" s="4">
        <v>885.0</v>
      </c>
      <c r="B885" s="4" t="s">
        <v>1439</v>
      </c>
      <c r="C885" s="4" t="s">
        <v>1102</v>
      </c>
      <c r="D885" s="4" t="s">
        <v>1098</v>
      </c>
      <c r="E885" s="15">
        <v>45316.0</v>
      </c>
    </row>
    <row r="886">
      <c r="A886" s="4">
        <v>886.0</v>
      </c>
      <c r="B886" s="4" t="s">
        <v>1439</v>
      </c>
      <c r="C886" s="4" t="s">
        <v>1102</v>
      </c>
      <c r="D886" s="4" t="s">
        <v>1098</v>
      </c>
      <c r="E886" s="15">
        <v>45316.0</v>
      </c>
    </row>
    <row r="887">
      <c r="A887" s="4">
        <v>887.0</v>
      </c>
      <c r="B887" s="4" t="s">
        <v>1439</v>
      </c>
      <c r="C887" s="4" t="s">
        <v>1102</v>
      </c>
      <c r="D887" s="4" t="s">
        <v>1098</v>
      </c>
      <c r="E887" s="15">
        <v>45316.0</v>
      </c>
    </row>
    <row r="888">
      <c r="A888" s="4">
        <v>888.0</v>
      </c>
      <c r="B888" s="4" t="s">
        <v>1439</v>
      </c>
      <c r="C888" s="4" t="s">
        <v>1102</v>
      </c>
      <c r="D888" s="4" t="s">
        <v>1098</v>
      </c>
      <c r="E888" s="15">
        <v>45316.0</v>
      </c>
    </row>
    <row r="889">
      <c r="A889" s="4">
        <v>889.0</v>
      </c>
      <c r="B889" s="4" t="s">
        <v>1439</v>
      </c>
      <c r="C889" s="4" t="s">
        <v>1102</v>
      </c>
      <c r="D889" s="4" t="s">
        <v>1098</v>
      </c>
      <c r="E889" s="15">
        <v>45316.0</v>
      </c>
    </row>
    <row r="890">
      <c r="A890" s="4">
        <v>890.0</v>
      </c>
      <c r="B890" s="4" t="s">
        <v>1439</v>
      </c>
      <c r="C890" s="4" t="s">
        <v>1102</v>
      </c>
      <c r="D890" s="4" t="s">
        <v>1098</v>
      </c>
      <c r="E890" s="15">
        <v>45316.0</v>
      </c>
    </row>
    <row r="891">
      <c r="A891" s="4">
        <v>891.0</v>
      </c>
      <c r="B891" s="4" t="s">
        <v>1439</v>
      </c>
      <c r="C891" s="4" t="s">
        <v>1102</v>
      </c>
      <c r="D891" s="4" t="s">
        <v>1098</v>
      </c>
      <c r="E891" s="15">
        <v>45316.0</v>
      </c>
    </row>
    <row r="892">
      <c r="A892" s="4">
        <v>892.0</v>
      </c>
      <c r="B892" s="4" t="s">
        <v>1439</v>
      </c>
      <c r="C892" s="4" t="s">
        <v>1102</v>
      </c>
      <c r="D892" s="4" t="s">
        <v>1098</v>
      </c>
      <c r="E892" s="15">
        <v>45316.0</v>
      </c>
    </row>
    <row r="893">
      <c r="A893" s="4">
        <v>893.0</v>
      </c>
      <c r="B893" s="4" t="s">
        <v>1439</v>
      </c>
      <c r="C893" s="4" t="s">
        <v>1102</v>
      </c>
      <c r="D893" s="4" t="s">
        <v>1098</v>
      </c>
      <c r="E893" s="15">
        <v>45316.0</v>
      </c>
    </row>
    <row r="894">
      <c r="A894" s="4">
        <v>894.0</v>
      </c>
      <c r="B894" s="4" t="s">
        <v>1439</v>
      </c>
      <c r="C894" s="4" t="s">
        <v>1102</v>
      </c>
      <c r="D894" s="4" t="s">
        <v>1098</v>
      </c>
      <c r="E894" s="15">
        <v>45316.0</v>
      </c>
    </row>
    <row r="895">
      <c r="A895" s="4">
        <v>895.0</v>
      </c>
      <c r="B895" s="4" t="s">
        <v>1440</v>
      </c>
      <c r="C895" s="4" t="s">
        <v>1102</v>
      </c>
      <c r="D895" s="4" t="s">
        <v>1098</v>
      </c>
      <c r="E895" s="15">
        <v>45316.0</v>
      </c>
    </row>
    <row r="896">
      <c r="A896" s="4">
        <v>896.0</v>
      </c>
      <c r="B896" s="4" t="s">
        <v>1439</v>
      </c>
      <c r="C896" s="4" t="s">
        <v>1102</v>
      </c>
      <c r="D896" s="4" t="s">
        <v>1098</v>
      </c>
      <c r="E896" s="15">
        <v>45316.0</v>
      </c>
    </row>
    <row r="897">
      <c r="A897" s="4">
        <v>897.0</v>
      </c>
      <c r="B897" s="4" t="s">
        <v>1439</v>
      </c>
      <c r="C897" s="4" t="s">
        <v>1102</v>
      </c>
      <c r="D897" s="4" t="s">
        <v>1098</v>
      </c>
      <c r="E897" s="15">
        <v>45316.0</v>
      </c>
    </row>
    <row r="898">
      <c r="A898" s="4">
        <v>898.0</v>
      </c>
      <c r="B898" s="4" t="s">
        <v>1439</v>
      </c>
      <c r="C898" s="4" t="s">
        <v>1102</v>
      </c>
      <c r="D898" s="4" t="s">
        <v>1098</v>
      </c>
      <c r="E898" s="15">
        <v>45316.0</v>
      </c>
    </row>
    <row r="899">
      <c r="A899" s="4">
        <v>899.0</v>
      </c>
      <c r="B899" s="4" t="s">
        <v>1439</v>
      </c>
      <c r="C899" s="4" t="s">
        <v>1102</v>
      </c>
      <c r="D899" s="4" t="s">
        <v>1098</v>
      </c>
      <c r="E899" s="15">
        <v>45316.0</v>
      </c>
    </row>
    <row r="900">
      <c r="A900" s="4">
        <v>900.0</v>
      </c>
      <c r="B900" s="4" t="s">
        <v>1439</v>
      </c>
      <c r="C900" s="4" t="s">
        <v>1102</v>
      </c>
      <c r="D900" s="4" t="s">
        <v>1098</v>
      </c>
      <c r="E900" s="15">
        <v>45316.0</v>
      </c>
    </row>
    <row r="901">
      <c r="A901" s="4">
        <v>901.0</v>
      </c>
      <c r="B901" s="4" t="s">
        <v>1439</v>
      </c>
      <c r="C901" s="4" t="s">
        <v>1102</v>
      </c>
      <c r="D901" s="4" t="s">
        <v>1098</v>
      </c>
      <c r="E901" s="15">
        <v>45316.0</v>
      </c>
    </row>
    <row r="902">
      <c r="A902" s="4">
        <v>902.0</v>
      </c>
      <c r="B902" s="4" t="s">
        <v>1439</v>
      </c>
      <c r="C902" s="4" t="s">
        <v>1102</v>
      </c>
      <c r="D902" s="4" t="s">
        <v>1098</v>
      </c>
      <c r="E902" s="15">
        <v>45316.0</v>
      </c>
    </row>
    <row r="903">
      <c r="A903" s="4">
        <v>903.0</v>
      </c>
      <c r="B903" s="4" t="s">
        <v>1439</v>
      </c>
      <c r="C903" s="4" t="s">
        <v>1102</v>
      </c>
      <c r="D903" s="4" t="s">
        <v>1098</v>
      </c>
      <c r="E903" s="15">
        <v>45316.0</v>
      </c>
    </row>
    <row r="904">
      <c r="A904" s="4">
        <v>904.0</v>
      </c>
      <c r="B904" s="4" t="s">
        <v>1439</v>
      </c>
      <c r="C904" s="4" t="s">
        <v>1102</v>
      </c>
      <c r="D904" s="4" t="s">
        <v>1098</v>
      </c>
      <c r="E904" s="15">
        <v>45316.0</v>
      </c>
    </row>
    <row r="905">
      <c r="A905" s="4">
        <v>905.0</v>
      </c>
      <c r="B905" s="4" t="s">
        <v>1441</v>
      </c>
      <c r="C905" s="4" t="s">
        <v>1102</v>
      </c>
      <c r="D905" s="4" t="s">
        <v>1098</v>
      </c>
      <c r="E905" s="15">
        <v>45316.0</v>
      </c>
    </row>
    <row r="906">
      <c r="A906" s="4">
        <v>906.0</v>
      </c>
      <c r="B906" s="4" t="s">
        <v>1441</v>
      </c>
      <c r="C906" s="4" t="s">
        <v>1102</v>
      </c>
      <c r="D906" s="4" t="s">
        <v>1098</v>
      </c>
      <c r="E906" s="15">
        <v>45316.0</v>
      </c>
    </row>
    <row r="907">
      <c r="A907" s="4">
        <v>907.0</v>
      </c>
      <c r="B907" s="4" t="s">
        <v>1442</v>
      </c>
      <c r="C907" s="4" t="s">
        <v>1102</v>
      </c>
      <c r="D907" s="4" t="s">
        <v>1098</v>
      </c>
      <c r="E907" s="15">
        <v>45316.0</v>
      </c>
    </row>
    <row r="908">
      <c r="A908" s="4">
        <v>908.0</v>
      </c>
      <c r="B908" s="4" t="s">
        <v>1443</v>
      </c>
      <c r="C908" s="4" t="s">
        <v>1102</v>
      </c>
      <c r="D908" s="4" t="s">
        <v>1098</v>
      </c>
      <c r="E908" s="15">
        <v>45316.0</v>
      </c>
    </row>
    <row r="909">
      <c r="A909" s="4">
        <v>909.0</v>
      </c>
      <c r="B909" s="4" t="s">
        <v>1358</v>
      </c>
      <c r="C909" s="4" t="s">
        <v>1102</v>
      </c>
      <c r="D909" s="4" t="s">
        <v>1098</v>
      </c>
      <c r="E909" s="15">
        <v>45316.0</v>
      </c>
    </row>
    <row r="910">
      <c r="A910" s="4">
        <v>910.0</v>
      </c>
      <c r="B910" s="4" t="s">
        <v>1444</v>
      </c>
      <c r="C910" s="4" t="s">
        <v>1102</v>
      </c>
      <c r="D910" s="4" t="s">
        <v>1098</v>
      </c>
      <c r="E910" s="15">
        <v>45316.0</v>
      </c>
    </row>
    <row r="911">
      <c r="A911" s="4">
        <v>911.0</v>
      </c>
      <c r="B911" s="4" t="s">
        <v>1441</v>
      </c>
      <c r="C911" s="4" t="s">
        <v>1139</v>
      </c>
      <c r="D911" s="4" t="s">
        <v>1098</v>
      </c>
      <c r="E911" s="15">
        <v>45316.0</v>
      </c>
    </row>
    <row r="912">
      <c r="A912" s="4">
        <v>912.0</v>
      </c>
      <c r="B912" s="4" t="s">
        <v>1432</v>
      </c>
      <c r="C912" s="4" t="s">
        <v>1215</v>
      </c>
      <c r="D912" s="4" t="s">
        <v>1098</v>
      </c>
      <c r="E912" s="15">
        <v>45316.0</v>
      </c>
    </row>
    <row r="913">
      <c r="A913" s="4">
        <v>913.0</v>
      </c>
      <c r="B913" s="4" t="s">
        <v>1358</v>
      </c>
      <c r="C913" s="4" t="s">
        <v>1215</v>
      </c>
      <c r="D913" s="4" t="s">
        <v>1098</v>
      </c>
      <c r="E913" s="15">
        <v>45316.0</v>
      </c>
    </row>
    <row r="914">
      <c r="A914" s="4">
        <v>914.0</v>
      </c>
      <c r="B914" s="4" t="s">
        <v>1432</v>
      </c>
      <c r="C914" s="4" t="s">
        <v>1445</v>
      </c>
      <c r="D914" s="4" t="s">
        <v>1098</v>
      </c>
      <c r="E914" s="15">
        <v>45316.0</v>
      </c>
    </row>
    <row r="915">
      <c r="A915" s="4">
        <v>915.0</v>
      </c>
      <c r="B915" s="4" t="s">
        <v>1432</v>
      </c>
      <c r="C915" s="4" t="s">
        <v>1446</v>
      </c>
      <c r="D915" s="4" t="s">
        <v>1098</v>
      </c>
      <c r="E915" s="15">
        <v>45316.0</v>
      </c>
    </row>
    <row r="916">
      <c r="A916" s="4">
        <v>916.0</v>
      </c>
      <c r="B916" s="4" t="s">
        <v>1440</v>
      </c>
      <c r="C916" s="4" t="s">
        <v>1447</v>
      </c>
      <c r="D916" s="4" t="s">
        <v>1098</v>
      </c>
      <c r="E916" s="15">
        <v>45316.0</v>
      </c>
    </row>
    <row r="917">
      <c r="A917" s="4">
        <v>917.0</v>
      </c>
      <c r="B917" s="4" t="s">
        <v>1448</v>
      </c>
      <c r="C917" s="4" t="s">
        <v>1141</v>
      </c>
      <c r="D917" s="4" t="s">
        <v>1098</v>
      </c>
      <c r="E917" s="15">
        <v>45315.0</v>
      </c>
    </row>
    <row r="918">
      <c r="A918" s="4">
        <v>918.0</v>
      </c>
      <c r="B918" s="4" t="s">
        <v>1449</v>
      </c>
      <c r="C918" s="4" t="s">
        <v>1141</v>
      </c>
      <c r="D918" s="4" t="s">
        <v>1098</v>
      </c>
      <c r="E918" s="15">
        <v>45315.0</v>
      </c>
    </row>
    <row r="919">
      <c r="A919" s="4">
        <v>919.0</v>
      </c>
      <c r="B919" s="4" t="s">
        <v>1450</v>
      </c>
      <c r="C919" s="4" t="s">
        <v>1101</v>
      </c>
      <c r="D919" s="4" t="s">
        <v>1098</v>
      </c>
      <c r="E919" s="15">
        <v>45315.0</v>
      </c>
    </row>
    <row r="920">
      <c r="A920" s="4">
        <v>920.0</v>
      </c>
      <c r="B920" s="4" t="s">
        <v>1450</v>
      </c>
      <c r="C920" s="4" t="s">
        <v>1143</v>
      </c>
      <c r="D920" s="4" t="s">
        <v>1098</v>
      </c>
      <c r="E920" s="15">
        <v>45315.0</v>
      </c>
    </row>
    <row r="921">
      <c r="A921" s="4">
        <v>921.0</v>
      </c>
      <c r="B921" s="4" t="s">
        <v>1451</v>
      </c>
      <c r="C921" s="4" t="s">
        <v>1102</v>
      </c>
      <c r="D921" s="4" t="s">
        <v>1098</v>
      </c>
      <c r="E921" s="15">
        <v>45315.0</v>
      </c>
    </row>
    <row r="922">
      <c r="A922" s="4">
        <v>922.0</v>
      </c>
      <c r="B922" s="4" t="s">
        <v>1448</v>
      </c>
      <c r="C922" s="4" t="s">
        <v>1102</v>
      </c>
      <c r="D922" s="4" t="s">
        <v>1098</v>
      </c>
      <c r="E922" s="15">
        <v>45315.0</v>
      </c>
    </row>
    <row r="923">
      <c r="A923" s="4">
        <v>923.0</v>
      </c>
      <c r="B923" s="4" t="s">
        <v>1450</v>
      </c>
      <c r="C923" s="4" t="s">
        <v>1102</v>
      </c>
      <c r="D923" s="4" t="s">
        <v>1098</v>
      </c>
      <c r="E923" s="15">
        <v>45315.0</v>
      </c>
    </row>
    <row r="924">
      <c r="A924" s="4">
        <v>924.0</v>
      </c>
      <c r="B924" s="4" t="s">
        <v>1452</v>
      </c>
      <c r="C924" s="4" t="s">
        <v>1185</v>
      </c>
      <c r="D924" s="4" t="s">
        <v>1098</v>
      </c>
      <c r="E924" s="15">
        <v>45315.0</v>
      </c>
    </row>
    <row r="925">
      <c r="A925" s="4">
        <v>925.0</v>
      </c>
      <c r="B925" s="4" t="s">
        <v>1452</v>
      </c>
      <c r="C925" s="4" t="s">
        <v>1128</v>
      </c>
      <c r="D925" s="4" t="s">
        <v>1098</v>
      </c>
      <c r="E925" s="15">
        <v>45315.0</v>
      </c>
    </row>
    <row r="926">
      <c r="A926" s="4">
        <v>926.0</v>
      </c>
      <c r="B926" s="4" t="s">
        <v>1452</v>
      </c>
      <c r="C926" s="4" t="s">
        <v>1128</v>
      </c>
      <c r="D926" s="4" t="s">
        <v>1098</v>
      </c>
      <c r="E926" s="15">
        <v>45315.0</v>
      </c>
    </row>
    <row r="927">
      <c r="A927" s="4">
        <v>927.0</v>
      </c>
      <c r="B927" s="4" t="s">
        <v>1452</v>
      </c>
      <c r="C927" s="4" t="s">
        <v>1128</v>
      </c>
      <c r="D927" s="4" t="s">
        <v>1098</v>
      </c>
      <c r="E927" s="15">
        <v>45315.0</v>
      </c>
    </row>
    <row r="928">
      <c r="A928" s="4">
        <v>928.0</v>
      </c>
      <c r="B928" s="4" t="s">
        <v>1452</v>
      </c>
      <c r="C928" s="4" t="s">
        <v>1128</v>
      </c>
      <c r="D928" s="4" t="s">
        <v>1098</v>
      </c>
      <c r="E928" s="15">
        <v>45315.0</v>
      </c>
    </row>
    <row r="929">
      <c r="A929" s="4">
        <v>929.0</v>
      </c>
      <c r="B929" s="4" t="s">
        <v>1452</v>
      </c>
      <c r="C929" s="4" t="s">
        <v>1128</v>
      </c>
      <c r="D929" s="4" t="s">
        <v>1098</v>
      </c>
      <c r="E929" s="15">
        <v>45315.0</v>
      </c>
    </row>
    <row r="930">
      <c r="A930" s="4">
        <v>930.0</v>
      </c>
      <c r="B930" s="4" t="s">
        <v>1452</v>
      </c>
      <c r="C930" s="4" t="s">
        <v>1371</v>
      </c>
      <c r="D930" s="4" t="s">
        <v>1098</v>
      </c>
      <c r="E930" s="15">
        <v>45315.0</v>
      </c>
    </row>
    <row r="931">
      <c r="A931" s="4">
        <v>931.0</v>
      </c>
      <c r="B931" s="4" t="s">
        <v>1452</v>
      </c>
      <c r="C931" s="4" t="s">
        <v>1139</v>
      </c>
      <c r="D931" s="4" t="s">
        <v>1098</v>
      </c>
      <c r="E931" s="15">
        <v>45315.0</v>
      </c>
    </row>
    <row r="932">
      <c r="A932" s="4">
        <v>932.0</v>
      </c>
      <c r="B932" s="4" t="s">
        <v>1452</v>
      </c>
      <c r="C932" s="4" t="s">
        <v>1317</v>
      </c>
      <c r="D932" s="4" t="s">
        <v>1098</v>
      </c>
      <c r="E932" s="15">
        <v>45315.0</v>
      </c>
    </row>
    <row r="933">
      <c r="A933" s="4">
        <v>933.0</v>
      </c>
      <c r="B933" s="4" t="s">
        <v>1452</v>
      </c>
      <c r="C933" s="4" t="s">
        <v>1318</v>
      </c>
      <c r="D933" s="4" t="s">
        <v>1098</v>
      </c>
      <c r="E933" s="15">
        <v>45315.0</v>
      </c>
    </row>
    <row r="934">
      <c r="A934" s="4">
        <v>934.0</v>
      </c>
      <c r="B934" s="4" t="s">
        <v>1452</v>
      </c>
      <c r="C934" s="4" t="s">
        <v>1187</v>
      </c>
      <c r="D934" s="4" t="s">
        <v>1098</v>
      </c>
      <c r="E934" s="15">
        <v>45315.0</v>
      </c>
    </row>
    <row r="935">
      <c r="A935" s="4">
        <v>935.0</v>
      </c>
      <c r="B935" s="4" t="s">
        <v>1452</v>
      </c>
      <c r="C935" s="4" t="s">
        <v>1115</v>
      </c>
      <c r="D935" s="4" t="s">
        <v>1098</v>
      </c>
      <c r="E935" s="15">
        <v>45315.0</v>
      </c>
    </row>
    <row r="936">
      <c r="A936" s="4">
        <v>936.0</v>
      </c>
      <c r="B936" s="4" t="s">
        <v>1452</v>
      </c>
      <c r="C936" s="4" t="s">
        <v>1319</v>
      </c>
      <c r="D936" s="4" t="s">
        <v>1098</v>
      </c>
      <c r="E936" s="15">
        <v>45315.0</v>
      </c>
    </row>
    <row r="937">
      <c r="A937" s="4">
        <v>937.0</v>
      </c>
      <c r="B937" s="4" t="s">
        <v>1452</v>
      </c>
      <c r="C937" s="4" t="s">
        <v>1116</v>
      </c>
      <c r="D937" s="4" t="s">
        <v>1098</v>
      </c>
      <c r="E937" s="15">
        <v>45315.0</v>
      </c>
    </row>
    <row r="938">
      <c r="A938" s="4">
        <v>938.0</v>
      </c>
      <c r="B938" s="4" t="s">
        <v>1448</v>
      </c>
      <c r="C938" s="4" t="s">
        <v>1377</v>
      </c>
      <c r="D938" s="4" t="s">
        <v>1098</v>
      </c>
      <c r="E938" s="15">
        <v>45315.0</v>
      </c>
    </row>
    <row r="939">
      <c r="A939" s="4">
        <v>939.0</v>
      </c>
      <c r="B939" s="4" t="s">
        <v>1452</v>
      </c>
      <c r="C939" s="4" t="s">
        <v>1346</v>
      </c>
      <c r="D939" s="4" t="s">
        <v>1098</v>
      </c>
      <c r="E939" s="15">
        <v>45314.0</v>
      </c>
    </row>
    <row r="940">
      <c r="A940" s="4">
        <v>940.0</v>
      </c>
      <c r="B940" s="4" t="s">
        <v>1149</v>
      </c>
      <c r="C940" s="4" t="s">
        <v>1325</v>
      </c>
      <c r="D940" s="4" t="s">
        <v>1098</v>
      </c>
      <c r="E940" s="15">
        <v>45314.0</v>
      </c>
    </row>
    <row r="941">
      <c r="A941" s="4">
        <v>941.0</v>
      </c>
      <c r="B941" s="4" t="s">
        <v>1452</v>
      </c>
      <c r="C941" s="4" t="s">
        <v>1102</v>
      </c>
      <c r="D941" s="4" t="s">
        <v>1098</v>
      </c>
      <c r="E941" s="15">
        <v>45314.0</v>
      </c>
    </row>
    <row r="942">
      <c r="A942" s="4">
        <v>942.0</v>
      </c>
      <c r="B942" s="4" t="s">
        <v>1108</v>
      </c>
      <c r="C942" s="4" t="s">
        <v>1102</v>
      </c>
      <c r="D942" s="4" t="s">
        <v>1098</v>
      </c>
      <c r="E942" s="15">
        <v>45314.0</v>
      </c>
    </row>
    <row r="943">
      <c r="A943" s="4">
        <v>943.0</v>
      </c>
      <c r="B943" s="4" t="s">
        <v>1108</v>
      </c>
      <c r="C943" s="4" t="s">
        <v>1102</v>
      </c>
      <c r="D943" s="4" t="s">
        <v>1098</v>
      </c>
      <c r="E943" s="15">
        <v>45314.0</v>
      </c>
    </row>
    <row r="944">
      <c r="A944" s="4">
        <v>944.0</v>
      </c>
      <c r="B944" s="4" t="s">
        <v>1453</v>
      </c>
      <c r="C944" s="4" t="s">
        <v>1102</v>
      </c>
      <c r="D944" s="4" t="s">
        <v>1098</v>
      </c>
      <c r="E944" s="15">
        <v>45314.0</v>
      </c>
    </row>
    <row r="945">
      <c r="A945" s="4">
        <v>945.0</v>
      </c>
      <c r="B945" s="4" t="s">
        <v>1452</v>
      </c>
      <c r="C945" s="4" t="s">
        <v>1102</v>
      </c>
      <c r="D945" s="4" t="s">
        <v>1098</v>
      </c>
      <c r="E945" s="15">
        <v>45314.0</v>
      </c>
    </row>
    <row r="946">
      <c r="A946" s="4">
        <v>946.0</v>
      </c>
      <c r="B946" s="4" t="s">
        <v>1385</v>
      </c>
      <c r="C946" s="4" t="s">
        <v>1317</v>
      </c>
      <c r="D946" s="4" t="s">
        <v>1098</v>
      </c>
      <c r="E946" s="15">
        <v>45314.0</v>
      </c>
    </row>
    <row r="947">
      <c r="A947" s="4">
        <v>947.0</v>
      </c>
      <c r="B947" s="4" t="s">
        <v>1452</v>
      </c>
      <c r="C947" s="4" t="s">
        <v>1217</v>
      </c>
      <c r="D947" s="4" t="s">
        <v>1098</v>
      </c>
      <c r="E947" s="15">
        <v>45314.0</v>
      </c>
    </row>
    <row r="948">
      <c r="A948" s="4">
        <v>948.0</v>
      </c>
      <c r="B948" s="4" t="s">
        <v>1454</v>
      </c>
      <c r="C948" s="4" t="s">
        <v>1164</v>
      </c>
      <c r="D948" s="4" t="s">
        <v>1120</v>
      </c>
      <c r="E948" s="15">
        <v>45313.0</v>
      </c>
    </row>
    <row r="949">
      <c r="A949" s="4">
        <v>949.0</v>
      </c>
      <c r="B949" s="4" t="s">
        <v>1183</v>
      </c>
      <c r="C949" s="4" t="s">
        <v>1131</v>
      </c>
      <c r="D949" s="4" t="s">
        <v>1098</v>
      </c>
      <c r="E949" s="15">
        <v>45313.0</v>
      </c>
    </row>
    <row r="950">
      <c r="A950" s="4">
        <v>950.0</v>
      </c>
      <c r="B950" s="4" t="s">
        <v>1455</v>
      </c>
      <c r="C950" s="4" t="s">
        <v>1097</v>
      </c>
      <c r="D950" s="4" t="s">
        <v>1098</v>
      </c>
      <c r="E950" s="15">
        <v>45313.0</v>
      </c>
    </row>
    <row r="951">
      <c r="A951" s="4">
        <v>951.0</v>
      </c>
      <c r="B951" s="4" t="s">
        <v>1455</v>
      </c>
      <c r="C951" s="4" t="s">
        <v>1099</v>
      </c>
      <c r="D951" s="4" t="s">
        <v>1098</v>
      </c>
      <c r="E951" s="15">
        <v>45313.0</v>
      </c>
    </row>
    <row r="952">
      <c r="A952" s="4">
        <v>952.0</v>
      </c>
      <c r="B952" s="4" t="s">
        <v>1455</v>
      </c>
      <c r="C952" s="4" t="s">
        <v>1195</v>
      </c>
      <c r="D952" s="4" t="s">
        <v>1098</v>
      </c>
      <c r="E952" s="15">
        <v>45313.0</v>
      </c>
    </row>
    <row r="953">
      <c r="A953" s="4">
        <v>953.0</v>
      </c>
      <c r="B953" s="4" t="s">
        <v>1455</v>
      </c>
      <c r="C953" s="4" t="s">
        <v>1168</v>
      </c>
      <c r="D953" s="4" t="s">
        <v>1098</v>
      </c>
      <c r="E953" s="15">
        <v>45313.0</v>
      </c>
    </row>
    <row r="954">
      <c r="A954" s="4">
        <v>954.0</v>
      </c>
      <c r="B954" s="4" t="s">
        <v>1455</v>
      </c>
      <c r="C954" s="4" t="s">
        <v>1141</v>
      </c>
      <c r="D954" s="4" t="s">
        <v>1098</v>
      </c>
      <c r="E954" s="15">
        <v>45313.0</v>
      </c>
    </row>
    <row r="955">
      <c r="A955" s="4">
        <v>955.0</v>
      </c>
      <c r="B955" s="4" t="s">
        <v>1456</v>
      </c>
      <c r="C955" s="4" t="s">
        <v>1141</v>
      </c>
      <c r="D955" s="4" t="s">
        <v>1098</v>
      </c>
      <c r="E955" s="15">
        <v>45313.0</v>
      </c>
    </row>
    <row r="956">
      <c r="A956" s="4">
        <v>956.0</v>
      </c>
      <c r="B956" s="4" t="s">
        <v>1455</v>
      </c>
      <c r="C956" s="4" t="s">
        <v>1101</v>
      </c>
      <c r="D956" s="4" t="s">
        <v>1098</v>
      </c>
      <c r="E956" s="15">
        <v>45313.0</v>
      </c>
    </row>
    <row r="957">
      <c r="A957" s="4">
        <v>957.0</v>
      </c>
      <c r="B957" s="4" t="s">
        <v>1457</v>
      </c>
      <c r="C957" s="4" t="s">
        <v>1101</v>
      </c>
      <c r="D957" s="4" t="s">
        <v>1098</v>
      </c>
      <c r="E957" s="15">
        <v>45313.0</v>
      </c>
    </row>
    <row r="958">
      <c r="A958" s="4">
        <v>958.0</v>
      </c>
      <c r="B958" s="4" t="s">
        <v>1183</v>
      </c>
      <c r="C958" s="4" t="s">
        <v>1101</v>
      </c>
      <c r="D958" s="4" t="s">
        <v>1098</v>
      </c>
      <c r="E958" s="15">
        <v>45313.0</v>
      </c>
    </row>
    <row r="959">
      <c r="A959" s="4">
        <v>959.0</v>
      </c>
      <c r="B959" s="4" t="s">
        <v>1183</v>
      </c>
      <c r="C959" s="4" t="s">
        <v>1143</v>
      </c>
      <c r="D959" s="4" t="s">
        <v>1098</v>
      </c>
      <c r="E959" s="15">
        <v>45313.0</v>
      </c>
    </row>
    <row r="960">
      <c r="A960" s="4">
        <v>960.0</v>
      </c>
      <c r="B960" s="4" t="s">
        <v>1455</v>
      </c>
      <c r="C960" s="4" t="s">
        <v>1143</v>
      </c>
      <c r="D960" s="4" t="s">
        <v>1098</v>
      </c>
      <c r="E960" s="15">
        <v>45313.0</v>
      </c>
    </row>
    <row r="961">
      <c r="A961" s="4">
        <v>961.0</v>
      </c>
      <c r="B961" s="4" t="s">
        <v>1183</v>
      </c>
      <c r="C961" s="4" t="s">
        <v>1143</v>
      </c>
      <c r="D961" s="4" t="s">
        <v>1098</v>
      </c>
      <c r="E961" s="15">
        <v>45313.0</v>
      </c>
    </row>
    <row r="962">
      <c r="A962" s="4">
        <v>962.0</v>
      </c>
      <c r="B962" s="4" t="s">
        <v>1458</v>
      </c>
      <c r="C962" s="4" t="s">
        <v>1102</v>
      </c>
      <c r="D962" s="4" t="s">
        <v>1098</v>
      </c>
      <c r="E962" s="15">
        <v>45313.0</v>
      </c>
    </row>
    <row r="963">
      <c r="A963" s="4">
        <v>963.0</v>
      </c>
      <c r="B963" s="4" t="s">
        <v>1459</v>
      </c>
      <c r="C963" s="4" t="s">
        <v>1102</v>
      </c>
      <c r="D963" s="4" t="s">
        <v>1098</v>
      </c>
      <c r="E963" s="15">
        <v>45313.0</v>
      </c>
    </row>
    <row r="964">
      <c r="A964" s="4">
        <v>964.0</v>
      </c>
      <c r="B964" s="4" t="s">
        <v>1441</v>
      </c>
      <c r="C964" s="4" t="s">
        <v>1102</v>
      </c>
      <c r="D964" s="4" t="s">
        <v>1098</v>
      </c>
      <c r="E964" s="15">
        <v>45313.0</v>
      </c>
    </row>
    <row r="965">
      <c r="A965" s="4">
        <v>965.0</v>
      </c>
      <c r="B965" s="4" t="s">
        <v>1460</v>
      </c>
      <c r="C965" s="4" t="s">
        <v>1253</v>
      </c>
      <c r="D965" s="4" t="s">
        <v>1098</v>
      </c>
      <c r="E965" s="15">
        <v>45313.0</v>
      </c>
    </row>
    <row r="966">
      <c r="A966" s="4">
        <v>966.0</v>
      </c>
      <c r="B966" s="4" t="s">
        <v>1461</v>
      </c>
      <c r="C966" s="4" t="s">
        <v>1462</v>
      </c>
      <c r="D966" s="4" t="s">
        <v>1098</v>
      </c>
      <c r="E966" s="15">
        <v>45313.0</v>
      </c>
    </row>
    <row r="967">
      <c r="A967" s="4">
        <v>967.0</v>
      </c>
      <c r="B967" s="4" t="s">
        <v>1461</v>
      </c>
      <c r="C967" s="4" t="s">
        <v>1462</v>
      </c>
      <c r="D967" s="4" t="s">
        <v>1098</v>
      </c>
      <c r="E967" s="15">
        <v>45313.0</v>
      </c>
    </row>
    <row r="968">
      <c r="A968" s="4">
        <v>968.0</v>
      </c>
      <c r="B968" s="4" t="s">
        <v>1463</v>
      </c>
      <c r="C968" s="4" t="s">
        <v>1464</v>
      </c>
      <c r="D968" s="4" t="s">
        <v>1098</v>
      </c>
      <c r="E968" s="15">
        <v>45313.0</v>
      </c>
    </row>
    <row r="969">
      <c r="A969" s="4">
        <v>969.0</v>
      </c>
      <c r="B969" s="4" t="s">
        <v>1465</v>
      </c>
      <c r="C969" s="4" t="s">
        <v>1139</v>
      </c>
      <c r="D969" s="4" t="s">
        <v>1098</v>
      </c>
      <c r="E969" s="15">
        <v>45313.0</v>
      </c>
    </row>
    <row r="970">
      <c r="A970" s="4">
        <v>970.0</v>
      </c>
      <c r="B970" s="4" t="s">
        <v>1466</v>
      </c>
      <c r="C970" s="4" t="s">
        <v>1237</v>
      </c>
      <c r="D970" s="4" t="s">
        <v>1098</v>
      </c>
      <c r="E970" s="15">
        <v>45313.0</v>
      </c>
    </row>
    <row r="971">
      <c r="A971" s="4">
        <v>971.0</v>
      </c>
      <c r="B971" s="4" t="s">
        <v>1311</v>
      </c>
      <c r="C971" s="4" t="s">
        <v>1257</v>
      </c>
      <c r="D971" s="4" t="s">
        <v>1120</v>
      </c>
      <c r="E971" s="15">
        <v>45313.0</v>
      </c>
    </row>
    <row r="972">
      <c r="A972" s="4">
        <v>972.0</v>
      </c>
      <c r="B972" s="4" t="s">
        <v>1461</v>
      </c>
      <c r="C972" s="4" t="s">
        <v>1462</v>
      </c>
      <c r="D972" s="4" t="s">
        <v>1098</v>
      </c>
      <c r="E972" s="15">
        <v>45312.0</v>
      </c>
    </row>
    <row r="973">
      <c r="A973" s="4">
        <v>973.0</v>
      </c>
      <c r="B973" s="4" t="s">
        <v>1461</v>
      </c>
      <c r="C973" s="4" t="s">
        <v>1462</v>
      </c>
      <c r="D973" s="4" t="s">
        <v>1098</v>
      </c>
      <c r="E973" s="15">
        <v>45312.0</v>
      </c>
    </row>
    <row r="974">
      <c r="A974" s="4">
        <v>974.0</v>
      </c>
      <c r="B974" s="4" t="s">
        <v>1467</v>
      </c>
      <c r="C974" s="4" t="s">
        <v>1102</v>
      </c>
      <c r="D974" s="4" t="s">
        <v>1098</v>
      </c>
      <c r="E974" s="15">
        <v>45311.0</v>
      </c>
    </row>
    <row r="975">
      <c r="A975" s="4">
        <v>975.0</v>
      </c>
      <c r="B975" s="4" t="s">
        <v>1468</v>
      </c>
      <c r="C975" s="4" t="s">
        <v>1102</v>
      </c>
      <c r="D975" s="4" t="s">
        <v>1098</v>
      </c>
      <c r="E975" s="15">
        <v>45311.0</v>
      </c>
    </row>
    <row r="976">
      <c r="A976" s="4">
        <v>976.0</v>
      </c>
      <c r="B976" s="4" t="s">
        <v>1417</v>
      </c>
      <c r="C976" s="4" t="s">
        <v>1191</v>
      </c>
      <c r="D976" s="4" t="s">
        <v>1098</v>
      </c>
      <c r="E976" s="15">
        <v>45310.0</v>
      </c>
    </row>
    <row r="977">
      <c r="A977" s="4">
        <v>977.0</v>
      </c>
      <c r="B977" s="4" t="s">
        <v>1469</v>
      </c>
      <c r="C977" s="4" t="s">
        <v>1470</v>
      </c>
      <c r="D977" s="4" t="s">
        <v>1120</v>
      </c>
      <c r="E977" s="15">
        <v>45310.0</v>
      </c>
    </row>
    <row r="978">
      <c r="A978" s="4">
        <v>978.0</v>
      </c>
      <c r="B978" s="4" t="s">
        <v>1469</v>
      </c>
      <c r="C978" s="4" t="s">
        <v>1470</v>
      </c>
      <c r="D978" s="4" t="s">
        <v>1120</v>
      </c>
      <c r="E978" s="15">
        <v>45310.0</v>
      </c>
    </row>
    <row r="979">
      <c r="A979" s="4">
        <v>979.0</v>
      </c>
      <c r="B979" s="4" t="s">
        <v>1469</v>
      </c>
      <c r="C979" s="4" t="s">
        <v>1470</v>
      </c>
      <c r="D979" s="4" t="s">
        <v>1120</v>
      </c>
      <c r="E979" s="15">
        <v>45310.0</v>
      </c>
    </row>
    <row r="980">
      <c r="A980" s="4">
        <v>980.0</v>
      </c>
      <c r="B980" s="4" t="s">
        <v>1471</v>
      </c>
      <c r="C980" s="4" t="s">
        <v>1131</v>
      </c>
      <c r="D980" s="4" t="s">
        <v>1098</v>
      </c>
      <c r="E980" s="15">
        <v>45310.0</v>
      </c>
    </row>
    <row r="981">
      <c r="A981" s="4">
        <v>981.0</v>
      </c>
      <c r="B981" s="4" t="s">
        <v>1469</v>
      </c>
      <c r="C981" s="4" t="s">
        <v>1119</v>
      </c>
      <c r="D981" s="4" t="s">
        <v>1120</v>
      </c>
      <c r="E981" s="15">
        <v>45310.0</v>
      </c>
    </row>
    <row r="982">
      <c r="A982" s="4">
        <v>982.0</v>
      </c>
      <c r="B982" s="4" t="s">
        <v>1469</v>
      </c>
      <c r="C982" s="4" t="s">
        <v>1119</v>
      </c>
      <c r="D982" s="4" t="s">
        <v>1120</v>
      </c>
      <c r="E982" s="15">
        <v>45310.0</v>
      </c>
    </row>
    <row r="983">
      <c r="A983" s="4">
        <v>983.0</v>
      </c>
      <c r="B983" s="4" t="s">
        <v>1469</v>
      </c>
      <c r="C983" s="4" t="s">
        <v>1325</v>
      </c>
      <c r="D983" s="4" t="s">
        <v>1098</v>
      </c>
      <c r="E983" s="15">
        <v>45310.0</v>
      </c>
    </row>
    <row r="984">
      <c r="A984" s="4">
        <v>984.0</v>
      </c>
      <c r="B984" s="4" t="s">
        <v>1471</v>
      </c>
      <c r="C984" s="4" t="s">
        <v>1325</v>
      </c>
      <c r="D984" s="4" t="s">
        <v>1098</v>
      </c>
      <c r="E984" s="15">
        <v>45310.0</v>
      </c>
    </row>
    <row r="985">
      <c r="A985" s="4">
        <v>985.0</v>
      </c>
      <c r="B985" s="4" t="s">
        <v>1458</v>
      </c>
      <c r="C985" s="4" t="s">
        <v>1102</v>
      </c>
      <c r="D985" s="4" t="s">
        <v>1098</v>
      </c>
      <c r="E985" s="15">
        <v>45310.0</v>
      </c>
    </row>
    <row r="986">
      <c r="A986" s="4">
        <v>986.0</v>
      </c>
      <c r="B986" s="4" t="s">
        <v>1472</v>
      </c>
      <c r="C986" s="4" t="s">
        <v>1102</v>
      </c>
      <c r="D986" s="4" t="s">
        <v>1098</v>
      </c>
      <c r="E986" s="15">
        <v>45310.0</v>
      </c>
    </row>
    <row r="987">
      <c r="A987" s="4">
        <v>987.0</v>
      </c>
      <c r="B987" s="4" t="s">
        <v>1473</v>
      </c>
      <c r="C987" s="4" t="s">
        <v>1102</v>
      </c>
      <c r="D987" s="4" t="s">
        <v>1098</v>
      </c>
      <c r="E987" s="15">
        <v>45310.0</v>
      </c>
    </row>
    <row r="988">
      <c r="A988" s="4">
        <v>988.0</v>
      </c>
      <c r="B988" s="4" t="s">
        <v>1169</v>
      </c>
      <c r="C988" s="4" t="s">
        <v>1102</v>
      </c>
      <c r="D988" s="4" t="s">
        <v>1098</v>
      </c>
      <c r="E988" s="15">
        <v>45310.0</v>
      </c>
    </row>
    <row r="989">
      <c r="A989" s="4">
        <v>989.0</v>
      </c>
      <c r="B989" s="4" t="s">
        <v>1471</v>
      </c>
      <c r="C989" s="4" t="s">
        <v>1102</v>
      </c>
      <c r="D989" s="4" t="s">
        <v>1098</v>
      </c>
      <c r="E989" s="15">
        <v>45310.0</v>
      </c>
    </row>
    <row r="990">
      <c r="A990" s="4">
        <v>990.0</v>
      </c>
      <c r="B990" s="4" t="s">
        <v>1469</v>
      </c>
      <c r="C990" s="4" t="s">
        <v>1281</v>
      </c>
      <c r="D990" s="4" t="s">
        <v>1120</v>
      </c>
      <c r="E990" s="15">
        <v>45310.0</v>
      </c>
    </row>
    <row r="991">
      <c r="A991" s="4">
        <v>991.0</v>
      </c>
      <c r="B991" s="4" t="s">
        <v>1474</v>
      </c>
      <c r="C991" s="4" t="s">
        <v>1139</v>
      </c>
      <c r="D991" s="4" t="s">
        <v>1098</v>
      </c>
      <c r="E991" s="15">
        <v>45310.0</v>
      </c>
    </row>
    <row r="992">
      <c r="A992" s="4">
        <v>992.0</v>
      </c>
      <c r="B992" s="4" t="s">
        <v>1183</v>
      </c>
      <c r="C992" s="4" t="s">
        <v>1217</v>
      </c>
      <c r="D992" s="4" t="s">
        <v>1098</v>
      </c>
      <c r="E992" s="15">
        <v>45310.0</v>
      </c>
    </row>
    <row r="993">
      <c r="A993" s="4">
        <v>993.0</v>
      </c>
      <c r="B993" s="4" t="s">
        <v>1475</v>
      </c>
      <c r="C993" s="4" t="s">
        <v>1203</v>
      </c>
      <c r="D993" s="4" t="s">
        <v>1098</v>
      </c>
      <c r="E993" s="15">
        <v>45310.0</v>
      </c>
    </row>
    <row r="994">
      <c r="A994" s="4">
        <v>994.0</v>
      </c>
      <c r="B994" s="4" t="s">
        <v>1475</v>
      </c>
      <c r="C994" s="4" t="s">
        <v>1203</v>
      </c>
      <c r="D994" s="4" t="s">
        <v>1098</v>
      </c>
      <c r="E994" s="15">
        <v>45310.0</v>
      </c>
    </row>
    <row r="995">
      <c r="A995" s="4">
        <v>995.0</v>
      </c>
      <c r="B995" s="4" t="s">
        <v>1476</v>
      </c>
      <c r="C995" s="4" t="s">
        <v>1189</v>
      </c>
      <c r="D995" s="4" t="s">
        <v>1098</v>
      </c>
      <c r="E995" s="15">
        <v>45310.0</v>
      </c>
    </row>
    <row r="996">
      <c r="A996" s="4">
        <v>996.0</v>
      </c>
      <c r="B996" s="4" t="s">
        <v>1469</v>
      </c>
      <c r="C996" s="4" t="s">
        <v>1189</v>
      </c>
      <c r="D996" s="4" t="s">
        <v>1098</v>
      </c>
      <c r="E996" s="15">
        <v>45310.0</v>
      </c>
    </row>
    <row r="997">
      <c r="A997" s="4">
        <v>997.0</v>
      </c>
      <c r="B997" s="4" t="s">
        <v>1458</v>
      </c>
      <c r="C997" s="4" t="s">
        <v>1205</v>
      </c>
      <c r="D997" s="4" t="s">
        <v>1098</v>
      </c>
      <c r="E997" s="15">
        <v>45310.0</v>
      </c>
    </row>
    <row r="998">
      <c r="A998" s="4">
        <v>998.0</v>
      </c>
      <c r="B998" s="4" t="s">
        <v>1133</v>
      </c>
      <c r="C998" s="4" t="s">
        <v>1190</v>
      </c>
      <c r="D998" s="4" t="s">
        <v>1098</v>
      </c>
      <c r="E998" s="15">
        <v>45309.0</v>
      </c>
    </row>
    <row r="999">
      <c r="A999" s="4">
        <v>999.0</v>
      </c>
      <c r="B999" s="4" t="s">
        <v>1477</v>
      </c>
      <c r="C999" s="4" t="s">
        <v>1190</v>
      </c>
      <c r="D999" s="4" t="s">
        <v>1098</v>
      </c>
      <c r="E999" s="15">
        <v>45309.0</v>
      </c>
    </row>
    <row r="1000">
      <c r="A1000" s="4">
        <v>1000.0</v>
      </c>
      <c r="B1000" s="4" t="s">
        <v>1316</v>
      </c>
      <c r="C1000" s="4" t="s">
        <v>1168</v>
      </c>
      <c r="D1000" s="4" t="s">
        <v>1098</v>
      </c>
      <c r="E1000" s="15">
        <v>45309.0</v>
      </c>
    </row>
    <row r="1001">
      <c r="A1001" s="4">
        <v>1001.0</v>
      </c>
      <c r="B1001" s="4" t="s">
        <v>1316</v>
      </c>
      <c r="C1001" s="4" t="s">
        <v>1141</v>
      </c>
      <c r="D1001" s="4" t="s">
        <v>1098</v>
      </c>
      <c r="E1001" s="15">
        <v>45309.0</v>
      </c>
    </row>
    <row r="1002">
      <c r="A1002" s="4">
        <v>1002.0</v>
      </c>
      <c r="B1002" s="4" t="s">
        <v>1316</v>
      </c>
      <c r="C1002" s="4" t="s">
        <v>1101</v>
      </c>
      <c r="D1002" s="4" t="s">
        <v>1098</v>
      </c>
      <c r="E1002" s="15">
        <v>45309.0</v>
      </c>
    </row>
    <row r="1003">
      <c r="A1003" s="4">
        <v>1003.0</v>
      </c>
      <c r="B1003" s="4" t="s">
        <v>1156</v>
      </c>
      <c r="C1003" s="4" t="s">
        <v>1102</v>
      </c>
      <c r="D1003" s="4" t="s">
        <v>1098</v>
      </c>
      <c r="E1003" s="15">
        <v>45309.0</v>
      </c>
    </row>
    <row r="1004">
      <c r="A1004" s="4">
        <v>1004.0</v>
      </c>
      <c r="B1004" s="4" t="s">
        <v>1156</v>
      </c>
      <c r="C1004" s="4" t="s">
        <v>1102</v>
      </c>
      <c r="D1004" s="4" t="s">
        <v>1098</v>
      </c>
      <c r="E1004" s="15">
        <v>45309.0</v>
      </c>
    </row>
    <row r="1005">
      <c r="A1005" s="4">
        <v>1005.0</v>
      </c>
      <c r="B1005" s="4" t="s">
        <v>1156</v>
      </c>
      <c r="C1005" s="4" t="s">
        <v>1102</v>
      </c>
      <c r="D1005" s="4" t="s">
        <v>1098</v>
      </c>
      <c r="E1005" s="15">
        <v>45309.0</v>
      </c>
    </row>
    <row r="1006">
      <c r="A1006" s="4">
        <v>1006.0</v>
      </c>
      <c r="B1006" s="4" t="s">
        <v>1156</v>
      </c>
      <c r="C1006" s="4" t="s">
        <v>1102</v>
      </c>
      <c r="D1006" s="4" t="s">
        <v>1098</v>
      </c>
      <c r="E1006" s="15">
        <v>45309.0</v>
      </c>
    </row>
    <row r="1007">
      <c r="A1007" s="4">
        <v>1007.0</v>
      </c>
      <c r="B1007" s="4" t="s">
        <v>1478</v>
      </c>
      <c r="C1007" s="4" t="s">
        <v>1479</v>
      </c>
      <c r="D1007" s="4" t="s">
        <v>1098</v>
      </c>
      <c r="E1007" s="15">
        <v>45309.0</v>
      </c>
    </row>
    <row r="1008">
      <c r="A1008" s="4">
        <v>1008.0</v>
      </c>
      <c r="B1008" s="4" t="s">
        <v>1480</v>
      </c>
      <c r="C1008" s="4" t="s">
        <v>1259</v>
      </c>
      <c r="D1008" s="4" t="s">
        <v>1098</v>
      </c>
      <c r="E1008" s="15">
        <v>45309.0</v>
      </c>
    </row>
    <row r="1009">
      <c r="A1009" s="4">
        <v>1009.0</v>
      </c>
      <c r="B1009" s="4" t="s">
        <v>1242</v>
      </c>
      <c r="C1009" s="4" t="s">
        <v>1203</v>
      </c>
      <c r="D1009" s="4" t="s">
        <v>1098</v>
      </c>
      <c r="E1009" s="15">
        <v>45309.0</v>
      </c>
    </row>
    <row r="1010">
      <c r="A1010" s="4">
        <v>1010.0</v>
      </c>
      <c r="B1010" s="4" t="s">
        <v>1242</v>
      </c>
      <c r="C1010" s="4" t="s">
        <v>1205</v>
      </c>
      <c r="D1010" s="4" t="s">
        <v>1098</v>
      </c>
      <c r="E1010" s="15">
        <v>45309.0</v>
      </c>
    </row>
    <row r="1011">
      <c r="A1011" s="4">
        <v>1011.0</v>
      </c>
      <c r="B1011" s="4" t="s">
        <v>1242</v>
      </c>
      <c r="C1011" s="4" t="s">
        <v>1205</v>
      </c>
      <c r="D1011" s="4" t="s">
        <v>1098</v>
      </c>
      <c r="E1011" s="15">
        <v>45309.0</v>
      </c>
    </row>
    <row r="1012">
      <c r="A1012" s="4">
        <v>1012.0</v>
      </c>
      <c r="B1012" s="4" t="s">
        <v>1177</v>
      </c>
      <c r="C1012" s="4" t="s">
        <v>1119</v>
      </c>
      <c r="D1012" s="4" t="s">
        <v>1120</v>
      </c>
      <c r="E1012" s="15">
        <v>45308.0</v>
      </c>
    </row>
    <row r="1013">
      <c r="A1013" s="4">
        <v>1013.0</v>
      </c>
      <c r="B1013" s="4" t="s">
        <v>1481</v>
      </c>
      <c r="C1013" s="4" t="s">
        <v>1168</v>
      </c>
      <c r="D1013" s="4" t="s">
        <v>1098</v>
      </c>
      <c r="E1013" s="15">
        <v>45308.0</v>
      </c>
    </row>
    <row r="1014">
      <c r="A1014" s="4">
        <v>1014.0</v>
      </c>
      <c r="B1014" s="4" t="s">
        <v>1481</v>
      </c>
      <c r="C1014" s="4" t="s">
        <v>1141</v>
      </c>
      <c r="D1014" s="4" t="s">
        <v>1098</v>
      </c>
      <c r="E1014" s="15">
        <v>45308.0</v>
      </c>
    </row>
    <row r="1015">
      <c r="A1015" s="4">
        <v>1015.0</v>
      </c>
      <c r="B1015" s="4" t="s">
        <v>1481</v>
      </c>
      <c r="C1015" s="4" t="s">
        <v>1141</v>
      </c>
      <c r="D1015" s="4" t="s">
        <v>1098</v>
      </c>
      <c r="E1015" s="15">
        <v>45308.0</v>
      </c>
    </row>
    <row r="1016">
      <c r="A1016" s="4">
        <v>1016.0</v>
      </c>
      <c r="B1016" s="4" t="s">
        <v>1316</v>
      </c>
      <c r="C1016" s="4" t="s">
        <v>1141</v>
      </c>
      <c r="D1016" s="4" t="s">
        <v>1098</v>
      </c>
      <c r="E1016" s="15">
        <v>45308.0</v>
      </c>
    </row>
    <row r="1017">
      <c r="A1017" s="4">
        <v>1017.0</v>
      </c>
      <c r="B1017" s="4" t="s">
        <v>1316</v>
      </c>
      <c r="C1017" s="4" t="s">
        <v>1141</v>
      </c>
      <c r="D1017" s="4" t="s">
        <v>1098</v>
      </c>
      <c r="E1017" s="15">
        <v>45308.0</v>
      </c>
    </row>
    <row r="1018">
      <c r="A1018" s="4">
        <v>1018.0</v>
      </c>
      <c r="B1018" s="4" t="s">
        <v>1316</v>
      </c>
      <c r="C1018" s="4" t="s">
        <v>1101</v>
      </c>
      <c r="D1018" s="4" t="s">
        <v>1098</v>
      </c>
      <c r="E1018" s="15">
        <v>45308.0</v>
      </c>
    </row>
    <row r="1019">
      <c r="A1019" s="4">
        <v>1019.0</v>
      </c>
      <c r="B1019" s="4" t="s">
        <v>1481</v>
      </c>
      <c r="C1019" s="4" t="s">
        <v>1143</v>
      </c>
      <c r="D1019" s="4" t="s">
        <v>1098</v>
      </c>
      <c r="E1019" s="15">
        <v>45308.0</v>
      </c>
    </row>
    <row r="1020">
      <c r="A1020" s="4">
        <v>1020.0</v>
      </c>
      <c r="B1020" s="4" t="s">
        <v>1316</v>
      </c>
      <c r="C1020" s="4" t="s">
        <v>1143</v>
      </c>
      <c r="D1020" s="4" t="s">
        <v>1098</v>
      </c>
      <c r="E1020" s="15">
        <v>45308.0</v>
      </c>
    </row>
    <row r="1021">
      <c r="A1021" s="4">
        <v>1021.0</v>
      </c>
      <c r="B1021" s="4" t="s">
        <v>1156</v>
      </c>
      <c r="C1021" s="4" t="s">
        <v>1102</v>
      </c>
      <c r="D1021" s="4" t="s">
        <v>1098</v>
      </c>
      <c r="E1021" s="15">
        <v>45308.0</v>
      </c>
    </row>
    <row r="1022">
      <c r="A1022" s="4">
        <v>1022.0</v>
      </c>
      <c r="B1022" s="4" t="s">
        <v>1316</v>
      </c>
      <c r="C1022" s="4" t="s">
        <v>1102</v>
      </c>
      <c r="D1022" s="4" t="s">
        <v>1098</v>
      </c>
      <c r="E1022" s="15">
        <v>45308.0</v>
      </c>
    </row>
    <row r="1023">
      <c r="A1023" s="4">
        <v>1023.0</v>
      </c>
      <c r="B1023" s="4" t="s">
        <v>1482</v>
      </c>
      <c r="C1023" s="4" t="s">
        <v>1102</v>
      </c>
      <c r="D1023" s="4" t="s">
        <v>1098</v>
      </c>
      <c r="E1023" s="15">
        <v>45308.0</v>
      </c>
    </row>
    <row r="1024">
      <c r="A1024" s="4">
        <v>1024.0</v>
      </c>
      <c r="B1024" s="4" t="s">
        <v>1156</v>
      </c>
      <c r="C1024" s="4" t="s">
        <v>1102</v>
      </c>
      <c r="D1024" s="4" t="s">
        <v>1098</v>
      </c>
      <c r="E1024" s="15">
        <v>45308.0</v>
      </c>
    </row>
    <row r="1025">
      <c r="A1025" s="4">
        <v>1025.0</v>
      </c>
      <c r="B1025" s="4" t="s">
        <v>1156</v>
      </c>
      <c r="C1025" s="4" t="s">
        <v>1102</v>
      </c>
      <c r="D1025" s="4" t="s">
        <v>1098</v>
      </c>
      <c r="E1025" s="15">
        <v>45308.0</v>
      </c>
    </row>
    <row r="1026">
      <c r="A1026" s="4">
        <v>1026.0</v>
      </c>
      <c r="B1026" s="4" t="s">
        <v>1183</v>
      </c>
      <c r="C1026" s="4" t="s">
        <v>1184</v>
      </c>
      <c r="D1026" s="4" t="s">
        <v>1098</v>
      </c>
      <c r="E1026" s="15">
        <v>45308.0</v>
      </c>
    </row>
    <row r="1027">
      <c r="A1027" s="4">
        <v>1027.0</v>
      </c>
      <c r="B1027" s="4" t="s">
        <v>1183</v>
      </c>
      <c r="C1027" s="4" t="s">
        <v>1184</v>
      </c>
      <c r="D1027" s="4" t="s">
        <v>1098</v>
      </c>
      <c r="E1027" s="15">
        <v>45308.0</v>
      </c>
    </row>
    <row r="1028">
      <c r="A1028" s="4">
        <v>1028.0</v>
      </c>
      <c r="B1028" s="4" t="s">
        <v>1483</v>
      </c>
      <c r="C1028" s="4" t="s">
        <v>1462</v>
      </c>
      <c r="D1028" s="4" t="s">
        <v>1098</v>
      </c>
      <c r="E1028" s="15">
        <v>45308.0</v>
      </c>
    </row>
    <row r="1029">
      <c r="A1029" s="4">
        <v>1029.0</v>
      </c>
      <c r="B1029" s="4" t="s">
        <v>1483</v>
      </c>
      <c r="C1029" s="4" t="s">
        <v>1462</v>
      </c>
      <c r="D1029" s="4" t="s">
        <v>1098</v>
      </c>
      <c r="E1029" s="15">
        <v>45308.0</v>
      </c>
    </row>
    <row r="1030">
      <c r="A1030" s="4">
        <v>1030.0</v>
      </c>
      <c r="B1030" s="4" t="s">
        <v>1484</v>
      </c>
      <c r="C1030" s="4" t="s">
        <v>1371</v>
      </c>
      <c r="D1030" s="4" t="s">
        <v>1098</v>
      </c>
      <c r="E1030" s="15">
        <v>45308.0</v>
      </c>
    </row>
    <row r="1031">
      <c r="A1031" s="4">
        <v>1031.0</v>
      </c>
      <c r="B1031" s="4" t="s">
        <v>1482</v>
      </c>
      <c r="C1031" s="4" t="s">
        <v>1187</v>
      </c>
      <c r="D1031" s="4" t="s">
        <v>1098</v>
      </c>
      <c r="E1031" s="15">
        <v>45308.0</v>
      </c>
    </row>
    <row r="1032">
      <c r="A1032" s="4">
        <v>1032.0</v>
      </c>
      <c r="B1032" s="4" t="s">
        <v>1485</v>
      </c>
      <c r="C1032" s="4" t="s">
        <v>1259</v>
      </c>
      <c r="D1032" s="4" t="s">
        <v>1098</v>
      </c>
      <c r="E1032" s="15">
        <v>45308.0</v>
      </c>
    </row>
    <row r="1033">
      <c r="A1033" s="4">
        <v>1033.0</v>
      </c>
      <c r="B1033" s="4" t="s">
        <v>1486</v>
      </c>
      <c r="C1033" s="4" t="s">
        <v>1131</v>
      </c>
      <c r="D1033" s="4" t="s">
        <v>1098</v>
      </c>
      <c r="E1033" s="15">
        <v>45307.0</v>
      </c>
    </row>
    <row r="1034">
      <c r="A1034" s="4">
        <v>1034.0</v>
      </c>
      <c r="B1034" s="4" t="s">
        <v>1487</v>
      </c>
      <c r="C1034" s="4" t="s">
        <v>1195</v>
      </c>
      <c r="D1034" s="4" t="s">
        <v>1098</v>
      </c>
      <c r="E1034" s="15">
        <v>45307.0</v>
      </c>
    </row>
    <row r="1035">
      <c r="A1035" s="4">
        <v>1035.0</v>
      </c>
      <c r="B1035" s="4" t="s">
        <v>1487</v>
      </c>
      <c r="C1035" s="4" t="s">
        <v>1195</v>
      </c>
      <c r="D1035" s="4" t="s">
        <v>1098</v>
      </c>
      <c r="E1035" s="15">
        <v>45307.0</v>
      </c>
    </row>
    <row r="1036">
      <c r="A1036" s="4">
        <v>1036.0</v>
      </c>
      <c r="B1036" s="4" t="s">
        <v>1487</v>
      </c>
      <c r="C1036" s="4" t="s">
        <v>1168</v>
      </c>
      <c r="D1036" s="4" t="s">
        <v>1098</v>
      </c>
      <c r="E1036" s="15">
        <v>45307.0</v>
      </c>
    </row>
    <row r="1037">
      <c r="A1037" s="4">
        <v>1037.0</v>
      </c>
      <c r="B1037" s="4" t="s">
        <v>1487</v>
      </c>
      <c r="C1037" s="4" t="s">
        <v>1168</v>
      </c>
      <c r="D1037" s="4" t="s">
        <v>1098</v>
      </c>
      <c r="E1037" s="15">
        <v>45307.0</v>
      </c>
    </row>
    <row r="1038">
      <c r="A1038" s="4">
        <v>1038.0</v>
      </c>
      <c r="B1038" s="4" t="s">
        <v>1183</v>
      </c>
      <c r="C1038" s="4" t="s">
        <v>1143</v>
      </c>
      <c r="D1038" s="4" t="s">
        <v>1098</v>
      </c>
      <c r="E1038" s="15">
        <v>45307.0</v>
      </c>
    </row>
    <row r="1039">
      <c r="A1039" s="4">
        <v>1039.0</v>
      </c>
      <c r="B1039" s="4" t="s">
        <v>1488</v>
      </c>
      <c r="C1039" s="4" t="s">
        <v>1143</v>
      </c>
      <c r="D1039" s="4" t="s">
        <v>1098</v>
      </c>
      <c r="E1039" s="15">
        <v>45307.0</v>
      </c>
    </row>
    <row r="1040">
      <c r="A1040" s="4">
        <v>1040.0</v>
      </c>
      <c r="B1040" s="4" t="s">
        <v>1488</v>
      </c>
      <c r="C1040" s="4" t="s">
        <v>1143</v>
      </c>
      <c r="D1040" s="4" t="s">
        <v>1098</v>
      </c>
      <c r="E1040" s="15">
        <v>45307.0</v>
      </c>
    </row>
    <row r="1041">
      <c r="A1041" s="4">
        <v>1041.0</v>
      </c>
      <c r="B1041" s="4" t="s">
        <v>1488</v>
      </c>
      <c r="C1041" s="4" t="s">
        <v>1143</v>
      </c>
      <c r="D1041" s="4" t="s">
        <v>1098</v>
      </c>
      <c r="E1041" s="15">
        <v>45307.0</v>
      </c>
    </row>
    <row r="1042">
      <c r="A1042" s="4">
        <v>1042.0</v>
      </c>
      <c r="B1042" s="4" t="s">
        <v>1489</v>
      </c>
      <c r="C1042" s="4" t="s">
        <v>1102</v>
      </c>
      <c r="D1042" s="4" t="s">
        <v>1098</v>
      </c>
      <c r="E1042" s="15">
        <v>45307.0</v>
      </c>
    </row>
    <row r="1043">
      <c r="A1043" s="4">
        <v>1043.0</v>
      </c>
      <c r="B1043" s="4" t="s">
        <v>1490</v>
      </c>
      <c r="C1043" s="4" t="s">
        <v>1102</v>
      </c>
      <c r="D1043" s="4" t="s">
        <v>1098</v>
      </c>
      <c r="E1043" s="15">
        <v>45307.0</v>
      </c>
    </row>
    <row r="1044">
      <c r="A1044" s="4">
        <v>1044.0</v>
      </c>
      <c r="B1044" s="4" t="s">
        <v>1490</v>
      </c>
      <c r="C1044" s="4" t="s">
        <v>1102</v>
      </c>
      <c r="D1044" s="4" t="s">
        <v>1098</v>
      </c>
      <c r="E1044" s="15">
        <v>45307.0</v>
      </c>
    </row>
    <row r="1045">
      <c r="A1045" s="4">
        <v>1045.0</v>
      </c>
      <c r="B1045" s="4" t="s">
        <v>1491</v>
      </c>
      <c r="C1045" s="4" t="s">
        <v>1102</v>
      </c>
      <c r="D1045" s="4" t="s">
        <v>1098</v>
      </c>
      <c r="E1045" s="15">
        <v>45307.0</v>
      </c>
    </row>
    <row r="1046">
      <c r="A1046" s="4">
        <v>1046.0</v>
      </c>
      <c r="B1046" s="4" t="s">
        <v>1492</v>
      </c>
      <c r="C1046" s="4" t="s">
        <v>1102</v>
      </c>
      <c r="D1046" s="4" t="s">
        <v>1098</v>
      </c>
      <c r="E1046" s="15">
        <v>45307.0</v>
      </c>
    </row>
    <row r="1047">
      <c r="A1047" s="4">
        <v>1047.0</v>
      </c>
      <c r="B1047" s="4" t="s">
        <v>1482</v>
      </c>
      <c r="C1047" s="4" t="s">
        <v>1102</v>
      </c>
      <c r="D1047" s="4" t="s">
        <v>1098</v>
      </c>
      <c r="E1047" s="15">
        <v>45307.0</v>
      </c>
    </row>
    <row r="1048">
      <c r="A1048" s="4">
        <v>1048.0</v>
      </c>
      <c r="B1048" s="4" t="s">
        <v>1491</v>
      </c>
      <c r="C1048" s="4" t="s">
        <v>1102</v>
      </c>
      <c r="D1048" s="4" t="s">
        <v>1098</v>
      </c>
      <c r="E1048" s="15">
        <v>45307.0</v>
      </c>
    </row>
    <row r="1049">
      <c r="A1049" s="4">
        <v>1049.0</v>
      </c>
      <c r="B1049" s="4" t="s">
        <v>1482</v>
      </c>
      <c r="C1049" s="4" t="s">
        <v>1102</v>
      </c>
      <c r="D1049" s="4" t="s">
        <v>1098</v>
      </c>
      <c r="E1049" s="15">
        <v>45307.0</v>
      </c>
    </row>
    <row r="1050">
      <c r="A1050" s="4">
        <v>1050.0</v>
      </c>
      <c r="B1050" s="4" t="s">
        <v>1461</v>
      </c>
      <c r="C1050" s="4" t="s">
        <v>1102</v>
      </c>
      <c r="D1050" s="4" t="s">
        <v>1098</v>
      </c>
      <c r="E1050" s="15">
        <v>45307.0</v>
      </c>
    </row>
    <row r="1051">
      <c r="A1051" s="4">
        <v>1051.0</v>
      </c>
      <c r="B1051" s="4" t="s">
        <v>1461</v>
      </c>
      <c r="C1051" s="4" t="s">
        <v>1102</v>
      </c>
      <c r="D1051" s="4" t="s">
        <v>1098</v>
      </c>
      <c r="E1051" s="15">
        <v>45307.0</v>
      </c>
    </row>
    <row r="1052">
      <c r="A1052" s="4">
        <v>1052.0</v>
      </c>
      <c r="B1052" s="4" t="s">
        <v>1482</v>
      </c>
      <c r="C1052" s="4" t="s">
        <v>1102</v>
      </c>
      <c r="D1052" s="4" t="s">
        <v>1098</v>
      </c>
      <c r="E1052" s="15">
        <v>45307.0</v>
      </c>
    </row>
    <row r="1053">
      <c r="A1053" s="4">
        <v>1053.0</v>
      </c>
      <c r="B1053" s="4" t="s">
        <v>1492</v>
      </c>
      <c r="C1053" s="4" t="s">
        <v>1102</v>
      </c>
      <c r="D1053" s="4" t="s">
        <v>1098</v>
      </c>
      <c r="E1053" s="15">
        <v>45307.0</v>
      </c>
    </row>
    <row r="1054">
      <c r="A1054" s="4">
        <v>1054.0</v>
      </c>
      <c r="B1054" s="4" t="s">
        <v>1482</v>
      </c>
      <c r="C1054" s="4" t="s">
        <v>1102</v>
      </c>
      <c r="D1054" s="4" t="s">
        <v>1098</v>
      </c>
      <c r="E1054" s="15">
        <v>45307.0</v>
      </c>
    </row>
    <row r="1055">
      <c r="A1055" s="4">
        <v>1055.0</v>
      </c>
      <c r="B1055" s="4" t="s">
        <v>1491</v>
      </c>
      <c r="C1055" s="4" t="s">
        <v>1102</v>
      </c>
      <c r="D1055" s="4" t="s">
        <v>1098</v>
      </c>
      <c r="E1055" s="15">
        <v>45307.0</v>
      </c>
    </row>
    <row r="1056">
      <c r="A1056" s="4">
        <v>1056.0</v>
      </c>
      <c r="B1056" s="4" t="s">
        <v>1489</v>
      </c>
      <c r="C1056" s="4" t="s">
        <v>1102</v>
      </c>
      <c r="D1056" s="4" t="s">
        <v>1098</v>
      </c>
      <c r="E1056" s="15">
        <v>45307.0</v>
      </c>
    </row>
    <row r="1057">
      <c r="A1057" s="4">
        <v>1057.0</v>
      </c>
      <c r="B1057" s="4" t="s">
        <v>1491</v>
      </c>
      <c r="C1057" s="4" t="s">
        <v>1102</v>
      </c>
      <c r="D1057" s="4" t="s">
        <v>1098</v>
      </c>
      <c r="E1057" s="15">
        <v>45307.0</v>
      </c>
    </row>
    <row r="1058">
      <c r="A1058" s="4">
        <v>1058.0</v>
      </c>
      <c r="B1058" s="4" t="s">
        <v>1461</v>
      </c>
      <c r="C1058" s="4" t="s">
        <v>1128</v>
      </c>
      <c r="D1058" s="4" t="s">
        <v>1098</v>
      </c>
      <c r="E1058" s="15">
        <v>45307.0</v>
      </c>
    </row>
    <row r="1059">
      <c r="A1059" s="4">
        <v>1059.0</v>
      </c>
      <c r="B1059" s="4" t="s">
        <v>1385</v>
      </c>
      <c r="C1059" s="4" t="s">
        <v>1128</v>
      </c>
      <c r="D1059" s="4" t="s">
        <v>1098</v>
      </c>
      <c r="E1059" s="15">
        <v>45307.0</v>
      </c>
    </row>
    <row r="1060">
      <c r="A1060" s="4">
        <v>1060.0</v>
      </c>
      <c r="B1060" s="4" t="s">
        <v>1385</v>
      </c>
      <c r="C1060" s="4" t="s">
        <v>1317</v>
      </c>
      <c r="D1060" s="4" t="s">
        <v>1098</v>
      </c>
      <c r="E1060" s="15">
        <v>45307.0</v>
      </c>
    </row>
    <row r="1061">
      <c r="A1061" s="4">
        <v>1061.0</v>
      </c>
      <c r="B1061" s="4" t="s">
        <v>1482</v>
      </c>
      <c r="C1061" s="4" t="s">
        <v>1447</v>
      </c>
      <c r="D1061" s="4" t="s">
        <v>1098</v>
      </c>
      <c r="E1061" s="15">
        <v>45307.0</v>
      </c>
    </row>
    <row r="1062">
      <c r="A1062" s="4">
        <v>1062.0</v>
      </c>
      <c r="B1062" s="4" t="s">
        <v>1482</v>
      </c>
      <c r="C1062" s="4" t="s">
        <v>1447</v>
      </c>
      <c r="D1062" s="4" t="s">
        <v>1098</v>
      </c>
      <c r="E1062" s="15">
        <v>45307.0</v>
      </c>
    </row>
    <row r="1063">
      <c r="A1063" s="4">
        <v>1063.0</v>
      </c>
      <c r="B1063" s="4" t="s">
        <v>1482</v>
      </c>
      <c r="C1063" s="4" t="s">
        <v>1493</v>
      </c>
      <c r="D1063" s="4" t="s">
        <v>1098</v>
      </c>
      <c r="E1063" s="15">
        <v>45307.0</v>
      </c>
    </row>
    <row r="1064">
      <c r="A1064" s="4">
        <v>1064.0</v>
      </c>
      <c r="B1064" s="4" t="s">
        <v>1482</v>
      </c>
      <c r="C1064" s="4" t="s">
        <v>1494</v>
      </c>
      <c r="D1064" s="4" t="s">
        <v>1098</v>
      </c>
      <c r="E1064" s="15">
        <v>45307.0</v>
      </c>
    </row>
    <row r="1065">
      <c r="A1065" s="4">
        <v>1065.0</v>
      </c>
      <c r="B1065" s="4" t="s">
        <v>1482</v>
      </c>
      <c r="C1065" s="4" t="s">
        <v>1237</v>
      </c>
      <c r="D1065" s="4" t="s">
        <v>1098</v>
      </c>
      <c r="E1065" s="15">
        <v>45307.0</v>
      </c>
    </row>
    <row r="1066">
      <c r="A1066" s="4">
        <v>1066.0</v>
      </c>
      <c r="B1066" s="4" t="s">
        <v>1482</v>
      </c>
      <c r="C1066" s="4" t="s">
        <v>1237</v>
      </c>
      <c r="D1066" s="4" t="s">
        <v>1098</v>
      </c>
      <c r="E1066" s="15">
        <v>45307.0</v>
      </c>
    </row>
    <row r="1067">
      <c r="A1067" s="4">
        <v>1067.0</v>
      </c>
      <c r="B1067" s="4" t="s">
        <v>1482</v>
      </c>
      <c r="C1067" s="4" t="s">
        <v>1237</v>
      </c>
      <c r="D1067" s="4" t="s">
        <v>1098</v>
      </c>
      <c r="E1067" s="15">
        <v>45307.0</v>
      </c>
    </row>
    <row r="1068">
      <c r="A1068" s="4">
        <v>1068.0</v>
      </c>
      <c r="B1068" s="4" t="s">
        <v>1482</v>
      </c>
      <c r="C1068" s="4" t="s">
        <v>1237</v>
      </c>
      <c r="D1068" s="4" t="s">
        <v>1098</v>
      </c>
      <c r="E1068" s="15">
        <v>45307.0</v>
      </c>
    </row>
    <row r="1069">
      <c r="A1069" s="4">
        <v>1069.0</v>
      </c>
      <c r="B1069" s="4" t="s">
        <v>1482</v>
      </c>
      <c r="C1069" s="4" t="s">
        <v>1237</v>
      </c>
      <c r="D1069" s="4" t="s">
        <v>1098</v>
      </c>
      <c r="E1069" s="15">
        <v>45307.0</v>
      </c>
    </row>
    <row r="1070">
      <c r="A1070" s="4">
        <v>1070.0</v>
      </c>
      <c r="B1070" s="4" t="s">
        <v>1482</v>
      </c>
      <c r="C1070" s="4" t="s">
        <v>1237</v>
      </c>
      <c r="D1070" s="4" t="s">
        <v>1098</v>
      </c>
      <c r="E1070" s="15">
        <v>45307.0</v>
      </c>
    </row>
    <row r="1071">
      <c r="A1071" s="4">
        <v>1071.0</v>
      </c>
      <c r="B1071" s="4" t="s">
        <v>1482</v>
      </c>
      <c r="C1071" s="4" t="s">
        <v>1237</v>
      </c>
      <c r="D1071" s="4" t="s">
        <v>1098</v>
      </c>
      <c r="E1071" s="15">
        <v>45307.0</v>
      </c>
    </row>
    <row r="1072">
      <c r="A1072" s="4">
        <v>1072.0</v>
      </c>
      <c r="B1072" s="4" t="s">
        <v>1482</v>
      </c>
      <c r="C1072" s="4" t="s">
        <v>1237</v>
      </c>
      <c r="D1072" s="4" t="s">
        <v>1098</v>
      </c>
      <c r="E1072" s="15">
        <v>45307.0</v>
      </c>
    </row>
    <row r="1073">
      <c r="A1073" s="4">
        <v>1073.0</v>
      </c>
      <c r="B1073" s="4" t="s">
        <v>1482</v>
      </c>
      <c r="C1073" s="4" t="s">
        <v>1237</v>
      </c>
      <c r="D1073" s="4" t="s">
        <v>1098</v>
      </c>
      <c r="E1073" s="15">
        <v>45307.0</v>
      </c>
    </row>
    <row r="1074">
      <c r="A1074" s="4">
        <v>1074.0</v>
      </c>
      <c r="B1074" s="4" t="s">
        <v>1482</v>
      </c>
      <c r="C1074" s="4" t="s">
        <v>1187</v>
      </c>
      <c r="D1074" s="4" t="s">
        <v>1098</v>
      </c>
      <c r="E1074" s="15">
        <v>45307.0</v>
      </c>
    </row>
    <row r="1075">
      <c r="A1075" s="4">
        <v>1075.0</v>
      </c>
      <c r="B1075" s="4" t="s">
        <v>1482</v>
      </c>
      <c r="C1075" s="4" t="s">
        <v>1187</v>
      </c>
      <c r="D1075" s="4" t="s">
        <v>1098</v>
      </c>
      <c r="E1075" s="15">
        <v>45307.0</v>
      </c>
    </row>
    <row r="1076">
      <c r="A1076" s="4">
        <v>1076.0</v>
      </c>
      <c r="B1076" s="4" t="s">
        <v>1482</v>
      </c>
      <c r="C1076" s="4" t="s">
        <v>1187</v>
      </c>
      <c r="D1076" s="4" t="s">
        <v>1098</v>
      </c>
      <c r="E1076" s="15">
        <v>45307.0</v>
      </c>
    </row>
    <row r="1077">
      <c r="A1077" s="4">
        <v>1077.0</v>
      </c>
      <c r="B1077" s="4" t="s">
        <v>1385</v>
      </c>
      <c r="C1077" s="4" t="s">
        <v>1187</v>
      </c>
      <c r="D1077" s="4" t="s">
        <v>1098</v>
      </c>
      <c r="E1077" s="15">
        <v>45307.0</v>
      </c>
    </row>
    <row r="1078">
      <c r="A1078" s="4">
        <v>1078.0</v>
      </c>
      <c r="B1078" s="4" t="s">
        <v>1482</v>
      </c>
      <c r="C1078" s="4" t="s">
        <v>1187</v>
      </c>
      <c r="D1078" s="4" t="s">
        <v>1098</v>
      </c>
      <c r="E1078" s="15">
        <v>45307.0</v>
      </c>
    </row>
    <row r="1079">
      <c r="A1079" s="4">
        <v>1079.0</v>
      </c>
      <c r="B1079" s="4" t="s">
        <v>1482</v>
      </c>
      <c r="C1079" s="4" t="s">
        <v>1187</v>
      </c>
      <c r="D1079" s="4" t="s">
        <v>1098</v>
      </c>
      <c r="E1079" s="15">
        <v>45307.0</v>
      </c>
    </row>
    <row r="1080">
      <c r="A1080" s="4">
        <v>1080.0</v>
      </c>
      <c r="B1080" s="4" t="s">
        <v>1342</v>
      </c>
      <c r="C1080" s="4" t="s">
        <v>1220</v>
      </c>
      <c r="D1080" s="4" t="s">
        <v>1098</v>
      </c>
      <c r="E1080" s="15">
        <v>45307.0</v>
      </c>
    </row>
    <row r="1081">
      <c r="A1081" s="4">
        <v>1081.0</v>
      </c>
      <c r="B1081" s="4" t="s">
        <v>1183</v>
      </c>
      <c r="C1081" s="4" t="s">
        <v>1205</v>
      </c>
      <c r="D1081" s="4" t="s">
        <v>1098</v>
      </c>
      <c r="E1081" s="15">
        <v>45307.0</v>
      </c>
    </row>
    <row r="1082">
      <c r="A1082" s="4">
        <v>1082.0</v>
      </c>
      <c r="B1082" s="4" t="s">
        <v>1183</v>
      </c>
      <c r="C1082" s="4" t="s">
        <v>1101</v>
      </c>
      <c r="D1082" s="4" t="s">
        <v>1098</v>
      </c>
      <c r="E1082" s="15">
        <v>45306.0</v>
      </c>
    </row>
    <row r="1083">
      <c r="A1083" s="4">
        <v>1083.0</v>
      </c>
      <c r="B1083" s="4" t="s">
        <v>1360</v>
      </c>
      <c r="C1083" s="4" t="s">
        <v>1102</v>
      </c>
      <c r="D1083" s="4" t="s">
        <v>1098</v>
      </c>
      <c r="E1083" s="15">
        <v>45306.0</v>
      </c>
    </row>
    <row r="1084">
      <c r="A1084" s="4">
        <v>1084.0</v>
      </c>
      <c r="B1084" s="4" t="s">
        <v>1360</v>
      </c>
      <c r="C1084" s="4" t="s">
        <v>1102</v>
      </c>
      <c r="D1084" s="4" t="s">
        <v>1098</v>
      </c>
      <c r="E1084" s="15">
        <v>45306.0</v>
      </c>
    </row>
    <row r="1085">
      <c r="A1085" s="4">
        <v>1085.0</v>
      </c>
      <c r="B1085" s="4" t="s">
        <v>1230</v>
      </c>
      <c r="C1085" s="4" t="s">
        <v>1102</v>
      </c>
      <c r="D1085" s="4" t="s">
        <v>1098</v>
      </c>
      <c r="E1085" s="15">
        <v>45306.0</v>
      </c>
    </row>
    <row r="1086">
      <c r="A1086" s="4">
        <v>1086.0</v>
      </c>
      <c r="B1086" s="4" t="s">
        <v>1230</v>
      </c>
      <c r="C1086" s="4" t="s">
        <v>1102</v>
      </c>
      <c r="D1086" s="4" t="s">
        <v>1098</v>
      </c>
      <c r="E1086" s="15">
        <v>45306.0</v>
      </c>
    </row>
    <row r="1087">
      <c r="A1087" s="4">
        <v>1087.0</v>
      </c>
      <c r="B1087" s="4" t="s">
        <v>1105</v>
      </c>
      <c r="C1087" s="4" t="s">
        <v>1102</v>
      </c>
      <c r="D1087" s="4" t="s">
        <v>1098</v>
      </c>
      <c r="E1087" s="15">
        <v>45306.0</v>
      </c>
    </row>
    <row r="1088">
      <c r="A1088" s="4">
        <v>1088.0</v>
      </c>
      <c r="B1088" s="4" t="s">
        <v>1267</v>
      </c>
      <c r="C1088" s="4" t="s">
        <v>1281</v>
      </c>
      <c r="D1088" s="4" t="s">
        <v>1120</v>
      </c>
      <c r="E1088" s="15">
        <v>45306.0</v>
      </c>
    </row>
    <row r="1089">
      <c r="A1089" s="4">
        <v>1089.0</v>
      </c>
      <c r="B1089" s="4" t="s">
        <v>1267</v>
      </c>
      <c r="C1089" s="4" t="s">
        <v>1257</v>
      </c>
      <c r="D1089" s="4" t="s">
        <v>1120</v>
      </c>
      <c r="E1089" s="15">
        <v>45306.0</v>
      </c>
    </row>
    <row r="1090">
      <c r="A1090" s="4">
        <v>1090.0</v>
      </c>
      <c r="B1090" s="4" t="s">
        <v>1311</v>
      </c>
      <c r="C1090" s="4" t="s">
        <v>1257</v>
      </c>
      <c r="D1090" s="4" t="s">
        <v>1120</v>
      </c>
      <c r="E1090" s="15">
        <v>45306.0</v>
      </c>
    </row>
    <row r="1091">
      <c r="A1091" s="4">
        <v>1091.0</v>
      </c>
      <c r="B1091" s="4" t="s">
        <v>1327</v>
      </c>
      <c r="C1091" s="4" t="s">
        <v>1257</v>
      </c>
      <c r="D1091" s="4" t="s">
        <v>1120</v>
      </c>
      <c r="E1091" s="15">
        <v>45306.0</v>
      </c>
    </row>
    <row r="1092">
      <c r="A1092" s="4">
        <v>1092.0</v>
      </c>
      <c r="B1092" s="4" t="s">
        <v>1327</v>
      </c>
      <c r="C1092" s="4" t="s">
        <v>1257</v>
      </c>
      <c r="D1092" s="4" t="s">
        <v>1120</v>
      </c>
      <c r="E1092" s="15">
        <v>45306.0</v>
      </c>
    </row>
    <row r="1093">
      <c r="A1093" s="4">
        <v>1093.0</v>
      </c>
      <c r="B1093" s="4" t="s">
        <v>1495</v>
      </c>
      <c r="C1093" s="4" t="s">
        <v>1306</v>
      </c>
      <c r="D1093" s="4" t="s">
        <v>1098</v>
      </c>
      <c r="E1093" s="15">
        <v>45306.0</v>
      </c>
    </row>
    <row r="1094">
      <c r="A1094" s="4">
        <v>1094.0</v>
      </c>
      <c r="B1094" s="4" t="s">
        <v>1496</v>
      </c>
      <c r="C1094" s="4" t="s">
        <v>1306</v>
      </c>
      <c r="D1094" s="4" t="s">
        <v>1098</v>
      </c>
      <c r="E1094" s="15">
        <v>45306.0</v>
      </c>
    </row>
    <row r="1095">
      <c r="A1095" s="4">
        <v>1095.0</v>
      </c>
      <c r="B1095" s="4" t="s">
        <v>1495</v>
      </c>
      <c r="C1095" s="4" t="s">
        <v>1306</v>
      </c>
      <c r="D1095" s="4" t="s">
        <v>1098</v>
      </c>
      <c r="E1095" s="15">
        <v>45306.0</v>
      </c>
    </row>
    <row r="1096">
      <c r="A1096" s="4">
        <v>1096.0</v>
      </c>
      <c r="B1096" s="4" t="s">
        <v>1495</v>
      </c>
      <c r="C1096" s="4" t="s">
        <v>1306</v>
      </c>
      <c r="D1096" s="4" t="s">
        <v>1098</v>
      </c>
      <c r="E1096" s="15">
        <v>45306.0</v>
      </c>
    </row>
    <row r="1097">
      <c r="A1097" s="4">
        <v>1097.0</v>
      </c>
      <c r="B1097" s="4" t="s">
        <v>1473</v>
      </c>
      <c r="C1097" s="4" t="s">
        <v>1217</v>
      </c>
      <c r="D1097" s="4" t="s">
        <v>1098</v>
      </c>
      <c r="E1097" s="15">
        <v>45306.0</v>
      </c>
    </row>
    <row r="1098">
      <c r="A1098" s="4">
        <v>1098.0</v>
      </c>
      <c r="B1098" s="4" t="s">
        <v>1497</v>
      </c>
      <c r="C1098" s="4" t="s">
        <v>1191</v>
      </c>
      <c r="D1098" s="4" t="s">
        <v>1098</v>
      </c>
      <c r="E1098" s="15">
        <v>45305.0</v>
      </c>
    </row>
    <row r="1099">
      <c r="A1099" s="4">
        <v>1099.0</v>
      </c>
      <c r="B1099" s="4" t="s">
        <v>1498</v>
      </c>
      <c r="C1099" s="4" t="s">
        <v>1141</v>
      </c>
      <c r="D1099" s="4" t="s">
        <v>1098</v>
      </c>
      <c r="E1099" s="15">
        <v>45305.0</v>
      </c>
    </row>
    <row r="1100">
      <c r="A1100" s="4">
        <v>1100.0</v>
      </c>
      <c r="B1100" s="4" t="s">
        <v>1498</v>
      </c>
      <c r="C1100" s="4" t="s">
        <v>1101</v>
      </c>
      <c r="D1100" s="4" t="s">
        <v>1098</v>
      </c>
      <c r="E1100" s="15">
        <v>45305.0</v>
      </c>
    </row>
    <row r="1101">
      <c r="A1101" s="4">
        <v>1101.0</v>
      </c>
      <c r="B1101" s="4" t="s">
        <v>1498</v>
      </c>
      <c r="C1101" s="4" t="s">
        <v>1273</v>
      </c>
      <c r="D1101" s="4" t="s">
        <v>1098</v>
      </c>
      <c r="E1101" s="15">
        <v>45305.0</v>
      </c>
    </row>
    <row r="1102">
      <c r="A1102" s="4">
        <v>1102.0</v>
      </c>
      <c r="B1102" s="4" t="s">
        <v>1498</v>
      </c>
      <c r="C1102" s="4" t="s">
        <v>1217</v>
      </c>
      <c r="D1102" s="4" t="s">
        <v>1098</v>
      </c>
      <c r="E1102" s="15">
        <v>45305.0</v>
      </c>
    </row>
    <row r="1103">
      <c r="A1103" s="4">
        <v>1103.0</v>
      </c>
      <c r="B1103" s="4" t="s">
        <v>1499</v>
      </c>
      <c r="C1103" s="4" t="s">
        <v>1131</v>
      </c>
      <c r="D1103" s="4" t="s">
        <v>1098</v>
      </c>
      <c r="E1103" s="15">
        <v>45304.0</v>
      </c>
    </row>
    <row r="1104">
      <c r="A1104" s="4">
        <v>1104.0</v>
      </c>
      <c r="B1104" s="4" t="s">
        <v>1500</v>
      </c>
      <c r="C1104" s="4" t="s">
        <v>1195</v>
      </c>
      <c r="D1104" s="4" t="s">
        <v>1098</v>
      </c>
      <c r="E1104" s="15">
        <v>45304.0</v>
      </c>
    </row>
    <row r="1105">
      <c r="A1105" s="4">
        <v>1105.0</v>
      </c>
      <c r="B1105" s="4" t="s">
        <v>1501</v>
      </c>
      <c r="C1105" s="4" t="s">
        <v>1281</v>
      </c>
      <c r="D1105" s="4" t="s">
        <v>1120</v>
      </c>
      <c r="E1105" s="15">
        <v>45304.0</v>
      </c>
    </row>
    <row r="1106">
      <c r="A1106" s="4">
        <v>1106.0</v>
      </c>
      <c r="B1106" s="4" t="s">
        <v>1502</v>
      </c>
      <c r="C1106" s="4" t="s">
        <v>1318</v>
      </c>
      <c r="D1106" s="4" t="s">
        <v>1098</v>
      </c>
      <c r="E1106" s="15">
        <v>45304.0</v>
      </c>
    </row>
    <row r="1107">
      <c r="A1107" s="4">
        <v>1107.0</v>
      </c>
      <c r="B1107" s="4" t="s">
        <v>1502</v>
      </c>
      <c r="C1107" s="4" t="s">
        <v>1257</v>
      </c>
      <c r="D1107" s="4" t="s">
        <v>1120</v>
      </c>
      <c r="E1107" s="15">
        <v>45304.0</v>
      </c>
    </row>
    <row r="1108">
      <c r="A1108" s="4">
        <v>1108.0</v>
      </c>
      <c r="B1108" s="4" t="s">
        <v>1502</v>
      </c>
      <c r="C1108" s="4" t="s">
        <v>1257</v>
      </c>
      <c r="D1108" s="4" t="s">
        <v>1120</v>
      </c>
      <c r="E1108" s="15">
        <v>45304.0</v>
      </c>
    </row>
    <row r="1109">
      <c r="A1109" s="4">
        <v>1109.0</v>
      </c>
      <c r="B1109" s="4" t="s">
        <v>1502</v>
      </c>
      <c r="C1109" s="4" t="s">
        <v>1257</v>
      </c>
      <c r="D1109" s="4" t="s">
        <v>1120</v>
      </c>
      <c r="E1109" s="15">
        <v>45304.0</v>
      </c>
    </row>
    <row r="1110">
      <c r="A1110" s="4">
        <v>1110.0</v>
      </c>
      <c r="B1110" s="4" t="s">
        <v>1501</v>
      </c>
      <c r="C1110" s="4" t="s">
        <v>1119</v>
      </c>
      <c r="D1110" s="4" t="s">
        <v>1120</v>
      </c>
      <c r="E1110" s="15">
        <v>45303.0</v>
      </c>
    </row>
    <row r="1111">
      <c r="A1111" s="4">
        <v>1111.0</v>
      </c>
      <c r="B1111" s="4" t="s">
        <v>1503</v>
      </c>
      <c r="C1111" s="4" t="s">
        <v>1119</v>
      </c>
      <c r="D1111" s="4" t="s">
        <v>1120</v>
      </c>
      <c r="E1111" s="15">
        <v>45303.0</v>
      </c>
    </row>
    <row r="1112">
      <c r="A1112" s="4">
        <v>1112.0</v>
      </c>
      <c r="B1112" s="4" t="s">
        <v>1504</v>
      </c>
      <c r="C1112" s="4" t="s">
        <v>1102</v>
      </c>
      <c r="D1112" s="4" t="s">
        <v>1098</v>
      </c>
      <c r="E1112" s="15">
        <v>45303.0</v>
      </c>
    </row>
    <row r="1113">
      <c r="A1113" s="4">
        <v>1113.0</v>
      </c>
      <c r="B1113" s="4" t="s">
        <v>1505</v>
      </c>
      <c r="C1113" s="4" t="s">
        <v>1102</v>
      </c>
      <c r="D1113" s="4" t="s">
        <v>1098</v>
      </c>
      <c r="E1113" s="15">
        <v>45303.0</v>
      </c>
    </row>
    <row r="1114">
      <c r="A1114" s="4">
        <v>1114.0</v>
      </c>
      <c r="B1114" s="4" t="s">
        <v>1505</v>
      </c>
      <c r="C1114" s="4" t="s">
        <v>1102</v>
      </c>
      <c r="D1114" s="4" t="s">
        <v>1098</v>
      </c>
      <c r="E1114" s="15">
        <v>45303.0</v>
      </c>
    </row>
    <row r="1115">
      <c r="A1115" s="4">
        <v>1115.0</v>
      </c>
      <c r="B1115" s="4" t="s">
        <v>1501</v>
      </c>
      <c r="C1115" s="4" t="s">
        <v>1281</v>
      </c>
      <c r="D1115" s="4" t="s">
        <v>1120</v>
      </c>
      <c r="E1115" s="15">
        <v>45303.0</v>
      </c>
    </row>
    <row r="1116">
      <c r="A1116" s="4">
        <v>1116.0</v>
      </c>
      <c r="B1116" s="4" t="s">
        <v>1501</v>
      </c>
      <c r="C1116" s="4" t="s">
        <v>1281</v>
      </c>
      <c r="D1116" s="4" t="s">
        <v>1120</v>
      </c>
      <c r="E1116" s="15">
        <v>45303.0</v>
      </c>
    </row>
    <row r="1117">
      <c r="A1117" s="4">
        <v>1117.0</v>
      </c>
      <c r="B1117" s="4" t="s">
        <v>1506</v>
      </c>
      <c r="C1117" s="4" t="s">
        <v>1137</v>
      </c>
      <c r="D1117" s="4" t="s">
        <v>1098</v>
      </c>
      <c r="E1117" s="15">
        <v>45303.0</v>
      </c>
    </row>
    <row r="1118">
      <c r="A1118" s="4">
        <v>1118.0</v>
      </c>
      <c r="B1118" s="4" t="s">
        <v>1501</v>
      </c>
      <c r="C1118" s="4" t="s">
        <v>1257</v>
      </c>
      <c r="D1118" s="4" t="s">
        <v>1120</v>
      </c>
      <c r="E1118" s="15">
        <v>45303.0</v>
      </c>
    </row>
    <row r="1119">
      <c r="A1119" s="4">
        <v>1119.0</v>
      </c>
      <c r="B1119" s="4" t="s">
        <v>1501</v>
      </c>
      <c r="C1119" s="4" t="s">
        <v>1257</v>
      </c>
      <c r="D1119" s="4" t="s">
        <v>1120</v>
      </c>
      <c r="E1119" s="15">
        <v>45303.0</v>
      </c>
    </row>
    <row r="1120">
      <c r="A1120" s="4">
        <v>1120.0</v>
      </c>
      <c r="B1120" s="4" t="s">
        <v>1501</v>
      </c>
      <c r="C1120" s="4" t="s">
        <v>1306</v>
      </c>
      <c r="D1120" s="4" t="s">
        <v>1098</v>
      </c>
      <c r="E1120" s="15">
        <v>45303.0</v>
      </c>
    </row>
    <row r="1121">
      <c r="A1121" s="4">
        <v>1121.0</v>
      </c>
      <c r="B1121" s="4" t="s">
        <v>1507</v>
      </c>
      <c r="C1121" s="4" t="s">
        <v>1220</v>
      </c>
      <c r="D1121" s="4" t="s">
        <v>1098</v>
      </c>
      <c r="E1121" s="15">
        <v>45303.0</v>
      </c>
    </row>
    <row r="1122">
      <c r="A1122" s="4">
        <v>1122.0</v>
      </c>
      <c r="B1122" s="4" t="s">
        <v>1501</v>
      </c>
      <c r="C1122" s="4" t="s">
        <v>1189</v>
      </c>
      <c r="D1122" s="4" t="s">
        <v>1098</v>
      </c>
      <c r="E1122" s="15">
        <v>45303.0</v>
      </c>
    </row>
    <row r="1123">
      <c r="A1123" s="4">
        <v>1123.0</v>
      </c>
      <c r="B1123" s="4" t="s">
        <v>1501</v>
      </c>
      <c r="C1123" s="4" t="s">
        <v>1189</v>
      </c>
      <c r="D1123" s="4" t="s">
        <v>1098</v>
      </c>
      <c r="E1123" s="15">
        <v>45303.0</v>
      </c>
    </row>
    <row r="1124">
      <c r="A1124" s="4">
        <v>1124.0</v>
      </c>
      <c r="B1124" s="4" t="s">
        <v>1507</v>
      </c>
      <c r="C1124" s="4" t="s">
        <v>1508</v>
      </c>
      <c r="D1124" s="4" t="s">
        <v>1098</v>
      </c>
      <c r="E1124" s="15">
        <v>45303.0</v>
      </c>
    </row>
    <row r="1125">
      <c r="A1125" s="4">
        <v>1125.0</v>
      </c>
      <c r="B1125" s="4" t="s">
        <v>1507</v>
      </c>
      <c r="C1125" s="4" t="s">
        <v>1204</v>
      </c>
      <c r="D1125" s="4" t="s">
        <v>1098</v>
      </c>
      <c r="E1125" s="15">
        <v>45303.0</v>
      </c>
    </row>
    <row r="1126">
      <c r="A1126" s="4">
        <v>1126.0</v>
      </c>
      <c r="B1126" s="4" t="s">
        <v>1133</v>
      </c>
      <c r="C1126" s="4" t="s">
        <v>1190</v>
      </c>
      <c r="D1126" s="4" t="s">
        <v>1098</v>
      </c>
      <c r="E1126" s="15">
        <v>45302.0</v>
      </c>
    </row>
    <row r="1127">
      <c r="A1127" s="4">
        <v>1127.0</v>
      </c>
      <c r="B1127" s="4" t="s">
        <v>1150</v>
      </c>
      <c r="C1127" s="4" t="s">
        <v>1190</v>
      </c>
      <c r="D1127" s="4" t="s">
        <v>1098</v>
      </c>
      <c r="E1127" s="15">
        <v>45302.0</v>
      </c>
    </row>
    <row r="1128">
      <c r="A1128" s="4">
        <v>1128.0</v>
      </c>
      <c r="B1128" s="4" t="s">
        <v>1133</v>
      </c>
      <c r="C1128" s="4" t="s">
        <v>1190</v>
      </c>
      <c r="D1128" s="4" t="s">
        <v>1098</v>
      </c>
      <c r="E1128" s="15">
        <v>45302.0</v>
      </c>
    </row>
    <row r="1129">
      <c r="A1129" s="4">
        <v>1129.0</v>
      </c>
      <c r="B1129" s="4" t="s">
        <v>1133</v>
      </c>
      <c r="C1129" s="4" t="s">
        <v>1190</v>
      </c>
      <c r="D1129" s="4" t="s">
        <v>1098</v>
      </c>
      <c r="E1129" s="15">
        <v>45302.0</v>
      </c>
    </row>
    <row r="1130">
      <c r="A1130" s="4">
        <v>1130.0</v>
      </c>
      <c r="B1130" s="4" t="s">
        <v>1133</v>
      </c>
      <c r="C1130" s="4" t="s">
        <v>1190</v>
      </c>
      <c r="D1130" s="4" t="s">
        <v>1098</v>
      </c>
      <c r="E1130" s="15">
        <v>45302.0</v>
      </c>
    </row>
    <row r="1131">
      <c r="A1131" s="4">
        <v>1131.0</v>
      </c>
      <c r="B1131" s="4" t="s">
        <v>1150</v>
      </c>
      <c r="C1131" s="4" t="s">
        <v>1190</v>
      </c>
      <c r="D1131" s="4" t="s">
        <v>1098</v>
      </c>
      <c r="E1131" s="15">
        <v>45302.0</v>
      </c>
    </row>
    <row r="1132">
      <c r="A1132" s="4">
        <v>1132.0</v>
      </c>
      <c r="B1132" s="4" t="s">
        <v>1133</v>
      </c>
      <c r="C1132" s="4" t="s">
        <v>1346</v>
      </c>
      <c r="D1132" s="4" t="s">
        <v>1098</v>
      </c>
      <c r="E1132" s="15">
        <v>45302.0</v>
      </c>
    </row>
    <row r="1133">
      <c r="A1133" s="4">
        <v>1133.0</v>
      </c>
      <c r="B1133" s="4" t="s">
        <v>1133</v>
      </c>
      <c r="C1133" s="4" t="s">
        <v>1191</v>
      </c>
      <c r="D1133" s="4" t="s">
        <v>1098</v>
      </c>
      <c r="E1133" s="15">
        <v>45302.0</v>
      </c>
    </row>
    <row r="1134">
      <c r="A1134" s="4">
        <v>1134.0</v>
      </c>
      <c r="B1134" s="4" t="s">
        <v>1133</v>
      </c>
      <c r="C1134" s="4" t="s">
        <v>1191</v>
      </c>
      <c r="D1134" s="4" t="s">
        <v>1098</v>
      </c>
      <c r="E1134" s="15">
        <v>45302.0</v>
      </c>
    </row>
    <row r="1135">
      <c r="A1135" s="4">
        <v>1135.0</v>
      </c>
      <c r="B1135" s="4" t="s">
        <v>1133</v>
      </c>
      <c r="C1135" s="4" t="s">
        <v>1191</v>
      </c>
      <c r="D1135" s="4" t="s">
        <v>1098</v>
      </c>
      <c r="E1135" s="15">
        <v>45302.0</v>
      </c>
    </row>
    <row r="1136">
      <c r="A1136" s="4">
        <v>1136.0</v>
      </c>
      <c r="B1136" s="4" t="s">
        <v>1133</v>
      </c>
      <c r="C1136" s="4" t="s">
        <v>1509</v>
      </c>
      <c r="D1136" s="4" t="s">
        <v>1098</v>
      </c>
      <c r="E1136" s="15">
        <v>45302.0</v>
      </c>
    </row>
    <row r="1137">
      <c r="A1137" s="4">
        <v>1137.0</v>
      </c>
      <c r="B1137" s="4" t="s">
        <v>1133</v>
      </c>
      <c r="C1137" s="4" t="s">
        <v>1164</v>
      </c>
      <c r="D1137" s="4" t="s">
        <v>1120</v>
      </c>
      <c r="E1137" s="15">
        <v>45302.0</v>
      </c>
    </row>
    <row r="1138">
      <c r="A1138" s="4">
        <v>1138.0</v>
      </c>
      <c r="B1138" s="4" t="s">
        <v>1177</v>
      </c>
      <c r="C1138" s="4" t="s">
        <v>1131</v>
      </c>
      <c r="D1138" s="4" t="s">
        <v>1098</v>
      </c>
      <c r="E1138" s="15">
        <v>45302.0</v>
      </c>
    </row>
    <row r="1139">
      <c r="A1139" s="4">
        <v>1139.0</v>
      </c>
      <c r="B1139" s="4" t="s">
        <v>1133</v>
      </c>
      <c r="C1139" s="4" t="s">
        <v>1131</v>
      </c>
      <c r="D1139" s="4" t="s">
        <v>1098</v>
      </c>
      <c r="E1139" s="15">
        <v>45302.0</v>
      </c>
    </row>
    <row r="1140">
      <c r="A1140" s="4">
        <v>1140.0</v>
      </c>
      <c r="B1140" s="4" t="s">
        <v>1133</v>
      </c>
      <c r="C1140" s="4" t="s">
        <v>1131</v>
      </c>
      <c r="D1140" s="4" t="s">
        <v>1098</v>
      </c>
      <c r="E1140" s="15">
        <v>45302.0</v>
      </c>
    </row>
    <row r="1141">
      <c r="A1141" s="4">
        <v>1141.0</v>
      </c>
      <c r="B1141" s="4" t="s">
        <v>1133</v>
      </c>
      <c r="C1141" s="4" t="s">
        <v>1131</v>
      </c>
      <c r="D1141" s="4" t="s">
        <v>1098</v>
      </c>
      <c r="E1141" s="15">
        <v>45302.0</v>
      </c>
    </row>
    <row r="1142">
      <c r="A1142" s="4">
        <v>1142.0</v>
      </c>
      <c r="B1142" s="4" t="s">
        <v>1133</v>
      </c>
      <c r="C1142" s="4" t="s">
        <v>1131</v>
      </c>
      <c r="D1142" s="4" t="s">
        <v>1098</v>
      </c>
      <c r="E1142" s="15">
        <v>45302.0</v>
      </c>
    </row>
    <row r="1143">
      <c r="A1143" s="4">
        <v>1143.0</v>
      </c>
      <c r="B1143" s="4" t="s">
        <v>1133</v>
      </c>
      <c r="C1143" s="4" t="s">
        <v>1131</v>
      </c>
      <c r="D1143" s="4" t="s">
        <v>1098</v>
      </c>
      <c r="E1143" s="15">
        <v>45302.0</v>
      </c>
    </row>
    <row r="1144">
      <c r="A1144" s="4">
        <v>1144.0</v>
      </c>
      <c r="B1144" s="4" t="s">
        <v>1311</v>
      </c>
      <c r="C1144" s="4" t="s">
        <v>1131</v>
      </c>
      <c r="D1144" s="4" t="s">
        <v>1098</v>
      </c>
      <c r="E1144" s="15">
        <v>45302.0</v>
      </c>
    </row>
    <row r="1145">
      <c r="A1145" s="4">
        <v>1145.0</v>
      </c>
      <c r="B1145" s="4" t="s">
        <v>1133</v>
      </c>
      <c r="C1145" s="4" t="s">
        <v>1119</v>
      </c>
      <c r="D1145" s="4" t="s">
        <v>1120</v>
      </c>
      <c r="E1145" s="15">
        <v>45302.0</v>
      </c>
    </row>
    <row r="1146">
      <c r="A1146" s="4">
        <v>1146.0</v>
      </c>
      <c r="B1146" s="4" t="s">
        <v>1133</v>
      </c>
      <c r="C1146" s="4" t="s">
        <v>1510</v>
      </c>
      <c r="D1146" s="4" t="s">
        <v>1098</v>
      </c>
      <c r="E1146" s="15">
        <v>45302.0</v>
      </c>
    </row>
    <row r="1147">
      <c r="A1147" s="4">
        <v>1147.0</v>
      </c>
      <c r="B1147" s="4" t="s">
        <v>1133</v>
      </c>
      <c r="C1147" s="4" t="s">
        <v>1325</v>
      </c>
      <c r="D1147" s="4" t="s">
        <v>1098</v>
      </c>
      <c r="E1147" s="15">
        <v>45302.0</v>
      </c>
    </row>
    <row r="1148">
      <c r="A1148" s="4">
        <v>1148.0</v>
      </c>
      <c r="B1148" s="4" t="s">
        <v>1133</v>
      </c>
      <c r="C1148" s="4" t="s">
        <v>1325</v>
      </c>
      <c r="D1148" s="4" t="s">
        <v>1098</v>
      </c>
      <c r="E1148" s="15">
        <v>45302.0</v>
      </c>
    </row>
    <row r="1149">
      <c r="A1149" s="4">
        <v>1149.0</v>
      </c>
      <c r="B1149" s="4" t="s">
        <v>1133</v>
      </c>
      <c r="C1149" s="4" t="s">
        <v>1325</v>
      </c>
      <c r="D1149" s="4" t="s">
        <v>1098</v>
      </c>
      <c r="E1149" s="15">
        <v>45302.0</v>
      </c>
    </row>
    <row r="1150">
      <c r="A1150" s="4">
        <v>1150.0</v>
      </c>
      <c r="B1150" s="4" t="s">
        <v>1133</v>
      </c>
      <c r="C1150" s="4" t="s">
        <v>1207</v>
      </c>
      <c r="D1150" s="4" t="s">
        <v>1098</v>
      </c>
      <c r="E1150" s="15">
        <v>45302.0</v>
      </c>
    </row>
    <row r="1151">
      <c r="A1151" s="4">
        <v>1151.0</v>
      </c>
      <c r="B1151" s="4" t="s">
        <v>1311</v>
      </c>
      <c r="C1151" s="4" t="s">
        <v>1122</v>
      </c>
      <c r="D1151" s="4" t="s">
        <v>1098</v>
      </c>
      <c r="E1151" s="15">
        <v>45302.0</v>
      </c>
    </row>
    <row r="1152">
      <c r="A1152" s="4">
        <v>1152.0</v>
      </c>
      <c r="B1152" s="4" t="s">
        <v>1133</v>
      </c>
      <c r="C1152" s="4" t="s">
        <v>1122</v>
      </c>
      <c r="D1152" s="4" t="s">
        <v>1098</v>
      </c>
      <c r="E1152" s="15">
        <v>45302.0</v>
      </c>
    </row>
    <row r="1153">
      <c r="A1153" s="4">
        <v>1153.0</v>
      </c>
      <c r="B1153" s="4" t="s">
        <v>1511</v>
      </c>
      <c r="C1153" s="4" t="s">
        <v>1143</v>
      </c>
      <c r="D1153" s="4" t="s">
        <v>1098</v>
      </c>
      <c r="E1153" s="15">
        <v>45302.0</v>
      </c>
    </row>
    <row r="1154">
      <c r="A1154" s="4">
        <v>1154.0</v>
      </c>
      <c r="B1154" s="4" t="s">
        <v>1511</v>
      </c>
      <c r="C1154" s="4" t="s">
        <v>1102</v>
      </c>
      <c r="D1154" s="4" t="s">
        <v>1098</v>
      </c>
      <c r="E1154" s="15">
        <v>45302.0</v>
      </c>
    </row>
    <row r="1155">
      <c r="A1155" s="4">
        <v>1155.0</v>
      </c>
      <c r="B1155" s="4" t="s">
        <v>1482</v>
      </c>
      <c r="C1155" s="4" t="s">
        <v>1102</v>
      </c>
      <c r="D1155" s="4" t="s">
        <v>1098</v>
      </c>
      <c r="E1155" s="15">
        <v>45302.0</v>
      </c>
    </row>
    <row r="1156">
      <c r="A1156" s="4">
        <v>1156.0</v>
      </c>
      <c r="B1156" s="4" t="s">
        <v>1511</v>
      </c>
      <c r="C1156" s="4" t="s">
        <v>1102</v>
      </c>
      <c r="D1156" s="4" t="s">
        <v>1098</v>
      </c>
      <c r="E1156" s="15">
        <v>45302.0</v>
      </c>
    </row>
    <row r="1157">
      <c r="A1157" s="4">
        <v>1157.0</v>
      </c>
      <c r="B1157" s="4" t="s">
        <v>1512</v>
      </c>
      <c r="C1157" s="4" t="s">
        <v>1102</v>
      </c>
      <c r="D1157" s="4" t="s">
        <v>1098</v>
      </c>
      <c r="E1157" s="15">
        <v>45302.0</v>
      </c>
    </row>
    <row r="1158">
      <c r="A1158" s="4">
        <v>1158.0</v>
      </c>
      <c r="B1158" s="4" t="s">
        <v>1511</v>
      </c>
      <c r="C1158" s="4" t="s">
        <v>1102</v>
      </c>
      <c r="D1158" s="4" t="s">
        <v>1098</v>
      </c>
      <c r="E1158" s="15">
        <v>45302.0</v>
      </c>
    </row>
    <row r="1159">
      <c r="A1159" s="4">
        <v>1159.0</v>
      </c>
      <c r="B1159" s="4" t="s">
        <v>1511</v>
      </c>
      <c r="C1159" s="4" t="s">
        <v>1102</v>
      </c>
      <c r="D1159" s="4" t="s">
        <v>1098</v>
      </c>
      <c r="E1159" s="15">
        <v>45302.0</v>
      </c>
    </row>
    <row r="1160">
      <c r="A1160" s="4">
        <v>1160.0</v>
      </c>
      <c r="B1160" s="4" t="s">
        <v>1511</v>
      </c>
      <c r="C1160" s="4" t="s">
        <v>1102</v>
      </c>
      <c r="D1160" s="4" t="s">
        <v>1098</v>
      </c>
      <c r="E1160" s="15">
        <v>45302.0</v>
      </c>
    </row>
    <row r="1161">
      <c r="A1161" s="4">
        <v>1161.0</v>
      </c>
      <c r="B1161" s="4" t="s">
        <v>1513</v>
      </c>
      <c r="C1161" s="4" t="s">
        <v>1102</v>
      </c>
      <c r="D1161" s="4" t="s">
        <v>1098</v>
      </c>
      <c r="E1161" s="15">
        <v>45302.0</v>
      </c>
    </row>
    <row r="1162">
      <c r="A1162" s="4">
        <v>1162.0</v>
      </c>
      <c r="B1162" s="4" t="s">
        <v>1513</v>
      </c>
      <c r="C1162" s="4" t="s">
        <v>1102</v>
      </c>
      <c r="D1162" s="4" t="s">
        <v>1098</v>
      </c>
      <c r="E1162" s="15">
        <v>45302.0</v>
      </c>
    </row>
    <row r="1163">
      <c r="A1163" s="4">
        <v>1163.0</v>
      </c>
      <c r="B1163" s="4" t="s">
        <v>1513</v>
      </c>
      <c r="C1163" s="4" t="s">
        <v>1102</v>
      </c>
      <c r="D1163" s="4" t="s">
        <v>1098</v>
      </c>
      <c r="E1163" s="15">
        <v>45302.0</v>
      </c>
    </row>
    <row r="1164">
      <c r="A1164" s="4">
        <v>1164.0</v>
      </c>
      <c r="B1164" s="4" t="s">
        <v>1133</v>
      </c>
      <c r="C1164" s="4" t="s">
        <v>1102</v>
      </c>
      <c r="D1164" s="4" t="s">
        <v>1098</v>
      </c>
      <c r="E1164" s="15">
        <v>45302.0</v>
      </c>
    </row>
    <row r="1165">
      <c r="A1165" s="4">
        <v>1165.0</v>
      </c>
      <c r="B1165" s="4" t="s">
        <v>1514</v>
      </c>
      <c r="C1165" s="4" t="s">
        <v>1102</v>
      </c>
      <c r="D1165" s="4" t="s">
        <v>1098</v>
      </c>
      <c r="E1165" s="15">
        <v>45302.0</v>
      </c>
    </row>
    <row r="1166">
      <c r="A1166" s="4">
        <v>1166.0</v>
      </c>
      <c r="B1166" s="4" t="s">
        <v>1515</v>
      </c>
      <c r="C1166" s="4" t="s">
        <v>1281</v>
      </c>
      <c r="D1166" s="4" t="s">
        <v>1120</v>
      </c>
      <c r="E1166" s="15">
        <v>45302.0</v>
      </c>
    </row>
    <row r="1167">
      <c r="A1167" s="4">
        <v>1167.0</v>
      </c>
      <c r="B1167" s="4" t="s">
        <v>1311</v>
      </c>
      <c r="C1167" s="4" t="s">
        <v>1281</v>
      </c>
      <c r="D1167" s="4" t="s">
        <v>1120</v>
      </c>
      <c r="E1167" s="15">
        <v>45302.0</v>
      </c>
    </row>
    <row r="1168">
      <c r="A1168" s="4">
        <v>1168.0</v>
      </c>
      <c r="B1168" s="4" t="s">
        <v>1311</v>
      </c>
      <c r="C1168" s="4" t="s">
        <v>1281</v>
      </c>
      <c r="D1168" s="4" t="s">
        <v>1120</v>
      </c>
      <c r="E1168" s="15">
        <v>45302.0</v>
      </c>
    </row>
    <row r="1169">
      <c r="A1169" s="4">
        <v>1169.0</v>
      </c>
      <c r="B1169" s="4" t="s">
        <v>1133</v>
      </c>
      <c r="C1169" s="4" t="s">
        <v>1281</v>
      </c>
      <c r="D1169" s="4" t="s">
        <v>1120</v>
      </c>
      <c r="E1169" s="15">
        <v>45302.0</v>
      </c>
    </row>
    <row r="1170">
      <c r="A1170" s="4">
        <v>1170.0</v>
      </c>
      <c r="B1170" s="4" t="s">
        <v>1133</v>
      </c>
      <c r="C1170" s="4" t="s">
        <v>1187</v>
      </c>
      <c r="D1170" s="4" t="s">
        <v>1098</v>
      </c>
      <c r="E1170" s="15">
        <v>45302.0</v>
      </c>
    </row>
    <row r="1171">
      <c r="A1171" s="4">
        <v>1171.0</v>
      </c>
      <c r="B1171" s="4" t="s">
        <v>1177</v>
      </c>
      <c r="C1171" s="4" t="s">
        <v>1257</v>
      </c>
      <c r="D1171" s="4" t="s">
        <v>1120</v>
      </c>
      <c r="E1171" s="15">
        <v>45302.0</v>
      </c>
    </row>
    <row r="1172">
      <c r="A1172" s="4">
        <v>1172.0</v>
      </c>
      <c r="B1172" s="4" t="s">
        <v>1133</v>
      </c>
      <c r="C1172" s="4" t="s">
        <v>1257</v>
      </c>
      <c r="D1172" s="4" t="s">
        <v>1120</v>
      </c>
      <c r="E1172" s="15">
        <v>45302.0</v>
      </c>
    </row>
    <row r="1173">
      <c r="A1173" s="4">
        <v>1173.0</v>
      </c>
      <c r="B1173" s="4" t="s">
        <v>1311</v>
      </c>
      <c r="C1173" s="4" t="s">
        <v>1257</v>
      </c>
      <c r="D1173" s="4" t="s">
        <v>1120</v>
      </c>
      <c r="E1173" s="15">
        <v>45302.0</v>
      </c>
    </row>
    <row r="1174">
      <c r="A1174" s="4">
        <v>1174.0</v>
      </c>
      <c r="B1174" s="4" t="s">
        <v>1311</v>
      </c>
      <c r="C1174" s="4" t="s">
        <v>1257</v>
      </c>
      <c r="D1174" s="4" t="s">
        <v>1120</v>
      </c>
      <c r="E1174" s="15">
        <v>45302.0</v>
      </c>
    </row>
    <row r="1175">
      <c r="A1175" s="4">
        <v>1175.0</v>
      </c>
      <c r="B1175" s="4" t="s">
        <v>1311</v>
      </c>
      <c r="C1175" s="4" t="s">
        <v>1257</v>
      </c>
      <c r="D1175" s="4" t="s">
        <v>1120</v>
      </c>
      <c r="E1175" s="15">
        <v>45302.0</v>
      </c>
    </row>
    <row r="1176">
      <c r="A1176" s="4">
        <v>1176.0</v>
      </c>
      <c r="B1176" s="4" t="s">
        <v>1177</v>
      </c>
      <c r="C1176" s="4" t="s">
        <v>1516</v>
      </c>
      <c r="D1176" s="4" t="s">
        <v>1120</v>
      </c>
      <c r="E1176" s="15">
        <v>45302.0</v>
      </c>
    </row>
    <row r="1177">
      <c r="A1177" s="4">
        <v>1177.0</v>
      </c>
      <c r="B1177" s="4" t="s">
        <v>1177</v>
      </c>
      <c r="C1177" s="4" t="s">
        <v>1516</v>
      </c>
      <c r="D1177" s="4" t="s">
        <v>1120</v>
      </c>
      <c r="E1177" s="15">
        <v>45302.0</v>
      </c>
    </row>
    <row r="1178">
      <c r="A1178" s="4">
        <v>1178.0</v>
      </c>
      <c r="B1178" s="4" t="s">
        <v>1297</v>
      </c>
      <c r="C1178" s="4" t="s">
        <v>1516</v>
      </c>
      <c r="D1178" s="4" t="s">
        <v>1120</v>
      </c>
      <c r="E1178" s="15">
        <v>45302.0</v>
      </c>
    </row>
    <row r="1179">
      <c r="A1179" s="4">
        <v>1179.0</v>
      </c>
      <c r="B1179" s="4" t="s">
        <v>1133</v>
      </c>
      <c r="C1179" s="4" t="s">
        <v>1306</v>
      </c>
      <c r="D1179" s="4" t="s">
        <v>1098</v>
      </c>
      <c r="E1179" s="15">
        <v>45302.0</v>
      </c>
    </row>
    <row r="1180">
      <c r="A1180" s="4">
        <v>1180.0</v>
      </c>
      <c r="B1180" s="4" t="s">
        <v>1133</v>
      </c>
      <c r="C1180" s="4" t="s">
        <v>1328</v>
      </c>
      <c r="D1180" s="4" t="s">
        <v>1098</v>
      </c>
      <c r="E1180" s="15">
        <v>45302.0</v>
      </c>
    </row>
    <row r="1181">
      <c r="A1181" s="4">
        <v>1181.0</v>
      </c>
      <c r="B1181" s="4" t="s">
        <v>1311</v>
      </c>
      <c r="C1181" s="4" t="s">
        <v>1259</v>
      </c>
      <c r="D1181" s="4" t="s">
        <v>1098</v>
      </c>
      <c r="E1181" s="15">
        <v>45302.0</v>
      </c>
    </row>
    <row r="1182">
      <c r="A1182" s="4">
        <v>1182.0</v>
      </c>
      <c r="B1182" s="4" t="s">
        <v>1133</v>
      </c>
      <c r="C1182" s="4" t="s">
        <v>1259</v>
      </c>
      <c r="D1182" s="4" t="s">
        <v>1098</v>
      </c>
      <c r="E1182" s="15">
        <v>45302.0</v>
      </c>
    </row>
    <row r="1183">
      <c r="A1183" s="4">
        <v>1183.0</v>
      </c>
      <c r="B1183" s="4" t="s">
        <v>1133</v>
      </c>
      <c r="C1183" s="4" t="s">
        <v>1217</v>
      </c>
      <c r="D1183" s="4" t="s">
        <v>1098</v>
      </c>
      <c r="E1183" s="15">
        <v>45302.0</v>
      </c>
    </row>
    <row r="1184">
      <c r="A1184" s="4">
        <v>1184.0</v>
      </c>
      <c r="B1184" s="4" t="s">
        <v>1133</v>
      </c>
      <c r="C1184" s="4" t="s">
        <v>1217</v>
      </c>
      <c r="D1184" s="4" t="s">
        <v>1098</v>
      </c>
      <c r="E1184" s="15">
        <v>45302.0</v>
      </c>
    </row>
    <row r="1185">
      <c r="A1185" s="4">
        <v>1185.0</v>
      </c>
      <c r="B1185" s="4" t="s">
        <v>1133</v>
      </c>
      <c r="C1185" s="4" t="s">
        <v>1203</v>
      </c>
      <c r="D1185" s="4" t="s">
        <v>1098</v>
      </c>
      <c r="E1185" s="15">
        <v>45302.0</v>
      </c>
    </row>
    <row r="1186">
      <c r="A1186" s="4">
        <v>1186.0</v>
      </c>
      <c r="B1186" s="4" t="s">
        <v>1133</v>
      </c>
      <c r="C1186" s="4" t="s">
        <v>1203</v>
      </c>
      <c r="D1186" s="4" t="s">
        <v>1098</v>
      </c>
      <c r="E1186" s="15">
        <v>45302.0</v>
      </c>
    </row>
    <row r="1187">
      <c r="A1187" s="4">
        <v>1187.0</v>
      </c>
      <c r="B1187" s="4" t="s">
        <v>1133</v>
      </c>
      <c r="C1187" s="4" t="s">
        <v>1203</v>
      </c>
      <c r="D1187" s="4" t="s">
        <v>1098</v>
      </c>
      <c r="E1187" s="15">
        <v>45302.0</v>
      </c>
    </row>
    <row r="1188">
      <c r="A1188" s="4">
        <v>1188.0</v>
      </c>
      <c r="B1188" s="4" t="s">
        <v>1517</v>
      </c>
      <c r="C1188" s="4" t="s">
        <v>1377</v>
      </c>
      <c r="D1188" s="4" t="s">
        <v>1098</v>
      </c>
      <c r="E1188" s="15">
        <v>45302.0</v>
      </c>
    </row>
    <row r="1189">
      <c r="A1189" s="4">
        <v>1189.0</v>
      </c>
      <c r="B1189" s="4" t="s">
        <v>1311</v>
      </c>
      <c r="C1189" s="4" t="s">
        <v>1189</v>
      </c>
      <c r="D1189" s="4" t="s">
        <v>1098</v>
      </c>
      <c r="E1189" s="15">
        <v>45302.0</v>
      </c>
    </row>
    <row r="1190">
      <c r="A1190" s="4">
        <v>1190.0</v>
      </c>
      <c r="B1190" s="4" t="s">
        <v>1133</v>
      </c>
      <c r="C1190" s="4" t="s">
        <v>1189</v>
      </c>
      <c r="D1190" s="4" t="s">
        <v>1098</v>
      </c>
      <c r="E1190" s="15">
        <v>45302.0</v>
      </c>
    </row>
    <row r="1191">
      <c r="A1191" s="4">
        <v>1191.0</v>
      </c>
      <c r="B1191" s="4" t="s">
        <v>1177</v>
      </c>
      <c r="C1191" s="4" t="s">
        <v>1189</v>
      </c>
      <c r="D1191" s="4" t="s">
        <v>1098</v>
      </c>
      <c r="E1191" s="15">
        <v>45302.0</v>
      </c>
    </row>
    <row r="1192">
      <c r="A1192" s="4">
        <v>1192.0</v>
      </c>
      <c r="B1192" s="4" t="s">
        <v>1311</v>
      </c>
      <c r="C1192" s="4" t="s">
        <v>1189</v>
      </c>
      <c r="D1192" s="4" t="s">
        <v>1098</v>
      </c>
      <c r="E1192" s="15">
        <v>45302.0</v>
      </c>
    </row>
    <row r="1193">
      <c r="A1193" s="4">
        <v>1193.0</v>
      </c>
      <c r="B1193" s="4" t="s">
        <v>1133</v>
      </c>
      <c r="C1193" s="4" t="s">
        <v>1189</v>
      </c>
      <c r="D1193" s="4" t="s">
        <v>1098</v>
      </c>
      <c r="E1193" s="15">
        <v>45302.0</v>
      </c>
    </row>
    <row r="1194">
      <c r="A1194" s="4">
        <v>1194.0</v>
      </c>
      <c r="B1194" s="4" t="s">
        <v>1133</v>
      </c>
      <c r="C1194" s="4" t="s">
        <v>1205</v>
      </c>
      <c r="D1194" s="4" t="s">
        <v>1098</v>
      </c>
      <c r="E1194" s="15">
        <v>45302.0</v>
      </c>
    </row>
    <row r="1195">
      <c r="A1195" s="4">
        <v>1195.0</v>
      </c>
      <c r="B1195" s="4" t="s">
        <v>1518</v>
      </c>
      <c r="C1195" s="4" t="s">
        <v>1205</v>
      </c>
      <c r="D1195" s="4" t="s">
        <v>1098</v>
      </c>
      <c r="E1195" s="15">
        <v>45302.0</v>
      </c>
    </row>
    <row r="1196">
      <c r="A1196" s="4">
        <v>1196.0</v>
      </c>
      <c r="B1196" s="4" t="s">
        <v>1519</v>
      </c>
      <c r="C1196" s="4" t="s">
        <v>1205</v>
      </c>
      <c r="D1196" s="4" t="s">
        <v>1098</v>
      </c>
      <c r="E1196" s="15">
        <v>45302.0</v>
      </c>
    </row>
    <row r="1197">
      <c r="A1197" s="4">
        <v>1197.0</v>
      </c>
      <c r="B1197" s="4" t="s">
        <v>1297</v>
      </c>
      <c r="C1197" s="4" t="s">
        <v>1352</v>
      </c>
      <c r="D1197" s="4" t="s">
        <v>1120</v>
      </c>
      <c r="E1197" s="15">
        <v>45302.0</v>
      </c>
    </row>
    <row r="1198">
      <c r="A1198" s="4">
        <v>1198.0</v>
      </c>
      <c r="B1198" s="4" t="s">
        <v>1133</v>
      </c>
      <c r="C1198" s="4" t="s">
        <v>1222</v>
      </c>
      <c r="D1198" s="4" t="s">
        <v>1098</v>
      </c>
      <c r="E1198" s="15">
        <v>45302.0</v>
      </c>
    </row>
    <row r="1199">
      <c r="A1199" s="4">
        <v>1199.0</v>
      </c>
      <c r="B1199" s="4" t="s">
        <v>1288</v>
      </c>
      <c r="C1199" s="4" t="s">
        <v>1520</v>
      </c>
      <c r="D1199" s="4" t="s">
        <v>1098</v>
      </c>
      <c r="E1199" s="15">
        <v>45301.0</v>
      </c>
    </row>
    <row r="1200">
      <c r="A1200" s="4">
        <v>1200.0</v>
      </c>
      <c r="B1200" s="4" t="s">
        <v>1288</v>
      </c>
      <c r="C1200" s="4" t="s">
        <v>1521</v>
      </c>
      <c r="D1200" s="4" t="s">
        <v>1098</v>
      </c>
      <c r="E1200" s="15">
        <v>45301.0</v>
      </c>
    </row>
    <row r="1201">
      <c r="A1201" s="4">
        <v>1201.0</v>
      </c>
      <c r="B1201" s="4" t="s">
        <v>1288</v>
      </c>
      <c r="C1201" s="4" t="s">
        <v>1119</v>
      </c>
      <c r="D1201" s="4" t="s">
        <v>1120</v>
      </c>
      <c r="E1201" s="15">
        <v>45301.0</v>
      </c>
    </row>
    <row r="1202">
      <c r="A1202" s="4">
        <v>1202.0</v>
      </c>
      <c r="B1202" s="4" t="s">
        <v>1288</v>
      </c>
      <c r="C1202" s="4" t="s">
        <v>1119</v>
      </c>
      <c r="D1202" s="4" t="s">
        <v>1120</v>
      </c>
      <c r="E1202" s="15">
        <v>45301.0</v>
      </c>
    </row>
    <row r="1203">
      <c r="A1203" s="4">
        <v>1203.0</v>
      </c>
      <c r="B1203" s="4" t="s">
        <v>1288</v>
      </c>
      <c r="C1203" s="4" t="s">
        <v>1119</v>
      </c>
      <c r="D1203" s="4" t="s">
        <v>1120</v>
      </c>
      <c r="E1203" s="15">
        <v>45301.0</v>
      </c>
    </row>
    <row r="1204">
      <c r="A1204" s="4">
        <v>1204.0</v>
      </c>
      <c r="B1204" s="4" t="s">
        <v>1105</v>
      </c>
      <c r="C1204" s="4" t="s">
        <v>1207</v>
      </c>
      <c r="D1204" s="4" t="s">
        <v>1098</v>
      </c>
      <c r="E1204" s="15">
        <v>45301.0</v>
      </c>
    </row>
    <row r="1205">
      <c r="A1205" s="4">
        <v>1205.0</v>
      </c>
      <c r="B1205" s="4" t="s">
        <v>1240</v>
      </c>
      <c r="C1205" s="4" t="s">
        <v>1122</v>
      </c>
      <c r="D1205" s="4" t="s">
        <v>1098</v>
      </c>
      <c r="E1205" s="15">
        <v>45301.0</v>
      </c>
    </row>
    <row r="1206">
      <c r="A1206" s="4">
        <v>1206.0</v>
      </c>
      <c r="B1206" s="4" t="s">
        <v>1522</v>
      </c>
      <c r="C1206" s="4" t="s">
        <v>1193</v>
      </c>
      <c r="D1206" s="4" t="s">
        <v>1098</v>
      </c>
      <c r="E1206" s="15">
        <v>45301.0</v>
      </c>
    </row>
    <row r="1207">
      <c r="A1207" s="4">
        <v>1207.0</v>
      </c>
      <c r="B1207" s="4" t="s">
        <v>1522</v>
      </c>
      <c r="C1207" s="4" t="s">
        <v>1194</v>
      </c>
      <c r="D1207" s="4" t="s">
        <v>1098</v>
      </c>
      <c r="E1207" s="15">
        <v>45301.0</v>
      </c>
    </row>
    <row r="1208">
      <c r="A1208" s="4">
        <v>1208.0</v>
      </c>
      <c r="B1208" s="4" t="s">
        <v>1522</v>
      </c>
      <c r="C1208" s="4" t="s">
        <v>1097</v>
      </c>
      <c r="D1208" s="4" t="s">
        <v>1098</v>
      </c>
      <c r="E1208" s="15">
        <v>45301.0</v>
      </c>
    </row>
    <row r="1209">
      <c r="A1209" s="4">
        <v>1209.0</v>
      </c>
      <c r="B1209" s="4" t="s">
        <v>1522</v>
      </c>
      <c r="C1209" s="4" t="s">
        <v>1097</v>
      </c>
      <c r="D1209" s="4" t="s">
        <v>1098</v>
      </c>
      <c r="E1209" s="15">
        <v>45301.0</v>
      </c>
    </row>
    <row r="1210">
      <c r="A1210" s="4">
        <v>1210.0</v>
      </c>
      <c r="B1210" s="4" t="s">
        <v>1522</v>
      </c>
      <c r="C1210" s="4" t="s">
        <v>1099</v>
      </c>
      <c r="D1210" s="4" t="s">
        <v>1098</v>
      </c>
      <c r="E1210" s="15">
        <v>45301.0</v>
      </c>
    </row>
    <row r="1211">
      <c r="A1211" s="4">
        <v>1211.0</v>
      </c>
      <c r="B1211" s="4" t="s">
        <v>780</v>
      </c>
      <c r="C1211" s="4" t="s">
        <v>1143</v>
      </c>
      <c r="D1211" s="4" t="s">
        <v>1098</v>
      </c>
      <c r="E1211" s="15">
        <v>45301.0</v>
      </c>
    </row>
    <row r="1212">
      <c r="A1212" s="4">
        <v>1212.0</v>
      </c>
      <c r="B1212" s="4" t="s">
        <v>780</v>
      </c>
      <c r="C1212" s="4" t="s">
        <v>1143</v>
      </c>
      <c r="D1212" s="4" t="s">
        <v>1098</v>
      </c>
      <c r="E1212" s="15">
        <v>45301.0</v>
      </c>
    </row>
    <row r="1213">
      <c r="A1213" s="4">
        <v>1213.0</v>
      </c>
      <c r="B1213" s="4" t="s">
        <v>1523</v>
      </c>
      <c r="C1213" s="4" t="s">
        <v>1102</v>
      </c>
      <c r="D1213" s="4" t="s">
        <v>1098</v>
      </c>
      <c r="E1213" s="15">
        <v>45301.0</v>
      </c>
    </row>
    <row r="1214">
      <c r="A1214" s="4">
        <v>1214.0</v>
      </c>
      <c r="B1214" s="4" t="s">
        <v>1523</v>
      </c>
      <c r="C1214" s="4" t="s">
        <v>1102</v>
      </c>
      <c r="D1214" s="4" t="s">
        <v>1098</v>
      </c>
      <c r="E1214" s="15">
        <v>45301.0</v>
      </c>
    </row>
    <row r="1215">
      <c r="A1215" s="4">
        <v>1215.0</v>
      </c>
      <c r="B1215" s="4" t="s">
        <v>1210</v>
      </c>
      <c r="C1215" s="4" t="s">
        <v>1102</v>
      </c>
      <c r="D1215" s="4" t="s">
        <v>1098</v>
      </c>
      <c r="E1215" s="15">
        <v>45301.0</v>
      </c>
    </row>
    <row r="1216">
      <c r="A1216" s="4">
        <v>1216.0</v>
      </c>
      <c r="B1216" s="4" t="s">
        <v>1488</v>
      </c>
      <c r="C1216" s="4" t="s">
        <v>1102</v>
      </c>
      <c r="D1216" s="4" t="s">
        <v>1098</v>
      </c>
      <c r="E1216" s="15">
        <v>45301.0</v>
      </c>
    </row>
    <row r="1217">
      <c r="A1217" s="4">
        <v>1217.0</v>
      </c>
      <c r="B1217" s="4" t="s">
        <v>1210</v>
      </c>
      <c r="C1217" s="4" t="s">
        <v>1102</v>
      </c>
      <c r="D1217" s="4" t="s">
        <v>1098</v>
      </c>
      <c r="E1217" s="15">
        <v>45301.0</v>
      </c>
    </row>
    <row r="1218">
      <c r="A1218" s="4">
        <v>1218.0</v>
      </c>
      <c r="B1218" s="4" t="s">
        <v>1523</v>
      </c>
      <c r="C1218" s="4" t="s">
        <v>1102</v>
      </c>
      <c r="D1218" s="4" t="s">
        <v>1098</v>
      </c>
      <c r="E1218" s="15">
        <v>45301.0</v>
      </c>
    </row>
    <row r="1219">
      <c r="A1219" s="4">
        <v>1219.0</v>
      </c>
      <c r="B1219" s="4" t="s">
        <v>1210</v>
      </c>
      <c r="C1219" s="4" t="s">
        <v>1102</v>
      </c>
      <c r="D1219" s="4" t="s">
        <v>1098</v>
      </c>
      <c r="E1219" s="15">
        <v>45301.0</v>
      </c>
    </row>
    <row r="1220">
      <c r="A1220" s="4">
        <v>1220.0</v>
      </c>
      <c r="B1220" s="4" t="s">
        <v>1524</v>
      </c>
      <c r="C1220" s="4" t="s">
        <v>1139</v>
      </c>
      <c r="D1220" s="4" t="s">
        <v>1098</v>
      </c>
      <c r="E1220" s="15">
        <v>45301.0</v>
      </c>
    </row>
    <row r="1221">
      <c r="A1221" s="4">
        <v>1221.0</v>
      </c>
      <c r="B1221" s="4" t="s">
        <v>1288</v>
      </c>
      <c r="C1221" s="4" t="s">
        <v>1257</v>
      </c>
      <c r="D1221" s="4" t="s">
        <v>1120</v>
      </c>
      <c r="E1221" s="15">
        <v>45301.0</v>
      </c>
    </row>
    <row r="1222">
      <c r="A1222" s="4">
        <v>1222.0</v>
      </c>
      <c r="B1222" s="4" t="s">
        <v>1133</v>
      </c>
      <c r="C1222" s="4" t="s">
        <v>1205</v>
      </c>
      <c r="D1222" s="4" t="s">
        <v>1098</v>
      </c>
      <c r="E1222" s="15">
        <v>45301.0</v>
      </c>
    </row>
    <row r="1223">
      <c r="A1223" s="4">
        <v>1223.0</v>
      </c>
      <c r="B1223" s="4" t="s">
        <v>1522</v>
      </c>
      <c r="C1223" s="4" t="s">
        <v>1097</v>
      </c>
      <c r="D1223" s="4" t="s">
        <v>1098</v>
      </c>
      <c r="E1223" s="15">
        <v>45300.0</v>
      </c>
    </row>
    <row r="1224">
      <c r="A1224" s="4">
        <v>1224.0</v>
      </c>
      <c r="B1224" s="4" t="s">
        <v>1525</v>
      </c>
      <c r="C1224" s="4" t="s">
        <v>1281</v>
      </c>
      <c r="D1224" s="4" t="s">
        <v>1120</v>
      </c>
      <c r="E1224" s="15">
        <v>45300.0</v>
      </c>
    </row>
    <row r="1225">
      <c r="A1225" s="4">
        <v>1225.0</v>
      </c>
      <c r="B1225" s="4" t="s">
        <v>1133</v>
      </c>
      <c r="C1225" s="4" t="s">
        <v>1203</v>
      </c>
      <c r="D1225" s="4" t="s">
        <v>1098</v>
      </c>
      <c r="E1225" s="15">
        <v>45300.0</v>
      </c>
    </row>
    <row r="1226">
      <c r="A1226" s="4">
        <v>1226.0</v>
      </c>
      <c r="B1226" s="4" t="s">
        <v>1526</v>
      </c>
      <c r="C1226" s="4" t="s">
        <v>1527</v>
      </c>
      <c r="D1226" s="4" t="s">
        <v>1120</v>
      </c>
      <c r="E1226" s="15">
        <v>45300.0</v>
      </c>
    </row>
    <row r="1227">
      <c r="A1227" s="4">
        <v>1227.0</v>
      </c>
      <c r="B1227" s="4" t="s">
        <v>1526</v>
      </c>
      <c r="C1227" s="4" t="s">
        <v>1527</v>
      </c>
      <c r="D1227" s="4" t="s">
        <v>1120</v>
      </c>
      <c r="E1227" s="15">
        <v>45300.0</v>
      </c>
    </row>
    <row r="1228">
      <c r="A1228" s="4">
        <v>1228.0</v>
      </c>
      <c r="B1228" s="4" t="s">
        <v>1528</v>
      </c>
      <c r="C1228" s="4" t="s">
        <v>1529</v>
      </c>
      <c r="D1228" s="4" t="s">
        <v>1120</v>
      </c>
      <c r="E1228" s="15">
        <v>45299.0</v>
      </c>
    </row>
    <row r="1229">
      <c r="A1229" s="4">
        <v>1229.0</v>
      </c>
      <c r="B1229" s="4" t="s">
        <v>1530</v>
      </c>
      <c r="C1229" s="4" t="s">
        <v>1325</v>
      </c>
      <c r="D1229" s="4" t="s">
        <v>1098</v>
      </c>
      <c r="E1229" s="15">
        <v>45299.0</v>
      </c>
    </row>
    <row r="1230">
      <c r="A1230" s="4">
        <v>1230.0</v>
      </c>
      <c r="B1230" s="4" t="s">
        <v>1530</v>
      </c>
      <c r="C1230" s="4" t="s">
        <v>1122</v>
      </c>
      <c r="D1230" s="4" t="s">
        <v>1098</v>
      </c>
      <c r="E1230" s="15">
        <v>45299.0</v>
      </c>
    </row>
    <row r="1231">
      <c r="A1231" s="4">
        <v>1231.0</v>
      </c>
      <c r="B1231" s="4" t="s">
        <v>1528</v>
      </c>
      <c r="C1231" s="4" t="s">
        <v>1143</v>
      </c>
      <c r="D1231" s="4" t="s">
        <v>1098</v>
      </c>
      <c r="E1231" s="15">
        <v>45299.0</v>
      </c>
    </row>
    <row r="1232">
      <c r="A1232" s="4">
        <v>1232.0</v>
      </c>
      <c r="B1232" s="4" t="s">
        <v>1250</v>
      </c>
      <c r="C1232" s="4" t="s">
        <v>1281</v>
      </c>
      <c r="D1232" s="4" t="s">
        <v>1120</v>
      </c>
      <c r="E1232" s="15">
        <v>45299.0</v>
      </c>
    </row>
    <row r="1233">
      <c r="A1233" s="4">
        <v>1233.0</v>
      </c>
      <c r="B1233" s="4" t="s">
        <v>1449</v>
      </c>
      <c r="C1233" s="4" t="s">
        <v>1306</v>
      </c>
      <c r="D1233" s="4" t="s">
        <v>1098</v>
      </c>
      <c r="E1233" s="15">
        <v>45299.0</v>
      </c>
    </row>
    <row r="1234">
      <c r="A1234" s="4">
        <v>1234.0</v>
      </c>
      <c r="B1234" s="4" t="s">
        <v>1528</v>
      </c>
      <c r="C1234" s="4" t="s">
        <v>1220</v>
      </c>
      <c r="D1234" s="4" t="s">
        <v>1098</v>
      </c>
      <c r="E1234" s="15">
        <v>45299.0</v>
      </c>
    </row>
    <row r="1235">
      <c r="A1235" s="4">
        <v>1235.0</v>
      </c>
      <c r="B1235" s="4" t="s">
        <v>1295</v>
      </c>
      <c r="C1235" s="4" t="s">
        <v>1102</v>
      </c>
      <c r="D1235" s="4" t="s">
        <v>1098</v>
      </c>
      <c r="E1235" s="15">
        <v>45298.0</v>
      </c>
    </row>
    <row r="1236">
      <c r="A1236" s="4">
        <v>1236.0</v>
      </c>
      <c r="B1236" s="4" t="s">
        <v>1531</v>
      </c>
      <c r="C1236" s="4" t="s">
        <v>1205</v>
      </c>
      <c r="D1236" s="4" t="s">
        <v>1098</v>
      </c>
      <c r="E1236" s="15">
        <v>45298.0</v>
      </c>
    </row>
    <row r="1237">
      <c r="A1237" s="4">
        <v>1237.0</v>
      </c>
      <c r="B1237" s="4" t="s">
        <v>1532</v>
      </c>
      <c r="C1237" s="4" t="s">
        <v>1533</v>
      </c>
      <c r="D1237" s="4" t="s">
        <v>1098</v>
      </c>
      <c r="E1237" s="15">
        <v>45297.0</v>
      </c>
    </row>
    <row r="1238">
      <c r="A1238" s="4">
        <v>1238.0</v>
      </c>
      <c r="B1238" s="4" t="s">
        <v>1534</v>
      </c>
      <c r="C1238" s="4" t="s">
        <v>1346</v>
      </c>
      <c r="D1238" s="4" t="s">
        <v>1098</v>
      </c>
      <c r="E1238" s="15">
        <v>45296.0</v>
      </c>
    </row>
    <row r="1239">
      <c r="A1239" s="4">
        <v>1239.0</v>
      </c>
      <c r="B1239" s="4" t="s">
        <v>1151</v>
      </c>
      <c r="C1239" s="4" t="s">
        <v>1325</v>
      </c>
      <c r="D1239" s="4" t="s">
        <v>1098</v>
      </c>
      <c r="E1239" s="15">
        <v>45296.0</v>
      </c>
    </row>
    <row r="1240">
      <c r="A1240" s="4">
        <v>1240.0</v>
      </c>
      <c r="B1240" s="4" t="s">
        <v>1535</v>
      </c>
      <c r="C1240" s="4" t="s">
        <v>1102</v>
      </c>
      <c r="D1240" s="4" t="s">
        <v>1098</v>
      </c>
      <c r="E1240" s="15">
        <v>45296.0</v>
      </c>
    </row>
    <row r="1241">
      <c r="A1241" s="4">
        <v>1241.0</v>
      </c>
      <c r="B1241" s="4" t="s">
        <v>1536</v>
      </c>
      <c r="C1241" s="4" t="s">
        <v>1102</v>
      </c>
      <c r="D1241" s="4" t="s">
        <v>1098</v>
      </c>
      <c r="E1241" s="15">
        <v>45296.0</v>
      </c>
    </row>
    <row r="1242">
      <c r="A1242" s="4">
        <v>1242.0</v>
      </c>
      <c r="B1242" s="4" t="s">
        <v>1536</v>
      </c>
      <c r="C1242" s="4" t="s">
        <v>1102</v>
      </c>
      <c r="D1242" s="4" t="s">
        <v>1098</v>
      </c>
      <c r="E1242" s="15">
        <v>45296.0</v>
      </c>
    </row>
    <row r="1243">
      <c r="A1243" s="4">
        <v>1243.0</v>
      </c>
      <c r="B1243" s="4" t="s">
        <v>1537</v>
      </c>
      <c r="C1243" s="4" t="s">
        <v>1281</v>
      </c>
      <c r="D1243" s="4" t="s">
        <v>1120</v>
      </c>
      <c r="E1243" s="15">
        <v>45296.0</v>
      </c>
    </row>
    <row r="1244">
      <c r="A1244" s="4">
        <v>1244.0</v>
      </c>
      <c r="B1244" s="4" t="s">
        <v>1538</v>
      </c>
      <c r="C1244" s="4" t="s">
        <v>1259</v>
      </c>
      <c r="D1244" s="4" t="s">
        <v>1098</v>
      </c>
      <c r="E1244" s="15">
        <v>45296.0</v>
      </c>
    </row>
    <row r="1245">
      <c r="A1245" s="4">
        <v>1245.0</v>
      </c>
      <c r="B1245" s="4" t="s">
        <v>1539</v>
      </c>
      <c r="C1245" s="4" t="s">
        <v>1222</v>
      </c>
      <c r="D1245" s="4" t="s">
        <v>1098</v>
      </c>
      <c r="E1245" s="15">
        <v>45296.0</v>
      </c>
    </row>
    <row r="1246">
      <c r="A1246" s="4">
        <v>1246.0</v>
      </c>
      <c r="B1246" s="4" t="s">
        <v>1540</v>
      </c>
      <c r="C1246" s="4" t="s">
        <v>1190</v>
      </c>
      <c r="D1246" s="4" t="s">
        <v>1098</v>
      </c>
      <c r="E1246" s="15">
        <v>45295.0</v>
      </c>
    </row>
    <row r="1247">
      <c r="A1247" s="4">
        <v>1247.0</v>
      </c>
      <c r="B1247" s="4" t="s">
        <v>1541</v>
      </c>
      <c r="C1247" s="4" t="s">
        <v>1191</v>
      </c>
      <c r="D1247" s="4" t="s">
        <v>1098</v>
      </c>
      <c r="E1247" s="15">
        <v>45295.0</v>
      </c>
    </row>
    <row r="1248">
      <c r="A1248" s="4">
        <v>1248.0</v>
      </c>
      <c r="B1248" s="4" t="s">
        <v>1540</v>
      </c>
      <c r="C1248" s="4" t="s">
        <v>1191</v>
      </c>
      <c r="D1248" s="4" t="s">
        <v>1098</v>
      </c>
      <c r="E1248" s="15">
        <v>45295.0</v>
      </c>
    </row>
    <row r="1249">
      <c r="A1249" s="4">
        <v>1249.0</v>
      </c>
      <c r="B1249" s="4" t="s">
        <v>1540</v>
      </c>
      <c r="C1249" s="4" t="s">
        <v>1509</v>
      </c>
      <c r="D1249" s="4" t="s">
        <v>1098</v>
      </c>
      <c r="E1249" s="15">
        <v>45295.0</v>
      </c>
    </row>
    <row r="1250">
      <c r="A1250" s="4">
        <v>1250.0</v>
      </c>
      <c r="B1250" s="4" t="s">
        <v>1540</v>
      </c>
      <c r="C1250" s="4" t="s">
        <v>1131</v>
      </c>
      <c r="D1250" s="4" t="s">
        <v>1098</v>
      </c>
      <c r="E1250" s="15">
        <v>45295.0</v>
      </c>
    </row>
    <row r="1251">
      <c r="A1251" s="4">
        <v>1251.0</v>
      </c>
      <c r="B1251" s="4" t="s">
        <v>1540</v>
      </c>
      <c r="C1251" s="4" t="s">
        <v>1325</v>
      </c>
      <c r="D1251" s="4" t="s">
        <v>1098</v>
      </c>
      <c r="E1251" s="15">
        <v>45295.0</v>
      </c>
    </row>
    <row r="1252">
      <c r="A1252" s="4">
        <v>1252.0</v>
      </c>
      <c r="B1252" s="4" t="s">
        <v>1540</v>
      </c>
      <c r="C1252" s="4" t="s">
        <v>1122</v>
      </c>
      <c r="D1252" s="4" t="s">
        <v>1098</v>
      </c>
      <c r="E1252" s="15">
        <v>45295.0</v>
      </c>
    </row>
    <row r="1253">
      <c r="A1253" s="4">
        <v>1253.0</v>
      </c>
      <c r="B1253" s="4" t="s">
        <v>1367</v>
      </c>
      <c r="C1253" s="4" t="s">
        <v>1195</v>
      </c>
      <c r="D1253" s="4" t="s">
        <v>1098</v>
      </c>
      <c r="E1253" s="15">
        <v>45295.0</v>
      </c>
    </row>
    <row r="1254">
      <c r="A1254" s="4">
        <v>1254.0</v>
      </c>
      <c r="B1254" s="4" t="s">
        <v>1367</v>
      </c>
      <c r="C1254" s="4" t="s">
        <v>1168</v>
      </c>
      <c r="D1254" s="4" t="s">
        <v>1098</v>
      </c>
      <c r="E1254" s="15">
        <v>45295.0</v>
      </c>
    </row>
    <row r="1255">
      <c r="A1255" s="4">
        <v>1255.0</v>
      </c>
      <c r="B1255" s="4" t="s">
        <v>1367</v>
      </c>
      <c r="C1255" s="4" t="s">
        <v>1141</v>
      </c>
      <c r="D1255" s="4" t="s">
        <v>1098</v>
      </c>
      <c r="E1255" s="15">
        <v>45295.0</v>
      </c>
    </row>
    <row r="1256">
      <c r="A1256" s="4">
        <v>1256.0</v>
      </c>
      <c r="B1256" s="4" t="s">
        <v>1367</v>
      </c>
      <c r="C1256" s="4" t="s">
        <v>1101</v>
      </c>
      <c r="D1256" s="4" t="s">
        <v>1098</v>
      </c>
      <c r="E1256" s="15">
        <v>45295.0</v>
      </c>
    </row>
    <row r="1257">
      <c r="A1257" s="4">
        <v>1257.0</v>
      </c>
      <c r="B1257" s="4" t="s">
        <v>1367</v>
      </c>
      <c r="C1257" s="4" t="s">
        <v>1143</v>
      </c>
      <c r="D1257" s="4" t="s">
        <v>1098</v>
      </c>
      <c r="E1257" s="15">
        <v>45295.0</v>
      </c>
    </row>
    <row r="1258">
      <c r="A1258" s="4">
        <v>1258.0</v>
      </c>
      <c r="B1258" s="4" t="s">
        <v>1367</v>
      </c>
      <c r="C1258" s="4" t="s">
        <v>1102</v>
      </c>
      <c r="D1258" s="4" t="s">
        <v>1098</v>
      </c>
      <c r="E1258" s="15">
        <v>45295.0</v>
      </c>
    </row>
    <row r="1259">
      <c r="A1259" s="4">
        <v>1259.0</v>
      </c>
      <c r="B1259" s="4" t="s">
        <v>1542</v>
      </c>
      <c r="C1259" s="4" t="s">
        <v>1102</v>
      </c>
      <c r="D1259" s="4" t="s">
        <v>1098</v>
      </c>
      <c r="E1259" s="15">
        <v>45295.0</v>
      </c>
    </row>
    <row r="1260">
      <c r="A1260" s="4">
        <v>1260.0</v>
      </c>
      <c r="B1260" s="4" t="s">
        <v>1367</v>
      </c>
      <c r="C1260" s="4" t="s">
        <v>1102</v>
      </c>
      <c r="D1260" s="4" t="s">
        <v>1098</v>
      </c>
      <c r="E1260" s="15">
        <v>45295.0</v>
      </c>
    </row>
    <row r="1261">
      <c r="A1261" s="4">
        <v>1261.0</v>
      </c>
      <c r="B1261" s="4" t="s">
        <v>1543</v>
      </c>
      <c r="C1261" s="4" t="s">
        <v>1102</v>
      </c>
      <c r="D1261" s="4" t="s">
        <v>1098</v>
      </c>
      <c r="E1261" s="15">
        <v>45295.0</v>
      </c>
    </row>
    <row r="1262">
      <c r="A1262" s="4">
        <v>1262.0</v>
      </c>
      <c r="B1262" s="4" t="s">
        <v>1543</v>
      </c>
      <c r="C1262" s="4" t="s">
        <v>1102</v>
      </c>
      <c r="D1262" s="4" t="s">
        <v>1098</v>
      </c>
      <c r="E1262" s="15">
        <v>45295.0</v>
      </c>
    </row>
    <row r="1263">
      <c r="A1263" s="4">
        <v>1263.0</v>
      </c>
      <c r="B1263" s="4" t="s">
        <v>1543</v>
      </c>
      <c r="C1263" s="4" t="s">
        <v>1102</v>
      </c>
      <c r="D1263" s="4" t="s">
        <v>1098</v>
      </c>
      <c r="E1263" s="15">
        <v>45295.0</v>
      </c>
    </row>
    <row r="1264">
      <c r="A1264" s="4">
        <v>1264.0</v>
      </c>
      <c r="B1264" s="4" t="s">
        <v>1543</v>
      </c>
      <c r="C1264" s="4" t="s">
        <v>1102</v>
      </c>
      <c r="D1264" s="4" t="s">
        <v>1098</v>
      </c>
      <c r="E1264" s="15">
        <v>45295.0</v>
      </c>
    </row>
    <row r="1265">
      <c r="A1265" s="4">
        <v>1265.0</v>
      </c>
      <c r="B1265" s="4" t="s">
        <v>1542</v>
      </c>
      <c r="C1265" s="4" t="s">
        <v>1102</v>
      </c>
      <c r="D1265" s="4" t="s">
        <v>1098</v>
      </c>
      <c r="E1265" s="15">
        <v>45295.0</v>
      </c>
    </row>
    <row r="1266">
      <c r="A1266" s="4">
        <v>1266.0</v>
      </c>
      <c r="B1266" s="4" t="s">
        <v>1542</v>
      </c>
      <c r="C1266" s="4" t="s">
        <v>1102</v>
      </c>
      <c r="D1266" s="4" t="s">
        <v>1098</v>
      </c>
      <c r="E1266" s="15">
        <v>45295.0</v>
      </c>
    </row>
    <row r="1267">
      <c r="A1267" s="4">
        <v>1267.0</v>
      </c>
      <c r="B1267" s="4" t="s">
        <v>1540</v>
      </c>
      <c r="C1267" s="4" t="s">
        <v>1185</v>
      </c>
      <c r="D1267" s="4" t="s">
        <v>1098</v>
      </c>
      <c r="E1267" s="15">
        <v>45295.0</v>
      </c>
    </row>
    <row r="1268">
      <c r="A1268" s="4">
        <v>1268.0</v>
      </c>
      <c r="B1268" s="4" t="s">
        <v>1540</v>
      </c>
      <c r="C1268" s="4" t="s">
        <v>1111</v>
      </c>
      <c r="D1268" s="4" t="s">
        <v>1098</v>
      </c>
      <c r="E1268" s="15">
        <v>45295.0</v>
      </c>
    </row>
    <row r="1269">
      <c r="A1269" s="4">
        <v>1269.0</v>
      </c>
      <c r="B1269" s="4" t="s">
        <v>1540</v>
      </c>
      <c r="C1269" s="4" t="s">
        <v>1233</v>
      </c>
      <c r="D1269" s="4" t="s">
        <v>1098</v>
      </c>
      <c r="E1269" s="15">
        <v>45295.0</v>
      </c>
    </row>
    <row r="1270">
      <c r="A1270" s="4">
        <v>1270.0</v>
      </c>
      <c r="B1270" s="4" t="s">
        <v>1540</v>
      </c>
      <c r="C1270" s="4" t="s">
        <v>1128</v>
      </c>
      <c r="D1270" s="4" t="s">
        <v>1098</v>
      </c>
      <c r="E1270" s="15">
        <v>45295.0</v>
      </c>
    </row>
    <row r="1271">
      <c r="A1271" s="4">
        <v>1271.0</v>
      </c>
      <c r="B1271" s="4" t="s">
        <v>1540</v>
      </c>
      <c r="C1271" s="4" t="s">
        <v>1371</v>
      </c>
      <c r="D1271" s="4" t="s">
        <v>1098</v>
      </c>
      <c r="E1271" s="15">
        <v>45295.0</v>
      </c>
    </row>
    <row r="1272">
      <c r="A1272" s="4">
        <v>1272.0</v>
      </c>
      <c r="B1272" s="4" t="s">
        <v>1540</v>
      </c>
      <c r="C1272" s="4" t="s">
        <v>1139</v>
      </c>
      <c r="D1272" s="4" t="s">
        <v>1098</v>
      </c>
      <c r="E1272" s="15">
        <v>45295.0</v>
      </c>
    </row>
    <row r="1273">
      <c r="A1273" s="4">
        <v>1273.0</v>
      </c>
      <c r="B1273" s="4" t="s">
        <v>1540</v>
      </c>
      <c r="C1273" s="4" t="s">
        <v>1215</v>
      </c>
      <c r="D1273" s="4" t="s">
        <v>1098</v>
      </c>
      <c r="E1273" s="15">
        <v>45295.0</v>
      </c>
    </row>
    <row r="1274">
      <c r="A1274" s="4">
        <v>1274.0</v>
      </c>
      <c r="B1274" s="4" t="s">
        <v>1367</v>
      </c>
      <c r="C1274" s="4" t="s">
        <v>1215</v>
      </c>
      <c r="D1274" s="4" t="s">
        <v>1098</v>
      </c>
      <c r="E1274" s="15">
        <v>45295.0</v>
      </c>
    </row>
    <row r="1275">
      <c r="A1275" s="4">
        <v>1275.0</v>
      </c>
      <c r="B1275" s="4" t="s">
        <v>1540</v>
      </c>
      <c r="C1275" s="4" t="s">
        <v>1356</v>
      </c>
      <c r="D1275" s="4" t="s">
        <v>1098</v>
      </c>
      <c r="E1275" s="15">
        <v>45295.0</v>
      </c>
    </row>
    <row r="1276">
      <c r="A1276" s="4">
        <v>1276.0</v>
      </c>
      <c r="B1276" s="4" t="s">
        <v>1540</v>
      </c>
      <c r="C1276" s="4" t="s">
        <v>1357</v>
      </c>
      <c r="D1276" s="4" t="s">
        <v>1098</v>
      </c>
      <c r="E1276" s="15">
        <v>45295.0</v>
      </c>
    </row>
    <row r="1277">
      <c r="A1277" s="4">
        <v>1277.0</v>
      </c>
      <c r="B1277" s="4" t="s">
        <v>1540</v>
      </c>
      <c r="C1277" s="4" t="s">
        <v>1317</v>
      </c>
      <c r="D1277" s="4" t="s">
        <v>1098</v>
      </c>
      <c r="E1277" s="15">
        <v>45295.0</v>
      </c>
    </row>
    <row r="1278">
      <c r="A1278" s="4">
        <v>1278.0</v>
      </c>
      <c r="B1278" s="4" t="s">
        <v>1540</v>
      </c>
      <c r="C1278" s="4" t="s">
        <v>1290</v>
      </c>
      <c r="D1278" s="4" t="s">
        <v>1098</v>
      </c>
      <c r="E1278" s="15">
        <v>45295.0</v>
      </c>
    </row>
    <row r="1279">
      <c r="A1279" s="4">
        <v>1279.0</v>
      </c>
      <c r="B1279" s="4" t="s">
        <v>1291</v>
      </c>
      <c r="C1279" s="4" t="s">
        <v>1290</v>
      </c>
      <c r="D1279" s="4" t="s">
        <v>1098</v>
      </c>
      <c r="E1279" s="15">
        <v>45295.0</v>
      </c>
    </row>
    <row r="1280">
      <c r="A1280" s="4">
        <v>1280.0</v>
      </c>
      <c r="B1280" s="4" t="s">
        <v>1540</v>
      </c>
      <c r="C1280" s="4" t="s">
        <v>1318</v>
      </c>
      <c r="D1280" s="4" t="s">
        <v>1098</v>
      </c>
      <c r="E1280" s="15">
        <v>45295.0</v>
      </c>
    </row>
    <row r="1281">
      <c r="A1281" s="4">
        <v>1281.0</v>
      </c>
      <c r="B1281" s="4" t="s">
        <v>1540</v>
      </c>
      <c r="C1281" s="4" t="s">
        <v>1187</v>
      </c>
      <c r="D1281" s="4" t="s">
        <v>1098</v>
      </c>
      <c r="E1281" s="15">
        <v>45295.0</v>
      </c>
    </row>
    <row r="1282">
      <c r="A1282" s="4">
        <v>1282.0</v>
      </c>
      <c r="B1282" s="4" t="s">
        <v>1540</v>
      </c>
      <c r="C1282" s="4" t="s">
        <v>1115</v>
      </c>
      <c r="D1282" s="4" t="s">
        <v>1098</v>
      </c>
      <c r="E1282" s="15">
        <v>45295.0</v>
      </c>
    </row>
    <row r="1283">
      <c r="A1283" s="4">
        <v>1283.0</v>
      </c>
      <c r="B1283" s="4" t="s">
        <v>1540</v>
      </c>
      <c r="C1283" s="4" t="s">
        <v>1116</v>
      </c>
      <c r="D1283" s="4" t="s">
        <v>1098</v>
      </c>
      <c r="E1283" s="15">
        <v>45295.0</v>
      </c>
    </row>
    <row r="1284">
      <c r="A1284" s="4">
        <v>1284.0</v>
      </c>
      <c r="B1284" s="4" t="s">
        <v>1540</v>
      </c>
      <c r="C1284" s="4" t="s">
        <v>1259</v>
      </c>
      <c r="D1284" s="4" t="s">
        <v>1098</v>
      </c>
      <c r="E1284" s="15">
        <v>45295.0</v>
      </c>
    </row>
    <row r="1285">
      <c r="A1285" s="4">
        <v>1285.0</v>
      </c>
      <c r="B1285" s="4" t="s">
        <v>1540</v>
      </c>
      <c r="C1285" s="4" t="s">
        <v>1217</v>
      </c>
      <c r="D1285" s="4" t="s">
        <v>1098</v>
      </c>
      <c r="E1285" s="15">
        <v>45295.0</v>
      </c>
    </row>
    <row r="1286">
      <c r="A1286" s="4">
        <v>1286.0</v>
      </c>
      <c r="B1286" s="4" t="s">
        <v>1540</v>
      </c>
      <c r="C1286" s="4" t="s">
        <v>1203</v>
      </c>
      <c r="D1286" s="4" t="s">
        <v>1098</v>
      </c>
      <c r="E1286" s="15">
        <v>45295.0</v>
      </c>
    </row>
    <row r="1287">
      <c r="A1287" s="4">
        <v>1287.0</v>
      </c>
      <c r="B1287" s="4" t="s">
        <v>1540</v>
      </c>
      <c r="C1287" s="4" t="s">
        <v>1189</v>
      </c>
      <c r="D1287" s="4" t="s">
        <v>1098</v>
      </c>
      <c r="E1287" s="15">
        <v>45295.0</v>
      </c>
    </row>
    <row r="1288">
      <c r="A1288" s="4">
        <v>1288.0</v>
      </c>
      <c r="B1288" s="4" t="s">
        <v>1544</v>
      </c>
      <c r="C1288" s="4" t="s">
        <v>1168</v>
      </c>
      <c r="D1288" s="4" t="s">
        <v>1098</v>
      </c>
      <c r="E1288" s="15">
        <v>45294.0</v>
      </c>
    </row>
    <row r="1289">
      <c r="A1289" s="4">
        <v>1289.0</v>
      </c>
      <c r="B1289" s="4" t="s">
        <v>1544</v>
      </c>
      <c r="C1289" s="4" t="s">
        <v>1141</v>
      </c>
      <c r="D1289" s="4" t="s">
        <v>1098</v>
      </c>
      <c r="E1289" s="15">
        <v>45294.0</v>
      </c>
    </row>
    <row r="1290">
      <c r="A1290" s="4">
        <v>1290.0</v>
      </c>
      <c r="B1290" s="4" t="s">
        <v>1544</v>
      </c>
      <c r="C1290" s="4" t="s">
        <v>1101</v>
      </c>
      <c r="D1290" s="4" t="s">
        <v>1098</v>
      </c>
      <c r="E1290" s="15">
        <v>45294.0</v>
      </c>
    </row>
    <row r="1291">
      <c r="A1291" s="4">
        <v>1291.0</v>
      </c>
      <c r="B1291" s="4" t="s">
        <v>1544</v>
      </c>
      <c r="C1291" s="4" t="s">
        <v>1143</v>
      </c>
      <c r="D1291" s="4" t="s">
        <v>1098</v>
      </c>
      <c r="E1291" s="15">
        <v>45294.0</v>
      </c>
    </row>
    <row r="1292">
      <c r="A1292" s="4">
        <v>1292.0</v>
      </c>
      <c r="B1292" s="4" t="s">
        <v>1545</v>
      </c>
      <c r="C1292" s="4" t="s">
        <v>1143</v>
      </c>
      <c r="D1292" s="4" t="s">
        <v>1098</v>
      </c>
      <c r="E1292" s="15">
        <v>45294.0</v>
      </c>
    </row>
    <row r="1293">
      <c r="A1293" s="4">
        <v>1293.0</v>
      </c>
      <c r="B1293" s="4" t="s">
        <v>1546</v>
      </c>
      <c r="C1293" s="4" t="s">
        <v>1102</v>
      </c>
      <c r="D1293" s="4" t="s">
        <v>1098</v>
      </c>
      <c r="E1293" s="15">
        <v>45294.0</v>
      </c>
    </row>
    <row r="1294">
      <c r="A1294" s="4">
        <v>1294.0</v>
      </c>
      <c r="B1294" s="4" t="s">
        <v>1544</v>
      </c>
      <c r="C1294" s="4" t="s">
        <v>1102</v>
      </c>
      <c r="D1294" s="4" t="s">
        <v>1098</v>
      </c>
      <c r="E1294" s="15">
        <v>45294.0</v>
      </c>
    </row>
    <row r="1295">
      <c r="A1295" s="4">
        <v>1295.0</v>
      </c>
      <c r="B1295" s="4" t="s">
        <v>1547</v>
      </c>
      <c r="C1295" s="4" t="s">
        <v>1548</v>
      </c>
      <c r="D1295" s="4" t="s">
        <v>1098</v>
      </c>
      <c r="E1295" s="15">
        <v>45294.0</v>
      </c>
    </row>
    <row r="1296">
      <c r="A1296" s="4">
        <v>1296.0</v>
      </c>
      <c r="B1296" s="4" t="s">
        <v>1549</v>
      </c>
      <c r="C1296" s="4" t="s">
        <v>1116</v>
      </c>
      <c r="D1296" s="4" t="s">
        <v>1098</v>
      </c>
      <c r="E1296" s="15">
        <v>45294.0</v>
      </c>
    </row>
    <row r="1297">
      <c r="A1297" s="4">
        <v>1297.0</v>
      </c>
      <c r="B1297" s="4" t="s">
        <v>1549</v>
      </c>
      <c r="C1297" s="4" t="s">
        <v>1116</v>
      </c>
      <c r="D1297" s="4" t="s">
        <v>1098</v>
      </c>
      <c r="E1297" s="15">
        <v>45294.0</v>
      </c>
    </row>
    <row r="1298">
      <c r="A1298" s="4">
        <v>1298.0</v>
      </c>
      <c r="B1298" s="4" t="s">
        <v>1550</v>
      </c>
      <c r="C1298" s="4" t="s">
        <v>1141</v>
      </c>
      <c r="D1298" s="4" t="s">
        <v>1098</v>
      </c>
      <c r="E1298" s="15">
        <v>45293.0</v>
      </c>
    </row>
    <row r="1299">
      <c r="A1299" s="4">
        <v>1299.0</v>
      </c>
      <c r="B1299" s="4" t="s">
        <v>1550</v>
      </c>
      <c r="C1299" s="4" t="s">
        <v>1102</v>
      </c>
      <c r="D1299" s="4" t="s">
        <v>1098</v>
      </c>
      <c r="E1299" s="15">
        <v>45293.0</v>
      </c>
    </row>
    <row r="1300">
      <c r="A1300" s="4">
        <v>1300.0</v>
      </c>
      <c r="B1300" s="4" t="s">
        <v>1551</v>
      </c>
      <c r="C1300" s="4" t="s">
        <v>1195</v>
      </c>
      <c r="D1300" s="4" t="s">
        <v>1098</v>
      </c>
      <c r="E1300" s="15">
        <v>45334.0</v>
      </c>
    </row>
    <row r="1301">
      <c r="A1301" s="4">
        <v>1301.0</v>
      </c>
      <c r="B1301" s="4" t="s">
        <v>1551</v>
      </c>
      <c r="C1301" s="4" t="s">
        <v>1168</v>
      </c>
      <c r="D1301" s="4" t="s">
        <v>1098</v>
      </c>
      <c r="E1301" s="15">
        <v>45334.0</v>
      </c>
    </row>
    <row r="1302">
      <c r="A1302" s="4">
        <v>1302.0</v>
      </c>
      <c r="B1302" s="4" t="s">
        <v>1552</v>
      </c>
      <c r="C1302" s="4" t="s">
        <v>1143</v>
      </c>
      <c r="D1302" s="4" t="s">
        <v>1098</v>
      </c>
      <c r="E1302" s="15">
        <v>45334.0</v>
      </c>
    </row>
    <row r="1303">
      <c r="A1303" s="4">
        <v>1303.0</v>
      </c>
      <c r="B1303" s="4" t="s">
        <v>1553</v>
      </c>
      <c r="C1303" s="4" t="s">
        <v>1143</v>
      </c>
      <c r="D1303" s="4" t="s">
        <v>1098</v>
      </c>
      <c r="E1303" s="15">
        <v>45334.0</v>
      </c>
    </row>
    <row r="1304">
      <c r="A1304" s="4">
        <v>1304.0</v>
      </c>
      <c r="B1304" s="4" t="s">
        <v>1554</v>
      </c>
      <c r="C1304" s="4" t="s">
        <v>1462</v>
      </c>
      <c r="D1304" s="4" t="s">
        <v>1098</v>
      </c>
      <c r="E1304" s="15">
        <v>45334.0</v>
      </c>
    </row>
    <row r="1305">
      <c r="A1305" s="4">
        <v>1305.0</v>
      </c>
      <c r="B1305" s="4" t="s">
        <v>1551</v>
      </c>
      <c r="C1305" s="4" t="s">
        <v>1411</v>
      </c>
      <c r="D1305" s="4" t="s">
        <v>1098</v>
      </c>
      <c r="E1305" s="15">
        <v>45334.0</v>
      </c>
    </row>
    <row r="1306">
      <c r="A1306" s="4">
        <v>1306.0</v>
      </c>
      <c r="B1306" s="4" t="s">
        <v>1551</v>
      </c>
      <c r="C1306" s="4" t="s">
        <v>1555</v>
      </c>
      <c r="D1306" s="4" t="s">
        <v>1098</v>
      </c>
      <c r="E1306" s="15">
        <v>45334.0</v>
      </c>
    </row>
    <row r="1307">
      <c r="A1307" s="4">
        <v>1307.0</v>
      </c>
      <c r="B1307" s="4" t="s">
        <v>1551</v>
      </c>
      <c r="C1307" s="4" t="s">
        <v>1447</v>
      </c>
      <c r="D1307" s="4" t="s">
        <v>1098</v>
      </c>
      <c r="E1307" s="15">
        <v>45334.0</v>
      </c>
    </row>
    <row r="1308">
      <c r="A1308" s="4">
        <v>1308.0</v>
      </c>
      <c r="B1308" s="4" t="s">
        <v>1551</v>
      </c>
      <c r="C1308" s="4" t="s">
        <v>1493</v>
      </c>
      <c r="D1308" s="4" t="s">
        <v>1098</v>
      </c>
      <c r="E1308" s="15">
        <v>45334.0</v>
      </c>
    </row>
    <row r="1309">
      <c r="A1309" s="4">
        <v>1309.0</v>
      </c>
      <c r="B1309" s="4" t="s">
        <v>1551</v>
      </c>
      <c r="C1309" s="4" t="s">
        <v>1494</v>
      </c>
      <c r="D1309" s="4" t="s">
        <v>1098</v>
      </c>
      <c r="E1309" s="15">
        <v>45334.0</v>
      </c>
    </row>
    <row r="1310">
      <c r="A1310" s="4">
        <v>1310.0</v>
      </c>
      <c r="B1310" s="4" t="s">
        <v>1551</v>
      </c>
      <c r="C1310" s="4" t="s">
        <v>1237</v>
      </c>
      <c r="D1310" s="4" t="s">
        <v>1098</v>
      </c>
      <c r="E1310" s="15">
        <v>45334.0</v>
      </c>
    </row>
    <row r="1311">
      <c r="A1311" s="4">
        <v>1311.0</v>
      </c>
      <c r="B1311" s="4" t="s">
        <v>1551</v>
      </c>
      <c r="C1311" s="4" t="s">
        <v>1556</v>
      </c>
      <c r="D1311" s="4" t="s">
        <v>1098</v>
      </c>
      <c r="E1311" s="15">
        <v>45334.0</v>
      </c>
    </row>
    <row r="1312">
      <c r="A1312" s="4">
        <v>1312.0</v>
      </c>
      <c r="B1312" s="4" t="s">
        <v>1551</v>
      </c>
      <c r="C1312" s="4" t="s">
        <v>1557</v>
      </c>
      <c r="D1312" s="4" t="s">
        <v>1098</v>
      </c>
      <c r="E1312" s="15">
        <v>45334.0</v>
      </c>
    </row>
    <row r="1313">
      <c r="A1313" s="4">
        <v>1313.0</v>
      </c>
      <c r="B1313" s="4" t="s">
        <v>1416</v>
      </c>
      <c r="C1313" s="4" t="s">
        <v>1143</v>
      </c>
      <c r="D1313" s="4" t="s">
        <v>1098</v>
      </c>
      <c r="E1313" s="15">
        <v>45333.0</v>
      </c>
    </row>
    <row r="1314">
      <c r="A1314" s="4">
        <v>1314.0</v>
      </c>
      <c r="B1314" s="4" t="s">
        <v>1308</v>
      </c>
      <c r="C1314" s="4" t="s">
        <v>1419</v>
      </c>
      <c r="D1314" s="4" t="s">
        <v>1098</v>
      </c>
      <c r="E1314" s="15">
        <v>45333.0</v>
      </c>
    </row>
    <row r="1315">
      <c r="A1315" s="4">
        <v>1315.0</v>
      </c>
      <c r="B1315" s="4" t="s">
        <v>1551</v>
      </c>
      <c r="C1315" s="4" t="s">
        <v>1220</v>
      </c>
      <c r="D1315" s="4" t="s">
        <v>1098</v>
      </c>
      <c r="E1315" s="15">
        <v>45333.0</v>
      </c>
    </row>
    <row r="1316">
      <c r="A1316" s="4">
        <v>1316.0</v>
      </c>
      <c r="B1316" s="4" t="s">
        <v>1558</v>
      </c>
      <c r="C1316" s="4" t="s">
        <v>1559</v>
      </c>
      <c r="D1316" s="4" t="s">
        <v>1120</v>
      </c>
      <c r="E1316" s="15">
        <v>45333.0</v>
      </c>
    </row>
    <row r="1317">
      <c r="A1317" s="4">
        <v>1317.0</v>
      </c>
      <c r="B1317" s="4" t="s">
        <v>1558</v>
      </c>
      <c r="C1317" s="4" t="s">
        <v>1559</v>
      </c>
      <c r="D1317" s="4" t="s">
        <v>1120</v>
      </c>
      <c r="E1317" s="15">
        <v>45333.0</v>
      </c>
    </row>
    <row r="1318">
      <c r="A1318" s="4">
        <v>1318.0</v>
      </c>
      <c r="B1318" s="4" t="s">
        <v>1560</v>
      </c>
      <c r="C1318" s="4" t="s">
        <v>1143</v>
      </c>
      <c r="D1318" s="4" t="s">
        <v>1098</v>
      </c>
      <c r="E1318" s="15">
        <v>45332.0</v>
      </c>
    </row>
    <row r="1319">
      <c r="A1319" s="4">
        <v>1319.0</v>
      </c>
      <c r="B1319" s="4" t="s">
        <v>1561</v>
      </c>
      <c r="C1319" s="4" t="s">
        <v>1143</v>
      </c>
      <c r="D1319" s="4" t="s">
        <v>1098</v>
      </c>
      <c r="E1319" s="15">
        <v>45332.0</v>
      </c>
    </row>
    <row r="1320">
      <c r="A1320" s="4">
        <v>1320.0</v>
      </c>
      <c r="B1320" s="4" t="s">
        <v>1416</v>
      </c>
      <c r="C1320" s="4" t="s">
        <v>1143</v>
      </c>
      <c r="D1320" s="4" t="s">
        <v>1098</v>
      </c>
      <c r="E1320" s="15">
        <v>45332.0</v>
      </c>
    </row>
    <row r="1321">
      <c r="A1321" s="4">
        <v>1321.0</v>
      </c>
      <c r="B1321" s="4" t="s">
        <v>1416</v>
      </c>
      <c r="C1321" s="4" t="s">
        <v>1143</v>
      </c>
      <c r="D1321" s="4" t="s">
        <v>1098</v>
      </c>
      <c r="E1321" s="15">
        <v>45332.0</v>
      </c>
    </row>
    <row r="1322">
      <c r="A1322" s="4">
        <v>1322.0</v>
      </c>
      <c r="B1322" s="4" t="s">
        <v>1416</v>
      </c>
      <c r="C1322" s="4" t="s">
        <v>1143</v>
      </c>
      <c r="D1322" s="4" t="s">
        <v>1098</v>
      </c>
      <c r="E1322" s="15">
        <v>45332.0</v>
      </c>
    </row>
    <row r="1323">
      <c r="A1323" s="4">
        <v>1323.0</v>
      </c>
      <c r="B1323" s="4" t="s">
        <v>1416</v>
      </c>
      <c r="C1323" s="4" t="s">
        <v>1143</v>
      </c>
      <c r="D1323" s="4" t="s">
        <v>1098</v>
      </c>
      <c r="E1323" s="15">
        <v>45332.0</v>
      </c>
    </row>
    <row r="1324">
      <c r="A1324" s="4">
        <v>1324.0</v>
      </c>
      <c r="B1324" s="4" t="s">
        <v>1416</v>
      </c>
      <c r="C1324" s="4" t="s">
        <v>1143</v>
      </c>
      <c r="D1324" s="4" t="s">
        <v>1098</v>
      </c>
      <c r="E1324" s="15">
        <v>45332.0</v>
      </c>
    </row>
    <row r="1325">
      <c r="A1325" s="4">
        <v>1325.0</v>
      </c>
      <c r="B1325" s="4" t="s">
        <v>1416</v>
      </c>
      <c r="C1325" s="4" t="s">
        <v>1143</v>
      </c>
      <c r="D1325" s="4" t="s">
        <v>1098</v>
      </c>
      <c r="E1325" s="15">
        <v>45332.0</v>
      </c>
    </row>
    <row r="1326">
      <c r="A1326" s="4">
        <v>1326.0</v>
      </c>
      <c r="B1326" s="4" t="s">
        <v>1416</v>
      </c>
      <c r="C1326" s="4" t="s">
        <v>1143</v>
      </c>
      <c r="D1326" s="4" t="s">
        <v>1098</v>
      </c>
      <c r="E1326" s="15">
        <v>45332.0</v>
      </c>
    </row>
    <row r="1327">
      <c r="A1327" s="4">
        <v>1327.0</v>
      </c>
      <c r="B1327" s="4" t="s">
        <v>1560</v>
      </c>
      <c r="C1327" s="4" t="s">
        <v>1143</v>
      </c>
      <c r="D1327" s="4" t="s">
        <v>1098</v>
      </c>
      <c r="E1327" s="15">
        <v>45332.0</v>
      </c>
    </row>
    <row r="1328">
      <c r="A1328" s="4">
        <v>1328.0</v>
      </c>
      <c r="B1328" s="4" t="s">
        <v>1560</v>
      </c>
      <c r="C1328" s="4" t="s">
        <v>1143</v>
      </c>
      <c r="D1328" s="4" t="s">
        <v>1098</v>
      </c>
      <c r="E1328" s="15">
        <v>45332.0</v>
      </c>
    </row>
    <row r="1329">
      <c r="A1329" s="4">
        <v>1329.0</v>
      </c>
      <c r="B1329" s="4" t="s">
        <v>1140</v>
      </c>
      <c r="C1329" s="4" t="s">
        <v>1143</v>
      </c>
      <c r="D1329" s="4" t="s">
        <v>1098</v>
      </c>
      <c r="E1329" s="15">
        <v>45332.0</v>
      </c>
    </row>
    <row r="1330">
      <c r="A1330" s="4">
        <v>1330.0</v>
      </c>
      <c r="B1330" s="4" t="s">
        <v>1562</v>
      </c>
      <c r="C1330" s="4" t="s">
        <v>1563</v>
      </c>
      <c r="D1330" s="4" t="s">
        <v>1098</v>
      </c>
      <c r="E1330" s="15">
        <v>45332.0</v>
      </c>
    </row>
    <row r="1331">
      <c r="A1331" s="4">
        <v>1331.0</v>
      </c>
      <c r="B1331" s="4" t="s">
        <v>1564</v>
      </c>
      <c r="C1331" s="4" t="s">
        <v>1565</v>
      </c>
      <c r="D1331" s="4" t="s">
        <v>1098</v>
      </c>
      <c r="E1331" s="15">
        <v>45331.0</v>
      </c>
    </row>
    <row r="1332">
      <c r="A1332" s="4">
        <v>1332.0</v>
      </c>
      <c r="B1332" s="4" t="s">
        <v>1566</v>
      </c>
      <c r="C1332" s="4" t="s">
        <v>1099</v>
      </c>
      <c r="D1332" s="4" t="s">
        <v>1098</v>
      </c>
      <c r="E1332" s="15">
        <v>45331.0</v>
      </c>
    </row>
    <row r="1333">
      <c r="A1333" s="4">
        <v>1333.0</v>
      </c>
      <c r="B1333" s="4" t="s">
        <v>1566</v>
      </c>
      <c r="C1333" s="4" t="s">
        <v>1099</v>
      </c>
      <c r="D1333" s="4" t="s">
        <v>1098</v>
      </c>
      <c r="E1333" s="15">
        <v>45331.0</v>
      </c>
    </row>
    <row r="1334">
      <c r="A1334" s="4">
        <v>1334.0</v>
      </c>
      <c r="B1334" s="4" t="s">
        <v>1566</v>
      </c>
      <c r="C1334" s="4" t="s">
        <v>1195</v>
      </c>
      <c r="D1334" s="4" t="s">
        <v>1098</v>
      </c>
      <c r="E1334" s="15">
        <v>45331.0</v>
      </c>
    </row>
    <row r="1335">
      <c r="A1335" s="4">
        <v>1335.0</v>
      </c>
      <c r="B1335" s="4" t="s">
        <v>1566</v>
      </c>
      <c r="C1335" s="4" t="s">
        <v>1168</v>
      </c>
      <c r="D1335" s="4" t="s">
        <v>1098</v>
      </c>
      <c r="E1335" s="15">
        <v>45331.0</v>
      </c>
    </row>
    <row r="1336">
      <c r="A1336" s="4">
        <v>1336.0</v>
      </c>
      <c r="B1336" s="4" t="s">
        <v>1566</v>
      </c>
      <c r="C1336" s="4" t="s">
        <v>1141</v>
      </c>
      <c r="D1336" s="4" t="s">
        <v>1098</v>
      </c>
      <c r="E1336" s="15">
        <v>45331.0</v>
      </c>
    </row>
    <row r="1337">
      <c r="A1337" s="4">
        <v>1337.0</v>
      </c>
      <c r="B1337" s="4" t="s">
        <v>1566</v>
      </c>
      <c r="C1337" s="4" t="s">
        <v>1101</v>
      </c>
      <c r="D1337" s="4" t="s">
        <v>1098</v>
      </c>
      <c r="E1337" s="15">
        <v>45331.0</v>
      </c>
    </row>
    <row r="1338">
      <c r="A1338" s="4">
        <v>1338.0</v>
      </c>
      <c r="B1338" s="4" t="s">
        <v>1567</v>
      </c>
      <c r="C1338" s="4" t="s">
        <v>1101</v>
      </c>
      <c r="D1338" s="4" t="s">
        <v>1098</v>
      </c>
      <c r="E1338" s="15">
        <v>45331.0</v>
      </c>
    </row>
    <row r="1339">
      <c r="A1339" s="4">
        <v>1339.0</v>
      </c>
      <c r="B1339" s="4" t="s">
        <v>1568</v>
      </c>
      <c r="C1339" s="4" t="s">
        <v>1143</v>
      </c>
      <c r="D1339" s="4" t="s">
        <v>1098</v>
      </c>
      <c r="E1339" s="15">
        <v>45331.0</v>
      </c>
    </row>
    <row r="1340">
      <c r="A1340" s="4">
        <v>1340.0</v>
      </c>
      <c r="B1340" s="4" t="s">
        <v>1569</v>
      </c>
      <c r="C1340" s="4" t="s">
        <v>1143</v>
      </c>
      <c r="D1340" s="4" t="s">
        <v>1098</v>
      </c>
      <c r="E1340" s="15">
        <v>45331.0</v>
      </c>
    </row>
    <row r="1341">
      <c r="A1341" s="4">
        <v>1341.0</v>
      </c>
      <c r="B1341" s="4" t="s">
        <v>1416</v>
      </c>
      <c r="C1341" s="4" t="s">
        <v>1143</v>
      </c>
      <c r="D1341" s="4" t="s">
        <v>1098</v>
      </c>
      <c r="E1341" s="15">
        <v>45331.0</v>
      </c>
    </row>
    <row r="1342">
      <c r="A1342" s="4">
        <v>1342.0</v>
      </c>
      <c r="B1342" s="4" t="s">
        <v>1568</v>
      </c>
      <c r="C1342" s="4" t="s">
        <v>1143</v>
      </c>
      <c r="D1342" s="4" t="s">
        <v>1098</v>
      </c>
      <c r="E1342" s="15">
        <v>45331.0</v>
      </c>
    </row>
    <row r="1343">
      <c r="A1343" s="4">
        <v>1343.0</v>
      </c>
      <c r="B1343" s="4" t="s">
        <v>1570</v>
      </c>
      <c r="C1343" s="4" t="s">
        <v>1319</v>
      </c>
      <c r="D1343" s="4" t="s">
        <v>1098</v>
      </c>
      <c r="E1343" s="15">
        <v>45331.0</v>
      </c>
    </row>
    <row r="1344">
      <c r="A1344" s="4">
        <v>1344.0</v>
      </c>
      <c r="B1344" s="4" t="s">
        <v>1570</v>
      </c>
      <c r="C1344" s="4" t="s">
        <v>1319</v>
      </c>
      <c r="D1344" s="4" t="s">
        <v>1098</v>
      </c>
      <c r="E1344" s="15">
        <v>45331.0</v>
      </c>
    </row>
    <row r="1345">
      <c r="A1345" s="4">
        <v>1345.0</v>
      </c>
      <c r="B1345" s="4" t="s">
        <v>1571</v>
      </c>
      <c r="C1345" s="4" t="s">
        <v>1296</v>
      </c>
      <c r="D1345" s="4" t="s">
        <v>1098</v>
      </c>
      <c r="E1345" s="15">
        <v>45331.0</v>
      </c>
    </row>
    <row r="1346">
      <c r="A1346" s="4">
        <v>1346.0</v>
      </c>
      <c r="B1346" s="4" t="s">
        <v>1569</v>
      </c>
      <c r="C1346" s="4" t="s">
        <v>1220</v>
      </c>
      <c r="D1346" s="4" t="s">
        <v>1098</v>
      </c>
      <c r="E1346" s="15">
        <v>45331.0</v>
      </c>
    </row>
    <row r="1347">
      <c r="A1347" s="4">
        <v>1347.0</v>
      </c>
      <c r="B1347" s="4" t="s">
        <v>1569</v>
      </c>
      <c r="C1347" s="4" t="s">
        <v>1204</v>
      </c>
      <c r="D1347" s="4" t="s">
        <v>1098</v>
      </c>
      <c r="E1347" s="15">
        <v>45331.0</v>
      </c>
    </row>
    <row r="1348">
      <c r="A1348" s="4">
        <v>1348.0</v>
      </c>
      <c r="B1348" s="4" t="s">
        <v>1569</v>
      </c>
      <c r="C1348" s="4" t="s">
        <v>1204</v>
      </c>
      <c r="D1348" s="4" t="s">
        <v>1098</v>
      </c>
      <c r="E1348" s="15">
        <v>45331.0</v>
      </c>
    </row>
    <row r="1349">
      <c r="A1349" s="4">
        <v>1349.0</v>
      </c>
      <c r="B1349" s="4" t="s">
        <v>1572</v>
      </c>
      <c r="C1349" s="4" t="s">
        <v>1194</v>
      </c>
      <c r="D1349" s="4" t="s">
        <v>1098</v>
      </c>
      <c r="E1349" s="15">
        <v>45330.0</v>
      </c>
    </row>
    <row r="1350">
      <c r="A1350" s="4">
        <v>1350.0</v>
      </c>
      <c r="B1350" s="4" t="s">
        <v>1572</v>
      </c>
      <c r="C1350" s="4" t="s">
        <v>1097</v>
      </c>
      <c r="D1350" s="4" t="s">
        <v>1098</v>
      </c>
      <c r="E1350" s="15">
        <v>45330.0</v>
      </c>
    </row>
    <row r="1351">
      <c r="A1351" s="4">
        <v>1351.0</v>
      </c>
      <c r="B1351" s="4" t="s">
        <v>1572</v>
      </c>
      <c r="C1351" s="4" t="s">
        <v>1099</v>
      </c>
      <c r="D1351" s="4" t="s">
        <v>1098</v>
      </c>
      <c r="E1351" s="15">
        <v>45330.0</v>
      </c>
    </row>
    <row r="1352">
      <c r="A1352" s="4">
        <v>1352.0</v>
      </c>
      <c r="B1352" s="4" t="s">
        <v>1572</v>
      </c>
      <c r="C1352" s="4" t="s">
        <v>1195</v>
      </c>
      <c r="D1352" s="4" t="s">
        <v>1098</v>
      </c>
      <c r="E1352" s="15">
        <v>45330.0</v>
      </c>
    </row>
    <row r="1353">
      <c r="A1353" s="4">
        <v>1353.0</v>
      </c>
      <c r="B1353" s="4" t="s">
        <v>1572</v>
      </c>
      <c r="C1353" s="4" t="s">
        <v>1168</v>
      </c>
      <c r="D1353" s="4" t="s">
        <v>1098</v>
      </c>
      <c r="E1353" s="15">
        <v>45330.0</v>
      </c>
    </row>
    <row r="1354">
      <c r="A1354" s="4">
        <v>1354.0</v>
      </c>
      <c r="B1354" s="4" t="s">
        <v>1566</v>
      </c>
      <c r="C1354" s="4" t="s">
        <v>1141</v>
      </c>
      <c r="D1354" s="4" t="s">
        <v>1098</v>
      </c>
      <c r="E1354" s="15">
        <v>45330.0</v>
      </c>
    </row>
    <row r="1355">
      <c r="A1355" s="4">
        <v>1355.0</v>
      </c>
      <c r="B1355" s="4" t="s">
        <v>1572</v>
      </c>
      <c r="C1355" s="4" t="s">
        <v>1141</v>
      </c>
      <c r="D1355" s="4" t="s">
        <v>1098</v>
      </c>
      <c r="E1355" s="15">
        <v>45330.0</v>
      </c>
    </row>
    <row r="1356">
      <c r="A1356" s="4">
        <v>1356.0</v>
      </c>
      <c r="B1356" s="4" t="s">
        <v>1572</v>
      </c>
      <c r="C1356" s="4" t="s">
        <v>1101</v>
      </c>
      <c r="D1356" s="4" t="s">
        <v>1098</v>
      </c>
      <c r="E1356" s="15">
        <v>45330.0</v>
      </c>
    </row>
    <row r="1357">
      <c r="A1357" s="4">
        <v>1357.0</v>
      </c>
      <c r="B1357" s="4" t="s">
        <v>1572</v>
      </c>
      <c r="C1357" s="4" t="s">
        <v>1143</v>
      </c>
      <c r="D1357" s="4" t="s">
        <v>1098</v>
      </c>
      <c r="E1357" s="15">
        <v>45330.0</v>
      </c>
    </row>
    <row r="1358">
      <c r="A1358" s="4">
        <v>1358.0</v>
      </c>
      <c r="B1358" s="4" t="s">
        <v>1573</v>
      </c>
      <c r="C1358" s="4" t="s">
        <v>1184</v>
      </c>
      <c r="D1358" s="4" t="s">
        <v>1098</v>
      </c>
      <c r="E1358" s="15">
        <v>45330.0</v>
      </c>
    </row>
    <row r="1359">
      <c r="A1359" s="4">
        <v>1359.0</v>
      </c>
      <c r="B1359" s="4" t="s">
        <v>1573</v>
      </c>
      <c r="C1359" s="4" t="s">
        <v>1574</v>
      </c>
      <c r="D1359" s="4" t="s">
        <v>1098</v>
      </c>
      <c r="E1359" s="15">
        <v>45330.0</v>
      </c>
    </row>
    <row r="1360">
      <c r="A1360" s="4">
        <v>1360.0</v>
      </c>
      <c r="B1360" s="4" t="s">
        <v>1573</v>
      </c>
      <c r="C1360" s="4" t="s">
        <v>1575</v>
      </c>
      <c r="D1360" s="4" t="s">
        <v>1098</v>
      </c>
      <c r="E1360" s="15">
        <v>45330.0</v>
      </c>
    </row>
    <row r="1361">
      <c r="A1361" s="4">
        <v>1361.0</v>
      </c>
      <c r="B1361" s="4" t="s">
        <v>1573</v>
      </c>
      <c r="C1361" s="4" t="s">
        <v>1576</v>
      </c>
      <c r="D1361" s="4" t="s">
        <v>1098</v>
      </c>
      <c r="E1361" s="15">
        <v>45330.0</v>
      </c>
    </row>
    <row r="1362">
      <c r="A1362" s="4">
        <v>1362.0</v>
      </c>
      <c r="B1362" s="4" t="s">
        <v>1577</v>
      </c>
      <c r="C1362" s="4" t="s">
        <v>1372</v>
      </c>
      <c r="D1362" s="4" t="s">
        <v>1098</v>
      </c>
      <c r="E1362" s="15">
        <v>45330.0</v>
      </c>
    </row>
    <row r="1363">
      <c r="A1363" s="4">
        <v>1363.0</v>
      </c>
      <c r="B1363" s="4" t="s">
        <v>1578</v>
      </c>
      <c r="C1363" s="4" t="s">
        <v>1372</v>
      </c>
      <c r="D1363" s="4" t="s">
        <v>1098</v>
      </c>
      <c r="E1363" s="15">
        <v>45330.0</v>
      </c>
    </row>
    <row r="1364">
      <c r="A1364" s="4">
        <v>1364.0</v>
      </c>
      <c r="B1364" s="4" t="s">
        <v>1578</v>
      </c>
      <c r="C1364" s="4" t="s">
        <v>1372</v>
      </c>
      <c r="D1364" s="4" t="s">
        <v>1098</v>
      </c>
      <c r="E1364" s="15">
        <v>45330.0</v>
      </c>
    </row>
    <row r="1365">
      <c r="A1365" s="4">
        <v>1365.0</v>
      </c>
      <c r="B1365" s="4" t="s">
        <v>1577</v>
      </c>
      <c r="C1365" s="4" t="s">
        <v>1372</v>
      </c>
      <c r="D1365" s="4" t="s">
        <v>1098</v>
      </c>
      <c r="E1365" s="15">
        <v>45330.0</v>
      </c>
    </row>
    <row r="1366">
      <c r="A1366" s="4">
        <v>1366.0</v>
      </c>
      <c r="B1366" s="4" t="s">
        <v>1573</v>
      </c>
      <c r="C1366" s="4" t="s">
        <v>1579</v>
      </c>
      <c r="D1366" s="4" t="s">
        <v>1098</v>
      </c>
      <c r="E1366" s="15">
        <v>45330.0</v>
      </c>
    </row>
    <row r="1367">
      <c r="A1367" s="4">
        <v>1367.0</v>
      </c>
      <c r="B1367" s="4" t="s">
        <v>1573</v>
      </c>
      <c r="C1367" s="4" t="s">
        <v>1580</v>
      </c>
      <c r="D1367" s="4" t="s">
        <v>1098</v>
      </c>
      <c r="E1367" s="15">
        <v>45330.0</v>
      </c>
    </row>
    <row r="1368">
      <c r="A1368" s="4">
        <v>1368.0</v>
      </c>
      <c r="B1368" s="4" t="s">
        <v>1581</v>
      </c>
      <c r="C1368" s="4" t="s">
        <v>1582</v>
      </c>
      <c r="D1368" s="4" t="s">
        <v>1098</v>
      </c>
      <c r="E1368" s="15">
        <v>45329.0</v>
      </c>
    </row>
    <row r="1369">
      <c r="A1369" s="4">
        <v>1369.0</v>
      </c>
      <c r="B1369" s="4" t="s">
        <v>1581</v>
      </c>
      <c r="C1369" s="4" t="s">
        <v>1582</v>
      </c>
      <c r="D1369" s="4" t="s">
        <v>1098</v>
      </c>
      <c r="E1369" s="15">
        <v>45329.0</v>
      </c>
    </row>
    <row r="1370">
      <c r="A1370" s="4">
        <v>1370.0</v>
      </c>
      <c r="B1370" s="4" t="s">
        <v>1581</v>
      </c>
      <c r="C1370" s="4" t="s">
        <v>1207</v>
      </c>
      <c r="D1370" s="4" t="s">
        <v>1098</v>
      </c>
      <c r="E1370" s="15">
        <v>45329.0</v>
      </c>
    </row>
    <row r="1371">
      <c r="A1371" s="4">
        <v>1371.0</v>
      </c>
      <c r="B1371" s="4" t="s">
        <v>1581</v>
      </c>
      <c r="C1371" s="4" t="s">
        <v>1207</v>
      </c>
      <c r="D1371" s="4" t="s">
        <v>1098</v>
      </c>
      <c r="E1371" s="15">
        <v>45329.0</v>
      </c>
    </row>
    <row r="1372">
      <c r="A1372" s="4">
        <v>1372.0</v>
      </c>
      <c r="B1372" s="4" t="s">
        <v>1583</v>
      </c>
      <c r="C1372" s="4" t="s">
        <v>1101</v>
      </c>
      <c r="D1372" s="4" t="s">
        <v>1098</v>
      </c>
      <c r="E1372" s="15">
        <v>45329.0</v>
      </c>
    </row>
    <row r="1373">
      <c r="A1373" s="4">
        <v>1373.0</v>
      </c>
      <c r="B1373" s="4" t="s">
        <v>1519</v>
      </c>
      <c r="C1373" s="4" t="s">
        <v>1143</v>
      </c>
      <c r="D1373" s="4" t="s">
        <v>1098</v>
      </c>
      <c r="E1373" s="15">
        <v>45329.0</v>
      </c>
    </row>
    <row r="1374">
      <c r="A1374" s="4">
        <v>1374.0</v>
      </c>
      <c r="B1374" s="4" t="s">
        <v>1573</v>
      </c>
      <c r="C1374" s="4" t="s">
        <v>1584</v>
      </c>
      <c r="D1374" s="4" t="s">
        <v>1098</v>
      </c>
      <c r="E1374" s="15">
        <v>45329.0</v>
      </c>
    </row>
    <row r="1375">
      <c r="A1375" s="4">
        <v>1375.0</v>
      </c>
      <c r="B1375" s="4" t="s">
        <v>1585</v>
      </c>
      <c r="C1375" s="4" t="s">
        <v>1479</v>
      </c>
      <c r="D1375" s="4" t="s">
        <v>1098</v>
      </c>
      <c r="E1375" s="15">
        <v>45329.0</v>
      </c>
    </row>
    <row r="1376">
      <c r="A1376" s="4">
        <v>1376.0</v>
      </c>
      <c r="B1376" s="4" t="s">
        <v>1585</v>
      </c>
      <c r="C1376" s="4" t="s">
        <v>1479</v>
      </c>
      <c r="D1376" s="4" t="s">
        <v>1098</v>
      </c>
      <c r="E1376" s="15">
        <v>45329.0</v>
      </c>
    </row>
    <row r="1377">
      <c r="A1377" s="4">
        <v>1377.0</v>
      </c>
      <c r="B1377" s="4" t="s">
        <v>1573</v>
      </c>
      <c r="C1377" s="4" t="s">
        <v>1419</v>
      </c>
      <c r="D1377" s="4" t="s">
        <v>1098</v>
      </c>
      <c r="E1377" s="15">
        <v>45329.0</v>
      </c>
    </row>
    <row r="1378">
      <c r="A1378" s="4">
        <v>1378.0</v>
      </c>
      <c r="B1378" s="4" t="s">
        <v>1573</v>
      </c>
      <c r="C1378" s="4" t="s">
        <v>1138</v>
      </c>
      <c r="D1378" s="4" t="s">
        <v>1098</v>
      </c>
      <c r="E1378" s="15">
        <v>45329.0</v>
      </c>
    </row>
    <row r="1379">
      <c r="A1379" s="4">
        <v>1379.0</v>
      </c>
      <c r="B1379" s="4" t="s">
        <v>1573</v>
      </c>
      <c r="C1379" s="4" t="s">
        <v>1586</v>
      </c>
      <c r="D1379" s="4" t="s">
        <v>1098</v>
      </c>
      <c r="E1379" s="15">
        <v>45329.0</v>
      </c>
    </row>
    <row r="1380">
      <c r="A1380" s="4">
        <v>1380.0</v>
      </c>
      <c r="B1380" s="4" t="s">
        <v>1573</v>
      </c>
      <c r="C1380" s="4" t="s">
        <v>1587</v>
      </c>
      <c r="D1380" s="4" t="s">
        <v>1098</v>
      </c>
      <c r="E1380" s="15">
        <v>45329.0</v>
      </c>
    </row>
    <row r="1381">
      <c r="A1381" s="4">
        <v>1381.0</v>
      </c>
      <c r="B1381" s="4" t="s">
        <v>1573</v>
      </c>
      <c r="C1381" s="4" t="s">
        <v>1576</v>
      </c>
      <c r="D1381" s="4" t="s">
        <v>1098</v>
      </c>
      <c r="E1381" s="15">
        <v>45329.0</v>
      </c>
    </row>
    <row r="1382">
      <c r="A1382" s="4">
        <v>1382.0</v>
      </c>
      <c r="B1382" s="4" t="s">
        <v>1588</v>
      </c>
      <c r="C1382" s="4" t="s">
        <v>1433</v>
      </c>
      <c r="D1382" s="4" t="s">
        <v>1098</v>
      </c>
      <c r="E1382" s="15">
        <v>45329.0</v>
      </c>
    </row>
    <row r="1383">
      <c r="A1383" s="4">
        <v>1383.0</v>
      </c>
      <c r="B1383" s="4" t="s">
        <v>1573</v>
      </c>
      <c r="C1383" s="4" t="s">
        <v>1421</v>
      </c>
      <c r="D1383" s="4" t="s">
        <v>1098</v>
      </c>
      <c r="E1383" s="15">
        <v>45329.0</v>
      </c>
    </row>
    <row r="1384">
      <c r="A1384" s="4">
        <v>1384.0</v>
      </c>
      <c r="B1384" s="4" t="s">
        <v>1573</v>
      </c>
      <c r="C1384" s="4" t="s">
        <v>1423</v>
      </c>
      <c r="D1384" s="4" t="s">
        <v>1098</v>
      </c>
      <c r="E1384" s="15">
        <v>45329.0</v>
      </c>
    </row>
    <row r="1385">
      <c r="A1385" s="4">
        <v>1385.0</v>
      </c>
      <c r="B1385" s="4" t="s">
        <v>1573</v>
      </c>
      <c r="C1385" s="4" t="s">
        <v>1556</v>
      </c>
      <c r="D1385" s="4" t="s">
        <v>1098</v>
      </c>
      <c r="E1385" s="15">
        <v>45329.0</v>
      </c>
    </row>
    <row r="1386">
      <c r="A1386" s="4">
        <v>1386.0</v>
      </c>
      <c r="B1386" s="4" t="s">
        <v>1573</v>
      </c>
      <c r="C1386" s="4" t="s">
        <v>1548</v>
      </c>
      <c r="D1386" s="4" t="s">
        <v>1098</v>
      </c>
      <c r="E1386" s="15">
        <v>45329.0</v>
      </c>
    </row>
    <row r="1387">
      <c r="A1387" s="4">
        <v>1387.0</v>
      </c>
      <c r="B1387" s="4" t="s">
        <v>1519</v>
      </c>
      <c r="C1387" s="4" t="s">
        <v>1589</v>
      </c>
      <c r="D1387" s="4" t="s">
        <v>1098</v>
      </c>
      <c r="E1387" s="15">
        <v>45329.0</v>
      </c>
    </row>
    <row r="1388">
      <c r="A1388" s="4">
        <v>1388.0</v>
      </c>
      <c r="B1388" s="4" t="s">
        <v>1581</v>
      </c>
      <c r="C1388" s="4" t="s">
        <v>1590</v>
      </c>
      <c r="D1388" s="4" t="s">
        <v>1098</v>
      </c>
      <c r="E1388" s="15">
        <v>45329.0</v>
      </c>
    </row>
    <row r="1389">
      <c r="A1389" s="4">
        <v>1389.0</v>
      </c>
      <c r="B1389" s="4" t="s">
        <v>1591</v>
      </c>
      <c r="C1389" s="4" t="s">
        <v>1377</v>
      </c>
      <c r="D1389" s="4" t="s">
        <v>1098</v>
      </c>
      <c r="E1389" s="15">
        <v>45329.0</v>
      </c>
    </row>
    <row r="1390">
      <c r="A1390" s="4">
        <v>1390.0</v>
      </c>
      <c r="B1390" s="4" t="s">
        <v>1591</v>
      </c>
      <c r="C1390" s="4" t="s">
        <v>1377</v>
      </c>
      <c r="D1390" s="4" t="s">
        <v>1098</v>
      </c>
      <c r="E1390" s="15">
        <v>45329.0</v>
      </c>
    </row>
    <row r="1391">
      <c r="A1391" s="4">
        <v>1391.0</v>
      </c>
      <c r="B1391" s="4" t="s">
        <v>1592</v>
      </c>
      <c r="C1391" s="4" t="s">
        <v>1589</v>
      </c>
      <c r="D1391" s="4" t="s">
        <v>1098</v>
      </c>
      <c r="E1391" s="15">
        <v>45328.0</v>
      </c>
    </row>
    <row r="1392">
      <c r="A1392" s="4">
        <v>1392.0</v>
      </c>
      <c r="B1392" s="4" t="s">
        <v>1592</v>
      </c>
      <c r="C1392" s="4" t="s">
        <v>1589</v>
      </c>
      <c r="D1392" s="4" t="s">
        <v>1098</v>
      </c>
      <c r="E1392" s="15">
        <v>45328.0</v>
      </c>
    </row>
    <row r="1393">
      <c r="A1393" s="4">
        <v>1393.0</v>
      </c>
      <c r="B1393" s="4" t="s">
        <v>1592</v>
      </c>
      <c r="C1393" s="4" t="s">
        <v>1377</v>
      </c>
      <c r="D1393" s="4" t="s">
        <v>1098</v>
      </c>
      <c r="E1393" s="15">
        <v>45328.0</v>
      </c>
    </row>
    <row r="1394">
      <c r="A1394" s="4">
        <v>1394.0</v>
      </c>
      <c r="B1394" s="4" t="s">
        <v>1592</v>
      </c>
      <c r="C1394" s="4" t="s">
        <v>1377</v>
      </c>
      <c r="D1394" s="4" t="s">
        <v>1098</v>
      </c>
      <c r="E1394" s="15">
        <v>45328.0</v>
      </c>
    </row>
    <row r="1395">
      <c r="A1395" s="4">
        <v>1395.0</v>
      </c>
      <c r="B1395" s="4" t="s">
        <v>1592</v>
      </c>
      <c r="C1395" s="4" t="s">
        <v>1377</v>
      </c>
      <c r="D1395" s="4" t="s">
        <v>1098</v>
      </c>
      <c r="E1395" s="15">
        <v>45328.0</v>
      </c>
    </row>
    <row r="1396">
      <c r="A1396" s="4">
        <v>1396.0</v>
      </c>
      <c r="B1396" s="4" t="s">
        <v>1592</v>
      </c>
      <c r="C1396" s="4" t="s">
        <v>1377</v>
      </c>
      <c r="D1396" s="4" t="s">
        <v>1098</v>
      </c>
      <c r="E1396" s="15">
        <v>45328.0</v>
      </c>
    </row>
    <row r="1397">
      <c r="A1397" s="4">
        <v>1397.0</v>
      </c>
      <c r="B1397" s="4" t="s">
        <v>1592</v>
      </c>
      <c r="C1397" s="4" t="s">
        <v>1377</v>
      </c>
      <c r="D1397" s="4" t="s">
        <v>1098</v>
      </c>
      <c r="E1397" s="15">
        <v>45328.0</v>
      </c>
    </row>
    <row r="1398">
      <c r="A1398" s="4">
        <v>1398.0</v>
      </c>
      <c r="B1398" s="4" t="s">
        <v>1592</v>
      </c>
      <c r="C1398" s="4" t="s">
        <v>1377</v>
      </c>
      <c r="D1398" s="4" t="s">
        <v>1098</v>
      </c>
      <c r="E1398" s="15">
        <v>45328.0</v>
      </c>
    </row>
    <row r="1399">
      <c r="A1399" s="4">
        <v>1399.0</v>
      </c>
      <c r="B1399" s="4" t="s">
        <v>1002</v>
      </c>
      <c r="C1399" s="4" t="s">
        <v>1195</v>
      </c>
      <c r="D1399" s="4" t="s">
        <v>1098</v>
      </c>
      <c r="E1399" s="15">
        <v>45327.0</v>
      </c>
    </row>
    <row r="1400">
      <c r="A1400" s="4">
        <v>1400.0</v>
      </c>
      <c r="B1400" s="4" t="s">
        <v>1553</v>
      </c>
      <c r="C1400" s="4" t="s">
        <v>1141</v>
      </c>
      <c r="D1400" s="4" t="s">
        <v>1098</v>
      </c>
      <c r="E1400" s="15">
        <v>45327.0</v>
      </c>
    </row>
    <row r="1401">
      <c r="A1401" s="4">
        <v>1401.0</v>
      </c>
      <c r="B1401" s="4" t="s">
        <v>1593</v>
      </c>
      <c r="C1401" s="4" t="s">
        <v>1143</v>
      </c>
      <c r="D1401" s="4" t="s">
        <v>1098</v>
      </c>
      <c r="E1401" s="15">
        <v>45327.0</v>
      </c>
    </row>
    <row r="1402">
      <c r="A1402" s="4">
        <v>1402.0</v>
      </c>
      <c r="B1402" s="4" t="s">
        <v>1594</v>
      </c>
      <c r="C1402" s="4" t="s">
        <v>1595</v>
      </c>
      <c r="D1402" s="4" t="s">
        <v>1098</v>
      </c>
      <c r="E1402" s="15">
        <v>45327.0</v>
      </c>
    </row>
    <row r="1403">
      <c r="A1403" s="4">
        <v>1403.0</v>
      </c>
      <c r="B1403" s="4" t="s">
        <v>1553</v>
      </c>
      <c r="C1403" s="4" t="s">
        <v>1596</v>
      </c>
      <c r="D1403" s="4" t="s">
        <v>1098</v>
      </c>
      <c r="E1403" s="15">
        <v>45327.0</v>
      </c>
    </row>
    <row r="1404">
      <c r="A1404" s="4">
        <v>1404.0</v>
      </c>
      <c r="B1404" s="4" t="s">
        <v>1553</v>
      </c>
      <c r="C1404" s="4" t="s">
        <v>1508</v>
      </c>
      <c r="D1404" s="4" t="s">
        <v>1098</v>
      </c>
      <c r="E1404" s="15">
        <v>45327.0</v>
      </c>
    </row>
    <row r="1405">
      <c r="A1405" s="4">
        <v>1405.0</v>
      </c>
      <c r="B1405" s="4" t="s">
        <v>1553</v>
      </c>
      <c r="C1405" s="4" t="s">
        <v>1204</v>
      </c>
      <c r="D1405" s="4" t="s">
        <v>1098</v>
      </c>
      <c r="E1405" s="15">
        <v>45327.0</v>
      </c>
    </row>
    <row r="1406">
      <c r="A1406" s="4">
        <v>1406.0</v>
      </c>
      <c r="B1406" s="4" t="s">
        <v>1566</v>
      </c>
      <c r="C1406" s="4" t="s">
        <v>1099</v>
      </c>
      <c r="D1406" s="4" t="s">
        <v>1098</v>
      </c>
      <c r="E1406" s="15">
        <v>45326.0</v>
      </c>
    </row>
    <row r="1407">
      <c r="A1407" s="4">
        <v>1407.0</v>
      </c>
      <c r="B1407" s="4" t="s">
        <v>1566</v>
      </c>
      <c r="C1407" s="4" t="s">
        <v>1099</v>
      </c>
      <c r="D1407" s="4" t="s">
        <v>1098</v>
      </c>
      <c r="E1407" s="15">
        <v>45326.0</v>
      </c>
    </row>
    <row r="1408">
      <c r="A1408" s="4">
        <v>1408.0</v>
      </c>
      <c r="B1408" s="4" t="s">
        <v>1566</v>
      </c>
      <c r="C1408" s="4" t="s">
        <v>1099</v>
      </c>
      <c r="D1408" s="4" t="s">
        <v>1098</v>
      </c>
      <c r="E1408" s="15">
        <v>45326.0</v>
      </c>
    </row>
    <row r="1409">
      <c r="A1409" s="4">
        <v>1409.0</v>
      </c>
      <c r="B1409" s="4" t="s">
        <v>1002</v>
      </c>
      <c r="C1409" s="4" t="s">
        <v>1195</v>
      </c>
      <c r="D1409" s="4" t="s">
        <v>1098</v>
      </c>
      <c r="E1409" s="15">
        <v>45326.0</v>
      </c>
    </row>
    <row r="1410">
      <c r="A1410" s="4">
        <v>1410.0</v>
      </c>
      <c r="B1410" s="4" t="s">
        <v>1566</v>
      </c>
      <c r="C1410" s="4" t="s">
        <v>1195</v>
      </c>
      <c r="D1410" s="4" t="s">
        <v>1098</v>
      </c>
      <c r="E1410" s="15">
        <v>45326.0</v>
      </c>
    </row>
    <row r="1411">
      <c r="A1411" s="4">
        <v>1411.0</v>
      </c>
      <c r="B1411" s="4" t="s">
        <v>1566</v>
      </c>
      <c r="C1411" s="4" t="s">
        <v>1195</v>
      </c>
      <c r="D1411" s="4" t="s">
        <v>1098</v>
      </c>
      <c r="E1411" s="15">
        <v>45326.0</v>
      </c>
    </row>
    <row r="1412">
      <c r="A1412" s="4">
        <v>1412.0</v>
      </c>
      <c r="B1412" s="4" t="s">
        <v>1597</v>
      </c>
      <c r="C1412" s="4" t="s">
        <v>1195</v>
      </c>
      <c r="D1412" s="4" t="s">
        <v>1098</v>
      </c>
      <c r="E1412" s="15">
        <v>45326.0</v>
      </c>
    </row>
    <row r="1413">
      <c r="A1413" s="4">
        <v>1413.0</v>
      </c>
      <c r="B1413" s="4" t="s">
        <v>1597</v>
      </c>
      <c r="C1413" s="4" t="s">
        <v>1195</v>
      </c>
      <c r="D1413" s="4" t="s">
        <v>1098</v>
      </c>
      <c r="E1413" s="15">
        <v>45326.0</v>
      </c>
    </row>
    <row r="1414">
      <c r="A1414" s="4">
        <v>1414.0</v>
      </c>
      <c r="B1414" s="4" t="s">
        <v>1597</v>
      </c>
      <c r="C1414" s="4" t="s">
        <v>1195</v>
      </c>
      <c r="D1414" s="4" t="s">
        <v>1098</v>
      </c>
      <c r="E1414" s="15">
        <v>45326.0</v>
      </c>
    </row>
    <row r="1415">
      <c r="A1415" s="4">
        <v>1415.0</v>
      </c>
      <c r="B1415" s="4" t="s">
        <v>1597</v>
      </c>
      <c r="C1415" s="4" t="s">
        <v>1195</v>
      </c>
      <c r="D1415" s="4" t="s">
        <v>1098</v>
      </c>
      <c r="E1415" s="15">
        <v>45326.0</v>
      </c>
    </row>
    <row r="1416">
      <c r="A1416" s="4">
        <v>1416.0</v>
      </c>
      <c r="B1416" s="4" t="s">
        <v>1597</v>
      </c>
      <c r="C1416" s="4" t="s">
        <v>1195</v>
      </c>
      <c r="D1416" s="4" t="s">
        <v>1098</v>
      </c>
      <c r="E1416" s="15">
        <v>45326.0</v>
      </c>
    </row>
    <row r="1417">
      <c r="A1417" s="4">
        <v>1417.0</v>
      </c>
      <c r="B1417" s="4" t="s">
        <v>1597</v>
      </c>
      <c r="C1417" s="4" t="s">
        <v>1195</v>
      </c>
      <c r="D1417" s="4" t="s">
        <v>1098</v>
      </c>
      <c r="E1417" s="15">
        <v>45326.0</v>
      </c>
    </row>
    <row r="1418">
      <c r="A1418" s="4">
        <v>1418.0</v>
      </c>
      <c r="B1418" s="4" t="s">
        <v>1002</v>
      </c>
      <c r="C1418" s="4" t="s">
        <v>1195</v>
      </c>
      <c r="D1418" s="4" t="s">
        <v>1098</v>
      </c>
      <c r="E1418" s="15">
        <v>45326.0</v>
      </c>
    </row>
    <row r="1419">
      <c r="A1419" s="4">
        <v>1419.0</v>
      </c>
      <c r="B1419" s="4" t="s">
        <v>1002</v>
      </c>
      <c r="C1419" s="4" t="s">
        <v>1195</v>
      </c>
      <c r="D1419" s="4" t="s">
        <v>1098</v>
      </c>
      <c r="E1419" s="15">
        <v>45326.0</v>
      </c>
    </row>
    <row r="1420">
      <c r="A1420" s="4">
        <v>1420.0</v>
      </c>
      <c r="B1420" s="4" t="s">
        <v>1597</v>
      </c>
      <c r="C1420" s="4" t="s">
        <v>1168</v>
      </c>
      <c r="D1420" s="4" t="s">
        <v>1098</v>
      </c>
      <c r="E1420" s="15">
        <v>45326.0</v>
      </c>
    </row>
    <row r="1421">
      <c r="A1421" s="4">
        <v>1421.0</v>
      </c>
      <c r="B1421" s="4" t="s">
        <v>1598</v>
      </c>
      <c r="C1421" s="4" t="s">
        <v>1101</v>
      </c>
      <c r="D1421" s="4" t="s">
        <v>1098</v>
      </c>
      <c r="E1421" s="15">
        <v>45326.0</v>
      </c>
    </row>
    <row r="1422">
      <c r="A1422" s="4">
        <v>1422.0</v>
      </c>
      <c r="B1422" s="4" t="s">
        <v>1566</v>
      </c>
      <c r="C1422" s="4" t="s">
        <v>1411</v>
      </c>
      <c r="D1422" s="4" t="s">
        <v>1098</v>
      </c>
      <c r="E1422" s="15">
        <v>45326.0</v>
      </c>
    </row>
    <row r="1423">
      <c r="A1423" s="4">
        <v>1423.0</v>
      </c>
      <c r="B1423" s="4" t="s">
        <v>1566</v>
      </c>
      <c r="C1423" s="4" t="s">
        <v>1411</v>
      </c>
      <c r="D1423" s="4" t="s">
        <v>1098</v>
      </c>
      <c r="E1423" s="15">
        <v>45326.0</v>
      </c>
    </row>
    <row r="1424">
      <c r="A1424" s="4">
        <v>1424.0</v>
      </c>
      <c r="B1424" s="4" t="s">
        <v>1566</v>
      </c>
      <c r="C1424" s="4" t="s">
        <v>1555</v>
      </c>
      <c r="D1424" s="4" t="s">
        <v>1098</v>
      </c>
      <c r="E1424" s="15">
        <v>45326.0</v>
      </c>
    </row>
    <row r="1425">
      <c r="A1425" s="4">
        <v>1425.0</v>
      </c>
      <c r="B1425" s="4" t="s">
        <v>1566</v>
      </c>
      <c r="C1425" s="4" t="s">
        <v>1555</v>
      </c>
      <c r="D1425" s="4" t="s">
        <v>1098</v>
      </c>
      <c r="E1425" s="15">
        <v>45326.0</v>
      </c>
    </row>
    <row r="1426">
      <c r="A1426" s="4">
        <v>1426.0</v>
      </c>
      <c r="B1426" s="4" t="s">
        <v>1566</v>
      </c>
      <c r="C1426" s="4" t="s">
        <v>1447</v>
      </c>
      <c r="D1426" s="4" t="s">
        <v>1098</v>
      </c>
      <c r="E1426" s="15">
        <v>45326.0</v>
      </c>
    </row>
    <row r="1427">
      <c r="A1427" s="4">
        <v>1427.0</v>
      </c>
      <c r="B1427" s="4" t="s">
        <v>1566</v>
      </c>
      <c r="C1427" s="4" t="s">
        <v>1447</v>
      </c>
      <c r="D1427" s="4" t="s">
        <v>1098</v>
      </c>
      <c r="E1427" s="15">
        <v>45326.0</v>
      </c>
    </row>
    <row r="1428">
      <c r="A1428" s="4">
        <v>1428.0</v>
      </c>
      <c r="B1428" s="4" t="s">
        <v>1566</v>
      </c>
      <c r="C1428" s="4" t="s">
        <v>1447</v>
      </c>
      <c r="D1428" s="4" t="s">
        <v>1098</v>
      </c>
      <c r="E1428" s="15">
        <v>45326.0</v>
      </c>
    </row>
    <row r="1429">
      <c r="A1429" s="4">
        <v>1429.0</v>
      </c>
      <c r="B1429" s="4" t="s">
        <v>1566</v>
      </c>
      <c r="C1429" s="4" t="s">
        <v>1447</v>
      </c>
      <c r="D1429" s="4" t="s">
        <v>1098</v>
      </c>
      <c r="E1429" s="15">
        <v>45326.0</v>
      </c>
    </row>
    <row r="1430">
      <c r="A1430" s="4">
        <v>1430.0</v>
      </c>
      <c r="B1430" s="4" t="s">
        <v>1566</v>
      </c>
      <c r="C1430" s="4" t="s">
        <v>1447</v>
      </c>
      <c r="D1430" s="4" t="s">
        <v>1098</v>
      </c>
      <c r="E1430" s="15">
        <v>45326.0</v>
      </c>
    </row>
    <row r="1431">
      <c r="A1431" s="4">
        <v>1431.0</v>
      </c>
      <c r="B1431" s="4" t="s">
        <v>1566</v>
      </c>
      <c r="C1431" s="4" t="s">
        <v>1447</v>
      </c>
      <c r="D1431" s="4" t="s">
        <v>1098</v>
      </c>
      <c r="E1431" s="15">
        <v>45326.0</v>
      </c>
    </row>
    <row r="1432">
      <c r="A1432" s="4">
        <v>1432.0</v>
      </c>
      <c r="B1432" s="4" t="s">
        <v>1566</v>
      </c>
      <c r="C1432" s="4" t="s">
        <v>1447</v>
      </c>
      <c r="D1432" s="4" t="s">
        <v>1098</v>
      </c>
      <c r="E1432" s="15">
        <v>45326.0</v>
      </c>
    </row>
    <row r="1433">
      <c r="A1433" s="4">
        <v>1433.0</v>
      </c>
      <c r="B1433" s="4" t="s">
        <v>1566</v>
      </c>
      <c r="C1433" s="4" t="s">
        <v>1447</v>
      </c>
      <c r="D1433" s="4" t="s">
        <v>1098</v>
      </c>
      <c r="E1433" s="15">
        <v>45326.0</v>
      </c>
    </row>
    <row r="1434">
      <c r="A1434" s="4">
        <v>1434.0</v>
      </c>
      <c r="B1434" s="4" t="s">
        <v>1566</v>
      </c>
      <c r="C1434" s="4" t="s">
        <v>1447</v>
      </c>
      <c r="D1434" s="4" t="s">
        <v>1098</v>
      </c>
      <c r="E1434" s="15">
        <v>45326.0</v>
      </c>
    </row>
    <row r="1435">
      <c r="A1435" s="4">
        <v>1435.0</v>
      </c>
      <c r="B1435" s="4" t="s">
        <v>1566</v>
      </c>
      <c r="C1435" s="4" t="s">
        <v>1493</v>
      </c>
      <c r="D1435" s="4" t="s">
        <v>1098</v>
      </c>
      <c r="E1435" s="15">
        <v>45326.0</v>
      </c>
    </row>
    <row r="1436">
      <c r="A1436" s="4">
        <v>1436.0</v>
      </c>
      <c r="B1436" s="4" t="s">
        <v>1566</v>
      </c>
      <c r="C1436" s="4" t="s">
        <v>1237</v>
      </c>
      <c r="D1436" s="4" t="s">
        <v>1098</v>
      </c>
      <c r="E1436" s="15">
        <v>45326.0</v>
      </c>
    </row>
    <row r="1437">
      <c r="A1437" s="4">
        <v>1437.0</v>
      </c>
      <c r="B1437" s="4" t="s">
        <v>1566</v>
      </c>
      <c r="C1437" s="4" t="s">
        <v>1237</v>
      </c>
      <c r="D1437" s="4" t="s">
        <v>1098</v>
      </c>
      <c r="E1437" s="15">
        <v>45326.0</v>
      </c>
    </row>
    <row r="1438">
      <c r="A1438" s="4">
        <v>1438.0</v>
      </c>
      <c r="B1438" s="4" t="s">
        <v>1566</v>
      </c>
      <c r="C1438" s="4" t="s">
        <v>1237</v>
      </c>
      <c r="D1438" s="4" t="s">
        <v>1098</v>
      </c>
      <c r="E1438" s="15">
        <v>45326.0</v>
      </c>
    </row>
    <row r="1439">
      <c r="A1439" s="4">
        <v>1439.0</v>
      </c>
      <c r="B1439" s="4" t="s">
        <v>1566</v>
      </c>
      <c r="C1439" s="4" t="s">
        <v>1599</v>
      </c>
      <c r="D1439" s="4" t="s">
        <v>1098</v>
      </c>
      <c r="E1439" s="15">
        <v>45326.0</v>
      </c>
    </row>
    <row r="1440">
      <c r="A1440" s="4">
        <v>1440.0</v>
      </c>
      <c r="B1440" s="4" t="s">
        <v>1600</v>
      </c>
      <c r="C1440" s="4" t="s">
        <v>1340</v>
      </c>
      <c r="D1440" s="4" t="s">
        <v>1098</v>
      </c>
      <c r="E1440" s="15">
        <v>45325.0</v>
      </c>
    </row>
    <row r="1441">
      <c r="A1441" s="4">
        <v>1441.0</v>
      </c>
      <c r="B1441" s="4" t="s">
        <v>699</v>
      </c>
      <c r="C1441" s="4" t="s">
        <v>1601</v>
      </c>
      <c r="D1441" s="4" t="s">
        <v>1098</v>
      </c>
      <c r="E1441" s="15">
        <v>45325.0</v>
      </c>
    </row>
    <row r="1442">
      <c r="A1442" s="4">
        <v>1442.0</v>
      </c>
      <c r="B1442" s="4" t="s">
        <v>699</v>
      </c>
      <c r="C1442" s="4" t="s">
        <v>1601</v>
      </c>
      <c r="D1442" s="4" t="s">
        <v>1098</v>
      </c>
      <c r="E1442" s="15">
        <v>45325.0</v>
      </c>
    </row>
    <row r="1443">
      <c r="A1443" s="4">
        <v>1443.0</v>
      </c>
      <c r="B1443" s="4" t="s">
        <v>1602</v>
      </c>
      <c r="C1443" s="4" t="s">
        <v>1141</v>
      </c>
      <c r="D1443" s="4" t="s">
        <v>1098</v>
      </c>
      <c r="E1443" s="15">
        <v>45325.0</v>
      </c>
    </row>
    <row r="1444">
      <c r="A1444" s="4">
        <v>1444.0</v>
      </c>
      <c r="B1444" s="4" t="s">
        <v>1600</v>
      </c>
      <c r="C1444" s="4" t="s">
        <v>1101</v>
      </c>
      <c r="D1444" s="4" t="s">
        <v>1098</v>
      </c>
      <c r="E1444" s="15">
        <v>45325.0</v>
      </c>
    </row>
    <row r="1445">
      <c r="A1445" s="4">
        <v>1445.0</v>
      </c>
      <c r="B1445" s="4" t="s">
        <v>1603</v>
      </c>
      <c r="C1445" s="4" t="s">
        <v>1101</v>
      </c>
      <c r="D1445" s="4" t="s">
        <v>1098</v>
      </c>
      <c r="E1445" s="15">
        <v>45325.0</v>
      </c>
    </row>
    <row r="1446">
      <c r="A1446" s="4">
        <v>1446.0</v>
      </c>
      <c r="B1446" s="4" t="s">
        <v>1604</v>
      </c>
      <c r="C1446" s="4" t="s">
        <v>1143</v>
      </c>
      <c r="D1446" s="4" t="s">
        <v>1098</v>
      </c>
      <c r="E1446" s="15">
        <v>45325.0</v>
      </c>
    </row>
    <row r="1447">
      <c r="A1447" s="4">
        <v>1447.0</v>
      </c>
      <c r="B1447" s="4" t="s">
        <v>1605</v>
      </c>
      <c r="C1447" s="4" t="s">
        <v>1143</v>
      </c>
      <c r="D1447" s="4" t="s">
        <v>1098</v>
      </c>
      <c r="E1447" s="15">
        <v>45325.0</v>
      </c>
    </row>
    <row r="1448">
      <c r="A1448" s="4">
        <v>1448.0</v>
      </c>
      <c r="B1448" s="4" t="s">
        <v>1600</v>
      </c>
      <c r="C1448" s="4" t="s">
        <v>1143</v>
      </c>
      <c r="D1448" s="4" t="s">
        <v>1098</v>
      </c>
      <c r="E1448" s="15">
        <v>45325.0</v>
      </c>
    </row>
    <row r="1449">
      <c r="A1449" s="4">
        <v>1449.0</v>
      </c>
      <c r="B1449" s="4" t="s">
        <v>1600</v>
      </c>
      <c r="C1449" s="4" t="s">
        <v>1143</v>
      </c>
      <c r="D1449" s="4" t="s">
        <v>1098</v>
      </c>
      <c r="E1449" s="15">
        <v>45325.0</v>
      </c>
    </row>
    <row r="1450">
      <c r="A1450" s="4">
        <v>1450.0</v>
      </c>
      <c r="B1450" s="4" t="s">
        <v>1606</v>
      </c>
      <c r="C1450" s="4" t="s">
        <v>1143</v>
      </c>
      <c r="D1450" s="4" t="s">
        <v>1098</v>
      </c>
      <c r="E1450" s="15">
        <v>45325.0</v>
      </c>
    </row>
    <row r="1451">
      <c r="A1451" s="4">
        <v>1451.0</v>
      </c>
      <c r="B1451" s="4" t="s">
        <v>1605</v>
      </c>
      <c r="C1451" s="4" t="s">
        <v>1143</v>
      </c>
      <c r="D1451" s="4" t="s">
        <v>1098</v>
      </c>
      <c r="E1451" s="15">
        <v>45325.0</v>
      </c>
    </row>
    <row r="1452">
      <c r="A1452" s="4">
        <v>1452.0</v>
      </c>
      <c r="B1452" s="4" t="s">
        <v>1600</v>
      </c>
      <c r="C1452" s="4" t="s">
        <v>1143</v>
      </c>
      <c r="D1452" s="4" t="s">
        <v>1098</v>
      </c>
      <c r="E1452" s="15">
        <v>45325.0</v>
      </c>
    </row>
    <row r="1453">
      <c r="A1453" s="4">
        <v>1453.0</v>
      </c>
      <c r="B1453" s="4" t="s">
        <v>1600</v>
      </c>
      <c r="C1453" s="4" t="s">
        <v>1143</v>
      </c>
      <c r="D1453" s="4" t="s">
        <v>1098</v>
      </c>
      <c r="E1453" s="15">
        <v>45325.0</v>
      </c>
    </row>
    <row r="1454">
      <c r="A1454" s="4">
        <v>1454.0</v>
      </c>
      <c r="B1454" s="4" t="s">
        <v>1607</v>
      </c>
      <c r="C1454" s="4" t="s">
        <v>1421</v>
      </c>
      <c r="D1454" s="4" t="s">
        <v>1098</v>
      </c>
      <c r="E1454" s="15">
        <v>45325.0</v>
      </c>
    </row>
    <row r="1455">
      <c r="A1455" s="4">
        <v>1455.0</v>
      </c>
      <c r="B1455" s="4" t="s">
        <v>699</v>
      </c>
      <c r="C1455" s="4" t="s">
        <v>1608</v>
      </c>
      <c r="D1455" s="4" t="s">
        <v>1098</v>
      </c>
      <c r="E1455" s="15">
        <v>45325.0</v>
      </c>
    </row>
    <row r="1456">
      <c r="A1456" s="4">
        <v>1456.0</v>
      </c>
      <c r="B1456" s="4" t="s">
        <v>699</v>
      </c>
      <c r="C1456" s="4" t="s">
        <v>1609</v>
      </c>
      <c r="D1456" s="4" t="s">
        <v>1098</v>
      </c>
      <c r="E1456" s="15">
        <v>45325.0</v>
      </c>
    </row>
    <row r="1457">
      <c r="A1457" s="4">
        <v>1457.0</v>
      </c>
      <c r="B1457" s="4" t="s">
        <v>1242</v>
      </c>
      <c r="C1457" s="4" t="s">
        <v>1610</v>
      </c>
      <c r="D1457" s="4" t="s">
        <v>1098</v>
      </c>
      <c r="E1457" s="15">
        <v>45324.0</v>
      </c>
    </row>
    <row r="1458">
      <c r="A1458" s="4">
        <v>1458.0</v>
      </c>
      <c r="B1458" s="4" t="s">
        <v>1611</v>
      </c>
      <c r="C1458" s="4" t="s">
        <v>1612</v>
      </c>
      <c r="D1458" s="4" t="s">
        <v>1098</v>
      </c>
      <c r="E1458" s="15">
        <v>45324.0</v>
      </c>
    </row>
    <row r="1459">
      <c r="A1459" s="4">
        <v>1459.0</v>
      </c>
      <c r="B1459" s="4" t="s">
        <v>1611</v>
      </c>
      <c r="C1459" s="4" t="s">
        <v>1612</v>
      </c>
      <c r="D1459" s="4" t="s">
        <v>1098</v>
      </c>
      <c r="E1459" s="15">
        <v>45324.0</v>
      </c>
    </row>
    <row r="1460">
      <c r="A1460" s="4">
        <v>1460.0</v>
      </c>
      <c r="B1460" s="4" t="s">
        <v>1613</v>
      </c>
      <c r="C1460" s="4" t="s">
        <v>1614</v>
      </c>
      <c r="D1460" s="4" t="s">
        <v>1098</v>
      </c>
      <c r="E1460" s="15">
        <v>45324.0</v>
      </c>
    </row>
    <row r="1461">
      <c r="A1461" s="4">
        <v>1461.0</v>
      </c>
      <c r="B1461" s="4" t="s">
        <v>1613</v>
      </c>
      <c r="C1461" s="4" t="s">
        <v>1614</v>
      </c>
      <c r="D1461" s="4" t="s">
        <v>1098</v>
      </c>
      <c r="E1461" s="15">
        <v>45324.0</v>
      </c>
    </row>
    <row r="1462">
      <c r="A1462" s="4">
        <v>1462.0</v>
      </c>
      <c r="B1462" s="4" t="s">
        <v>1530</v>
      </c>
      <c r="C1462" s="4" t="s">
        <v>1207</v>
      </c>
      <c r="D1462" s="4" t="s">
        <v>1098</v>
      </c>
      <c r="E1462" s="15">
        <v>45324.0</v>
      </c>
    </row>
    <row r="1463">
      <c r="A1463" s="4">
        <v>1463.0</v>
      </c>
      <c r="B1463" s="4" t="s">
        <v>1478</v>
      </c>
      <c r="C1463" s="4" t="s">
        <v>1615</v>
      </c>
      <c r="D1463" s="4" t="s">
        <v>1098</v>
      </c>
      <c r="E1463" s="15">
        <v>45324.0</v>
      </c>
    </row>
    <row r="1464">
      <c r="A1464" s="4">
        <v>1464.0</v>
      </c>
      <c r="B1464" s="4" t="s">
        <v>1478</v>
      </c>
      <c r="C1464" s="4" t="s">
        <v>1615</v>
      </c>
      <c r="D1464" s="4" t="s">
        <v>1098</v>
      </c>
      <c r="E1464" s="15">
        <v>45324.0</v>
      </c>
    </row>
    <row r="1465">
      <c r="A1465" s="4">
        <v>1465.0</v>
      </c>
      <c r="B1465" s="4" t="s">
        <v>1616</v>
      </c>
      <c r="C1465" s="4" t="s">
        <v>1617</v>
      </c>
      <c r="D1465" s="4" t="s">
        <v>1098</v>
      </c>
      <c r="E1465" s="15">
        <v>45324.0</v>
      </c>
    </row>
    <row r="1466">
      <c r="A1466" s="4">
        <v>1466.0</v>
      </c>
      <c r="B1466" s="4" t="s">
        <v>1616</v>
      </c>
      <c r="C1466" s="4" t="s">
        <v>1617</v>
      </c>
      <c r="D1466" s="4" t="s">
        <v>1098</v>
      </c>
      <c r="E1466" s="15">
        <v>45324.0</v>
      </c>
    </row>
    <row r="1467">
      <c r="A1467" s="4">
        <v>1467.0</v>
      </c>
      <c r="B1467" s="4" t="s">
        <v>1616</v>
      </c>
      <c r="C1467" s="4" t="s">
        <v>1618</v>
      </c>
      <c r="D1467" s="4" t="s">
        <v>1098</v>
      </c>
      <c r="E1467" s="15">
        <v>45324.0</v>
      </c>
    </row>
    <row r="1468">
      <c r="A1468" s="4">
        <v>1468.0</v>
      </c>
      <c r="B1468" s="4" t="s">
        <v>1619</v>
      </c>
      <c r="C1468" s="4" t="s">
        <v>1137</v>
      </c>
      <c r="D1468" s="4" t="s">
        <v>1098</v>
      </c>
      <c r="E1468" s="15">
        <v>45324.0</v>
      </c>
    </row>
    <row r="1469">
      <c r="A1469" s="4">
        <v>1469.0</v>
      </c>
      <c r="B1469" s="4" t="s">
        <v>1620</v>
      </c>
      <c r="C1469" s="4" t="s">
        <v>1256</v>
      </c>
      <c r="D1469" s="4" t="s">
        <v>1098</v>
      </c>
      <c r="E1469" s="15">
        <v>45324.0</v>
      </c>
    </row>
    <row r="1470">
      <c r="A1470" s="4">
        <v>1470.0</v>
      </c>
      <c r="B1470" s="4" t="s">
        <v>1478</v>
      </c>
      <c r="C1470" s="4" t="s">
        <v>1621</v>
      </c>
      <c r="D1470" s="4" t="s">
        <v>1098</v>
      </c>
      <c r="E1470" s="15">
        <v>45324.0</v>
      </c>
    </row>
    <row r="1471">
      <c r="A1471" s="4">
        <v>1471.0</v>
      </c>
      <c r="B1471" s="4" t="s">
        <v>1478</v>
      </c>
      <c r="C1471" s="4" t="s">
        <v>1411</v>
      </c>
      <c r="D1471" s="4" t="s">
        <v>1098</v>
      </c>
      <c r="E1471" s="15">
        <v>45324.0</v>
      </c>
    </row>
    <row r="1472">
      <c r="A1472" s="4">
        <v>1472.0</v>
      </c>
      <c r="B1472" s="4" t="s">
        <v>1478</v>
      </c>
      <c r="C1472" s="4" t="s">
        <v>1411</v>
      </c>
      <c r="D1472" s="4" t="s">
        <v>1098</v>
      </c>
      <c r="E1472" s="15">
        <v>45324.0</v>
      </c>
    </row>
    <row r="1473">
      <c r="A1473" s="4">
        <v>1473.0</v>
      </c>
      <c r="B1473" s="4" t="s">
        <v>1622</v>
      </c>
      <c r="C1473" s="4" t="s">
        <v>1623</v>
      </c>
      <c r="D1473" s="4" t="s">
        <v>1120</v>
      </c>
      <c r="E1473" s="15">
        <v>45324.0</v>
      </c>
    </row>
    <row r="1474">
      <c r="A1474" s="4">
        <v>1474.0</v>
      </c>
      <c r="B1474" s="4" t="s">
        <v>1616</v>
      </c>
      <c r="C1474" s="4" t="s">
        <v>1624</v>
      </c>
      <c r="D1474" s="4" t="s">
        <v>1098</v>
      </c>
      <c r="E1474" s="15">
        <v>45324.0</v>
      </c>
    </row>
    <row r="1475">
      <c r="A1475" s="4">
        <v>1475.0</v>
      </c>
      <c r="B1475" s="4" t="s">
        <v>1616</v>
      </c>
      <c r="C1475" s="4" t="s">
        <v>1624</v>
      </c>
      <c r="D1475" s="4" t="s">
        <v>1098</v>
      </c>
      <c r="E1475" s="15">
        <v>45324.0</v>
      </c>
    </row>
    <row r="1476">
      <c r="A1476" s="4">
        <v>1476.0</v>
      </c>
      <c r="B1476" s="4" t="s">
        <v>1616</v>
      </c>
      <c r="C1476" s="4" t="s">
        <v>1624</v>
      </c>
      <c r="D1476" s="4" t="s">
        <v>1098</v>
      </c>
      <c r="E1476" s="15">
        <v>45324.0</v>
      </c>
    </row>
    <row r="1477">
      <c r="A1477" s="4">
        <v>1477.0</v>
      </c>
      <c r="B1477" s="4" t="s">
        <v>1616</v>
      </c>
      <c r="C1477" s="4" t="s">
        <v>1624</v>
      </c>
      <c r="D1477" s="4" t="s">
        <v>1098</v>
      </c>
      <c r="E1477" s="15">
        <v>45324.0</v>
      </c>
    </row>
    <row r="1478">
      <c r="A1478" s="4">
        <v>1478.0</v>
      </c>
      <c r="B1478" s="4" t="s">
        <v>1625</v>
      </c>
      <c r="C1478" s="4" t="s">
        <v>1589</v>
      </c>
      <c r="D1478" s="4" t="s">
        <v>1098</v>
      </c>
      <c r="E1478" s="15">
        <v>45324.0</v>
      </c>
    </row>
    <row r="1479">
      <c r="A1479" s="4">
        <v>1479.0</v>
      </c>
      <c r="B1479" s="4" t="s">
        <v>1625</v>
      </c>
      <c r="C1479" s="4" t="s">
        <v>1204</v>
      </c>
      <c r="D1479" s="4" t="s">
        <v>1098</v>
      </c>
      <c r="E1479" s="15">
        <v>45324.0</v>
      </c>
    </row>
    <row r="1480">
      <c r="A1480" s="4">
        <v>1480.0</v>
      </c>
      <c r="B1480" s="4" t="s">
        <v>1530</v>
      </c>
      <c r="C1480" s="4" t="s">
        <v>1559</v>
      </c>
      <c r="D1480" s="4" t="s">
        <v>1120</v>
      </c>
      <c r="E1480" s="15">
        <v>45324.0</v>
      </c>
    </row>
    <row r="1481">
      <c r="A1481" s="4">
        <v>1481.0</v>
      </c>
      <c r="B1481" s="4" t="s">
        <v>1166</v>
      </c>
      <c r="C1481" s="4" t="s">
        <v>1626</v>
      </c>
      <c r="D1481" s="4" t="s">
        <v>1120</v>
      </c>
      <c r="E1481" s="15">
        <v>45323.0</v>
      </c>
    </row>
    <row r="1482">
      <c r="A1482" s="4">
        <v>1482.0</v>
      </c>
      <c r="B1482" s="4" t="s">
        <v>1627</v>
      </c>
      <c r="C1482" s="4" t="s">
        <v>1626</v>
      </c>
      <c r="D1482" s="4" t="s">
        <v>1120</v>
      </c>
      <c r="E1482" s="15">
        <v>45323.0</v>
      </c>
    </row>
    <row r="1483">
      <c r="A1483" s="4">
        <v>1483.0</v>
      </c>
      <c r="B1483" s="4" t="s">
        <v>1628</v>
      </c>
      <c r="C1483" s="4" t="s">
        <v>1629</v>
      </c>
      <c r="D1483" s="4" t="s">
        <v>1098</v>
      </c>
      <c r="E1483" s="15">
        <v>45323.0</v>
      </c>
    </row>
    <row r="1484">
      <c r="A1484" s="4">
        <v>1484.0</v>
      </c>
      <c r="B1484" s="4" t="s">
        <v>1628</v>
      </c>
      <c r="C1484" s="4" t="s">
        <v>1629</v>
      </c>
      <c r="D1484" s="4" t="s">
        <v>1098</v>
      </c>
      <c r="E1484" s="15">
        <v>45323.0</v>
      </c>
    </row>
    <row r="1485">
      <c r="A1485" s="4">
        <v>1485.0</v>
      </c>
      <c r="B1485" s="4" t="s">
        <v>1630</v>
      </c>
      <c r="C1485" s="4" t="s">
        <v>1207</v>
      </c>
      <c r="D1485" s="4" t="s">
        <v>1098</v>
      </c>
      <c r="E1485" s="15">
        <v>45323.0</v>
      </c>
    </row>
    <row r="1486">
      <c r="A1486" s="4">
        <v>1486.0</v>
      </c>
      <c r="B1486" s="4" t="s">
        <v>1628</v>
      </c>
      <c r="C1486" s="4" t="s">
        <v>1207</v>
      </c>
      <c r="D1486" s="4" t="s">
        <v>1098</v>
      </c>
      <c r="E1486" s="15">
        <v>45323.0</v>
      </c>
    </row>
    <row r="1487">
      <c r="A1487" s="4">
        <v>1487.0</v>
      </c>
      <c r="B1487" s="4" t="s">
        <v>1628</v>
      </c>
      <c r="C1487" s="4" t="s">
        <v>1207</v>
      </c>
      <c r="D1487" s="4" t="s">
        <v>1098</v>
      </c>
      <c r="E1487" s="15">
        <v>45323.0</v>
      </c>
    </row>
    <row r="1488">
      <c r="A1488" s="4">
        <v>1488.0</v>
      </c>
      <c r="B1488" s="4" t="s">
        <v>1630</v>
      </c>
      <c r="C1488" s="4" t="s">
        <v>1207</v>
      </c>
      <c r="D1488" s="4" t="s">
        <v>1098</v>
      </c>
      <c r="E1488" s="15">
        <v>45323.0</v>
      </c>
    </row>
    <row r="1489">
      <c r="A1489" s="4">
        <v>1489.0</v>
      </c>
      <c r="B1489" s="4" t="s">
        <v>1630</v>
      </c>
      <c r="C1489" s="4" t="s">
        <v>1207</v>
      </c>
      <c r="D1489" s="4" t="s">
        <v>1098</v>
      </c>
      <c r="E1489" s="15">
        <v>45323.0</v>
      </c>
    </row>
    <row r="1490">
      <c r="A1490" s="4">
        <v>1490.0</v>
      </c>
      <c r="B1490" s="4" t="s">
        <v>699</v>
      </c>
      <c r="C1490" s="4" t="s">
        <v>1193</v>
      </c>
      <c r="D1490" s="4" t="s">
        <v>1098</v>
      </c>
      <c r="E1490" s="15">
        <v>45323.0</v>
      </c>
    </row>
    <row r="1491">
      <c r="A1491" s="4">
        <v>1491.0</v>
      </c>
      <c r="B1491" s="4" t="s">
        <v>699</v>
      </c>
      <c r="C1491" s="4" t="s">
        <v>1194</v>
      </c>
      <c r="D1491" s="4" t="s">
        <v>1098</v>
      </c>
      <c r="E1491" s="15">
        <v>45323.0</v>
      </c>
    </row>
    <row r="1492">
      <c r="A1492" s="4">
        <v>1492.0</v>
      </c>
      <c r="B1492" s="4" t="s">
        <v>699</v>
      </c>
      <c r="C1492" s="4" t="s">
        <v>1194</v>
      </c>
      <c r="D1492" s="4" t="s">
        <v>1098</v>
      </c>
      <c r="E1492" s="15">
        <v>45323.0</v>
      </c>
    </row>
    <row r="1493">
      <c r="A1493" s="4">
        <v>1493.0</v>
      </c>
      <c r="B1493" s="4" t="s">
        <v>699</v>
      </c>
      <c r="C1493" s="4" t="s">
        <v>1194</v>
      </c>
      <c r="D1493" s="4" t="s">
        <v>1098</v>
      </c>
      <c r="E1493" s="15">
        <v>45323.0</v>
      </c>
    </row>
    <row r="1494">
      <c r="A1494" s="4">
        <v>1494.0</v>
      </c>
      <c r="B1494" s="4" t="s">
        <v>1566</v>
      </c>
      <c r="C1494" s="4" t="s">
        <v>1097</v>
      </c>
      <c r="D1494" s="4" t="s">
        <v>1098</v>
      </c>
      <c r="E1494" s="15">
        <v>45323.0</v>
      </c>
    </row>
    <row r="1495">
      <c r="A1495" s="4">
        <v>1495.0</v>
      </c>
      <c r="B1495" s="4" t="s">
        <v>1566</v>
      </c>
      <c r="C1495" s="4" t="s">
        <v>1099</v>
      </c>
      <c r="D1495" s="4" t="s">
        <v>1098</v>
      </c>
      <c r="E1495" s="15">
        <v>45323.0</v>
      </c>
    </row>
    <row r="1496">
      <c r="A1496" s="4">
        <v>1496.0</v>
      </c>
      <c r="B1496" s="4" t="s">
        <v>1566</v>
      </c>
      <c r="C1496" s="4" t="s">
        <v>1195</v>
      </c>
      <c r="D1496" s="4" t="s">
        <v>1098</v>
      </c>
      <c r="E1496" s="15">
        <v>45323.0</v>
      </c>
    </row>
    <row r="1497">
      <c r="A1497" s="4">
        <v>1497.0</v>
      </c>
      <c r="B1497" s="4" t="s">
        <v>1566</v>
      </c>
      <c r="C1497" s="4" t="s">
        <v>1168</v>
      </c>
      <c r="D1497" s="4" t="s">
        <v>1098</v>
      </c>
      <c r="E1497" s="15">
        <v>45323.0</v>
      </c>
    </row>
    <row r="1498">
      <c r="A1498" s="4">
        <v>1498.0</v>
      </c>
      <c r="B1498" s="4" t="s">
        <v>1566</v>
      </c>
      <c r="C1498" s="4" t="s">
        <v>1141</v>
      </c>
      <c r="D1498" s="4" t="s">
        <v>1098</v>
      </c>
      <c r="E1498" s="15">
        <v>45323.0</v>
      </c>
    </row>
    <row r="1499">
      <c r="A1499" s="4">
        <v>1499.0</v>
      </c>
      <c r="B1499" s="4" t="s">
        <v>699</v>
      </c>
      <c r="C1499" s="4" t="s">
        <v>1141</v>
      </c>
      <c r="D1499" s="4" t="s">
        <v>1098</v>
      </c>
      <c r="E1499" s="15">
        <v>45323.0</v>
      </c>
    </row>
    <row r="1500">
      <c r="A1500" s="4">
        <v>1500.0</v>
      </c>
      <c r="B1500" s="4" t="s">
        <v>1631</v>
      </c>
      <c r="C1500" s="4" t="s">
        <v>1143</v>
      </c>
      <c r="D1500" s="4" t="s">
        <v>1098</v>
      </c>
      <c r="E1500" s="15">
        <v>45323.0</v>
      </c>
    </row>
    <row r="1501">
      <c r="A1501" s="4">
        <v>1501.0</v>
      </c>
      <c r="B1501" s="4" t="s">
        <v>1632</v>
      </c>
      <c r="C1501" s="4" t="s">
        <v>1143</v>
      </c>
      <c r="D1501" s="4" t="s">
        <v>1098</v>
      </c>
      <c r="E1501" s="15">
        <v>45323.0</v>
      </c>
    </row>
    <row r="1502">
      <c r="A1502" s="4">
        <v>1502.0</v>
      </c>
      <c r="B1502" s="4" t="s">
        <v>699</v>
      </c>
      <c r="C1502" s="4" t="s">
        <v>1143</v>
      </c>
      <c r="D1502" s="4" t="s">
        <v>1098</v>
      </c>
      <c r="E1502" s="15">
        <v>45323.0</v>
      </c>
    </row>
    <row r="1503">
      <c r="A1503" s="4">
        <v>1503.0</v>
      </c>
      <c r="B1503" s="4" t="s">
        <v>699</v>
      </c>
      <c r="C1503" s="4" t="s">
        <v>1143</v>
      </c>
      <c r="D1503" s="4" t="s">
        <v>1098</v>
      </c>
      <c r="E1503" s="15">
        <v>45323.0</v>
      </c>
    </row>
    <row r="1504">
      <c r="A1504" s="4">
        <v>1504.0</v>
      </c>
      <c r="B1504" s="4" t="s">
        <v>1633</v>
      </c>
      <c r="C1504" s="4" t="s">
        <v>1184</v>
      </c>
      <c r="D1504" s="4" t="s">
        <v>1098</v>
      </c>
      <c r="E1504" s="15">
        <v>45323.0</v>
      </c>
    </row>
    <row r="1505">
      <c r="A1505" s="4">
        <v>1505.0</v>
      </c>
      <c r="B1505" s="4" t="s">
        <v>1634</v>
      </c>
      <c r="C1505" s="4" t="s">
        <v>1584</v>
      </c>
      <c r="D1505" s="4" t="s">
        <v>1098</v>
      </c>
      <c r="E1505" s="15">
        <v>45323.0</v>
      </c>
    </row>
    <row r="1506">
      <c r="A1506" s="4">
        <v>1506.0</v>
      </c>
      <c r="B1506" s="4" t="s">
        <v>1634</v>
      </c>
      <c r="C1506" s="4" t="s">
        <v>1419</v>
      </c>
      <c r="D1506" s="4" t="s">
        <v>1098</v>
      </c>
      <c r="E1506" s="15">
        <v>45323.0</v>
      </c>
    </row>
    <row r="1507">
      <c r="A1507" s="4">
        <v>1507.0</v>
      </c>
      <c r="B1507" s="4" t="s">
        <v>699</v>
      </c>
      <c r="C1507" s="4" t="s">
        <v>1635</v>
      </c>
      <c r="D1507" s="4" t="s">
        <v>1098</v>
      </c>
      <c r="E1507" s="15">
        <v>45323.0</v>
      </c>
    </row>
    <row r="1508">
      <c r="A1508" s="4">
        <v>1508.0</v>
      </c>
      <c r="B1508" s="4" t="s">
        <v>699</v>
      </c>
      <c r="C1508" s="4" t="s">
        <v>1635</v>
      </c>
      <c r="D1508" s="4" t="s">
        <v>1098</v>
      </c>
      <c r="E1508" s="15">
        <v>45323.0</v>
      </c>
    </row>
    <row r="1509">
      <c r="A1509" s="4">
        <v>1509.0</v>
      </c>
      <c r="B1509" s="4" t="s">
        <v>1628</v>
      </c>
      <c r="C1509" s="4" t="s">
        <v>1464</v>
      </c>
      <c r="D1509" s="4" t="s">
        <v>1098</v>
      </c>
      <c r="E1509" s="15">
        <v>45323.0</v>
      </c>
    </row>
    <row r="1510">
      <c r="A1510" s="4">
        <v>1510.0</v>
      </c>
      <c r="B1510" s="4" t="s">
        <v>1628</v>
      </c>
      <c r="C1510" s="4" t="s">
        <v>1464</v>
      </c>
      <c r="D1510" s="4" t="s">
        <v>1098</v>
      </c>
      <c r="E1510" s="15">
        <v>45323.0</v>
      </c>
    </row>
    <row r="1511">
      <c r="A1511" s="4">
        <v>1511.0</v>
      </c>
      <c r="B1511" s="4" t="s">
        <v>699</v>
      </c>
      <c r="C1511" s="4" t="s">
        <v>1137</v>
      </c>
      <c r="D1511" s="4" t="s">
        <v>1098</v>
      </c>
      <c r="E1511" s="15">
        <v>45323.0</v>
      </c>
    </row>
    <row r="1512">
      <c r="A1512" s="4">
        <v>1512.0</v>
      </c>
      <c r="B1512" s="4" t="s">
        <v>1634</v>
      </c>
      <c r="C1512" s="4" t="s">
        <v>1586</v>
      </c>
      <c r="D1512" s="4" t="s">
        <v>1098</v>
      </c>
      <c r="E1512" s="15">
        <v>45323.0</v>
      </c>
    </row>
    <row r="1513">
      <c r="A1513" s="4">
        <v>1513.0</v>
      </c>
      <c r="B1513" s="4" t="s">
        <v>1634</v>
      </c>
      <c r="C1513" s="4" t="s">
        <v>1587</v>
      </c>
      <c r="D1513" s="4" t="s">
        <v>1098</v>
      </c>
      <c r="E1513" s="15">
        <v>45323.0</v>
      </c>
    </row>
    <row r="1514">
      <c r="A1514" s="4">
        <v>1514.0</v>
      </c>
      <c r="B1514" s="4" t="s">
        <v>1636</v>
      </c>
      <c r="C1514" s="4" t="s">
        <v>1256</v>
      </c>
      <c r="D1514" s="4" t="s">
        <v>1098</v>
      </c>
      <c r="E1514" s="15">
        <v>45323.0</v>
      </c>
    </row>
    <row r="1515">
      <c r="A1515" s="4">
        <v>1515.0</v>
      </c>
      <c r="B1515" s="4" t="s">
        <v>1634</v>
      </c>
      <c r="C1515" s="4" t="s">
        <v>1421</v>
      </c>
      <c r="D1515" s="4" t="s">
        <v>1098</v>
      </c>
      <c r="E1515" s="15">
        <v>45323.0</v>
      </c>
    </row>
    <row r="1516">
      <c r="A1516" s="4">
        <v>1516.0</v>
      </c>
      <c r="B1516" s="4" t="s">
        <v>1634</v>
      </c>
      <c r="C1516" s="4" t="s">
        <v>1423</v>
      </c>
      <c r="D1516" s="4" t="s">
        <v>1098</v>
      </c>
      <c r="E1516" s="15">
        <v>45323.0</v>
      </c>
    </row>
    <row r="1517">
      <c r="A1517" s="4">
        <v>1517.0</v>
      </c>
      <c r="B1517" s="4" t="s">
        <v>1634</v>
      </c>
      <c r="C1517" s="4" t="s">
        <v>1237</v>
      </c>
      <c r="D1517" s="4" t="s">
        <v>1098</v>
      </c>
      <c r="E1517" s="15">
        <v>45323.0</v>
      </c>
    </row>
    <row r="1518">
      <c r="A1518" s="4">
        <v>1518.0</v>
      </c>
      <c r="B1518" s="4" t="s">
        <v>1634</v>
      </c>
      <c r="C1518" s="4" t="s">
        <v>1580</v>
      </c>
      <c r="D1518" s="4" t="s">
        <v>1098</v>
      </c>
      <c r="E1518" s="15">
        <v>45323.0</v>
      </c>
    </row>
    <row r="1519">
      <c r="A1519" s="4">
        <v>1519.0</v>
      </c>
      <c r="B1519" s="4" t="s">
        <v>1566</v>
      </c>
      <c r="C1519" s="4" t="s">
        <v>1637</v>
      </c>
      <c r="D1519" s="4" t="s">
        <v>1098</v>
      </c>
      <c r="E1519" s="15">
        <v>45323.0</v>
      </c>
    </row>
    <row r="1520">
      <c r="A1520" s="4">
        <v>1520.0</v>
      </c>
      <c r="B1520" s="4" t="s">
        <v>1625</v>
      </c>
      <c r="C1520" s="4" t="s">
        <v>1638</v>
      </c>
      <c r="D1520" s="4" t="s">
        <v>1098</v>
      </c>
      <c r="E1520" s="15">
        <v>45323.0</v>
      </c>
    </row>
    <row r="1521">
      <c r="A1521" s="4">
        <v>1521.0</v>
      </c>
      <c r="B1521" s="4" t="s">
        <v>1613</v>
      </c>
      <c r="C1521" s="4" t="s">
        <v>1638</v>
      </c>
      <c r="D1521" s="4" t="s">
        <v>1098</v>
      </c>
      <c r="E1521" s="15">
        <v>45323.0</v>
      </c>
    </row>
    <row r="1522">
      <c r="A1522" s="4">
        <v>1522.0</v>
      </c>
      <c r="B1522" s="4" t="s">
        <v>699</v>
      </c>
      <c r="C1522" s="4" t="s">
        <v>1638</v>
      </c>
      <c r="D1522" s="4" t="s">
        <v>1098</v>
      </c>
      <c r="E1522" s="15">
        <v>45323.0</v>
      </c>
    </row>
    <row r="1523">
      <c r="A1523" s="4">
        <v>1523.0</v>
      </c>
      <c r="B1523" s="4" t="s">
        <v>699</v>
      </c>
      <c r="C1523" s="4" t="s">
        <v>1589</v>
      </c>
      <c r="D1523" s="4" t="s">
        <v>1098</v>
      </c>
      <c r="E1523" s="15">
        <v>45323.0</v>
      </c>
    </row>
    <row r="1524">
      <c r="A1524" s="4">
        <v>1524.0</v>
      </c>
      <c r="B1524" s="4" t="s">
        <v>699</v>
      </c>
      <c r="C1524" s="4" t="s">
        <v>1589</v>
      </c>
      <c r="D1524" s="4" t="s">
        <v>1098</v>
      </c>
      <c r="E1524" s="15">
        <v>45323.0</v>
      </c>
    </row>
    <row r="1525">
      <c r="A1525" s="4">
        <v>1525.0</v>
      </c>
      <c r="B1525" s="4" t="s">
        <v>1628</v>
      </c>
      <c r="C1525" s="4" t="s">
        <v>1639</v>
      </c>
      <c r="D1525" s="4" t="s">
        <v>1098</v>
      </c>
      <c r="E1525" s="15">
        <v>45323.0</v>
      </c>
    </row>
    <row r="1526">
      <c r="A1526" s="4">
        <v>1526.0</v>
      </c>
      <c r="B1526" s="4" t="s">
        <v>1628</v>
      </c>
      <c r="C1526" s="4" t="s">
        <v>1639</v>
      </c>
      <c r="D1526" s="4" t="s">
        <v>1098</v>
      </c>
      <c r="E1526" s="15">
        <v>45323.0</v>
      </c>
    </row>
    <row r="1527">
      <c r="A1527" s="4">
        <v>1527.0</v>
      </c>
      <c r="B1527" s="4" t="s">
        <v>699</v>
      </c>
      <c r="C1527" s="4" t="s">
        <v>1639</v>
      </c>
      <c r="D1527" s="4" t="s">
        <v>1098</v>
      </c>
      <c r="E1527" s="15">
        <v>45323.0</v>
      </c>
    </row>
    <row r="1528">
      <c r="A1528" s="4">
        <v>1528.0</v>
      </c>
      <c r="B1528" s="4" t="s">
        <v>699</v>
      </c>
      <c r="C1528" s="4" t="s">
        <v>1640</v>
      </c>
      <c r="D1528" s="4" t="s">
        <v>1098</v>
      </c>
      <c r="E1528" s="15">
        <v>45323.0</v>
      </c>
    </row>
    <row r="1529">
      <c r="A1529" s="4">
        <v>1529.0</v>
      </c>
      <c r="B1529" s="4" t="s">
        <v>1630</v>
      </c>
      <c r="C1529" s="4" t="s">
        <v>1641</v>
      </c>
      <c r="D1529" s="4" t="s">
        <v>1098</v>
      </c>
      <c r="E1529" s="15">
        <v>45323.0</v>
      </c>
    </row>
    <row r="1530">
      <c r="A1530" s="4">
        <v>1530.0</v>
      </c>
      <c r="B1530" s="4" t="s">
        <v>1642</v>
      </c>
      <c r="C1530" s="4" t="s">
        <v>1207</v>
      </c>
      <c r="D1530" s="4" t="s">
        <v>1098</v>
      </c>
      <c r="E1530" s="15">
        <v>45322.0</v>
      </c>
    </row>
    <row r="1531">
      <c r="A1531" s="4">
        <v>1531.0</v>
      </c>
      <c r="B1531" s="4" t="s">
        <v>1642</v>
      </c>
      <c r="C1531" s="4" t="s">
        <v>1207</v>
      </c>
      <c r="D1531" s="4" t="s">
        <v>1098</v>
      </c>
      <c r="E1531" s="15">
        <v>45322.0</v>
      </c>
    </row>
    <row r="1532">
      <c r="A1532" s="4">
        <v>1532.0</v>
      </c>
      <c r="B1532" s="4" t="s">
        <v>1642</v>
      </c>
      <c r="C1532" s="4" t="s">
        <v>1207</v>
      </c>
      <c r="D1532" s="4" t="s">
        <v>1098</v>
      </c>
      <c r="E1532" s="15">
        <v>45322.0</v>
      </c>
    </row>
    <row r="1533">
      <c r="A1533" s="4">
        <v>1533.0</v>
      </c>
      <c r="B1533" s="4" t="s">
        <v>1643</v>
      </c>
      <c r="C1533" s="4" t="s">
        <v>1644</v>
      </c>
      <c r="D1533" s="4" t="s">
        <v>1120</v>
      </c>
      <c r="E1533" s="15">
        <v>45322.0</v>
      </c>
    </row>
    <row r="1534">
      <c r="A1534" s="4">
        <v>1534.0</v>
      </c>
      <c r="B1534" s="4" t="s">
        <v>1645</v>
      </c>
      <c r="C1534" s="4" t="s">
        <v>1143</v>
      </c>
      <c r="D1534" s="4" t="s">
        <v>1098</v>
      </c>
      <c r="E1534" s="15">
        <v>45322.0</v>
      </c>
    </row>
    <row r="1535">
      <c r="A1535" s="4">
        <v>1535.0</v>
      </c>
      <c r="B1535" s="4" t="s">
        <v>1645</v>
      </c>
      <c r="C1535" s="4" t="s">
        <v>1143</v>
      </c>
      <c r="D1535" s="4" t="s">
        <v>1098</v>
      </c>
      <c r="E1535" s="15">
        <v>45322.0</v>
      </c>
    </row>
    <row r="1536">
      <c r="A1536" s="4">
        <v>1536.0</v>
      </c>
      <c r="B1536" s="4" t="s">
        <v>1646</v>
      </c>
      <c r="C1536" s="4" t="s">
        <v>1143</v>
      </c>
      <c r="D1536" s="4" t="s">
        <v>1098</v>
      </c>
      <c r="E1536" s="15">
        <v>45322.0</v>
      </c>
    </row>
    <row r="1537">
      <c r="A1537" s="4">
        <v>1537.0</v>
      </c>
      <c r="B1537" s="4" t="s">
        <v>1645</v>
      </c>
      <c r="C1537" s="4" t="s">
        <v>1143</v>
      </c>
      <c r="D1537" s="4" t="s">
        <v>1098</v>
      </c>
      <c r="E1537" s="15">
        <v>45322.0</v>
      </c>
    </row>
    <row r="1538">
      <c r="A1538" s="4">
        <v>1538.0</v>
      </c>
      <c r="B1538" s="4" t="s">
        <v>1647</v>
      </c>
      <c r="C1538" s="4" t="s">
        <v>1143</v>
      </c>
      <c r="D1538" s="4" t="s">
        <v>1098</v>
      </c>
      <c r="E1538" s="15">
        <v>45322.0</v>
      </c>
    </row>
    <row r="1539">
      <c r="A1539" s="4">
        <v>1539.0</v>
      </c>
      <c r="B1539" s="4" t="s">
        <v>1267</v>
      </c>
      <c r="C1539" s="4" t="s">
        <v>1143</v>
      </c>
      <c r="D1539" s="4" t="s">
        <v>1098</v>
      </c>
      <c r="E1539" s="15">
        <v>45322.0</v>
      </c>
    </row>
    <row r="1540">
      <c r="A1540" s="4">
        <v>1540.0</v>
      </c>
      <c r="B1540" s="4" t="s">
        <v>1634</v>
      </c>
      <c r="C1540" s="4" t="s">
        <v>1462</v>
      </c>
      <c r="D1540" s="4" t="s">
        <v>1098</v>
      </c>
      <c r="E1540" s="15">
        <v>45322.0</v>
      </c>
    </row>
    <row r="1541">
      <c r="A1541" s="4">
        <v>1541.0</v>
      </c>
      <c r="B1541" s="4" t="s">
        <v>1647</v>
      </c>
      <c r="C1541" s="4" t="s">
        <v>1138</v>
      </c>
      <c r="D1541" s="4" t="s">
        <v>1098</v>
      </c>
      <c r="E1541" s="15">
        <v>45322.0</v>
      </c>
    </row>
    <row r="1542">
      <c r="A1542" s="4">
        <v>1542.0</v>
      </c>
      <c r="B1542" s="4" t="s">
        <v>1643</v>
      </c>
      <c r="C1542" s="4" t="s">
        <v>1648</v>
      </c>
      <c r="D1542" s="4" t="s">
        <v>1120</v>
      </c>
      <c r="E1542" s="15">
        <v>45322.0</v>
      </c>
    </row>
    <row r="1543">
      <c r="A1543" s="4">
        <v>1543.0</v>
      </c>
      <c r="B1543" s="4" t="s">
        <v>1643</v>
      </c>
      <c r="C1543" s="4" t="s">
        <v>1559</v>
      </c>
      <c r="D1543" s="4" t="s">
        <v>1120</v>
      </c>
      <c r="E1543" s="15">
        <v>45322.0</v>
      </c>
    </row>
    <row r="1544">
      <c r="A1544" s="4">
        <v>1544.0</v>
      </c>
      <c r="B1544" s="4" t="s">
        <v>1150</v>
      </c>
      <c r="C1544" s="4" t="s">
        <v>1610</v>
      </c>
      <c r="D1544" s="4" t="s">
        <v>1098</v>
      </c>
      <c r="E1544" s="15">
        <v>45321.0</v>
      </c>
    </row>
    <row r="1545">
      <c r="A1545" s="4">
        <v>1545.0</v>
      </c>
      <c r="B1545" s="4" t="s">
        <v>1150</v>
      </c>
      <c r="C1545" s="4" t="s">
        <v>1207</v>
      </c>
      <c r="D1545" s="4" t="s">
        <v>1098</v>
      </c>
      <c r="E1545" s="15">
        <v>45321.0</v>
      </c>
    </row>
    <row r="1546">
      <c r="A1546" s="4">
        <v>1546.0</v>
      </c>
      <c r="B1546" s="4" t="s">
        <v>1150</v>
      </c>
      <c r="C1546" s="4" t="s">
        <v>1207</v>
      </c>
      <c r="D1546" s="4" t="s">
        <v>1098</v>
      </c>
      <c r="E1546" s="15">
        <v>45321.0</v>
      </c>
    </row>
    <row r="1547">
      <c r="A1547" s="4">
        <v>1547.0</v>
      </c>
      <c r="B1547" s="4" t="s">
        <v>1568</v>
      </c>
      <c r="C1547" s="4" t="s">
        <v>1143</v>
      </c>
      <c r="D1547" s="4" t="s">
        <v>1098</v>
      </c>
      <c r="E1547" s="15">
        <v>45321.0</v>
      </c>
    </row>
    <row r="1548">
      <c r="A1548" s="4">
        <v>1548.0</v>
      </c>
      <c r="B1548" s="4" t="s">
        <v>1649</v>
      </c>
      <c r="C1548" s="4" t="s">
        <v>1143</v>
      </c>
      <c r="D1548" s="4" t="s">
        <v>1098</v>
      </c>
      <c r="E1548" s="15">
        <v>45321.0</v>
      </c>
    </row>
    <row r="1549">
      <c r="A1549" s="4">
        <v>1549.0</v>
      </c>
      <c r="B1549" s="4" t="s">
        <v>1650</v>
      </c>
      <c r="C1549" s="4" t="s">
        <v>1143</v>
      </c>
      <c r="D1549" s="4" t="s">
        <v>1098</v>
      </c>
      <c r="E1549" s="15">
        <v>45321.0</v>
      </c>
    </row>
    <row r="1550">
      <c r="A1550" s="4">
        <v>1550.0</v>
      </c>
      <c r="B1550" s="4" t="s">
        <v>1568</v>
      </c>
      <c r="C1550" s="4" t="s">
        <v>1143</v>
      </c>
      <c r="D1550" s="4" t="s">
        <v>1098</v>
      </c>
      <c r="E1550" s="15">
        <v>45321.0</v>
      </c>
    </row>
    <row r="1551">
      <c r="A1551" s="4">
        <v>1551.0</v>
      </c>
      <c r="B1551" s="4" t="s">
        <v>1651</v>
      </c>
      <c r="C1551" s="4" t="s">
        <v>1652</v>
      </c>
      <c r="D1551" s="4" t="s">
        <v>1120</v>
      </c>
      <c r="E1551" s="15">
        <v>45321.0</v>
      </c>
    </row>
    <row r="1552">
      <c r="A1552" s="4">
        <v>1552.0</v>
      </c>
      <c r="B1552" s="4" t="s">
        <v>1242</v>
      </c>
      <c r="C1552" s="4" t="s">
        <v>1589</v>
      </c>
      <c r="D1552" s="4" t="s">
        <v>1098</v>
      </c>
      <c r="E1552" s="15">
        <v>45321.0</v>
      </c>
    </row>
    <row r="1553">
      <c r="A1553" s="4">
        <v>1553.0</v>
      </c>
      <c r="B1553" s="4" t="s">
        <v>1653</v>
      </c>
      <c r="C1553" s="4" t="s">
        <v>1589</v>
      </c>
      <c r="D1553" s="4" t="s">
        <v>1098</v>
      </c>
      <c r="E1553" s="15">
        <v>45321.0</v>
      </c>
    </row>
    <row r="1554">
      <c r="A1554" s="4">
        <v>1554.0</v>
      </c>
      <c r="B1554" s="4" t="s">
        <v>1654</v>
      </c>
      <c r="C1554" s="4" t="s">
        <v>1273</v>
      </c>
      <c r="D1554" s="4" t="s">
        <v>1098</v>
      </c>
      <c r="E1554" s="15">
        <v>45321.0</v>
      </c>
    </row>
    <row r="1555">
      <c r="A1555" s="4">
        <v>1555.0</v>
      </c>
      <c r="B1555" s="4" t="s">
        <v>1291</v>
      </c>
      <c r="C1555" s="4" t="s">
        <v>1559</v>
      </c>
      <c r="D1555" s="4" t="s">
        <v>1120</v>
      </c>
      <c r="E1555" s="15">
        <v>45321.0</v>
      </c>
    </row>
    <row r="1556">
      <c r="A1556" s="4">
        <v>1556.0</v>
      </c>
      <c r="B1556" s="4" t="s">
        <v>1242</v>
      </c>
      <c r="C1556" s="4" t="s">
        <v>1559</v>
      </c>
      <c r="D1556" s="4" t="s">
        <v>1120</v>
      </c>
      <c r="E1556" s="15">
        <v>45321.0</v>
      </c>
    </row>
    <row r="1557">
      <c r="A1557" s="4">
        <v>1557.0</v>
      </c>
      <c r="B1557" s="4" t="s">
        <v>1242</v>
      </c>
      <c r="C1557" s="4" t="s">
        <v>1655</v>
      </c>
      <c r="D1557" s="4" t="s">
        <v>1120</v>
      </c>
      <c r="E1557" s="15">
        <v>45321.0</v>
      </c>
    </row>
    <row r="1558">
      <c r="A1558" s="4">
        <v>1558.0</v>
      </c>
      <c r="B1558" s="4" t="s">
        <v>1407</v>
      </c>
      <c r="C1558" s="4" t="s">
        <v>1610</v>
      </c>
      <c r="D1558" s="4" t="s">
        <v>1098</v>
      </c>
      <c r="E1558" s="15">
        <v>45320.0</v>
      </c>
    </row>
    <row r="1559">
      <c r="A1559" s="4">
        <v>1559.0</v>
      </c>
      <c r="B1559" s="4" t="s">
        <v>1656</v>
      </c>
      <c r="C1559" s="4" t="s">
        <v>1143</v>
      </c>
      <c r="D1559" s="4" t="s">
        <v>1098</v>
      </c>
      <c r="E1559" s="15">
        <v>45320.0</v>
      </c>
    </row>
    <row r="1560">
      <c r="A1560" s="4">
        <v>1560.0</v>
      </c>
      <c r="B1560" s="4" t="s">
        <v>1645</v>
      </c>
      <c r="C1560" s="4" t="s">
        <v>1143</v>
      </c>
      <c r="D1560" s="4" t="s">
        <v>1098</v>
      </c>
      <c r="E1560" s="15">
        <v>45320.0</v>
      </c>
    </row>
    <row r="1561">
      <c r="A1561" s="4">
        <v>1561.0</v>
      </c>
      <c r="B1561" s="4" t="s">
        <v>1657</v>
      </c>
      <c r="C1561" s="4" t="s">
        <v>1256</v>
      </c>
      <c r="D1561" s="4" t="s">
        <v>1098</v>
      </c>
      <c r="E1561" s="15">
        <v>45320.0</v>
      </c>
    </row>
    <row r="1562">
      <c r="A1562" s="4">
        <v>1562.0</v>
      </c>
      <c r="B1562" s="4" t="s">
        <v>1407</v>
      </c>
      <c r="C1562" s="4" t="s">
        <v>1610</v>
      </c>
      <c r="D1562" s="4" t="s">
        <v>1098</v>
      </c>
      <c r="E1562" s="15">
        <v>45319.0</v>
      </c>
    </row>
    <row r="1563">
      <c r="A1563" s="4">
        <v>1563.0</v>
      </c>
      <c r="B1563" s="4" t="s">
        <v>1150</v>
      </c>
      <c r="C1563" s="4" t="s">
        <v>1610</v>
      </c>
      <c r="D1563" s="4" t="s">
        <v>1098</v>
      </c>
      <c r="E1563" s="15">
        <v>45319.0</v>
      </c>
    </row>
    <row r="1564">
      <c r="A1564" s="4">
        <v>1564.0</v>
      </c>
      <c r="B1564" s="4" t="s">
        <v>1277</v>
      </c>
      <c r="C1564" s="4" t="s">
        <v>1207</v>
      </c>
      <c r="D1564" s="4" t="s">
        <v>1098</v>
      </c>
      <c r="E1564" s="15">
        <v>45319.0</v>
      </c>
    </row>
    <row r="1565">
      <c r="A1565" s="4">
        <v>1565.0</v>
      </c>
      <c r="B1565" s="4" t="s">
        <v>1658</v>
      </c>
      <c r="C1565" s="4" t="s">
        <v>1194</v>
      </c>
      <c r="D1565" s="4" t="s">
        <v>1098</v>
      </c>
      <c r="E1565" s="15">
        <v>45319.0</v>
      </c>
    </row>
    <row r="1566">
      <c r="A1566" s="4">
        <v>1566.0</v>
      </c>
      <c r="B1566" s="4" t="s">
        <v>1658</v>
      </c>
      <c r="C1566" s="4" t="s">
        <v>1099</v>
      </c>
      <c r="D1566" s="4" t="s">
        <v>1098</v>
      </c>
      <c r="E1566" s="15">
        <v>45319.0</v>
      </c>
    </row>
    <row r="1567">
      <c r="A1567" s="4">
        <v>1567.0</v>
      </c>
      <c r="B1567" s="4" t="s">
        <v>1277</v>
      </c>
      <c r="C1567" s="4" t="s">
        <v>1143</v>
      </c>
      <c r="D1567" s="4" t="s">
        <v>1098</v>
      </c>
      <c r="E1567" s="15">
        <v>45319.0</v>
      </c>
    </row>
    <row r="1568">
      <c r="A1568" s="4">
        <v>1568.0</v>
      </c>
      <c r="B1568" s="4" t="s">
        <v>1659</v>
      </c>
      <c r="C1568" s="4" t="s">
        <v>1565</v>
      </c>
      <c r="D1568" s="4" t="s">
        <v>1098</v>
      </c>
      <c r="E1568" s="15">
        <v>45318.0</v>
      </c>
    </row>
    <row r="1569">
      <c r="A1569" s="4">
        <v>1569.0</v>
      </c>
      <c r="B1569" s="4" t="s">
        <v>1177</v>
      </c>
      <c r="C1569" s="4" t="s">
        <v>1101</v>
      </c>
      <c r="D1569" s="4" t="s">
        <v>1098</v>
      </c>
      <c r="E1569" s="15">
        <v>45318.0</v>
      </c>
    </row>
    <row r="1570">
      <c r="A1570" s="4">
        <v>1570.0</v>
      </c>
      <c r="B1570" s="4" t="s">
        <v>1150</v>
      </c>
      <c r="C1570" s="4" t="s">
        <v>1520</v>
      </c>
      <c r="D1570" s="4" t="s">
        <v>1098</v>
      </c>
      <c r="E1570" s="15">
        <v>45317.0</v>
      </c>
    </row>
    <row r="1571">
      <c r="A1571" s="4">
        <v>1571.0</v>
      </c>
      <c r="B1571" s="4" t="s">
        <v>1267</v>
      </c>
      <c r="C1571" s="4" t="s">
        <v>1610</v>
      </c>
      <c r="D1571" s="4" t="s">
        <v>1098</v>
      </c>
      <c r="E1571" s="15">
        <v>45317.0</v>
      </c>
    </row>
    <row r="1572">
      <c r="A1572" s="4">
        <v>1572.0</v>
      </c>
      <c r="B1572" s="4" t="s">
        <v>1519</v>
      </c>
      <c r="C1572" s="4" t="s">
        <v>1610</v>
      </c>
      <c r="D1572" s="4" t="s">
        <v>1098</v>
      </c>
      <c r="E1572" s="15">
        <v>45317.0</v>
      </c>
    </row>
    <row r="1573">
      <c r="A1573" s="4">
        <v>1573.0</v>
      </c>
      <c r="B1573" s="4" t="s">
        <v>1647</v>
      </c>
      <c r="C1573" s="4" t="s">
        <v>1610</v>
      </c>
      <c r="D1573" s="4" t="s">
        <v>1098</v>
      </c>
      <c r="E1573" s="15">
        <v>45317.0</v>
      </c>
    </row>
    <row r="1574">
      <c r="A1574" s="4">
        <v>1574.0</v>
      </c>
      <c r="B1574" s="4" t="s">
        <v>1660</v>
      </c>
      <c r="C1574" s="4" t="s">
        <v>1141</v>
      </c>
      <c r="D1574" s="4" t="s">
        <v>1098</v>
      </c>
      <c r="E1574" s="15">
        <v>45317.0</v>
      </c>
    </row>
    <row r="1575">
      <c r="A1575" s="4">
        <v>1575.0</v>
      </c>
      <c r="B1575" s="4" t="s">
        <v>1661</v>
      </c>
      <c r="C1575" s="4" t="s">
        <v>1101</v>
      </c>
      <c r="D1575" s="4" t="s">
        <v>1098</v>
      </c>
      <c r="E1575" s="15">
        <v>45317.0</v>
      </c>
    </row>
    <row r="1576">
      <c r="A1576" s="4">
        <v>1576.0</v>
      </c>
      <c r="B1576" s="4" t="s">
        <v>1660</v>
      </c>
      <c r="C1576" s="4" t="s">
        <v>1101</v>
      </c>
      <c r="D1576" s="4" t="s">
        <v>1098</v>
      </c>
      <c r="E1576" s="15">
        <v>45317.0</v>
      </c>
    </row>
    <row r="1577">
      <c r="A1577" s="4">
        <v>1577.0</v>
      </c>
      <c r="B1577" s="4" t="s">
        <v>1660</v>
      </c>
      <c r="C1577" s="4" t="s">
        <v>1143</v>
      </c>
      <c r="D1577" s="4" t="s">
        <v>1098</v>
      </c>
      <c r="E1577" s="15">
        <v>45317.0</v>
      </c>
    </row>
    <row r="1578">
      <c r="A1578" s="4">
        <v>1578.0</v>
      </c>
      <c r="B1578" s="4" t="s">
        <v>1661</v>
      </c>
      <c r="C1578" s="4" t="s">
        <v>1143</v>
      </c>
      <c r="D1578" s="4" t="s">
        <v>1098</v>
      </c>
      <c r="E1578" s="15">
        <v>45317.0</v>
      </c>
    </row>
    <row r="1579">
      <c r="A1579" s="4">
        <v>1579.0</v>
      </c>
      <c r="B1579" s="4" t="s">
        <v>1607</v>
      </c>
      <c r="C1579" s="4" t="s">
        <v>1184</v>
      </c>
      <c r="D1579" s="4" t="s">
        <v>1098</v>
      </c>
      <c r="E1579" s="15">
        <v>45317.0</v>
      </c>
    </row>
    <row r="1580">
      <c r="A1580" s="4">
        <v>1580.0</v>
      </c>
      <c r="B1580" s="4" t="s">
        <v>1607</v>
      </c>
      <c r="C1580" s="4" t="s">
        <v>1575</v>
      </c>
      <c r="D1580" s="4" t="s">
        <v>1098</v>
      </c>
      <c r="E1580" s="15">
        <v>45317.0</v>
      </c>
    </row>
    <row r="1581">
      <c r="A1581" s="4">
        <v>1581.0</v>
      </c>
      <c r="B1581" s="4" t="s">
        <v>1607</v>
      </c>
      <c r="C1581" s="4" t="s">
        <v>1138</v>
      </c>
      <c r="D1581" s="4" t="s">
        <v>1098</v>
      </c>
      <c r="E1581" s="15">
        <v>45317.0</v>
      </c>
    </row>
    <row r="1582">
      <c r="A1582" s="4">
        <v>1582.0</v>
      </c>
      <c r="B1582" s="4" t="s">
        <v>1607</v>
      </c>
      <c r="C1582" s="4" t="s">
        <v>1421</v>
      </c>
      <c r="D1582" s="4" t="s">
        <v>1098</v>
      </c>
      <c r="E1582" s="15">
        <v>45317.0</v>
      </c>
    </row>
    <row r="1583">
      <c r="A1583" s="4">
        <v>1583.0</v>
      </c>
      <c r="B1583" s="4" t="s">
        <v>1607</v>
      </c>
      <c r="C1583" s="4" t="s">
        <v>1579</v>
      </c>
      <c r="D1583" s="4" t="s">
        <v>1098</v>
      </c>
      <c r="E1583" s="15">
        <v>45317.0</v>
      </c>
    </row>
    <row r="1584">
      <c r="A1584" s="4">
        <v>1584.0</v>
      </c>
      <c r="B1584" s="4" t="s">
        <v>1607</v>
      </c>
      <c r="C1584" s="4" t="s">
        <v>1556</v>
      </c>
      <c r="D1584" s="4" t="s">
        <v>1098</v>
      </c>
      <c r="E1584" s="15">
        <v>45317.0</v>
      </c>
    </row>
    <row r="1585">
      <c r="A1585" s="4">
        <v>1585.0</v>
      </c>
      <c r="B1585" s="4" t="s">
        <v>1166</v>
      </c>
      <c r="C1585" s="4" t="s">
        <v>1662</v>
      </c>
      <c r="D1585" s="4" t="s">
        <v>1098</v>
      </c>
      <c r="E1585" s="15">
        <v>45317.0</v>
      </c>
    </row>
    <row r="1586">
      <c r="A1586" s="4">
        <v>1586.0</v>
      </c>
      <c r="B1586" s="4" t="s">
        <v>1166</v>
      </c>
      <c r="C1586" s="4" t="s">
        <v>1624</v>
      </c>
      <c r="D1586" s="4" t="s">
        <v>1098</v>
      </c>
      <c r="E1586" s="15">
        <v>45317.0</v>
      </c>
    </row>
    <row r="1587">
      <c r="A1587" s="4">
        <v>1587.0</v>
      </c>
      <c r="B1587" s="4" t="s">
        <v>1663</v>
      </c>
      <c r="C1587" s="4" t="s">
        <v>1589</v>
      </c>
      <c r="D1587" s="4" t="s">
        <v>1098</v>
      </c>
      <c r="E1587" s="15">
        <v>45317.0</v>
      </c>
    </row>
    <row r="1588">
      <c r="A1588" s="4">
        <v>1588.0</v>
      </c>
      <c r="B1588" s="4" t="s">
        <v>1663</v>
      </c>
      <c r="C1588" s="4" t="s">
        <v>1641</v>
      </c>
      <c r="D1588" s="4" t="s">
        <v>1098</v>
      </c>
      <c r="E1588" s="15">
        <v>45317.0</v>
      </c>
    </row>
    <row r="1589">
      <c r="A1589" s="4">
        <v>1589.0</v>
      </c>
      <c r="B1589" s="4" t="s">
        <v>1647</v>
      </c>
      <c r="C1589" s="4" t="s">
        <v>1582</v>
      </c>
      <c r="D1589" s="4" t="s">
        <v>1098</v>
      </c>
      <c r="E1589" s="15">
        <v>45316.0</v>
      </c>
    </row>
    <row r="1590">
      <c r="A1590" s="4">
        <v>1590.0</v>
      </c>
      <c r="B1590" s="4" t="s">
        <v>1647</v>
      </c>
      <c r="C1590" s="4" t="s">
        <v>1582</v>
      </c>
      <c r="D1590" s="4" t="s">
        <v>1098</v>
      </c>
      <c r="E1590" s="15">
        <v>45316.0</v>
      </c>
    </row>
    <row r="1591">
      <c r="A1591" s="4">
        <v>1591.0</v>
      </c>
      <c r="B1591" s="4" t="s">
        <v>1664</v>
      </c>
      <c r="C1591" s="4" t="s">
        <v>1207</v>
      </c>
      <c r="D1591" s="4" t="s">
        <v>1098</v>
      </c>
      <c r="E1591" s="15">
        <v>45316.0</v>
      </c>
    </row>
    <row r="1592">
      <c r="A1592" s="4">
        <v>1592.0</v>
      </c>
      <c r="B1592" s="4" t="s">
        <v>1665</v>
      </c>
      <c r="C1592" s="4" t="s">
        <v>1097</v>
      </c>
      <c r="D1592" s="4" t="s">
        <v>1098</v>
      </c>
      <c r="E1592" s="15">
        <v>45316.0</v>
      </c>
    </row>
    <row r="1593">
      <c r="A1593" s="4">
        <v>1593.0</v>
      </c>
      <c r="B1593" s="4" t="s">
        <v>1666</v>
      </c>
      <c r="C1593" s="4" t="s">
        <v>1099</v>
      </c>
      <c r="D1593" s="4" t="s">
        <v>1098</v>
      </c>
      <c r="E1593" s="15">
        <v>45316.0</v>
      </c>
    </row>
    <row r="1594">
      <c r="A1594" s="4">
        <v>1594.0</v>
      </c>
      <c r="B1594" s="4" t="s">
        <v>1667</v>
      </c>
      <c r="C1594" s="4" t="s">
        <v>1143</v>
      </c>
      <c r="D1594" s="4" t="s">
        <v>1098</v>
      </c>
      <c r="E1594" s="15">
        <v>45316.0</v>
      </c>
    </row>
    <row r="1595">
      <c r="A1595" s="4">
        <v>1595.0</v>
      </c>
      <c r="B1595" s="4" t="s">
        <v>1664</v>
      </c>
      <c r="C1595" s="4" t="s">
        <v>1143</v>
      </c>
      <c r="D1595" s="4" t="s">
        <v>1098</v>
      </c>
      <c r="E1595" s="15">
        <v>45316.0</v>
      </c>
    </row>
    <row r="1596">
      <c r="A1596" s="4">
        <v>1596.0</v>
      </c>
      <c r="B1596" s="4" t="s">
        <v>1667</v>
      </c>
      <c r="C1596" s="4" t="s">
        <v>1143</v>
      </c>
      <c r="D1596" s="4" t="s">
        <v>1098</v>
      </c>
      <c r="E1596" s="15">
        <v>45316.0</v>
      </c>
    </row>
    <row r="1597">
      <c r="A1597" s="4">
        <v>1597.0</v>
      </c>
      <c r="B1597" s="4" t="s">
        <v>1664</v>
      </c>
      <c r="C1597" s="4" t="s">
        <v>1184</v>
      </c>
      <c r="D1597" s="4" t="s">
        <v>1098</v>
      </c>
      <c r="E1597" s="15">
        <v>45316.0</v>
      </c>
    </row>
    <row r="1598">
      <c r="A1598" s="4">
        <v>1598.0</v>
      </c>
      <c r="B1598" s="4" t="s">
        <v>1664</v>
      </c>
      <c r="C1598" s="4" t="s">
        <v>1574</v>
      </c>
      <c r="D1598" s="4" t="s">
        <v>1098</v>
      </c>
      <c r="E1598" s="15">
        <v>45316.0</v>
      </c>
    </row>
    <row r="1599">
      <c r="A1599" s="4">
        <v>1599.0</v>
      </c>
      <c r="B1599" s="4" t="s">
        <v>1664</v>
      </c>
      <c r="C1599" s="4" t="s">
        <v>1574</v>
      </c>
      <c r="D1599" s="4" t="s">
        <v>1098</v>
      </c>
      <c r="E1599" s="15">
        <v>45316.0</v>
      </c>
    </row>
    <row r="1600">
      <c r="A1600" s="4">
        <v>1600.0</v>
      </c>
      <c r="B1600" s="4" t="s">
        <v>1664</v>
      </c>
      <c r="C1600" s="4" t="s">
        <v>1584</v>
      </c>
      <c r="D1600" s="4" t="s">
        <v>1098</v>
      </c>
      <c r="E1600" s="15">
        <v>45316.0</v>
      </c>
    </row>
    <row r="1601">
      <c r="A1601" s="4">
        <v>1601.0</v>
      </c>
      <c r="B1601" s="4" t="s">
        <v>1664</v>
      </c>
      <c r="C1601" s="4" t="s">
        <v>1575</v>
      </c>
      <c r="D1601" s="4" t="s">
        <v>1098</v>
      </c>
      <c r="E1601" s="15">
        <v>45316.0</v>
      </c>
    </row>
    <row r="1602">
      <c r="A1602" s="4">
        <v>1602.0</v>
      </c>
      <c r="B1602" s="4" t="s">
        <v>1664</v>
      </c>
      <c r="C1602" s="4" t="s">
        <v>1419</v>
      </c>
      <c r="D1602" s="4" t="s">
        <v>1098</v>
      </c>
      <c r="E1602" s="15">
        <v>45316.0</v>
      </c>
    </row>
    <row r="1603">
      <c r="A1603" s="4">
        <v>1603.0</v>
      </c>
      <c r="B1603" s="4" t="s">
        <v>1664</v>
      </c>
      <c r="C1603" s="4" t="s">
        <v>1138</v>
      </c>
      <c r="D1603" s="4" t="s">
        <v>1098</v>
      </c>
      <c r="E1603" s="15">
        <v>45316.0</v>
      </c>
    </row>
    <row r="1604">
      <c r="A1604" s="4">
        <v>1604.0</v>
      </c>
      <c r="B1604" s="4" t="s">
        <v>1664</v>
      </c>
      <c r="C1604" s="4" t="s">
        <v>1586</v>
      </c>
      <c r="D1604" s="4" t="s">
        <v>1098</v>
      </c>
      <c r="E1604" s="15">
        <v>45316.0</v>
      </c>
    </row>
    <row r="1605">
      <c r="A1605" s="4">
        <v>1605.0</v>
      </c>
      <c r="B1605" s="4" t="s">
        <v>1664</v>
      </c>
      <c r="C1605" s="4" t="s">
        <v>1587</v>
      </c>
      <c r="D1605" s="4" t="s">
        <v>1098</v>
      </c>
      <c r="E1605" s="15">
        <v>45316.0</v>
      </c>
    </row>
    <row r="1606">
      <c r="A1606" s="4">
        <v>1606.0</v>
      </c>
      <c r="B1606" s="4" t="s">
        <v>1664</v>
      </c>
      <c r="C1606" s="4" t="s">
        <v>1576</v>
      </c>
      <c r="D1606" s="4" t="s">
        <v>1098</v>
      </c>
      <c r="E1606" s="15">
        <v>45316.0</v>
      </c>
    </row>
    <row r="1607">
      <c r="A1607" s="4">
        <v>1607.0</v>
      </c>
      <c r="B1607" s="4" t="s">
        <v>1664</v>
      </c>
      <c r="C1607" s="4" t="s">
        <v>1421</v>
      </c>
      <c r="D1607" s="4" t="s">
        <v>1098</v>
      </c>
      <c r="E1607" s="15">
        <v>45316.0</v>
      </c>
    </row>
    <row r="1608">
      <c r="A1608" s="4">
        <v>1608.0</v>
      </c>
      <c r="B1608" s="4" t="s">
        <v>1664</v>
      </c>
      <c r="C1608" s="4" t="s">
        <v>1423</v>
      </c>
      <c r="D1608" s="4" t="s">
        <v>1098</v>
      </c>
      <c r="E1608" s="15">
        <v>45316.0</v>
      </c>
    </row>
    <row r="1609">
      <c r="A1609" s="4">
        <v>1609.0</v>
      </c>
      <c r="B1609" s="4" t="s">
        <v>1664</v>
      </c>
      <c r="C1609" s="4" t="s">
        <v>1579</v>
      </c>
      <c r="D1609" s="4" t="s">
        <v>1098</v>
      </c>
      <c r="E1609" s="15">
        <v>45316.0</v>
      </c>
    </row>
    <row r="1610">
      <c r="A1610" s="4">
        <v>1610.0</v>
      </c>
      <c r="B1610" s="4" t="s">
        <v>1664</v>
      </c>
      <c r="C1610" s="4" t="s">
        <v>1579</v>
      </c>
      <c r="D1610" s="4" t="s">
        <v>1098</v>
      </c>
      <c r="E1610" s="15">
        <v>45316.0</v>
      </c>
    </row>
    <row r="1611">
      <c r="A1611" s="4">
        <v>1611.0</v>
      </c>
      <c r="B1611" s="4" t="s">
        <v>1664</v>
      </c>
      <c r="C1611" s="4" t="s">
        <v>1556</v>
      </c>
      <c r="D1611" s="4" t="s">
        <v>1098</v>
      </c>
      <c r="E1611" s="15">
        <v>45316.0</v>
      </c>
    </row>
    <row r="1612">
      <c r="A1612" s="4">
        <v>1612.0</v>
      </c>
      <c r="B1612" s="4" t="s">
        <v>1668</v>
      </c>
      <c r="C1612" s="4" t="s">
        <v>1669</v>
      </c>
      <c r="D1612" s="4" t="s">
        <v>1098</v>
      </c>
      <c r="E1612" s="15">
        <v>45316.0</v>
      </c>
    </row>
    <row r="1613">
      <c r="A1613" s="4">
        <v>1613.0</v>
      </c>
      <c r="B1613" s="4" t="s">
        <v>1664</v>
      </c>
      <c r="C1613" s="4" t="s">
        <v>1580</v>
      </c>
      <c r="D1613" s="4" t="s">
        <v>1098</v>
      </c>
      <c r="E1613" s="15">
        <v>45316.0</v>
      </c>
    </row>
    <row r="1614">
      <c r="A1614" s="4">
        <v>1614.0</v>
      </c>
      <c r="B1614" s="4" t="s">
        <v>1668</v>
      </c>
      <c r="C1614" s="4" t="s">
        <v>1670</v>
      </c>
      <c r="D1614" s="4" t="s">
        <v>1098</v>
      </c>
      <c r="E1614" s="15">
        <v>45316.0</v>
      </c>
    </row>
    <row r="1615">
      <c r="A1615" s="4">
        <v>1615.0</v>
      </c>
      <c r="B1615" s="4" t="s">
        <v>1664</v>
      </c>
      <c r="C1615" s="4" t="s">
        <v>1548</v>
      </c>
      <c r="D1615" s="4" t="s">
        <v>1098</v>
      </c>
      <c r="E1615" s="15">
        <v>45316.0</v>
      </c>
    </row>
    <row r="1616">
      <c r="A1616" s="4">
        <v>1616.0</v>
      </c>
      <c r="B1616" s="4" t="s">
        <v>1647</v>
      </c>
      <c r="C1616" s="4" t="s">
        <v>1589</v>
      </c>
      <c r="D1616" s="4" t="s">
        <v>1098</v>
      </c>
      <c r="E1616" s="15">
        <v>45316.0</v>
      </c>
    </row>
    <row r="1617">
      <c r="A1617" s="4">
        <v>1617.0</v>
      </c>
      <c r="B1617" s="4" t="s">
        <v>1664</v>
      </c>
      <c r="C1617" s="4" t="s">
        <v>1641</v>
      </c>
      <c r="D1617" s="4" t="s">
        <v>1098</v>
      </c>
      <c r="E1617" s="15">
        <v>45316.0</v>
      </c>
    </row>
    <row r="1618">
      <c r="A1618" s="4">
        <v>1618.0</v>
      </c>
      <c r="B1618" s="4" t="s">
        <v>1647</v>
      </c>
      <c r="C1618" s="4" t="s">
        <v>1377</v>
      </c>
      <c r="D1618" s="4" t="s">
        <v>1098</v>
      </c>
      <c r="E1618" s="15">
        <v>45316.0</v>
      </c>
    </row>
    <row r="1619">
      <c r="A1619" s="4">
        <v>1619.0</v>
      </c>
      <c r="B1619" s="4" t="s">
        <v>1647</v>
      </c>
      <c r="C1619" s="4" t="s">
        <v>1377</v>
      </c>
      <c r="D1619" s="4" t="s">
        <v>1098</v>
      </c>
      <c r="E1619" s="15">
        <v>45316.0</v>
      </c>
    </row>
    <row r="1620">
      <c r="A1620" s="4">
        <v>1620.0</v>
      </c>
      <c r="B1620" s="4" t="s">
        <v>1671</v>
      </c>
      <c r="C1620" s="4" t="s">
        <v>1582</v>
      </c>
      <c r="D1620" s="4" t="s">
        <v>1098</v>
      </c>
      <c r="E1620" s="15">
        <v>45315.0</v>
      </c>
    </row>
    <row r="1621">
      <c r="A1621" s="4">
        <v>1621.0</v>
      </c>
      <c r="B1621" s="4" t="s">
        <v>1672</v>
      </c>
      <c r="C1621" s="4" t="s">
        <v>1141</v>
      </c>
      <c r="D1621" s="4" t="s">
        <v>1098</v>
      </c>
      <c r="E1621" s="15">
        <v>45315.0</v>
      </c>
    </row>
    <row r="1622">
      <c r="A1622" s="4">
        <v>1622.0</v>
      </c>
      <c r="B1622" s="4" t="s">
        <v>1673</v>
      </c>
      <c r="C1622" s="4" t="s">
        <v>1101</v>
      </c>
      <c r="D1622" s="4" t="s">
        <v>1098</v>
      </c>
      <c r="E1622" s="15">
        <v>45315.0</v>
      </c>
    </row>
    <row r="1623">
      <c r="A1623" s="4">
        <v>1623.0</v>
      </c>
      <c r="B1623" s="4" t="s">
        <v>1311</v>
      </c>
      <c r="C1623" s="4" t="s">
        <v>1143</v>
      </c>
      <c r="D1623" s="4" t="s">
        <v>1098</v>
      </c>
      <c r="E1623" s="15">
        <v>45315.0</v>
      </c>
    </row>
    <row r="1624">
      <c r="A1624" s="4">
        <v>1624.0</v>
      </c>
      <c r="B1624" s="4" t="s">
        <v>1519</v>
      </c>
      <c r="C1624" s="4" t="s">
        <v>1143</v>
      </c>
      <c r="D1624" s="4" t="s">
        <v>1098</v>
      </c>
      <c r="E1624" s="15">
        <v>45315.0</v>
      </c>
    </row>
    <row r="1625">
      <c r="A1625" s="4">
        <v>1625.0</v>
      </c>
      <c r="B1625" s="4" t="s">
        <v>1519</v>
      </c>
      <c r="C1625" s="4" t="s">
        <v>1143</v>
      </c>
      <c r="D1625" s="4" t="s">
        <v>1098</v>
      </c>
      <c r="E1625" s="15">
        <v>45315.0</v>
      </c>
    </row>
    <row r="1626">
      <c r="A1626" s="4">
        <v>1626.0</v>
      </c>
      <c r="B1626" s="4" t="s">
        <v>1519</v>
      </c>
      <c r="C1626" s="4" t="s">
        <v>1143</v>
      </c>
      <c r="D1626" s="4" t="s">
        <v>1098</v>
      </c>
      <c r="E1626" s="15">
        <v>45315.0</v>
      </c>
    </row>
    <row r="1627">
      <c r="A1627" s="4">
        <v>1627.0</v>
      </c>
      <c r="B1627" s="4" t="s">
        <v>1674</v>
      </c>
      <c r="C1627" s="4" t="s">
        <v>1143</v>
      </c>
      <c r="D1627" s="4" t="s">
        <v>1098</v>
      </c>
      <c r="E1627" s="15">
        <v>45315.0</v>
      </c>
    </row>
    <row r="1628">
      <c r="A1628" s="4">
        <v>1628.0</v>
      </c>
      <c r="B1628" s="4" t="s">
        <v>1675</v>
      </c>
      <c r="C1628" s="4" t="s">
        <v>1143</v>
      </c>
      <c r="D1628" s="4" t="s">
        <v>1098</v>
      </c>
      <c r="E1628" s="15">
        <v>45315.0</v>
      </c>
    </row>
    <row r="1629">
      <c r="A1629" s="4">
        <v>1629.0</v>
      </c>
      <c r="B1629" s="4" t="s">
        <v>1674</v>
      </c>
      <c r="C1629" s="4" t="s">
        <v>1184</v>
      </c>
      <c r="D1629" s="4" t="s">
        <v>1098</v>
      </c>
      <c r="E1629" s="15">
        <v>45315.0</v>
      </c>
    </row>
    <row r="1630">
      <c r="A1630" s="4">
        <v>1630.0</v>
      </c>
      <c r="B1630" s="4" t="s">
        <v>1676</v>
      </c>
      <c r="C1630" s="4" t="s">
        <v>1677</v>
      </c>
      <c r="D1630" s="4" t="s">
        <v>1098</v>
      </c>
      <c r="E1630" s="15">
        <v>45315.0</v>
      </c>
    </row>
    <row r="1631">
      <c r="A1631" s="4">
        <v>1631.0</v>
      </c>
      <c r="B1631" s="4" t="s">
        <v>1674</v>
      </c>
      <c r="C1631" s="4" t="s">
        <v>1574</v>
      </c>
      <c r="D1631" s="4" t="s">
        <v>1098</v>
      </c>
      <c r="E1631" s="15">
        <v>45315.0</v>
      </c>
    </row>
    <row r="1632">
      <c r="A1632" s="4">
        <v>1632.0</v>
      </c>
      <c r="B1632" s="4" t="s">
        <v>1678</v>
      </c>
      <c r="C1632" s="4" t="s">
        <v>1574</v>
      </c>
      <c r="D1632" s="4" t="s">
        <v>1098</v>
      </c>
      <c r="E1632" s="15">
        <v>45315.0</v>
      </c>
    </row>
    <row r="1633">
      <c r="A1633" s="4">
        <v>1633.0</v>
      </c>
      <c r="B1633" s="4" t="s">
        <v>1674</v>
      </c>
      <c r="C1633" s="4" t="s">
        <v>1584</v>
      </c>
      <c r="D1633" s="4" t="s">
        <v>1098</v>
      </c>
      <c r="E1633" s="15">
        <v>45315.0</v>
      </c>
    </row>
    <row r="1634">
      <c r="A1634" s="4">
        <v>1634.0</v>
      </c>
      <c r="B1634" s="4" t="s">
        <v>1674</v>
      </c>
      <c r="C1634" s="4" t="s">
        <v>1575</v>
      </c>
      <c r="D1634" s="4" t="s">
        <v>1098</v>
      </c>
      <c r="E1634" s="15">
        <v>45315.0</v>
      </c>
    </row>
    <row r="1635">
      <c r="A1635" s="4">
        <v>1635.0</v>
      </c>
      <c r="B1635" s="4" t="s">
        <v>1674</v>
      </c>
      <c r="C1635" s="4" t="s">
        <v>1419</v>
      </c>
      <c r="D1635" s="4" t="s">
        <v>1098</v>
      </c>
      <c r="E1635" s="15">
        <v>45315.0</v>
      </c>
    </row>
    <row r="1636">
      <c r="A1636" s="4">
        <v>1636.0</v>
      </c>
      <c r="B1636" s="4" t="s">
        <v>1674</v>
      </c>
      <c r="C1636" s="4" t="s">
        <v>1138</v>
      </c>
      <c r="D1636" s="4" t="s">
        <v>1098</v>
      </c>
      <c r="E1636" s="15">
        <v>45315.0</v>
      </c>
    </row>
    <row r="1637">
      <c r="A1637" s="4">
        <v>1637.0</v>
      </c>
      <c r="B1637" s="4" t="s">
        <v>1674</v>
      </c>
      <c r="C1637" s="4" t="s">
        <v>1138</v>
      </c>
      <c r="D1637" s="4" t="s">
        <v>1098</v>
      </c>
      <c r="E1637" s="15">
        <v>45315.0</v>
      </c>
    </row>
    <row r="1638">
      <c r="A1638" s="4">
        <v>1638.0</v>
      </c>
      <c r="B1638" s="4" t="s">
        <v>1674</v>
      </c>
      <c r="C1638" s="4" t="s">
        <v>1586</v>
      </c>
      <c r="D1638" s="4" t="s">
        <v>1098</v>
      </c>
      <c r="E1638" s="15">
        <v>45315.0</v>
      </c>
    </row>
    <row r="1639">
      <c r="A1639" s="4">
        <v>1639.0</v>
      </c>
      <c r="B1639" s="4" t="s">
        <v>1674</v>
      </c>
      <c r="C1639" s="4" t="s">
        <v>1586</v>
      </c>
      <c r="D1639" s="4" t="s">
        <v>1098</v>
      </c>
      <c r="E1639" s="15">
        <v>45315.0</v>
      </c>
    </row>
    <row r="1640">
      <c r="A1640" s="4">
        <v>1640.0</v>
      </c>
      <c r="B1640" s="4" t="s">
        <v>1674</v>
      </c>
      <c r="C1640" s="4" t="s">
        <v>1587</v>
      </c>
      <c r="D1640" s="4" t="s">
        <v>1098</v>
      </c>
      <c r="E1640" s="15">
        <v>45315.0</v>
      </c>
    </row>
    <row r="1641">
      <c r="A1641" s="4">
        <v>1641.0</v>
      </c>
      <c r="B1641" s="4" t="s">
        <v>1678</v>
      </c>
      <c r="C1641" s="4" t="s">
        <v>1576</v>
      </c>
      <c r="D1641" s="4" t="s">
        <v>1098</v>
      </c>
      <c r="E1641" s="15">
        <v>45315.0</v>
      </c>
    </row>
    <row r="1642">
      <c r="A1642" s="4">
        <v>1642.0</v>
      </c>
      <c r="B1642" s="4" t="s">
        <v>1674</v>
      </c>
      <c r="C1642" s="4" t="s">
        <v>1576</v>
      </c>
      <c r="D1642" s="4" t="s">
        <v>1098</v>
      </c>
      <c r="E1642" s="15">
        <v>45315.0</v>
      </c>
    </row>
    <row r="1643">
      <c r="A1643" s="4">
        <v>1643.0</v>
      </c>
      <c r="B1643" s="4" t="s">
        <v>1674</v>
      </c>
      <c r="C1643" s="4" t="s">
        <v>1421</v>
      </c>
      <c r="D1643" s="4" t="s">
        <v>1098</v>
      </c>
      <c r="E1643" s="15">
        <v>45315.0</v>
      </c>
    </row>
    <row r="1644">
      <c r="A1644" s="4">
        <v>1644.0</v>
      </c>
      <c r="B1644" s="4" t="s">
        <v>1674</v>
      </c>
      <c r="C1644" s="4" t="s">
        <v>1423</v>
      </c>
      <c r="D1644" s="4" t="s">
        <v>1098</v>
      </c>
      <c r="E1644" s="15">
        <v>45315.0</v>
      </c>
    </row>
    <row r="1645">
      <c r="A1645" s="4">
        <v>1645.0</v>
      </c>
      <c r="B1645" s="4" t="s">
        <v>1674</v>
      </c>
      <c r="C1645" s="4" t="s">
        <v>1579</v>
      </c>
      <c r="D1645" s="4" t="s">
        <v>1098</v>
      </c>
      <c r="E1645" s="15">
        <v>45315.0</v>
      </c>
    </row>
    <row r="1646">
      <c r="A1646" s="4">
        <v>1646.0</v>
      </c>
      <c r="B1646" s="4" t="s">
        <v>1674</v>
      </c>
      <c r="C1646" s="4" t="s">
        <v>1556</v>
      </c>
      <c r="D1646" s="4" t="s">
        <v>1098</v>
      </c>
      <c r="E1646" s="15">
        <v>45315.0</v>
      </c>
    </row>
    <row r="1647">
      <c r="A1647" s="4">
        <v>1647.0</v>
      </c>
      <c r="B1647" s="4" t="s">
        <v>1674</v>
      </c>
      <c r="C1647" s="4" t="s">
        <v>1556</v>
      </c>
      <c r="D1647" s="4" t="s">
        <v>1098</v>
      </c>
      <c r="E1647" s="15">
        <v>45315.0</v>
      </c>
    </row>
    <row r="1648">
      <c r="A1648" s="4">
        <v>1648.0</v>
      </c>
      <c r="B1648" s="4" t="s">
        <v>1674</v>
      </c>
      <c r="C1648" s="4" t="s">
        <v>1556</v>
      </c>
      <c r="D1648" s="4" t="s">
        <v>1098</v>
      </c>
      <c r="E1648" s="15">
        <v>45315.0</v>
      </c>
    </row>
    <row r="1649">
      <c r="A1649" s="4">
        <v>1649.0</v>
      </c>
      <c r="B1649" s="4" t="s">
        <v>1674</v>
      </c>
      <c r="C1649" s="4" t="s">
        <v>1556</v>
      </c>
      <c r="D1649" s="4" t="s">
        <v>1098</v>
      </c>
      <c r="E1649" s="15">
        <v>45315.0</v>
      </c>
    </row>
    <row r="1650">
      <c r="A1650" s="4">
        <v>1650.0</v>
      </c>
      <c r="B1650" s="4" t="s">
        <v>1678</v>
      </c>
      <c r="C1650" s="4" t="s">
        <v>1580</v>
      </c>
      <c r="D1650" s="4" t="s">
        <v>1098</v>
      </c>
      <c r="E1650" s="15">
        <v>45315.0</v>
      </c>
    </row>
    <row r="1651">
      <c r="A1651" s="4">
        <v>1651.0</v>
      </c>
      <c r="B1651" s="4" t="s">
        <v>1674</v>
      </c>
      <c r="C1651" s="4" t="s">
        <v>1580</v>
      </c>
      <c r="D1651" s="4" t="s">
        <v>1098</v>
      </c>
      <c r="E1651" s="15">
        <v>45315.0</v>
      </c>
    </row>
    <row r="1652">
      <c r="A1652" s="4">
        <v>1652.0</v>
      </c>
      <c r="B1652" s="4" t="s">
        <v>1678</v>
      </c>
      <c r="C1652" s="4" t="s">
        <v>1548</v>
      </c>
      <c r="D1652" s="4" t="s">
        <v>1098</v>
      </c>
      <c r="E1652" s="15">
        <v>45315.0</v>
      </c>
    </row>
    <row r="1653">
      <c r="A1653" s="4">
        <v>1653.0</v>
      </c>
      <c r="B1653" s="4" t="s">
        <v>1674</v>
      </c>
      <c r="C1653" s="4" t="s">
        <v>1548</v>
      </c>
      <c r="D1653" s="4" t="s">
        <v>1098</v>
      </c>
      <c r="E1653" s="15">
        <v>45315.0</v>
      </c>
    </row>
    <row r="1654">
      <c r="A1654" s="4">
        <v>1654.0</v>
      </c>
      <c r="B1654" s="4" t="s">
        <v>688</v>
      </c>
      <c r="C1654" s="4" t="s">
        <v>1652</v>
      </c>
      <c r="D1654" s="4" t="s">
        <v>1120</v>
      </c>
      <c r="E1654" s="15">
        <v>45315.0</v>
      </c>
    </row>
    <row r="1655">
      <c r="A1655" s="4">
        <v>1655.0</v>
      </c>
      <c r="B1655" s="4" t="s">
        <v>1679</v>
      </c>
      <c r="C1655" s="4" t="s">
        <v>1652</v>
      </c>
      <c r="D1655" s="4" t="s">
        <v>1120</v>
      </c>
      <c r="E1655" s="15">
        <v>45315.0</v>
      </c>
    </row>
    <row r="1656">
      <c r="A1656" s="4">
        <v>1656.0</v>
      </c>
      <c r="B1656" s="4" t="s">
        <v>1647</v>
      </c>
      <c r="C1656" s="4" t="s">
        <v>1652</v>
      </c>
      <c r="D1656" s="4" t="s">
        <v>1120</v>
      </c>
      <c r="E1656" s="15">
        <v>45315.0</v>
      </c>
    </row>
    <row r="1657">
      <c r="A1657" s="4">
        <v>1657.0</v>
      </c>
      <c r="B1657" s="4" t="s">
        <v>1671</v>
      </c>
      <c r="C1657" s="4" t="s">
        <v>1652</v>
      </c>
      <c r="D1657" s="4" t="s">
        <v>1120</v>
      </c>
      <c r="E1657" s="15">
        <v>45315.0</v>
      </c>
    </row>
    <row r="1658">
      <c r="A1658" s="4">
        <v>1658.0</v>
      </c>
      <c r="B1658" s="4" t="s">
        <v>1671</v>
      </c>
      <c r="C1658" s="4" t="s">
        <v>1652</v>
      </c>
      <c r="D1658" s="4" t="s">
        <v>1120</v>
      </c>
      <c r="E1658" s="15">
        <v>45315.0</v>
      </c>
    </row>
    <row r="1659">
      <c r="A1659" s="4">
        <v>1659.0</v>
      </c>
      <c r="B1659" s="4" t="s">
        <v>1647</v>
      </c>
      <c r="C1659" s="4" t="s">
        <v>1652</v>
      </c>
      <c r="D1659" s="4" t="s">
        <v>1120</v>
      </c>
      <c r="E1659" s="15">
        <v>45315.0</v>
      </c>
    </row>
    <row r="1660">
      <c r="A1660" s="4">
        <v>1660.0</v>
      </c>
      <c r="B1660" s="4" t="s">
        <v>1311</v>
      </c>
      <c r="C1660" s="4" t="s">
        <v>1652</v>
      </c>
      <c r="D1660" s="4" t="s">
        <v>1120</v>
      </c>
      <c r="E1660" s="15">
        <v>45315.0</v>
      </c>
    </row>
    <row r="1661">
      <c r="A1661" s="4">
        <v>1661.0</v>
      </c>
      <c r="B1661" s="4" t="s">
        <v>1311</v>
      </c>
      <c r="C1661" s="4" t="s">
        <v>1652</v>
      </c>
      <c r="D1661" s="4" t="s">
        <v>1120</v>
      </c>
      <c r="E1661" s="15">
        <v>45315.0</v>
      </c>
    </row>
    <row r="1662">
      <c r="A1662" s="4">
        <v>1662.0</v>
      </c>
      <c r="B1662" s="4" t="s">
        <v>1605</v>
      </c>
      <c r="C1662" s="4" t="s">
        <v>1595</v>
      </c>
      <c r="D1662" s="4" t="s">
        <v>1098</v>
      </c>
      <c r="E1662" s="15">
        <v>45315.0</v>
      </c>
    </row>
    <row r="1663">
      <c r="A1663" s="4">
        <v>1663.0</v>
      </c>
      <c r="B1663" s="4" t="s">
        <v>1680</v>
      </c>
      <c r="C1663" s="4" t="s">
        <v>1565</v>
      </c>
      <c r="D1663" s="4" t="s">
        <v>1098</v>
      </c>
      <c r="E1663" s="15">
        <v>45314.0</v>
      </c>
    </row>
    <row r="1664">
      <c r="A1664" s="4">
        <v>1664.0</v>
      </c>
      <c r="B1664" s="4" t="s">
        <v>1680</v>
      </c>
      <c r="C1664" s="4" t="s">
        <v>1565</v>
      </c>
      <c r="D1664" s="4" t="s">
        <v>1098</v>
      </c>
      <c r="E1664" s="15">
        <v>45314.0</v>
      </c>
    </row>
    <row r="1665">
      <c r="A1665" s="4">
        <v>1665.0</v>
      </c>
      <c r="B1665" s="4" t="s">
        <v>1672</v>
      </c>
      <c r="C1665" s="4" t="s">
        <v>1097</v>
      </c>
      <c r="D1665" s="4" t="s">
        <v>1098</v>
      </c>
      <c r="E1665" s="15">
        <v>45314.0</v>
      </c>
    </row>
    <row r="1666">
      <c r="A1666" s="4">
        <v>1666.0</v>
      </c>
      <c r="B1666" s="4" t="s">
        <v>1672</v>
      </c>
      <c r="C1666" s="4" t="s">
        <v>1099</v>
      </c>
      <c r="D1666" s="4" t="s">
        <v>1098</v>
      </c>
      <c r="E1666" s="15">
        <v>45314.0</v>
      </c>
    </row>
    <row r="1667">
      <c r="A1667" s="4">
        <v>1667.0</v>
      </c>
      <c r="B1667" s="4" t="s">
        <v>1672</v>
      </c>
      <c r="C1667" s="4" t="s">
        <v>1195</v>
      </c>
      <c r="D1667" s="4" t="s">
        <v>1098</v>
      </c>
      <c r="E1667" s="15">
        <v>45314.0</v>
      </c>
    </row>
    <row r="1668">
      <c r="A1668" s="4">
        <v>1668.0</v>
      </c>
      <c r="B1668" s="4" t="s">
        <v>1672</v>
      </c>
      <c r="C1668" s="4" t="s">
        <v>1168</v>
      </c>
      <c r="D1668" s="4" t="s">
        <v>1098</v>
      </c>
      <c r="E1668" s="15">
        <v>45314.0</v>
      </c>
    </row>
    <row r="1669">
      <c r="A1669" s="4">
        <v>1669.0</v>
      </c>
      <c r="B1669" s="4" t="s">
        <v>1681</v>
      </c>
      <c r="C1669" s="4" t="s">
        <v>1143</v>
      </c>
      <c r="D1669" s="4" t="s">
        <v>1098</v>
      </c>
      <c r="E1669" s="15">
        <v>45314.0</v>
      </c>
    </row>
    <row r="1670">
      <c r="A1670" s="4">
        <v>1670.0</v>
      </c>
      <c r="B1670" s="4" t="s">
        <v>1682</v>
      </c>
      <c r="C1670" s="4" t="s">
        <v>1137</v>
      </c>
      <c r="D1670" s="4" t="s">
        <v>1098</v>
      </c>
      <c r="E1670" s="15">
        <v>45314.0</v>
      </c>
    </row>
    <row r="1671">
      <c r="A1671" s="4">
        <v>1671.0</v>
      </c>
      <c r="B1671" s="4" t="s">
        <v>1683</v>
      </c>
      <c r="C1671" s="4" t="s">
        <v>1138</v>
      </c>
      <c r="D1671" s="4" t="s">
        <v>1098</v>
      </c>
      <c r="E1671" s="15">
        <v>45314.0</v>
      </c>
    </row>
    <row r="1672">
      <c r="A1672" s="4">
        <v>1672.0</v>
      </c>
      <c r="B1672" s="4" t="s">
        <v>1672</v>
      </c>
      <c r="C1672" s="4" t="s">
        <v>1595</v>
      </c>
      <c r="D1672" s="4" t="s">
        <v>1098</v>
      </c>
      <c r="E1672" s="15">
        <v>45314.0</v>
      </c>
    </row>
    <row r="1673">
      <c r="A1673" s="4">
        <v>1673.0</v>
      </c>
      <c r="B1673" s="4" t="s">
        <v>1672</v>
      </c>
      <c r="C1673" s="4" t="s">
        <v>1640</v>
      </c>
      <c r="D1673" s="4" t="s">
        <v>1098</v>
      </c>
      <c r="E1673" s="15">
        <v>45314.0</v>
      </c>
    </row>
    <row r="1674">
      <c r="A1674" s="4">
        <v>1674.0</v>
      </c>
      <c r="B1674" s="4" t="s">
        <v>1672</v>
      </c>
      <c r="C1674" s="4" t="s">
        <v>1220</v>
      </c>
      <c r="D1674" s="4" t="s">
        <v>1098</v>
      </c>
      <c r="E1674" s="15">
        <v>45314.0</v>
      </c>
    </row>
    <row r="1675">
      <c r="A1675" s="4">
        <v>1675.0</v>
      </c>
      <c r="B1675" s="4" t="s">
        <v>1407</v>
      </c>
      <c r="C1675" s="4" t="s">
        <v>1220</v>
      </c>
      <c r="D1675" s="4" t="s">
        <v>1098</v>
      </c>
      <c r="E1675" s="15">
        <v>45314.0</v>
      </c>
    </row>
    <row r="1676">
      <c r="A1676" s="4">
        <v>1676.0</v>
      </c>
      <c r="B1676" s="4" t="s">
        <v>1242</v>
      </c>
      <c r="C1676" s="4" t="s">
        <v>1204</v>
      </c>
      <c r="D1676" s="4" t="s">
        <v>1098</v>
      </c>
      <c r="E1676" s="15">
        <v>45314.0</v>
      </c>
    </row>
    <row r="1677">
      <c r="A1677" s="4">
        <v>1677.0</v>
      </c>
      <c r="B1677" s="4" t="s">
        <v>1684</v>
      </c>
      <c r="C1677" s="4" t="s">
        <v>1610</v>
      </c>
      <c r="D1677" s="4" t="s">
        <v>1098</v>
      </c>
      <c r="E1677" s="15">
        <v>45313.0</v>
      </c>
    </row>
    <row r="1678">
      <c r="A1678" s="4">
        <v>1678.0</v>
      </c>
      <c r="B1678" s="4" t="s">
        <v>1684</v>
      </c>
      <c r="C1678" s="4" t="s">
        <v>1610</v>
      </c>
      <c r="D1678" s="4" t="s">
        <v>1098</v>
      </c>
      <c r="E1678" s="15">
        <v>45313.0</v>
      </c>
    </row>
    <row r="1679">
      <c r="A1679" s="4">
        <v>1679.0</v>
      </c>
      <c r="B1679" s="4" t="s">
        <v>1151</v>
      </c>
      <c r="C1679" s="4" t="s">
        <v>1685</v>
      </c>
      <c r="D1679" s="4" t="s">
        <v>1120</v>
      </c>
      <c r="E1679" s="15">
        <v>45313.0</v>
      </c>
    </row>
    <row r="1680">
      <c r="A1680" s="4">
        <v>1680.0</v>
      </c>
      <c r="B1680" s="4" t="s">
        <v>1151</v>
      </c>
      <c r="C1680" s="4" t="s">
        <v>1686</v>
      </c>
      <c r="D1680" s="4" t="s">
        <v>1120</v>
      </c>
      <c r="E1680" s="15">
        <v>45313.0</v>
      </c>
    </row>
    <row r="1681">
      <c r="A1681" s="4">
        <v>1681.0</v>
      </c>
      <c r="B1681" s="4" t="s">
        <v>1166</v>
      </c>
      <c r="C1681" s="4" t="s">
        <v>1687</v>
      </c>
      <c r="D1681" s="4" t="s">
        <v>1098</v>
      </c>
      <c r="E1681" s="15">
        <v>45313.0</v>
      </c>
    </row>
    <row r="1682">
      <c r="A1682" s="4">
        <v>1682.0</v>
      </c>
      <c r="B1682" s="4" t="s">
        <v>1166</v>
      </c>
      <c r="C1682" s="4" t="s">
        <v>1582</v>
      </c>
      <c r="D1682" s="4" t="s">
        <v>1098</v>
      </c>
      <c r="E1682" s="15">
        <v>45313.0</v>
      </c>
    </row>
    <row r="1683">
      <c r="A1683" s="4">
        <v>1683.0</v>
      </c>
      <c r="B1683" s="4" t="s">
        <v>1166</v>
      </c>
      <c r="C1683" s="4" t="s">
        <v>1582</v>
      </c>
      <c r="D1683" s="4" t="s">
        <v>1098</v>
      </c>
      <c r="E1683" s="15">
        <v>45313.0</v>
      </c>
    </row>
    <row r="1684">
      <c r="A1684" s="4">
        <v>1684.0</v>
      </c>
      <c r="B1684" s="4" t="s">
        <v>1151</v>
      </c>
      <c r="C1684" s="4" t="s">
        <v>1582</v>
      </c>
      <c r="D1684" s="4" t="s">
        <v>1098</v>
      </c>
      <c r="E1684" s="15">
        <v>45313.0</v>
      </c>
    </row>
    <row r="1685">
      <c r="A1685" s="4">
        <v>1685.0</v>
      </c>
      <c r="B1685" s="4" t="s">
        <v>1151</v>
      </c>
      <c r="C1685" s="4" t="s">
        <v>1207</v>
      </c>
      <c r="D1685" s="4" t="s">
        <v>1098</v>
      </c>
      <c r="E1685" s="15">
        <v>45313.0</v>
      </c>
    </row>
    <row r="1686">
      <c r="A1686" s="4">
        <v>1686.0</v>
      </c>
      <c r="B1686" s="4" t="s">
        <v>1151</v>
      </c>
      <c r="C1686" s="4" t="s">
        <v>1207</v>
      </c>
      <c r="D1686" s="4" t="s">
        <v>1098</v>
      </c>
      <c r="E1686" s="15">
        <v>45313.0</v>
      </c>
    </row>
    <row r="1687">
      <c r="A1687" s="4">
        <v>1687.0</v>
      </c>
      <c r="B1687" s="4" t="s">
        <v>1198</v>
      </c>
      <c r="C1687" s="4" t="s">
        <v>1580</v>
      </c>
      <c r="D1687" s="4" t="s">
        <v>1098</v>
      </c>
      <c r="E1687" s="15">
        <v>45313.0</v>
      </c>
    </row>
    <row r="1688">
      <c r="A1688" s="4">
        <v>1688.0</v>
      </c>
      <c r="B1688" s="4" t="s">
        <v>1166</v>
      </c>
      <c r="C1688" s="4" t="s">
        <v>1662</v>
      </c>
      <c r="D1688" s="4" t="s">
        <v>1098</v>
      </c>
      <c r="E1688" s="15">
        <v>45313.0</v>
      </c>
    </row>
    <row r="1689">
      <c r="A1689" s="4">
        <v>1689.0</v>
      </c>
      <c r="B1689" s="4" t="s">
        <v>1151</v>
      </c>
      <c r="C1689" s="4" t="s">
        <v>1624</v>
      </c>
      <c r="D1689" s="4" t="s">
        <v>1098</v>
      </c>
      <c r="E1689" s="15">
        <v>45313.0</v>
      </c>
    </row>
    <row r="1690">
      <c r="A1690" s="4">
        <v>1690.0</v>
      </c>
      <c r="B1690" s="4" t="s">
        <v>1242</v>
      </c>
      <c r="C1690" s="4" t="s">
        <v>1624</v>
      </c>
      <c r="D1690" s="4" t="s">
        <v>1098</v>
      </c>
      <c r="E1690" s="15">
        <v>45313.0</v>
      </c>
    </row>
    <row r="1691">
      <c r="A1691" s="4">
        <v>1691.0</v>
      </c>
      <c r="B1691" s="4" t="s">
        <v>1166</v>
      </c>
      <c r="C1691" s="4" t="s">
        <v>1624</v>
      </c>
      <c r="D1691" s="4" t="s">
        <v>1098</v>
      </c>
      <c r="E1691" s="15">
        <v>45313.0</v>
      </c>
    </row>
    <row r="1692">
      <c r="A1692" s="4">
        <v>1692.0</v>
      </c>
      <c r="B1692" s="4" t="s">
        <v>1166</v>
      </c>
      <c r="C1692" s="4" t="s">
        <v>1641</v>
      </c>
      <c r="D1692" s="4" t="s">
        <v>1098</v>
      </c>
      <c r="E1692" s="15">
        <v>45313.0</v>
      </c>
    </row>
    <row r="1693">
      <c r="A1693" s="4">
        <v>1693.0</v>
      </c>
      <c r="B1693" s="4" t="s">
        <v>1688</v>
      </c>
      <c r="C1693" s="4" t="s">
        <v>1207</v>
      </c>
      <c r="D1693" s="4" t="s">
        <v>1098</v>
      </c>
      <c r="E1693" s="15">
        <v>45312.0</v>
      </c>
    </row>
    <row r="1694">
      <c r="A1694" s="4">
        <v>1694.0</v>
      </c>
      <c r="B1694" s="4" t="s">
        <v>1512</v>
      </c>
      <c r="C1694" s="4" t="s">
        <v>1207</v>
      </c>
      <c r="D1694" s="4" t="s">
        <v>1098</v>
      </c>
      <c r="E1694" s="15">
        <v>45312.0</v>
      </c>
    </row>
    <row r="1695">
      <c r="A1695" s="4">
        <v>1695.0</v>
      </c>
      <c r="B1695" s="4" t="s">
        <v>1407</v>
      </c>
      <c r="C1695" s="4" t="s">
        <v>1419</v>
      </c>
      <c r="D1695" s="4" t="s">
        <v>1098</v>
      </c>
      <c r="E1695" s="15">
        <v>45312.0</v>
      </c>
    </row>
    <row r="1696">
      <c r="A1696" s="4">
        <v>1696.0</v>
      </c>
      <c r="B1696" s="4" t="s">
        <v>1689</v>
      </c>
      <c r="C1696" s="4" t="s">
        <v>1610</v>
      </c>
      <c r="D1696" s="4" t="s">
        <v>1098</v>
      </c>
      <c r="E1696" s="15">
        <v>45311.0</v>
      </c>
    </row>
    <row r="1697">
      <c r="A1697" s="4">
        <v>1697.0</v>
      </c>
      <c r="B1697" s="4" t="s">
        <v>1407</v>
      </c>
      <c r="C1697" s="4" t="s">
        <v>1685</v>
      </c>
      <c r="D1697" s="4" t="s">
        <v>1120</v>
      </c>
      <c r="E1697" s="15">
        <v>45311.0</v>
      </c>
    </row>
    <row r="1698">
      <c r="A1698" s="4">
        <v>1698.0</v>
      </c>
      <c r="B1698" s="4" t="s">
        <v>1267</v>
      </c>
      <c r="C1698" s="4" t="s">
        <v>1207</v>
      </c>
      <c r="D1698" s="4" t="s">
        <v>1098</v>
      </c>
      <c r="E1698" s="15">
        <v>45311.0</v>
      </c>
    </row>
    <row r="1699">
      <c r="A1699" s="4">
        <v>1699.0</v>
      </c>
      <c r="B1699" s="4" t="s">
        <v>1690</v>
      </c>
      <c r="C1699" s="4" t="s">
        <v>1097</v>
      </c>
      <c r="D1699" s="4" t="s">
        <v>1098</v>
      </c>
      <c r="E1699" s="15">
        <v>45311.0</v>
      </c>
    </row>
    <row r="1700">
      <c r="A1700" s="4">
        <v>1700.0</v>
      </c>
      <c r="B1700" s="4" t="s">
        <v>1690</v>
      </c>
      <c r="C1700" s="4" t="s">
        <v>1099</v>
      </c>
      <c r="D1700" s="4" t="s">
        <v>1098</v>
      </c>
      <c r="E1700" s="15">
        <v>45311.0</v>
      </c>
    </row>
    <row r="1701">
      <c r="A1701" s="4">
        <v>1701.0</v>
      </c>
      <c r="B1701" s="4" t="s">
        <v>1690</v>
      </c>
      <c r="C1701" s="4" t="s">
        <v>1195</v>
      </c>
      <c r="D1701" s="4" t="s">
        <v>1098</v>
      </c>
      <c r="E1701" s="15">
        <v>45311.0</v>
      </c>
    </row>
    <row r="1702">
      <c r="A1702" s="4">
        <v>1702.0</v>
      </c>
      <c r="B1702" s="4" t="s">
        <v>1690</v>
      </c>
      <c r="C1702" s="4" t="s">
        <v>1168</v>
      </c>
      <c r="D1702" s="4" t="s">
        <v>1098</v>
      </c>
      <c r="E1702" s="15">
        <v>45311.0</v>
      </c>
    </row>
    <row r="1703">
      <c r="A1703" s="4">
        <v>1703.0</v>
      </c>
      <c r="B1703" s="4" t="s">
        <v>1690</v>
      </c>
      <c r="C1703" s="4" t="s">
        <v>1141</v>
      </c>
      <c r="D1703" s="4" t="s">
        <v>1098</v>
      </c>
      <c r="E1703" s="15">
        <v>45311.0</v>
      </c>
    </row>
    <row r="1704">
      <c r="A1704" s="4">
        <v>1704.0</v>
      </c>
      <c r="B1704" s="4" t="s">
        <v>1690</v>
      </c>
      <c r="C1704" s="4" t="s">
        <v>1101</v>
      </c>
      <c r="D1704" s="4" t="s">
        <v>1098</v>
      </c>
      <c r="E1704" s="15">
        <v>45311.0</v>
      </c>
    </row>
    <row r="1705">
      <c r="A1705" s="4">
        <v>1705.0</v>
      </c>
      <c r="B1705" s="4" t="s">
        <v>1690</v>
      </c>
      <c r="C1705" s="4" t="s">
        <v>1101</v>
      </c>
      <c r="D1705" s="4" t="s">
        <v>1098</v>
      </c>
      <c r="E1705" s="15">
        <v>45311.0</v>
      </c>
    </row>
    <row r="1706">
      <c r="A1706" s="4">
        <v>1706.0</v>
      </c>
      <c r="B1706" s="4" t="s">
        <v>1690</v>
      </c>
      <c r="C1706" s="4" t="s">
        <v>1101</v>
      </c>
      <c r="D1706" s="4" t="s">
        <v>1098</v>
      </c>
      <c r="E1706" s="15">
        <v>45311.0</v>
      </c>
    </row>
    <row r="1707">
      <c r="A1707" s="4">
        <v>1707.0</v>
      </c>
      <c r="B1707" s="4" t="s">
        <v>1690</v>
      </c>
      <c r="C1707" s="4" t="s">
        <v>1101</v>
      </c>
      <c r="D1707" s="4" t="s">
        <v>1098</v>
      </c>
      <c r="E1707" s="15">
        <v>45311.0</v>
      </c>
    </row>
    <row r="1708">
      <c r="A1708" s="4">
        <v>1708.0</v>
      </c>
      <c r="B1708" s="4" t="s">
        <v>1647</v>
      </c>
      <c r="C1708" s="4" t="s">
        <v>1143</v>
      </c>
      <c r="D1708" s="4" t="s">
        <v>1098</v>
      </c>
      <c r="E1708" s="15">
        <v>45311.0</v>
      </c>
    </row>
    <row r="1709">
      <c r="A1709" s="4">
        <v>1709.0</v>
      </c>
      <c r="B1709" s="4" t="s">
        <v>1519</v>
      </c>
      <c r="C1709" s="4" t="s">
        <v>1143</v>
      </c>
      <c r="D1709" s="4" t="s">
        <v>1098</v>
      </c>
      <c r="E1709" s="15">
        <v>45311.0</v>
      </c>
    </row>
    <row r="1710">
      <c r="A1710" s="4">
        <v>1710.0</v>
      </c>
      <c r="B1710" s="4" t="s">
        <v>1519</v>
      </c>
      <c r="C1710" s="4" t="s">
        <v>1143</v>
      </c>
      <c r="D1710" s="4" t="s">
        <v>1098</v>
      </c>
      <c r="E1710" s="15">
        <v>45311.0</v>
      </c>
    </row>
    <row r="1711">
      <c r="A1711" s="4">
        <v>1711.0</v>
      </c>
      <c r="B1711" s="4" t="s">
        <v>1519</v>
      </c>
      <c r="C1711" s="4" t="s">
        <v>1143</v>
      </c>
      <c r="D1711" s="4" t="s">
        <v>1098</v>
      </c>
      <c r="E1711" s="15">
        <v>45311.0</v>
      </c>
    </row>
    <row r="1712">
      <c r="A1712" s="4">
        <v>1712.0</v>
      </c>
      <c r="B1712" s="4" t="s">
        <v>1519</v>
      </c>
      <c r="C1712" s="4" t="s">
        <v>1143</v>
      </c>
      <c r="D1712" s="4" t="s">
        <v>1098</v>
      </c>
      <c r="E1712" s="15">
        <v>45311.0</v>
      </c>
    </row>
    <row r="1713">
      <c r="A1713" s="4">
        <v>1713.0</v>
      </c>
      <c r="B1713" s="4" t="s">
        <v>1519</v>
      </c>
      <c r="C1713" s="4" t="s">
        <v>1143</v>
      </c>
      <c r="D1713" s="4" t="s">
        <v>1098</v>
      </c>
      <c r="E1713" s="15">
        <v>45311.0</v>
      </c>
    </row>
    <row r="1714">
      <c r="A1714" s="4">
        <v>1714.0</v>
      </c>
      <c r="B1714" s="4" t="s">
        <v>1691</v>
      </c>
      <c r="C1714" s="4" t="s">
        <v>1143</v>
      </c>
      <c r="D1714" s="4" t="s">
        <v>1098</v>
      </c>
      <c r="E1714" s="15">
        <v>45311.0</v>
      </c>
    </row>
    <row r="1715">
      <c r="A1715" s="4">
        <v>1715.0</v>
      </c>
      <c r="B1715" s="4" t="s">
        <v>1519</v>
      </c>
      <c r="C1715" s="4" t="s">
        <v>1143</v>
      </c>
      <c r="D1715" s="4" t="s">
        <v>1098</v>
      </c>
      <c r="E1715" s="15">
        <v>45311.0</v>
      </c>
    </row>
    <row r="1716">
      <c r="A1716" s="4">
        <v>1716.0</v>
      </c>
      <c r="B1716" s="4" t="s">
        <v>1519</v>
      </c>
      <c r="C1716" s="4" t="s">
        <v>1143</v>
      </c>
      <c r="D1716" s="4" t="s">
        <v>1098</v>
      </c>
      <c r="E1716" s="15">
        <v>45311.0</v>
      </c>
    </row>
    <row r="1717">
      <c r="A1717" s="4">
        <v>1717.0</v>
      </c>
      <c r="B1717" s="4" t="s">
        <v>1519</v>
      </c>
      <c r="C1717" s="4" t="s">
        <v>1143</v>
      </c>
      <c r="D1717" s="4" t="s">
        <v>1098</v>
      </c>
      <c r="E1717" s="15">
        <v>45311.0</v>
      </c>
    </row>
    <row r="1718">
      <c r="A1718" s="4">
        <v>1718.0</v>
      </c>
      <c r="B1718" s="4" t="s">
        <v>1519</v>
      </c>
      <c r="C1718" s="4" t="s">
        <v>1143</v>
      </c>
      <c r="D1718" s="4" t="s">
        <v>1098</v>
      </c>
      <c r="E1718" s="15">
        <v>45311.0</v>
      </c>
    </row>
    <row r="1719">
      <c r="A1719" s="4">
        <v>1719.0</v>
      </c>
      <c r="B1719" s="4" t="s">
        <v>1519</v>
      </c>
      <c r="C1719" s="4" t="s">
        <v>1143</v>
      </c>
      <c r="D1719" s="4" t="s">
        <v>1098</v>
      </c>
      <c r="E1719" s="15">
        <v>45311.0</v>
      </c>
    </row>
    <row r="1720">
      <c r="A1720" s="4">
        <v>1720.0</v>
      </c>
      <c r="B1720" s="4" t="s">
        <v>1692</v>
      </c>
      <c r="C1720" s="4" t="s">
        <v>1143</v>
      </c>
      <c r="D1720" s="4" t="s">
        <v>1098</v>
      </c>
      <c r="E1720" s="15">
        <v>45311.0</v>
      </c>
    </row>
    <row r="1721">
      <c r="A1721" s="4">
        <v>1721.0</v>
      </c>
      <c r="B1721" s="4" t="s">
        <v>1690</v>
      </c>
      <c r="C1721" s="4" t="s">
        <v>1143</v>
      </c>
      <c r="D1721" s="4" t="s">
        <v>1098</v>
      </c>
      <c r="E1721" s="15">
        <v>45311.0</v>
      </c>
    </row>
    <row r="1722">
      <c r="A1722" s="4">
        <v>1722.0</v>
      </c>
      <c r="B1722" s="4" t="s">
        <v>1691</v>
      </c>
      <c r="C1722" s="4" t="s">
        <v>1143</v>
      </c>
      <c r="D1722" s="4" t="s">
        <v>1098</v>
      </c>
      <c r="E1722" s="15">
        <v>45311.0</v>
      </c>
    </row>
    <row r="1723">
      <c r="A1723" s="4">
        <v>1723.0</v>
      </c>
      <c r="B1723" s="4" t="s">
        <v>1620</v>
      </c>
      <c r="C1723" s="4" t="s">
        <v>1693</v>
      </c>
      <c r="D1723" s="4" t="s">
        <v>1098</v>
      </c>
      <c r="E1723" s="15">
        <v>45311.0</v>
      </c>
    </row>
    <row r="1724">
      <c r="A1724" s="4">
        <v>1724.0</v>
      </c>
      <c r="B1724" s="4" t="s">
        <v>1647</v>
      </c>
      <c r="C1724" s="4" t="s">
        <v>1421</v>
      </c>
      <c r="D1724" s="4" t="s">
        <v>1098</v>
      </c>
      <c r="E1724" s="15">
        <v>45311.0</v>
      </c>
    </row>
    <row r="1725">
      <c r="A1725" s="4">
        <v>1725.0</v>
      </c>
      <c r="B1725" s="4" t="s">
        <v>1267</v>
      </c>
      <c r="C1725" s="4" t="s">
        <v>1652</v>
      </c>
      <c r="D1725" s="4" t="s">
        <v>1120</v>
      </c>
      <c r="E1725" s="15">
        <v>45311.0</v>
      </c>
    </row>
    <row r="1726">
      <c r="A1726" s="4">
        <v>1726.0</v>
      </c>
      <c r="B1726" s="4" t="s">
        <v>1267</v>
      </c>
      <c r="C1726" s="4" t="s">
        <v>1589</v>
      </c>
      <c r="D1726" s="4" t="s">
        <v>1098</v>
      </c>
      <c r="E1726" s="15">
        <v>45311.0</v>
      </c>
    </row>
    <row r="1727">
      <c r="A1727" s="4">
        <v>1727.0</v>
      </c>
      <c r="B1727" s="4" t="s">
        <v>1267</v>
      </c>
      <c r="C1727" s="4" t="s">
        <v>1377</v>
      </c>
      <c r="D1727" s="4" t="s">
        <v>1098</v>
      </c>
      <c r="E1727" s="15">
        <v>45311.0</v>
      </c>
    </row>
    <row r="1728">
      <c r="A1728" s="4">
        <v>1728.0</v>
      </c>
      <c r="B1728" s="4" t="s">
        <v>1407</v>
      </c>
      <c r="C1728" s="4" t="s">
        <v>1559</v>
      </c>
      <c r="D1728" s="4" t="s">
        <v>1120</v>
      </c>
      <c r="E1728" s="15">
        <v>45311.0</v>
      </c>
    </row>
    <row r="1729">
      <c r="A1729" s="4">
        <v>1729.0</v>
      </c>
      <c r="B1729" s="4" t="s">
        <v>1267</v>
      </c>
      <c r="C1729" s="4" t="s">
        <v>1559</v>
      </c>
      <c r="D1729" s="4" t="s">
        <v>1120</v>
      </c>
      <c r="E1729" s="15">
        <v>45311.0</v>
      </c>
    </row>
    <row r="1730">
      <c r="A1730" s="4">
        <v>1730.0</v>
      </c>
      <c r="B1730" s="4" t="s">
        <v>1694</v>
      </c>
      <c r="C1730" s="4" t="s">
        <v>1207</v>
      </c>
      <c r="D1730" s="4" t="s">
        <v>1098</v>
      </c>
      <c r="E1730" s="15">
        <v>45310.0</v>
      </c>
    </row>
    <row r="1731">
      <c r="A1731" s="4">
        <v>1731.0</v>
      </c>
      <c r="B1731" s="4" t="s">
        <v>1603</v>
      </c>
      <c r="C1731" s="4" t="s">
        <v>1101</v>
      </c>
      <c r="D1731" s="4" t="s">
        <v>1098</v>
      </c>
      <c r="E1731" s="15">
        <v>45310.0</v>
      </c>
    </row>
    <row r="1732">
      <c r="A1732" s="4">
        <v>1732.0</v>
      </c>
      <c r="B1732" s="4" t="s">
        <v>1407</v>
      </c>
      <c r="C1732" s="4" t="s">
        <v>1143</v>
      </c>
      <c r="D1732" s="4" t="s">
        <v>1098</v>
      </c>
      <c r="E1732" s="15">
        <v>45310.0</v>
      </c>
    </row>
    <row r="1733">
      <c r="A1733" s="4">
        <v>1733.0</v>
      </c>
      <c r="B1733" s="4" t="s">
        <v>1519</v>
      </c>
      <c r="C1733" s="4" t="s">
        <v>1143</v>
      </c>
      <c r="D1733" s="4" t="s">
        <v>1098</v>
      </c>
      <c r="E1733" s="15">
        <v>45310.0</v>
      </c>
    </row>
    <row r="1734">
      <c r="A1734" s="4">
        <v>1734.0</v>
      </c>
      <c r="B1734" s="4" t="s">
        <v>1407</v>
      </c>
      <c r="C1734" s="4" t="s">
        <v>1662</v>
      </c>
      <c r="D1734" s="4" t="s">
        <v>1098</v>
      </c>
      <c r="E1734" s="15">
        <v>45310.0</v>
      </c>
    </row>
    <row r="1735">
      <c r="A1735" s="4">
        <v>1735.0</v>
      </c>
      <c r="B1735" s="4" t="s">
        <v>1407</v>
      </c>
      <c r="C1735" s="4" t="s">
        <v>1220</v>
      </c>
      <c r="D1735" s="4" t="s">
        <v>1098</v>
      </c>
      <c r="E1735" s="15">
        <v>45310.0</v>
      </c>
    </row>
    <row r="1736">
      <c r="A1736" s="4">
        <v>1736.0</v>
      </c>
      <c r="B1736" s="4" t="s">
        <v>1694</v>
      </c>
      <c r="C1736" s="4" t="s">
        <v>1377</v>
      </c>
      <c r="D1736" s="4" t="s">
        <v>1098</v>
      </c>
      <c r="E1736" s="15">
        <v>45310.0</v>
      </c>
    </row>
    <row r="1737">
      <c r="A1737" s="4">
        <v>1737.0</v>
      </c>
      <c r="B1737" s="4" t="s">
        <v>1407</v>
      </c>
      <c r="C1737" s="4" t="s">
        <v>1204</v>
      </c>
      <c r="D1737" s="4" t="s">
        <v>1098</v>
      </c>
      <c r="E1737" s="15">
        <v>45310.0</v>
      </c>
    </row>
    <row r="1738">
      <c r="A1738" s="4">
        <v>1738.0</v>
      </c>
      <c r="B1738" s="4" t="s">
        <v>1166</v>
      </c>
      <c r="C1738" s="4" t="s">
        <v>1687</v>
      </c>
      <c r="D1738" s="4" t="s">
        <v>1098</v>
      </c>
      <c r="E1738" s="15">
        <v>45309.0</v>
      </c>
    </row>
    <row r="1739">
      <c r="A1739" s="4">
        <v>1739.0</v>
      </c>
      <c r="B1739" s="4" t="s">
        <v>1151</v>
      </c>
      <c r="C1739" s="4" t="s">
        <v>1207</v>
      </c>
      <c r="D1739" s="4" t="s">
        <v>1098</v>
      </c>
      <c r="E1739" s="15">
        <v>45309.0</v>
      </c>
    </row>
    <row r="1740">
      <c r="A1740" s="4">
        <v>1740.0</v>
      </c>
      <c r="B1740" s="4" t="s">
        <v>1519</v>
      </c>
      <c r="C1740" s="4" t="s">
        <v>1207</v>
      </c>
      <c r="D1740" s="4" t="s">
        <v>1098</v>
      </c>
      <c r="E1740" s="15">
        <v>45309.0</v>
      </c>
    </row>
    <row r="1741">
      <c r="A1741" s="4">
        <v>1741.0</v>
      </c>
      <c r="B1741" s="4" t="s">
        <v>1492</v>
      </c>
      <c r="C1741" s="4" t="s">
        <v>1207</v>
      </c>
      <c r="D1741" s="4" t="s">
        <v>1098</v>
      </c>
      <c r="E1741" s="15">
        <v>45309.0</v>
      </c>
    </row>
    <row r="1742">
      <c r="A1742" s="4">
        <v>1742.0</v>
      </c>
      <c r="B1742" s="4" t="s">
        <v>1519</v>
      </c>
      <c r="C1742" s="4" t="s">
        <v>1143</v>
      </c>
      <c r="D1742" s="4" t="s">
        <v>1098</v>
      </c>
      <c r="E1742" s="15">
        <v>45309.0</v>
      </c>
    </row>
    <row r="1743">
      <c r="A1743" s="4">
        <v>1743.0</v>
      </c>
      <c r="B1743" s="4" t="s">
        <v>1512</v>
      </c>
      <c r="C1743" s="4" t="s">
        <v>1143</v>
      </c>
      <c r="D1743" s="4" t="s">
        <v>1098</v>
      </c>
      <c r="E1743" s="15">
        <v>45309.0</v>
      </c>
    </row>
    <row r="1744">
      <c r="A1744" s="4">
        <v>1744.0</v>
      </c>
      <c r="B1744" s="4" t="s">
        <v>1512</v>
      </c>
      <c r="C1744" s="4" t="s">
        <v>1143</v>
      </c>
      <c r="D1744" s="4" t="s">
        <v>1098</v>
      </c>
      <c r="E1744" s="15">
        <v>45309.0</v>
      </c>
    </row>
    <row r="1745">
      <c r="A1745" s="4">
        <v>1745.0</v>
      </c>
      <c r="B1745" s="4" t="s">
        <v>1519</v>
      </c>
      <c r="C1745" s="4" t="s">
        <v>1143</v>
      </c>
      <c r="D1745" s="4" t="s">
        <v>1098</v>
      </c>
      <c r="E1745" s="15">
        <v>45309.0</v>
      </c>
    </row>
    <row r="1746">
      <c r="A1746" s="4">
        <v>1746.0</v>
      </c>
      <c r="B1746" s="4" t="s">
        <v>1519</v>
      </c>
      <c r="C1746" s="4" t="s">
        <v>1143</v>
      </c>
      <c r="D1746" s="4" t="s">
        <v>1098</v>
      </c>
      <c r="E1746" s="15">
        <v>45309.0</v>
      </c>
    </row>
    <row r="1747">
      <c r="A1747" s="4">
        <v>1747.0</v>
      </c>
      <c r="B1747" s="4" t="s">
        <v>1695</v>
      </c>
      <c r="C1747" s="4" t="s">
        <v>1143</v>
      </c>
      <c r="D1747" s="4" t="s">
        <v>1098</v>
      </c>
      <c r="E1747" s="15">
        <v>45309.0</v>
      </c>
    </row>
    <row r="1748">
      <c r="A1748" s="4">
        <v>1748.0</v>
      </c>
      <c r="B1748" s="4" t="s">
        <v>1695</v>
      </c>
      <c r="C1748" s="4" t="s">
        <v>1143</v>
      </c>
      <c r="D1748" s="4" t="s">
        <v>1098</v>
      </c>
      <c r="E1748" s="15">
        <v>45309.0</v>
      </c>
    </row>
    <row r="1749">
      <c r="A1749" s="4">
        <v>1749.0</v>
      </c>
      <c r="B1749" s="4" t="s">
        <v>1519</v>
      </c>
      <c r="C1749" s="4" t="s">
        <v>1143</v>
      </c>
      <c r="D1749" s="4" t="s">
        <v>1098</v>
      </c>
      <c r="E1749" s="15">
        <v>45309.0</v>
      </c>
    </row>
    <row r="1750">
      <c r="A1750" s="4">
        <v>1750.0</v>
      </c>
      <c r="B1750" s="4" t="s">
        <v>1695</v>
      </c>
      <c r="C1750" s="4" t="s">
        <v>1143</v>
      </c>
      <c r="D1750" s="4" t="s">
        <v>1098</v>
      </c>
      <c r="E1750" s="15">
        <v>45309.0</v>
      </c>
    </row>
    <row r="1751">
      <c r="A1751" s="4">
        <v>1751.0</v>
      </c>
      <c r="B1751" s="4" t="s">
        <v>1695</v>
      </c>
      <c r="C1751" s="4" t="s">
        <v>1143</v>
      </c>
      <c r="D1751" s="4" t="s">
        <v>1098</v>
      </c>
      <c r="E1751" s="15">
        <v>45309.0</v>
      </c>
    </row>
    <row r="1752">
      <c r="A1752" s="4">
        <v>1752.0</v>
      </c>
      <c r="B1752" s="4" t="s">
        <v>1519</v>
      </c>
      <c r="C1752" s="4" t="s">
        <v>1143</v>
      </c>
      <c r="D1752" s="4" t="s">
        <v>1098</v>
      </c>
      <c r="E1752" s="15">
        <v>45309.0</v>
      </c>
    </row>
    <row r="1753">
      <c r="A1753" s="4">
        <v>1753.0</v>
      </c>
      <c r="B1753" s="4" t="s">
        <v>1519</v>
      </c>
      <c r="C1753" s="4" t="s">
        <v>1143</v>
      </c>
      <c r="D1753" s="4" t="s">
        <v>1098</v>
      </c>
      <c r="E1753" s="15">
        <v>45309.0</v>
      </c>
    </row>
    <row r="1754">
      <c r="A1754" s="4">
        <v>1754.0</v>
      </c>
      <c r="B1754" s="4" t="s">
        <v>1166</v>
      </c>
      <c r="C1754" s="4" t="s">
        <v>1624</v>
      </c>
      <c r="D1754" s="4" t="s">
        <v>1098</v>
      </c>
      <c r="E1754" s="15">
        <v>45309.0</v>
      </c>
    </row>
    <row r="1755">
      <c r="A1755" s="4">
        <v>1755.0</v>
      </c>
      <c r="B1755" s="4" t="s">
        <v>1166</v>
      </c>
      <c r="C1755" s="4" t="s">
        <v>1641</v>
      </c>
      <c r="D1755" s="4" t="s">
        <v>1098</v>
      </c>
      <c r="E1755" s="15">
        <v>45309.0</v>
      </c>
    </row>
    <row r="1756">
      <c r="A1756" s="4">
        <v>1756.0</v>
      </c>
      <c r="B1756" s="4" t="s">
        <v>1492</v>
      </c>
      <c r="C1756" s="4" t="s">
        <v>1377</v>
      </c>
      <c r="D1756" s="4" t="s">
        <v>1098</v>
      </c>
      <c r="E1756" s="15">
        <v>45309.0</v>
      </c>
    </row>
    <row r="1757">
      <c r="A1757" s="4">
        <v>1757.0</v>
      </c>
      <c r="B1757" s="4" t="s">
        <v>1410</v>
      </c>
      <c r="C1757" s="4" t="s">
        <v>1101</v>
      </c>
      <c r="D1757" s="4" t="s">
        <v>1098</v>
      </c>
      <c r="E1757" s="15">
        <v>45308.0</v>
      </c>
    </row>
    <row r="1758">
      <c r="A1758" s="4">
        <v>1758.0</v>
      </c>
      <c r="B1758" s="4" t="s">
        <v>1696</v>
      </c>
      <c r="C1758" s="4" t="s">
        <v>1184</v>
      </c>
      <c r="D1758" s="4" t="s">
        <v>1098</v>
      </c>
      <c r="E1758" s="15">
        <v>45308.0</v>
      </c>
    </row>
    <row r="1759">
      <c r="A1759" s="4">
        <v>1759.0</v>
      </c>
      <c r="B1759" s="4" t="s">
        <v>1697</v>
      </c>
      <c r="C1759" s="4" t="s">
        <v>1137</v>
      </c>
      <c r="D1759" s="4" t="s">
        <v>1098</v>
      </c>
      <c r="E1759" s="15">
        <v>45308.0</v>
      </c>
    </row>
    <row r="1760">
      <c r="A1760" s="4">
        <v>1760.0</v>
      </c>
      <c r="B1760" s="4" t="s">
        <v>1698</v>
      </c>
      <c r="C1760" s="4" t="s">
        <v>1433</v>
      </c>
      <c r="D1760" s="4" t="s">
        <v>1098</v>
      </c>
      <c r="E1760" s="15">
        <v>45308.0</v>
      </c>
    </row>
    <row r="1761">
      <c r="A1761" s="4">
        <v>1761.0</v>
      </c>
      <c r="B1761" s="4" t="s">
        <v>1698</v>
      </c>
      <c r="C1761" s="4" t="s">
        <v>1256</v>
      </c>
      <c r="D1761" s="4" t="s">
        <v>1098</v>
      </c>
      <c r="E1761" s="15">
        <v>45308.0</v>
      </c>
    </row>
    <row r="1762">
      <c r="A1762" s="4">
        <v>1762.0</v>
      </c>
      <c r="B1762" s="4" t="s">
        <v>1478</v>
      </c>
      <c r="C1762" s="4" t="s">
        <v>1699</v>
      </c>
      <c r="D1762" s="4" t="s">
        <v>1098</v>
      </c>
      <c r="E1762" s="15">
        <v>45308.0</v>
      </c>
    </row>
    <row r="1763">
      <c r="A1763" s="4">
        <v>1763.0</v>
      </c>
      <c r="B1763" s="4" t="s">
        <v>1700</v>
      </c>
      <c r="C1763" s="4" t="s">
        <v>1220</v>
      </c>
      <c r="D1763" s="4" t="s">
        <v>1098</v>
      </c>
      <c r="E1763" s="15">
        <v>45308.0</v>
      </c>
    </row>
    <row r="1764">
      <c r="A1764" s="4">
        <v>1764.0</v>
      </c>
      <c r="B1764" s="4" t="s">
        <v>1700</v>
      </c>
      <c r="C1764" s="4" t="s">
        <v>1220</v>
      </c>
      <c r="D1764" s="4" t="s">
        <v>1098</v>
      </c>
      <c r="E1764" s="15">
        <v>45308.0</v>
      </c>
    </row>
    <row r="1765">
      <c r="A1765" s="4">
        <v>1765.0</v>
      </c>
      <c r="B1765" s="4" t="s">
        <v>1701</v>
      </c>
      <c r="C1765" s="4" t="s">
        <v>1626</v>
      </c>
      <c r="D1765" s="4" t="s">
        <v>1120</v>
      </c>
      <c r="E1765" s="15">
        <v>45307.0</v>
      </c>
    </row>
    <row r="1766">
      <c r="A1766" s="4">
        <v>1766.0</v>
      </c>
      <c r="B1766" s="4" t="s">
        <v>1701</v>
      </c>
      <c r="C1766" s="4" t="s">
        <v>1626</v>
      </c>
      <c r="D1766" s="4" t="s">
        <v>1120</v>
      </c>
      <c r="E1766" s="15">
        <v>45307.0</v>
      </c>
    </row>
    <row r="1767">
      <c r="A1767" s="4">
        <v>1767.0</v>
      </c>
      <c r="B1767" s="4" t="s">
        <v>1701</v>
      </c>
      <c r="C1767" s="4" t="s">
        <v>1626</v>
      </c>
      <c r="D1767" s="4" t="s">
        <v>1120</v>
      </c>
      <c r="E1767" s="15">
        <v>45307.0</v>
      </c>
    </row>
    <row r="1768">
      <c r="A1768" s="4">
        <v>1768.0</v>
      </c>
      <c r="B1768" s="4" t="s">
        <v>1701</v>
      </c>
      <c r="C1768" s="4" t="s">
        <v>1626</v>
      </c>
      <c r="D1768" s="4" t="s">
        <v>1120</v>
      </c>
      <c r="E1768" s="15">
        <v>45307.0</v>
      </c>
    </row>
    <row r="1769">
      <c r="A1769" s="4">
        <v>1769.0</v>
      </c>
      <c r="B1769" s="4" t="s">
        <v>1701</v>
      </c>
      <c r="C1769" s="4" t="s">
        <v>1626</v>
      </c>
      <c r="D1769" s="4" t="s">
        <v>1120</v>
      </c>
      <c r="E1769" s="15">
        <v>45307.0</v>
      </c>
    </row>
    <row r="1770">
      <c r="A1770" s="4">
        <v>1770.0</v>
      </c>
      <c r="B1770" s="4" t="s">
        <v>1701</v>
      </c>
      <c r="C1770" s="4" t="s">
        <v>1626</v>
      </c>
      <c r="D1770" s="4" t="s">
        <v>1120</v>
      </c>
      <c r="E1770" s="15">
        <v>45307.0</v>
      </c>
    </row>
    <row r="1771">
      <c r="A1771" s="4">
        <v>1771.0</v>
      </c>
      <c r="B1771" s="4" t="s">
        <v>1426</v>
      </c>
      <c r="C1771" s="4" t="s">
        <v>1626</v>
      </c>
      <c r="D1771" s="4" t="s">
        <v>1120</v>
      </c>
      <c r="E1771" s="15">
        <v>45307.0</v>
      </c>
    </row>
    <row r="1772">
      <c r="A1772" s="4">
        <v>1772.0</v>
      </c>
      <c r="B1772" s="4" t="s">
        <v>1701</v>
      </c>
      <c r="C1772" s="4" t="s">
        <v>1626</v>
      </c>
      <c r="D1772" s="4" t="s">
        <v>1120</v>
      </c>
      <c r="E1772" s="15">
        <v>45307.0</v>
      </c>
    </row>
    <row r="1773">
      <c r="A1773" s="4">
        <v>1773.0</v>
      </c>
      <c r="B1773" s="4" t="s">
        <v>1702</v>
      </c>
      <c r="C1773" s="4" t="s">
        <v>1207</v>
      </c>
      <c r="D1773" s="4" t="s">
        <v>1098</v>
      </c>
      <c r="E1773" s="15">
        <v>45307.0</v>
      </c>
    </row>
    <row r="1774">
      <c r="A1774" s="4">
        <v>1774.0</v>
      </c>
      <c r="B1774" s="4" t="s">
        <v>1702</v>
      </c>
      <c r="C1774" s="4" t="s">
        <v>1101</v>
      </c>
      <c r="D1774" s="4" t="s">
        <v>1098</v>
      </c>
      <c r="E1774" s="15">
        <v>45307.0</v>
      </c>
    </row>
    <row r="1775">
      <c r="A1775" s="4">
        <v>1775.0</v>
      </c>
      <c r="B1775" s="4" t="s">
        <v>1703</v>
      </c>
      <c r="C1775" s="4" t="s">
        <v>1143</v>
      </c>
      <c r="D1775" s="4" t="s">
        <v>1098</v>
      </c>
      <c r="E1775" s="15">
        <v>45307.0</v>
      </c>
    </row>
    <row r="1776">
      <c r="A1776" s="4">
        <v>1776.0</v>
      </c>
      <c r="B1776" s="4" t="s">
        <v>1703</v>
      </c>
      <c r="C1776" s="4" t="s">
        <v>1143</v>
      </c>
      <c r="D1776" s="4" t="s">
        <v>1098</v>
      </c>
      <c r="E1776" s="15">
        <v>45307.0</v>
      </c>
    </row>
    <row r="1777">
      <c r="A1777" s="4">
        <v>1777.0</v>
      </c>
      <c r="B1777" s="4" t="s">
        <v>1704</v>
      </c>
      <c r="C1777" s="4" t="s">
        <v>1143</v>
      </c>
      <c r="D1777" s="4" t="s">
        <v>1098</v>
      </c>
      <c r="E1777" s="15">
        <v>45307.0</v>
      </c>
    </row>
    <row r="1778">
      <c r="A1778" s="4">
        <v>1778.0</v>
      </c>
      <c r="B1778" s="4" t="s">
        <v>1705</v>
      </c>
      <c r="C1778" s="4" t="s">
        <v>1138</v>
      </c>
      <c r="D1778" s="4" t="s">
        <v>1098</v>
      </c>
      <c r="E1778" s="15">
        <v>45307.0</v>
      </c>
    </row>
    <row r="1779">
      <c r="A1779" s="4">
        <v>1779.0</v>
      </c>
      <c r="B1779" s="4" t="s">
        <v>1706</v>
      </c>
      <c r="C1779" s="4" t="s">
        <v>1138</v>
      </c>
      <c r="D1779" s="4" t="s">
        <v>1098</v>
      </c>
      <c r="E1779" s="15">
        <v>45307.0</v>
      </c>
    </row>
    <row r="1780">
      <c r="A1780" s="4">
        <v>1780.0</v>
      </c>
      <c r="B1780" s="4" t="s">
        <v>1698</v>
      </c>
      <c r="C1780" s="4" t="s">
        <v>1433</v>
      </c>
      <c r="D1780" s="4" t="s">
        <v>1098</v>
      </c>
      <c r="E1780" s="15">
        <v>45307.0</v>
      </c>
    </row>
    <row r="1781">
      <c r="A1781" s="4">
        <v>1781.0</v>
      </c>
      <c r="B1781" s="4" t="s">
        <v>1478</v>
      </c>
      <c r="C1781" s="4" t="s">
        <v>1621</v>
      </c>
      <c r="D1781" s="4" t="s">
        <v>1098</v>
      </c>
      <c r="E1781" s="15">
        <v>45307.0</v>
      </c>
    </row>
    <row r="1782">
      <c r="A1782" s="4">
        <v>1782.0</v>
      </c>
      <c r="B1782" s="4" t="s">
        <v>1391</v>
      </c>
      <c r="C1782" s="4" t="s">
        <v>1556</v>
      </c>
      <c r="D1782" s="4" t="s">
        <v>1098</v>
      </c>
      <c r="E1782" s="15">
        <v>45307.0</v>
      </c>
    </row>
    <row r="1783">
      <c r="A1783" s="4">
        <v>1783.0</v>
      </c>
      <c r="B1783" s="4" t="s">
        <v>1150</v>
      </c>
      <c r="C1783" s="4" t="s">
        <v>1707</v>
      </c>
      <c r="D1783" s="4" t="s">
        <v>1120</v>
      </c>
      <c r="E1783" s="15">
        <v>45307.0</v>
      </c>
    </row>
    <row r="1784">
      <c r="A1784" s="4">
        <v>1784.0</v>
      </c>
      <c r="B1784" s="4" t="s">
        <v>1531</v>
      </c>
      <c r="C1784" s="4" t="s">
        <v>1204</v>
      </c>
      <c r="D1784" s="4" t="s">
        <v>1098</v>
      </c>
      <c r="E1784" s="15">
        <v>45307.0</v>
      </c>
    </row>
    <row r="1785">
      <c r="A1785" s="4">
        <v>1785.0</v>
      </c>
      <c r="B1785" s="4" t="s">
        <v>1708</v>
      </c>
      <c r="C1785" s="4" t="s">
        <v>1101</v>
      </c>
      <c r="D1785" s="4" t="s">
        <v>1098</v>
      </c>
      <c r="E1785" s="15">
        <v>45306.0</v>
      </c>
    </row>
    <row r="1786">
      <c r="A1786" s="4">
        <v>1786.0</v>
      </c>
      <c r="B1786" s="4" t="s">
        <v>1708</v>
      </c>
      <c r="C1786" s="4" t="s">
        <v>1143</v>
      </c>
      <c r="D1786" s="4" t="s">
        <v>1098</v>
      </c>
      <c r="E1786" s="15">
        <v>45306.0</v>
      </c>
    </row>
    <row r="1787">
      <c r="A1787" s="4">
        <v>1787.0</v>
      </c>
      <c r="B1787" s="4" t="s">
        <v>1114</v>
      </c>
      <c r="C1787" s="4" t="s">
        <v>1137</v>
      </c>
      <c r="D1787" s="4" t="s">
        <v>1098</v>
      </c>
      <c r="E1787" s="15">
        <v>45306.0</v>
      </c>
    </row>
    <row r="1788">
      <c r="A1788" s="4">
        <v>1788.0</v>
      </c>
      <c r="B1788" s="4" t="s">
        <v>1709</v>
      </c>
      <c r="C1788" s="4" t="s">
        <v>1184</v>
      </c>
      <c r="D1788" s="4" t="s">
        <v>1098</v>
      </c>
      <c r="E1788" s="15">
        <v>45305.0</v>
      </c>
    </row>
    <row r="1789">
      <c r="A1789" s="4">
        <v>1789.0</v>
      </c>
      <c r="B1789" s="4" t="s">
        <v>1709</v>
      </c>
      <c r="C1789" s="4" t="s">
        <v>1574</v>
      </c>
      <c r="D1789" s="4" t="s">
        <v>1098</v>
      </c>
      <c r="E1789" s="15">
        <v>45305.0</v>
      </c>
    </row>
    <row r="1790">
      <c r="A1790" s="4">
        <v>1790.0</v>
      </c>
      <c r="B1790" s="4" t="s">
        <v>1709</v>
      </c>
      <c r="C1790" s="4" t="s">
        <v>1584</v>
      </c>
      <c r="D1790" s="4" t="s">
        <v>1098</v>
      </c>
      <c r="E1790" s="15">
        <v>45305.0</v>
      </c>
    </row>
    <row r="1791">
      <c r="A1791" s="4">
        <v>1791.0</v>
      </c>
      <c r="B1791" s="4" t="s">
        <v>1709</v>
      </c>
      <c r="C1791" s="4" t="s">
        <v>1575</v>
      </c>
      <c r="D1791" s="4" t="s">
        <v>1098</v>
      </c>
      <c r="E1791" s="15">
        <v>45305.0</v>
      </c>
    </row>
    <row r="1792">
      <c r="A1792" s="4">
        <v>1792.0</v>
      </c>
      <c r="B1792" s="4" t="s">
        <v>1709</v>
      </c>
      <c r="C1792" s="4" t="s">
        <v>1419</v>
      </c>
      <c r="D1792" s="4" t="s">
        <v>1098</v>
      </c>
      <c r="E1792" s="15">
        <v>45305.0</v>
      </c>
    </row>
    <row r="1793">
      <c r="A1793" s="4">
        <v>1793.0</v>
      </c>
      <c r="B1793" s="4" t="s">
        <v>1709</v>
      </c>
      <c r="C1793" s="4" t="s">
        <v>1138</v>
      </c>
      <c r="D1793" s="4" t="s">
        <v>1098</v>
      </c>
      <c r="E1793" s="15">
        <v>45305.0</v>
      </c>
    </row>
    <row r="1794">
      <c r="A1794" s="4">
        <v>1794.0</v>
      </c>
      <c r="B1794" s="4" t="s">
        <v>1710</v>
      </c>
      <c r="C1794" s="4" t="s">
        <v>1711</v>
      </c>
      <c r="D1794" s="4" t="s">
        <v>1098</v>
      </c>
      <c r="E1794" s="15">
        <v>45305.0</v>
      </c>
    </row>
    <row r="1795">
      <c r="A1795" s="4">
        <v>1795.0</v>
      </c>
      <c r="B1795" s="4" t="s">
        <v>1709</v>
      </c>
      <c r="C1795" s="4" t="s">
        <v>1586</v>
      </c>
      <c r="D1795" s="4" t="s">
        <v>1098</v>
      </c>
      <c r="E1795" s="15">
        <v>45305.0</v>
      </c>
    </row>
    <row r="1796">
      <c r="A1796" s="4">
        <v>1796.0</v>
      </c>
      <c r="B1796" s="4" t="s">
        <v>1709</v>
      </c>
      <c r="C1796" s="4" t="s">
        <v>1587</v>
      </c>
      <c r="D1796" s="4" t="s">
        <v>1098</v>
      </c>
      <c r="E1796" s="15">
        <v>45305.0</v>
      </c>
    </row>
    <row r="1797">
      <c r="A1797" s="4">
        <v>1797.0</v>
      </c>
      <c r="B1797" s="4" t="s">
        <v>1709</v>
      </c>
      <c r="C1797" s="4" t="s">
        <v>1576</v>
      </c>
      <c r="D1797" s="4" t="s">
        <v>1098</v>
      </c>
      <c r="E1797" s="15">
        <v>45305.0</v>
      </c>
    </row>
    <row r="1798">
      <c r="A1798" s="4">
        <v>1798.0</v>
      </c>
      <c r="B1798" s="4" t="s">
        <v>1709</v>
      </c>
      <c r="C1798" s="4" t="s">
        <v>1421</v>
      </c>
      <c r="D1798" s="4" t="s">
        <v>1098</v>
      </c>
      <c r="E1798" s="15">
        <v>45305.0</v>
      </c>
    </row>
    <row r="1799">
      <c r="A1799" s="4">
        <v>1799.0</v>
      </c>
      <c r="B1799" s="4" t="s">
        <v>1709</v>
      </c>
      <c r="C1799" s="4" t="s">
        <v>1423</v>
      </c>
      <c r="D1799" s="4" t="s">
        <v>1098</v>
      </c>
      <c r="E1799" s="15">
        <v>45305.0</v>
      </c>
    </row>
    <row r="1800">
      <c r="A1800" s="4">
        <v>1800.0</v>
      </c>
      <c r="B1800" s="4" t="s">
        <v>1709</v>
      </c>
      <c r="C1800" s="4" t="s">
        <v>1579</v>
      </c>
      <c r="D1800" s="4" t="s">
        <v>1098</v>
      </c>
      <c r="E1800" s="15">
        <v>45305.0</v>
      </c>
    </row>
    <row r="1801">
      <c r="A1801" s="4">
        <v>1801.0</v>
      </c>
      <c r="B1801" s="4" t="s">
        <v>1709</v>
      </c>
      <c r="C1801" s="4" t="s">
        <v>1556</v>
      </c>
      <c r="D1801" s="4" t="s">
        <v>1098</v>
      </c>
      <c r="E1801" s="15">
        <v>45305.0</v>
      </c>
    </row>
    <row r="1802">
      <c r="A1802" s="4">
        <v>1802.0</v>
      </c>
      <c r="B1802" s="4" t="s">
        <v>1709</v>
      </c>
      <c r="C1802" s="4" t="s">
        <v>1580</v>
      </c>
      <c r="D1802" s="4" t="s">
        <v>1098</v>
      </c>
      <c r="E1802" s="15">
        <v>45305.0</v>
      </c>
    </row>
    <row r="1803">
      <c r="A1803" s="4">
        <v>1803.0</v>
      </c>
      <c r="B1803" s="4" t="s">
        <v>1709</v>
      </c>
      <c r="C1803" s="4" t="s">
        <v>1319</v>
      </c>
      <c r="D1803" s="4" t="s">
        <v>1098</v>
      </c>
      <c r="E1803" s="15">
        <v>45305.0</v>
      </c>
    </row>
    <row r="1804">
      <c r="A1804" s="4">
        <v>1804.0</v>
      </c>
      <c r="B1804" s="4" t="s">
        <v>1709</v>
      </c>
      <c r="C1804" s="4" t="s">
        <v>1319</v>
      </c>
      <c r="D1804" s="4" t="s">
        <v>1098</v>
      </c>
      <c r="E1804" s="15">
        <v>45305.0</v>
      </c>
    </row>
    <row r="1805">
      <c r="A1805" s="4">
        <v>1805.0</v>
      </c>
      <c r="B1805" s="4" t="s">
        <v>1712</v>
      </c>
      <c r="C1805" s="4" t="s">
        <v>1143</v>
      </c>
      <c r="D1805" s="4" t="s">
        <v>1098</v>
      </c>
      <c r="E1805" s="15">
        <v>45304.0</v>
      </c>
    </row>
    <row r="1806">
      <c r="A1806" s="4">
        <v>1806.0</v>
      </c>
      <c r="B1806" s="4" t="s">
        <v>1712</v>
      </c>
      <c r="C1806" s="4" t="s">
        <v>1143</v>
      </c>
      <c r="D1806" s="4" t="s">
        <v>1098</v>
      </c>
      <c r="E1806" s="15">
        <v>45304.0</v>
      </c>
    </row>
    <row r="1807">
      <c r="A1807" s="4">
        <v>1807.0</v>
      </c>
      <c r="B1807" s="4" t="s">
        <v>1713</v>
      </c>
      <c r="C1807" s="4" t="s">
        <v>1143</v>
      </c>
      <c r="D1807" s="4" t="s">
        <v>1098</v>
      </c>
      <c r="E1807" s="15">
        <v>45304.0</v>
      </c>
    </row>
    <row r="1808">
      <c r="A1808" s="4">
        <v>1808.0</v>
      </c>
      <c r="B1808" s="4" t="s">
        <v>1714</v>
      </c>
      <c r="C1808" s="4" t="s">
        <v>1184</v>
      </c>
      <c r="D1808" s="4" t="s">
        <v>1098</v>
      </c>
      <c r="E1808" s="15">
        <v>45304.0</v>
      </c>
    </row>
    <row r="1809">
      <c r="A1809" s="4">
        <v>1809.0</v>
      </c>
      <c r="B1809" s="4" t="s">
        <v>1714</v>
      </c>
      <c r="C1809" s="4" t="s">
        <v>1184</v>
      </c>
      <c r="D1809" s="4" t="s">
        <v>1098</v>
      </c>
      <c r="E1809" s="15">
        <v>45304.0</v>
      </c>
    </row>
    <row r="1810">
      <c r="A1810" s="4">
        <v>1810.0</v>
      </c>
      <c r="B1810" s="4" t="s">
        <v>1714</v>
      </c>
      <c r="C1810" s="4" t="s">
        <v>1574</v>
      </c>
      <c r="D1810" s="4" t="s">
        <v>1098</v>
      </c>
      <c r="E1810" s="15">
        <v>45304.0</v>
      </c>
    </row>
    <row r="1811">
      <c r="A1811" s="4">
        <v>1811.0</v>
      </c>
      <c r="B1811" s="4" t="s">
        <v>1714</v>
      </c>
      <c r="C1811" s="4" t="s">
        <v>1584</v>
      </c>
      <c r="D1811" s="4" t="s">
        <v>1098</v>
      </c>
      <c r="E1811" s="15">
        <v>45304.0</v>
      </c>
    </row>
    <row r="1812">
      <c r="A1812" s="4">
        <v>1812.0</v>
      </c>
      <c r="B1812" s="4" t="s">
        <v>1713</v>
      </c>
      <c r="C1812" s="4" t="s">
        <v>1462</v>
      </c>
      <c r="D1812" s="4" t="s">
        <v>1098</v>
      </c>
      <c r="E1812" s="15">
        <v>45304.0</v>
      </c>
    </row>
    <row r="1813">
      <c r="A1813" s="4">
        <v>1813.0</v>
      </c>
      <c r="B1813" s="4" t="s">
        <v>1714</v>
      </c>
      <c r="C1813" s="4" t="s">
        <v>1575</v>
      </c>
      <c r="D1813" s="4" t="s">
        <v>1098</v>
      </c>
      <c r="E1813" s="15">
        <v>45304.0</v>
      </c>
    </row>
    <row r="1814">
      <c r="A1814" s="4">
        <v>1814.0</v>
      </c>
      <c r="B1814" s="4" t="s">
        <v>1714</v>
      </c>
      <c r="C1814" s="4" t="s">
        <v>1575</v>
      </c>
      <c r="D1814" s="4" t="s">
        <v>1098</v>
      </c>
      <c r="E1814" s="15">
        <v>45304.0</v>
      </c>
    </row>
    <row r="1815">
      <c r="A1815" s="4">
        <v>1815.0</v>
      </c>
      <c r="B1815" s="4" t="s">
        <v>1714</v>
      </c>
      <c r="C1815" s="4" t="s">
        <v>1419</v>
      </c>
      <c r="D1815" s="4" t="s">
        <v>1098</v>
      </c>
      <c r="E1815" s="15">
        <v>45304.0</v>
      </c>
    </row>
    <row r="1816">
      <c r="A1816" s="4">
        <v>1816.0</v>
      </c>
      <c r="B1816" s="4" t="s">
        <v>1714</v>
      </c>
      <c r="C1816" s="4" t="s">
        <v>1138</v>
      </c>
      <c r="D1816" s="4" t="s">
        <v>1098</v>
      </c>
      <c r="E1816" s="15">
        <v>45304.0</v>
      </c>
    </row>
    <row r="1817">
      <c r="A1817" s="4">
        <v>1817.0</v>
      </c>
      <c r="B1817" s="4" t="s">
        <v>1712</v>
      </c>
      <c r="C1817" s="4" t="s">
        <v>1138</v>
      </c>
      <c r="D1817" s="4" t="s">
        <v>1098</v>
      </c>
      <c r="E1817" s="15">
        <v>45304.0</v>
      </c>
    </row>
    <row r="1818">
      <c r="A1818" s="4">
        <v>1818.0</v>
      </c>
      <c r="B1818" s="4" t="s">
        <v>1714</v>
      </c>
      <c r="C1818" s="4" t="s">
        <v>1586</v>
      </c>
      <c r="D1818" s="4" t="s">
        <v>1098</v>
      </c>
      <c r="E1818" s="15">
        <v>45304.0</v>
      </c>
    </row>
    <row r="1819">
      <c r="A1819" s="4">
        <v>1819.0</v>
      </c>
      <c r="B1819" s="4" t="s">
        <v>1714</v>
      </c>
      <c r="C1819" s="4" t="s">
        <v>1587</v>
      </c>
      <c r="D1819" s="4" t="s">
        <v>1098</v>
      </c>
      <c r="E1819" s="15">
        <v>45304.0</v>
      </c>
    </row>
    <row r="1820">
      <c r="A1820" s="4">
        <v>1820.0</v>
      </c>
      <c r="B1820" s="4" t="s">
        <v>1714</v>
      </c>
      <c r="C1820" s="4" t="s">
        <v>1576</v>
      </c>
      <c r="D1820" s="4" t="s">
        <v>1098</v>
      </c>
      <c r="E1820" s="15">
        <v>45304.0</v>
      </c>
    </row>
    <row r="1821">
      <c r="A1821" s="4">
        <v>1821.0</v>
      </c>
      <c r="B1821" s="4" t="s">
        <v>1715</v>
      </c>
      <c r="C1821" s="4" t="s">
        <v>1433</v>
      </c>
      <c r="D1821" s="4" t="s">
        <v>1098</v>
      </c>
      <c r="E1821" s="15">
        <v>45304.0</v>
      </c>
    </row>
    <row r="1822">
      <c r="A1822" s="4">
        <v>1822.0</v>
      </c>
      <c r="B1822" s="4" t="s">
        <v>1714</v>
      </c>
      <c r="C1822" s="4" t="s">
        <v>1421</v>
      </c>
      <c r="D1822" s="4" t="s">
        <v>1098</v>
      </c>
      <c r="E1822" s="15">
        <v>45304.0</v>
      </c>
    </row>
    <row r="1823">
      <c r="A1823" s="4">
        <v>1823.0</v>
      </c>
      <c r="B1823" s="4" t="s">
        <v>1714</v>
      </c>
      <c r="C1823" s="4" t="s">
        <v>1423</v>
      </c>
      <c r="D1823" s="4" t="s">
        <v>1098</v>
      </c>
      <c r="E1823" s="15">
        <v>45304.0</v>
      </c>
    </row>
    <row r="1824">
      <c r="A1824" s="4">
        <v>1824.0</v>
      </c>
      <c r="B1824" s="4" t="s">
        <v>1714</v>
      </c>
      <c r="C1824" s="4" t="s">
        <v>1579</v>
      </c>
      <c r="D1824" s="4" t="s">
        <v>1098</v>
      </c>
      <c r="E1824" s="15">
        <v>45304.0</v>
      </c>
    </row>
    <row r="1825">
      <c r="A1825" s="4">
        <v>1825.0</v>
      </c>
      <c r="B1825" s="4" t="s">
        <v>1512</v>
      </c>
      <c r="C1825" s="4" t="s">
        <v>1579</v>
      </c>
      <c r="D1825" s="4" t="s">
        <v>1098</v>
      </c>
      <c r="E1825" s="15">
        <v>45304.0</v>
      </c>
    </row>
    <row r="1826">
      <c r="A1826" s="4">
        <v>1826.0</v>
      </c>
      <c r="B1826" s="4" t="s">
        <v>1667</v>
      </c>
      <c r="C1826" s="4" t="s">
        <v>1447</v>
      </c>
      <c r="D1826" s="4" t="s">
        <v>1098</v>
      </c>
      <c r="E1826" s="15">
        <v>45304.0</v>
      </c>
    </row>
    <row r="1827">
      <c r="A1827" s="4">
        <v>1827.0</v>
      </c>
      <c r="B1827" s="4" t="s">
        <v>1667</v>
      </c>
      <c r="C1827" s="4" t="s">
        <v>1493</v>
      </c>
      <c r="D1827" s="4" t="s">
        <v>1098</v>
      </c>
      <c r="E1827" s="15">
        <v>45304.0</v>
      </c>
    </row>
    <row r="1828">
      <c r="A1828" s="4">
        <v>1828.0</v>
      </c>
      <c r="B1828" s="4" t="s">
        <v>1667</v>
      </c>
      <c r="C1828" s="4" t="s">
        <v>1237</v>
      </c>
      <c r="D1828" s="4" t="s">
        <v>1098</v>
      </c>
      <c r="E1828" s="15">
        <v>45304.0</v>
      </c>
    </row>
    <row r="1829">
      <c r="A1829" s="4">
        <v>1829.0</v>
      </c>
      <c r="B1829" s="4" t="s">
        <v>1714</v>
      </c>
      <c r="C1829" s="4" t="s">
        <v>1556</v>
      </c>
      <c r="D1829" s="4" t="s">
        <v>1098</v>
      </c>
      <c r="E1829" s="15">
        <v>45304.0</v>
      </c>
    </row>
    <row r="1830">
      <c r="A1830" s="4">
        <v>1830.0</v>
      </c>
      <c r="B1830" s="4" t="s">
        <v>1714</v>
      </c>
      <c r="C1830" s="4" t="s">
        <v>1580</v>
      </c>
      <c r="D1830" s="4" t="s">
        <v>1098</v>
      </c>
      <c r="E1830" s="15">
        <v>45304.0</v>
      </c>
    </row>
    <row r="1831">
      <c r="A1831" s="4">
        <v>1831.0</v>
      </c>
      <c r="B1831" s="4" t="s">
        <v>1714</v>
      </c>
      <c r="C1831" s="4" t="s">
        <v>1548</v>
      </c>
      <c r="D1831" s="4" t="s">
        <v>1098</v>
      </c>
      <c r="E1831" s="15">
        <v>45304.0</v>
      </c>
    </row>
    <row r="1832">
      <c r="A1832" s="4">
        <v>1832.0</v>
      </c>
      <c r="B1832" s="4" t="s">
        <v>1311</v>
      </c>
      <c r="C1832" s="4" t="s">
        <v>1589</v>
      </c>
      <c r="D1832" s="4" t="s">
        <v>1098</v>
      </c>
      <c r="E1832" s="15">
        <v>45304.0</v>
      </c>
    </row>
    <row r="1833">
      <c r="A1833" s="4">
        <v>1833.0</v>
      </c>
      <c r="B1833" s="4" t="s">
        <v>1311</v>
      </c>
      <c r="C1833" s="4" t="s">
        <v>1589</v>
      </c>
      <c r="D1833" s="4" t="s">
        <v>1098</v>
      </c>
      <c r="E1833" s="15">
        <v>45304.0</v>
      </c>
    </row>
    <row r="1834">
      <c r="A1834" s="4">
        <v>1834.0</v>
      </c>
      <c r="B1834" s="4" t="s">
        <v>1512</v>
      </c>
      <c r="C1834" s="4" t="s">
        <v>1589</v>
      </c>
      <c r="D1834" s="4" t="s">
        <v>1098</v>
      </c>
      <c r="E1834" s="15">
        <v>45304.0</v>
      </c>
    </row>
    <row r="1835">
      <c r="A1835" s="4">
        <v>1835.0</v>
      </c>
      <c r="B1835" s="4" t="s">
        <v>1512</v>
      </c>
      <c r="C1835" s="4" t="s">
        <v>1273</v>
      </c>
      <c r="D1835" s="4" t="s">
        <v>1098</v>
      </c>
      <c r="E1835" s="15">
        <v>45304.0</v>
      </c>
    </row>
    <row r="1836">
      <c r="A1836" s="4">
        <v>1836.0</v>
      </c>
      <c r="B1836" s="4" t="s">
        <v>1311</v>
      </c>
      <c r="C1836" s="4" t="s">
        <v>1377</v>
      </c>
      <c r="D1836" s="4" t="s">
        <v>1098</v>
      </c>
      <c r="E1836" s="15">
        <v>45304.0</v>
      </c>
    </row>
    <row r="1837">
      <c r="A1837" s="4">
        <v>1837.0</v>
      </c>
      <c r="B1837" s="4" t="s">
        <v>1311</v>
      </c>
      <c r="C1837" s="4" t="s">
        <v>1559</v>
      </c>
      <c r="D1837" s="4" t="s">
        <v>1120</v>
      </c>
      <c r="E1837" s="15">
        <v>45304.0</v>
      </c>
    </row>
    <row r="1838">
      <c r="A1838" s="4">
        <v>1838.0</v>
      </c>
      <c r="B1838" s="4" t="s">
        <v>1150</v>
      </c>
      <c r="C1838" s="4" t="s">
        <v>1626</v>
      </c>
      <c r="D1838" s="4" t="s">
        <v>1120</v>
      </c>
      <c r="E1838" s="15">
        <v>45303.0</v>
      </c>
    </row>
    <row r="1839">
      <c r="A1839" s="4">
        <v>1839.0</v>
      </c>
      <c r="B1839" s="4" t="s">
        <v>1150</v>
      </c>
      <c r="C1839" s="4" t="s">
        <v>1143</v>
      </c>
      <c r="D1839" s="4" t="s">
        <v>1098</v>
      </c>
      <c r="E1839" s="15">
        <v>45303.0</v>
      </c>
    </row>
    <row r="1840">
      <c r="A1840" s="4">
        <v>1840.0</v>
      </c>
      <c r="B1840" s="4" t="s">
        <v>1716</v>
      </c>
      <c r="C1840" s="4" t="s">
        <v>1575</v>
      </c>
      <c r="D1840" s="4" t="s">
        <v>1098</v>
      </c>
      <c r="E1840" s="15">
        <v>45303.0</v>
      </c>
    </row>
    <row r="1841">
      <c r="A1841" s="4">
        <v>1841.0</v>
      </c>
      <c r="B1841" s="4" t="s">
        <v>1717</v>
      </c>
      <c r="C1841" s="4" t="s">
        <v>1137</v>
      </c>
      <c r="D1841" s="4" t="s">
        <v>1098</v>
      </c>
      <c r="E1841" s="15">
        <v>45303.0</v>
      </c>
    </row>
    <row r="1842">
      <c r="A1842" s="4">
        <v>1842.0</v>
      </c>
      <c r="B1842" s="4" t="s">
        <v>1198</v>
      </c>
      <c r="C1842" s="4" t="s">
        <v>1559</v>
      </c>
      <c r="D1842" s="4" t="s">
        <v>1120</v>
      </c>
      <c r="E1842" s="15">
        <v>45303.0</v>
      </c>
    </row>
    <row r="1843">
      <c r="A1843" s="4">
        <v>1843.0</v>
      </c>
      <c r="B1843" s="4" t="s">
        <v>1718</v>
      </c>
      <c r="C1843" s="4" t="s">
        <v>1687</v>
      </c>
      <c r="D1843" s="4" t="s">
        <v>1098</v>
      </c>
      <c r="E1843" s="15">
        <v>45302.0</v>
      </c>
    </row>
    <row r="1844">
      <c r="A1844" s="4">
        <v>1844.0</v>
      </c>
      <c r="B1844" s="4" t="s">
        <v>1718</v>
      </c>
      <c r="C1844" s="4" t="s">
        <v>1687</v>
      </c>
      <c r="D1844" s="4" t="s">
        <v>1098</v>
      </c>
      <c r="E1844" s="15">
        <v>45302.0</v>
      </c>
    </row>
    <row r="1845">
      <c r="A1845" s="4">
        <v>1845.0</v>
      </c>
      <c r="B1845" s="4" t="s">
        <v>1718</v>
      </c>
      <c r="C1845" s="4" t="s">
        <v>1687</v>
      </c>
      <c r="D1845" s="4" t="s">
        <v>1098</v>
      </c>
      <c r="E1845" s="15">
        <v>45302.0</v>
      </c>
    </row>
    <row r="1846">
      <c r="A1846" s="4">
        <v>1846.0</v>
      </c>
      <c r="B1846" s="4" t="s">
        <v>1718</v>
      </c>
      <c r="C1846" s="4" t="s">
        <v>1687</v>
      </c>
      <c r="D1846" s="4" t="s">
        <v>1098</v>
      </c>
      <c r="E1846" s="15">
        <v>45302.0</v>
      </c>
    </row>
    <row r="1847">
      <c r="A1847" s="4">
        <v>1847.0</v>
      </c>
      <c r="B1847" s="4" t="s">
        <v>1718</v>
      </c>
      <c r="C1847" s="4" t="s">
        <v>1687</v>
      </c>
      <c r="D1847" s="4" t="s">
        <v>1098</v>
      </c>
      <c r="E1847" s="15">
        <v>45302.0</v>
      </c>
    </row>
    <row r="1848">
      <c r="A1848" s="4">
        <v>1848.0</v>
      </c>
      <c r="B1848" s="4" t="s">
        <v>1407</v>
      </c>
      <c r="C1848" s="4" t="s">
        <v>1687</v>
      </c>
      <c r="D1848" s="4" t="s">
        <v>1098</v>
      </c>
      <c r="E1848" s="15">
        <v>45302.0</v>
      </c>
    </row>
    <row r="1849">
      <c r="A1849" s="4">
        <v>1849.0</v>
      </c>
      <c r="B1849" s="4" t="s">
        <v>1718</v>
      </c>
      <c r="C1849" s="4" t="s">
        <v>1582</v>
      </c>
      <c r="D1849" s="4" t="s">
        <v>1098</v>
      </c>
      <c r="E1849" s="15">
        <v>45302.0</v>
      </c>
    </row>
    <row r="1850">
      <c r="A1850" s="4">
        <v>1850.0</v>
      </c>
      <c r="B1850" s="4" t="s">
        <v>1718</v>
      </c>
      <c r="C1850" s="4" t="s">
        <v>1582</v>
      </c>
      <c r="D1850" s="4" t="s">
        <v>1098</v>
      </c>
      <c r="E1850" s="15">
        <v>45302.0</v>
      </c>
    </row>
    <row r="1851">
      <c r="A1851" s="4">
        <v>1851.0</v>
      </c>
      <c r="B1851" s="4" t="s">
        <v>1718</v>
      </c>
      <c r="C1851" s="4" t="s">
        <v>1207</v>
      </c>
      <c r="D1851" s="4" t="s">
        <v>1098</v>
      </c>
      <c r="E1851" s="15">
        <v>45302.0</v>
      </c>
    </row>
    <row r="1852">
      <c r="A1852" s="4">
        <v>1852.0</v>
      </c>
      <c r="B1852" s="4" t="s">
        <v>1719</v>
      </c>
      <c r="C1852" s="4" t="s">
        <v>1143</v>
      </c>
      <c r="D1852" s="4" t="s">
        <v>1098</v>
      </c>
      <c r="E1852" s="15">
        <v>45302.0</v>
      </c>
    </row>
    <row r="1853">
      <c r="A1853" s="4">
        <v>1853.0</v>
      </c>
      <c r="B1853" s="4" t="s">
        <v>1720</v>
      </c>
      <c r="C1853" s="4" t="s">
        <v>1143</v>
      </c>
      <c r="D1853" s="4" t="s">
        <v>1098</v>
      </c>
      <c r="E1853" s="15">
        <v>45302.0</v>
      </c>
    </row>
    <row r="1854">
      <c r="A1854" s="4">
        <v>1854.0</v>
      </c>
      <c r="B1854" s="4" t="s">
        <v>1166</v>
      </c>
      <c r="C1854" s="4" t="s">
        <v>1138</v>
      </c>
      <c r="D1854" s="4" t="s">
        <v>1098</v>
      </c>
      <c r="E1854" s="15">
        <v>45302.0</v>
      </c>
    </row>
    <row r="1855">
      <c r="A1855" s="4">
        <v>1855.0</v>
      </c>
      <c r="B1855" s="4" t="s">
        <v>1150</v>
      </c>
      <c r="C1855" s="4" t="s">
        <v>1652</v>
      </c>
      <c r="D1855" s="4" t="s">
        <v>1120</v>
      </c>
      <c r="E1855" s="15">
        <v>45302.0</v>
      </c>
    </row>
    <row r="1856">
      <c r="A1856" s="4">
        <v>1856.0</v>
      </c>
      <c r="B1856" s="4" t="s">
        <v>1605</v>
      </c>
      <c r="C1856" s="4" t="s">
        <v>1624</v>
      </c>
      <c r="D1856" s="4" t="s">
        <v>1098</v>
      </c>
      <c r="E1856" s="15">
        <v>45302.0</v>
      </c>
    </row>
    <row r="1857">
      <c r="A1857" s="4">
        <v>1857.0</v>
      </c>
      <c r="B1857" s="4" t="s">
        <v>1721</v>
      </c>
      <c r="C1857" s="4" t="s">
        <v>1273</v>
      </c>
      <c r="D1857" s="4" t="s">
        <v>1098</v>
      </c>
      <c r="E1857" s="15">
        <v>45302.0</v>
      </c>
    </row>
    <row r="1858">
      <c r="A1858" s="4">
        <v>1858.0</v>
      </c>
      <c r="B1858" s="4" t="s">
        <v>1684</v>
      </c>
      <c r="C1858" s="4" t="s">
        <v>1559</v>
      </c>
      <c r="D1858" s="4" t="s">
        <v>1120</v>
      </c>
      <c r="E1858" s="15">
        <v>45302.0</v>
      </c>
    </row>
    <row r="1859">
      <c r="A1859" s="4">
        <v>1859.0</v>
      </c>
      <c r="B1859" s="4" t="s">
        <v>1177</v>
      </c>
      <c r="C1859" s="4" t="s">
        <v>1610</v>
      </c>
      <c r="D1859" s="4" t="s">
        <v>1098</v>
      </c>
      <c r="E1859" s="15">
        <v>45301.0</v>
      </c>
    </row>
    <row r="1860">
      <c r="A1860" s="4">
        <v>1860.0</v>
      </c>
      <c r="B1860" s="4" t="s">
        <v>1177</v>
      </c>
      <c r="C1860" s="4" t="s">
        <v>1610</v>
      </c>
      <c r="D1860" s="4" t="s">
        <v>1098</v>
      </c>
      <c r="E1860" s="15">
        <v>45301.0</v>
      </c>
    </row>
    <row r="1861">
      <c r="A1861" s="4">
        <v>1861.0</v>
      </c>
      <c r="B1861" s="4" t="s">
        <v>1718</v>
      </c>
      <c r="C1861" s="4" t="s">
        <v>1207</v>
      </c>
      <c r="D1861" s="4" t="s">
        <v>1098</v>
      </c>
      <c r="E1861" s="15">
        <v>45301.0</v>
      </c>
    </row>
    <row r="1862">
      <c r="A1862" s="4">
        <v>1862.0</v>
      </c>
      <c r="B1862" s="4" t="s">
        <v>1718</v>
      </c>
      <c r="C1862" s="4" t="s">
        <v>1207</v>
      </c>
      <c r="D1862" s="4" t="s">
        <v>1098</v>
      </c>
      <c r="E1862" s="15">
        <v>45301.0</v>
      </c>
    </row>
    <row r="1863">
      <c r="A1863" s="4">
        <v>1863.0</v>
      </c>
      <c r="B1863" s="4" t="s">
        <v>1177</v>
      </c>
      <c r="C1863" s="4" t="s">
        <v>1207</v>
      </c>
      <c r="D1863" s="4" t="s">
        <v>1098</v>
      </c>
      <c r="E1863" s="15">
        <v>45301.0</v>
      </c>
    </row>
    <row r="1864">
      <c r="A1864" s="4">
        <v>1864.0</v>
      </c>
      <c r="B1864" s="4" t="s">
        <v>1718</v>
      </c>
      <c r="C1864" s="4" t="s">
        <v>1207</v>
      </c>
      <c r="D1864" s="4" t="s">
        <v>1098</v>
      </c>
      <c r="E1864" s="15">
        <v>45301.0</v>
      </c>
    </row>
    <row r="1865">
      <c r="A1865" s="4">
        <v>1865.0</v>
      </c>
      <c r="B1865" s="4" t="s">
        <v>1150</v>
      </c>
      <c r="C1865" s="4" t="s">
        <v>1429</v>
      </c>
      <c r="D1865" s="4" t="s">
        <v>1098</v>
      </c>
      <c r="E1865" s="15">
        <v>45301.0</v>
      </c>
    </row>
    <row r="1866">
      <c r="A1866" s="4">
        <v>1866.0</v>
      </c>
      <c r="B1866" s="4" t="s">
        <v>1150</v>
      </c>
      <c r="C1866" s="4" t="s">
        <v>1193</v>
      </c>
      <c r="D1866" s="4" t="s">
        <v>1098</v>
      </c>
      <c r="E1866" s="15">
        <v>45301.0</v>
      </c>
    </row>
    <row r="1867">
      <c r="A1867" s="4">
        <v>1867.0</v>
      </c>
      <c r="B1867" s="4" t="s">
        <v>1722</v>
      </c>
      <c r="C1867" s="4" t="s">
        <v>1101</v>
      </c>
      <c r="D1867" s="4" t="s">
        <v>1098</v>
      </c>
      <c r="E1867" s="15">
        <v>45301.0</v>
      </c>
    </row>
    <row r="1868">
      <c r="A1868" s="4">
        <v>1868.0</v>
      </c>
      <c r="B1868" s="4" t="s">
        <v>1723</v>
      </c>
      <c r="C1868" s="4" t="s">
        <v>1143</v>
      </c>
      <c r="D1868" s="4" t="s">
        <v>1098</v>
      </c>
      <c r="E1868" s="15">
        <v>45301.0</v>
      </c>
    </row>
    <row r="1869">
      <c r="A1869" s="4">
        <v>1869.0</v>
      </c>
      <c r="B1869" s="4" t="s">
        <v>1724</v>
      </c>
      <c r="C1869" s="4" t="s">
        <v>1143</v>
      </c>
      <c r="D1869" s="4" t="s">
        <v>1098</v>
      </c>
      <c r="E1869" s="15">
        <v>45301.0</v>
      </c>
    </row>
    <row r="1870">
      <c r="A1870" s="4">
        <v>1870.0</v>
      </c>
      <c r="B1870" s="4" t="s">
        <v>1725</v>
      </c>
      <c r="C1870" s="4" t="s">
        <v>1143</v>
      </c>
      <c r="D1870" s="4" t="s">
        <v>1098</v>
      </c>
      <c r="E1870" s="15">
        <v>45301.0</v>
      </c>
    </row>
    <row r="1871">
      <c r="A1871" s="4">
        <v>1871.0</v>
      </c>
      <c r="B1871" s="4" t="s">
        <v>1150</v>
      </c>
      <c r="C1871" s="4" t="s">
        <v>1143</v>
      </c>
      <c r="D1871" s="4" t="s">
        <v>1098</v>
      </c>
      <c r="E1871" s="15">
        <v>45301.0</v>
      </c>
    </row>
    <row r="1872">
      <c r="A1872" s="4">
        <v>1872.0</v>
      </c>
      <c r="B1872" s="4" t="s">
        <v>1712</v>
      </c>
      <c r="C1872" s="4" t="s">
        <v>1143</v>
      </c>
      <c r="D1872" s="4" t="s">
        <v>1098</v>
      </c>
      <c r="E1872" s="15">
        <v>45301.0</v>
      </c>
    </row>
    <row r="1873">
      <c r="A1873" s="4">
        <v>1873.0</v>
      </c>
      <c r="B1873" s="4" t="s">
        <v>1726</v>
      </c>
      <c r="C1873" s="4" t="s">
        <v>1143</v>
      </c>
      <c r="D1873" s="4" t="s">
        <v>1098</v>
      </c>
      <c r="E1873" s="15">
        <v>45301.0</v>
      </c>
    </row>
    <row r="1874">
      <c r="A1874" s="4">
        <v>1874.0</v>
      </c>
      <c r="B1874" s="4" t="s">
        <v>1723</v>
      </c>
      <c r="C1874" s="4" t="s">
        <v>1143</v>
      </c>
      <c r="D1874" s="4" t="s">
        <v>1098</v>
      </c>
      <c r="E1874" s="15">
        <v>45301.0</v>
      </c>
    </row>
    <row r="1875">
      <c r="A1875" s="4">
        <v>1875.0</v>
      </c>
      <c r="B1875" s="4" t="s">
        <v>1712</v>
      </c>
      <c r="C1875" s="4" t="s">
        <v>1586</v>
      </c>
      <c r="D1875" s="4" t="s">
        <v>1098</v>
      </c>
      <c r="E1875" s="15">
        <v>45301.0</v>
      </c>
    </row>
    <row r="1876">
      <c r="A1876" s="4">
        <v>1876.0</v>
      </c>
      <c r="B1876" s="4" t="s">
        <v>1712</v>
      </c>
      <c r="C1876" s="4" t="s">
        <v>1586</v>
      </c>
      <c r="D1876" s="4" t="s">
        <v>1098</v>
      </c>
      <c r="E1876" s="15">
        <v>45301.0</v>
      </c>
    </row>
    <row r="1877">
      <c r="A1877" s="4">
        <v>1877.0</v>
      </c>
      <c r="B1877" s="4" t="s">
        <v>1712</v>
      </c>
      <c r="C1877" s="4" t="s">
        <v>1587</v>
      </c>
      <c r="D1877" s="4" t="s">
        <v>1098</v>
      </c>
      <c r="E1877" s="15">
        <v>45301.0</v>
      </c>
    </row>
    <row r="1878">
      <c r="A1878" s="4">
        <v>1878.0</v>
      </c>
      <c r="B1878" s="4" t="s">
        <v>1712</v>
      </c>
      <c r="C1878" s="4" t="s">
        <v>1576</v>
      </c>
      <c r="D1878" s="4" t="s">
        <v>1098</v>
      </c>
      <c r="E1878" s="15">
        <v>45301.0</v>
      </c>
    </row>
    <row r="1879">
      <c r="A1879" s="4">
        <v>1879.0</v>
      </c>
      <c r="B1879" s="4" t="s">
        <v>1177</v>
      </c>
      <c r="C1879" s="4" t="s">
        <v>1377</v>
      </c>
      <c r="D1879" s="4" t="s">
        <v>1098</v>
      </c>
      <c r="E1879" s="15">
        <v>45301.0</v>
      </c>
    </row>
    <row r="1880">
      <c r="A1880" s="4">
        <v>1880.0</v>
      </c>
      <c r="B1880" s="4" t="s">
        <v>1603</v>
      </c>
      <c r="C1880" s="4" t="s">
        <v>1101</v>
      </c>
      <c r="D1880" s="4" t="s">
        <v>1098</v>
      </c>
      <c r="E1880" s="15">
        <v>45300.0</v>
      </c>
    </row>
    <row r="1881">
      <c r="A1881" s="4">
        <v>1881.0</v>
      </c>
      <c r="B1881" s="4" t="s">
        <v>1727</v>
      </c>
      <c r="C1881" s="4" t="s">
        <v>1143</v>
      </c>
      <c r="D1881" s="4" t="s">
        <v>1098</v>
      </c>
      <c r="E1881" s="15">
        <v>45300.0</v>
      </c>
    </row>
    <row r="1882">
      <c r="A1882" s="4">
        <v>1882.0</v>
      </c>
      <c r="B1882" s="4" t="s">
        <v>1728</v>
      </c>
      <c r="C1882" s="4" t="s">
        <v>1143</v>
      </c>
      <c r="D1882" s="4" t="s">
        <v>1098</v>
      </c>
      <c r="E1882" s="15">
        <v>45300.0</v>
      </c>
    </row>
    <row r="1883">
      <c r="A1883" s="4">
        <v>1883.0</v>
      </c>
      <c r="B1883" s="4" t="s">
        <v>1729</v>
      </c>
      <c r="C1883" s="4" t="s">
        <v>1143</v>
      </c>
      <c r="D1883" s="4" t="s">
        <v>1098</v>
      </c>
      <c r="E1883" s="15">
        <v>45300.0</v>
      </c>
    </row>
    <row r="1884">
      <c r="A1884" s="4">
        <v>1884.0</v>
      </c>
      <c r="B1884" s="4" t="s">
        <v>1730</v>
      </c>
      <c r="C1884" s="4" t="s">
        <v>1143</v>
      </c>
      <c r="D1884" s="4" t="s">
        <v>1098</v>
      </c>
      <c r="E1884" s="15">
        <v>45300.0</v>
      </c>
    </row>
    <row r="1885">
      <c r="A1885" s="4">
        <v>1885.0</v>
      </c>
      <c r="B1885" s="4" t="s">
        <v>1731</v>
      </c>
      <c r="C1885" s="4" t="s">
        <v>1575</v>
      </c>
      <c r="D1885" s="4" t="s">
        <v>1098</v>
      </c>
      <c r="E1885" s="15">
        <v>45300.0</v>
      </c>
    </row>
    <row r="1886">
      <c r="A1886" s="4">
        <v>1886.0</v>
      </c>
      <c r="B1886" s="4" t="s">
        <v>1732</v>
      </c>
      <c r="C1886" s="4" t="s">
        <v>1372</v>
      </c>
      <c r="D1886" s="4" t="s">
        <v>1098</v>
      </c>
      <c r="E1886" s="15">
        <v>45300.0</v>
      </c>
    </row>
    <row r="1887">
      <c r="A1887" s="4">
        <v>1887.0</v>
      </c>
      <c r="B1887" s="4" t="s">
        <v>1718</v>
      </c>
      <c r="C1887" s="4" t="s">
        <v>1273</v>
      </c>
      <c r="D1887" s="4" t="s">
        <v>1098</v>
      </c>
      <c r="E1887" s="15">
        <v>45300.0</v>
      </c>
    </row>
    <row r="1888">
      <c r="A1888" s="4">
        <v>1888.0</v>
      </c>
      <c r="B1888" s="4" t="s">
        <v>1718</v>
      </c>
      <c r="C1888" s="4" t="s">
        <v>1273</v>
      </c>
      <c r="D1888" s="4" t="s">
        <v>1098</v>
      </c>
      <c r="E1888" s="15">
        <v>45300.0</v>
      </c>
    </row>
    <row r="1889">
      <c r="A1889" s="4">
        <v>1889.0</v>
      </c>
      <c r="B1889" s="4" t="s">
        <v>1718</v>
      </c>
      <c r="C1889" s="4" t="s">
        <v>1273</v>
      </c>
      <c r="D1889" s="4" t="s">
        <v>1098</v>
      </c>
      <c r="E1889" s="15">
        <v>45300.0</v>
      </c>
    </row>
    <row r="1890">
      <c r="A1890" s="4">
        <v>1890.0</v>
      </c>
      <c r="B1890" s="4" t="s">
        <v>1718</v>
      </c>
      <c r="C1890" s="4" t="s">
        <v>1273</v>
      </c>
      <c r="D1890" s="4" t="s">
        <v>1098</v>
      </c>
      <c r="E1890" s="15">
        <v>45300.0</v>
      </c>
    </row>
    <row r="1891">
      <c r="A1891" s="4">
        <v>1891.0</v>
      </c>
      <c r="B1891" s="4" t="s">
        <v>1718</v>
      </c>
      <c r="C1891" s="4" t="s">
        <v>1273</v>
      </c>
      <c r="D1891" s="4" t="s">
        <v>1098</v>
      </c>
      <c r="E1891" s="15">
        <v>45300.0</v>
      </c>
    </row>
    <row r="1892">
      <c r="A1892" s="4">
        <v>1892.0</v>
      </c>
      <c r="B1892" s="4" t="s">
        <v>1718</v>
      </c>
      <c r="C1892" s="4" t="s">
        <v>1273</v>
      </c>
      <c r="D1892" s="4" t="s">
        <v>1098</v>
      </c>
      <c r="E1892" s="15">
        <v>45300.0</v>
      </c>
    </row>
    <row r="1893">
      <c r="A1893" s="4">
        <v>1893.0</v>
      </c>
      <c r="B1893" s="4" t="s">
        <v>1718</v>
      </c>
      <c r="C1893" s="4" t="s">
        <v>1273</v>
      </c>
      <c r="D1893" s="4" t="s">
        <v>1098</v>
      </c>
      <c r="E1893" s="15">
        <v>45300.0</v>
      </c>
    </row>
    <row r="1894">
      <c r="A1894" s="4">
        <v>1894.0</v>
      </c>
      <c r="B1894" s="4" t="s">
        <v>1718</v>
      </c>
      <c r="C1894" s="4" t="s">
        <v>1273</v>
      </c>
      <c r="D1894" s="4" t="s">
        <v>1098</v>
      </c>
      <c r="E1894" s="15">
        <v>45300.0</v>
      </c>
    </row>
    <row r="1895">
      <c r="A1895" s="4">
        <v>1895.0</v>
      </c>
      <c r="B1895" s="4" t="s">
        <v>1718</v>
      </c>
      <c r="C1895" s="4" t="s">
        <v>1273</v>
      </c>
      <c r="D1895" s="4" t="s">
        <v>1098</v>
      </c>
      <c r="E1895" s="15">
        <v>45300.0</v>
      </c>
    </row>
    <row r="1896">
      <c r="A1896" s="4">
        <v>1896.0</v>
      </c>
      <c r="B1896" s="4" t="s">
        <v>1733</v>
      </c>
      <c r="C1896" s="4" t="s">
        <v>1610</v>
      </c>
      <c r="D1896" s="4" t="s">
        <v>1098</v>
      </c>
      <c r="E1896" s="15">
        <v>45299.0</v>
      </c>
    </row>
    <row r="1897">
      <c r="A1897" s="4">
        <v>1897.0</v>
      </c>
      <c r="B1897" s="4" t="s">
        <v>1512</v>
      </c>
      <c r="C1897" s="4" t="s">
        <v>1207</v>
      </c>
      <c r="D1897" s="4" t="s">
        <v>1098</v>
      </c>
      <c r="E1897" s="15">
        <v>45299.0</v>
      </c>
    </row>
    <row r="1898">
      <c r="A1898" s="4">
        <v>1898.0</v>
      </c>
      <c r="B1898" s="4" t="s">
        <v>1734</v>
      </c>
      <c r="C1898" s="4" t="s">
        <v>1699</v>
      </c>
      <c r="D1898" s="4" t="s">
        <v>1098</v>
      </c>
      <c r="E1898" s="15">
        <v>45299.0</v>
      </c>
    </row>
    <row r="1899">
      <c r="A1899" s="4">
        <v>1899.0</v>
      </c>
      <c r="B1899" s="4" t="s">
        <v>1735</v>
      </c>
      <c r="C1899" s="4" t="s">
        <v>1589</v>
      </c>
      <c r="D1899" s="4" t="s">
        <v>1098</v>
      </c>
      <c r="E1899" s="15">
        <v>45299.0</v>
      </c>
    </row>
    <row r="1900">
      <c r="A1900" s="4">
        <v>1900.0</v>
      </c>
      <c r="B1900" s="4" t="s">
        <v>1735</v>
      </c>
      <c r="C1900" s="4" t="s">
        <v>1589</v>
      </c>
      <c r="D1900" s="4" t="s">
        <v>1098</v>
      </c>
      <c r="E1900" s="15">
        <v>45299.0</v>
      </c>
    </row>
    <row r="1901">
      <c r="A1901" s="4">
        <v>1901.0</v>
      </c>
      <c r="B1901" s="4" t="s">
        <v>1736</v>
      </c>
      <c r="C1901" s="4" t="s">
        <v>1273</v>
      </c>
      <c r="D1901" s="4" t="s">
        <v>1098</v>
      </c>
      <c r="E1901" s="15">
        <v>45299.0</v>
      </c>
    </row>
    <row r="1902">
      <c r="A1902" s="4">
        <v>1902.0</v>
      </c>
      <c r="B1902" s="4" t="s">
        <v>1512</v>
      </c>
      <c r="C1902" s="4" t="s">
        <v>1273</v>
      </c>
      <c r="D1902" s="4" t="s">
        <v>1098</v>
      </c>
      <c r="E1902" s="15">
        <v>45299.0</v>
      </c>
    </row>
    <row r="1903">
      <c r="A1903" s="4">
        <v>1903.0</v>
      </c>
      <c r="B1903" s="4" t="s">
        <v>1733</v>
      </c>
      <c r="C1903" s="4" t="s">
        <v>1641</v>
      </c>
      <c r="D1903" s="4" t="s">
        <v>1098</v>
      </c>
      <c r="E1903" s="15">
        <v>45299.0</v>
      </c>
    </row>
    <row r="1904">
      <c r="A1904" s="4">
        <v>1904.0</v>
      </c>
      <c r="B1904" s="4" t="s">
        <v>1733</v>
      </c>
      <c r="C1904" s="4" t="s">
        <v>1641</v>
      </c>
      <c r="D1904" s="4" t="s">
        <v>1098</v>
      </c>
      <c r="E1904" s="15">
        <v>45299.0</v>
      </c>
    </row>
    <row r="1905">
      <c r="A1905" s="4">
        <v>1905.0</v>
      </c>
      <c r="B1905" s="4" t="s">
        <v>1733</v>
      </c>
      <c r="C1905" s="4" t="s">
        <v>1204</v>
      </c>
      <c r="D1905" s="4" t="s">
        <v>1098</v>
      </c>
      <c r="E1905" s="15">
        <v>45299.0</v>
      </c>
    </row>
    <row r="1906">
      <c r="A1906" s="4">
        <v>1906.0</v>
      </c>
      <c r="B1906" s="4" t="s">
        <v>1733</v>
      </c>
      <c r="C1906" s="4" t="s">
        <v>1204</v>
      </c>
      <c r="D1906" s="4" t="s">
        <v>1098</v>
      </c>
      <c r="E1906" s="15">
        <v>45299.0</v>
      </c>
    </row>
    <row r="1907">
      <c r="A1907" s="4">
        <v>1907.0</v>
      </c>
      <c r="B1907" s="4" t="s">
        <v>1733</v>
      </c>
      <c r="C1907" s="4" t="s">
        <v>1204</v>
      </c>
      <c r="D1907" s="4" t="s">
        <v>1098</v>
      </c>
      <c r="E1907" s="15">
        <v>45299.0</v>
      </c>
    </row>
    <row r="1908">
      <c r="A1908" s="4">
        <v>1908.0</v>
      </c>
      <c r="B1908" s="4" t="s">
        <v>1733</v>
      </c>
      <c r="C1908" s="4" t="s">
        <v>1626</v>
      </c>
      <c r="D1908" s="4" t="s">
        <v>1120</v>
      </c>
      <c r="E1908" s="15">
        <v>45298.0</v>
      </c>
    </row>
    <row r="1909">
      <c r="A1909" s="4">
        <v>1909.0</v>
      </c>
      <c r="B1909" s="4" t="s">
        <v>1681</v>
      </c>
      <c r="C1909" s="4" t="s">
        <v>1195</v>
      </c>
      <c r="D1909" s="4" t="s">
        <v>1098</v>
      </c>
      <c r="E1909" s="15">
        <v>45298.0</v>
      </c>
    </row>
    <row r="1910">
      <c r="A1910" s="4">
        <v>1910.0</v>
      </c>
      <c r="B1910" s="4" t="s">
        <v>1681</v>
      </c>
      <c r="C1910" s="4" t="s">
        <v>1168</v>
      </c>
      <c r="D1910" s="4" t="s">
        <v>1098</v>
      </c>
      <c r="E1910" s="15">
        <v>45298.0</v>
      </c>
    </row>
    <row r="1911">
      <c r="A1911" s="4">
        <v>1911.0</v>
      </c>
      <c r="B1911" s="4" t="s">
        <v>1681</v>
      </c>
      <c r="C1911" s="4" t="s">
        <v>1141</v>
      </c>
      <c r="D1911" s="4" t="s">
        <v>1098</v>
      </c>
      <c r="E1911" s="15">
        <v>45298.0</v>
      </c>
    </row>
    <row r="1912">
      <c r="A1912" s="4">
        <v>1912.0</v>
      </c>
      <c r="B1912" s="4" t="s">
        <v>1681</v>
      </c>
      <c r="C1912" s="4" t="s">
        <v>1101</v>
      </c>
      <c r="D1912" s="4" t="s">
        <v>1098</v>
      </c>
      <c r="E1912" s="15">
        <v>45298.0</v>
      </c>
    </row>
    <row r="1913">
      <c r="A1913" s="4">
        <v>1913.0</v>
      </c>
      <c r="B1913" s="4" t="s">
        <v>1734</v>
      </c>
      <c r="C1913" s="4" t="s">
        <v>1101</v>
      </c>
      <c r="D1913" s="4" t="s">
        <v>1098</v>
      </c>
      <c r="E1913" s="15">
        <v>45298.0</v>
      </c>
    </row>
    <row r="1914">
      <c r="A1914" s="4">
        <v>1914.0</v>
      </c>
      <c r="B1914" s="4" t="s">
        <v>1737</v>
      </c>
      <c r="C1914" s="4" t="s">
        <v>1143</v>
      </c>
      <c r="D1914" s="4" t="s">
        <v>1098</v>
      </c>
      <c r="E1914" s="15">
        <v>45298.0</v>
      </c>
    </row>
    <row r="1915">
      <c r="A1915" s="4">
        <v>1915.0</v>
      </c>
      <c r="B1915" s="4" t="s">
        <v>1738</v>
      </c>
      <c r="C1915" s="4" t="s">
        <v>1143</v>
      </c>
      <c r="D1915" s="4" t="s">
        <v>1098</v>
      </c>
      <c r="E1915" s="15">
        <v>45298.0</v>
      </c>
    </row>
    <row r="1916">
      <c r="A1916" s="4">
        <v>1916.0</v>
      </c>
      <c r="B1916" s="4" t="s">
        <v>1737</v>
      </c>
      <c r="C1916" s="4" t="s">
        <v>1143</v>
      </c>
      <c r="D1916" s="4" t="s">
        <v>1098</v>
      </c>
      <c r="E1916" s="15">
        <v>45298.0</v>
      </c>
    </row>
    <row r="1917">
      <c r="A1917" s="4">
        <v>1917.0</v>
      </c>
      <c r="B1917" s="4" t="s">
        <v>1737</v>
      </c>
      <c r="C1917" s="4" t="s">
        <v>1143</v>
      </c>
      <c r="D1917" s="4" t="s">
        <v>1098</v>
      </c>
      <c r="E1917" s="15">
        <v>45298.0</v>
      </c>
    </row>
    <row r="1918">
      <c r="A1918" s="4">
        <v>1918.0</v>
      </c>
      <c r="B1918" s="4" t="s">
        <v>1737</v>
      </c>
      <c r="C1918" s="4" t="s">
        <v>1253</v>
      </c>
      <c r="D1918" s="4" t="s">
        <v>1098</v>
      </c>
      <c r="E1918" s="15">
        <v>45298.0</v>
      </c>
    </row>
    <row r="1919">
      <c r="A1919" s="4">
        <v>1919.0</v>
      </c>
      <c r="B1919" s="4" t="s">
        <v>1737</v>
      </c>
      <c r="C1919" s="4" t="s">
        <v>1253</v>
      </c>
      <c r="D1919" s="4" t="s">
        <v>1098</v>
      </c>
      <c r="E1919" s="15">
        <v>45298.0</v>
      </c>
    </row>
    <row r="1920">
      <c r="A1920" s="4">
        <v>1920.0</v>
      </c>
      <c r="B1920" s="4" t="s">
        <v>1733</v>
      </c>
      <c r="C1920" s="4" t="s">
        <v>1739</v>
      </c>
      <c r="D1920" s="4" t="s">
        <v>1120</v>
      </c>
      <c r="E1920" s="15">
        <v>45298.0</v>
      </c>
    </row>
    <row r="1921">
      <c r="A1921" s="4">
        <v>1921.0</v>
      </c>
      <c r="B1921" s="4" t="s">
        <v>1737</v>
      </c>
      <c r="C1921" s="4" t="s">
        <v>1273</v>
      </c>
      <c r="D1921" s="4" t="s">
        <v>1098</v>
      </c>
      <c r="E1921" s="15">
        <v>45298.0</v>
      </c>
    </row>
    <row r="1922">
      <c r="A1922" s="4">
        <v>1922.0</v>
      </c>
      <c r="B1922" s="4" t="s">
        <v>1737</v>
      </c>
      <c r="C1922" s="4" t="s">
        <v>1273</v>
      </c>
      <c r="D1922" s="4" t="s">
        <v>1098</v>
      </c>
      <c r="E1922" s="15">
        <v>45298.0</v>
      </c>
    </row>
    <row r="1923">
      <c r="A1923" s="4">
        <v>1923.0</v>
      </c>
      <c r="B1923" s="4" t="s">
        <v>1733</v>
      </c>
      <c r="C1923" s="4" t="s">
        <v>1220</v>
      </c>
      <c r="D1923" s="4" t="s">
        <v>1098</v>
      </c>
      <c r="E1923" s="15">
        <v>45298.0</v>
      </c>
    </row>
    <row r="1924">
      <c r="A1924" s="4">
        <v>1924.0</v>
      </c>
      <c r="B1924" s="4" t="s">
        <v>1740</v>
      </c>
      <c r="C1924" s="4" t="s">
        <v>1101</v>
      </c>
      <c r="D1924" s="4" t="s">
        <v>1098</v>
      </c>
      <c r="E1924" s="15">
        <v>45297.0</v>
      </c>
    </row>
    <row r="1925">
      <c r="A1925" s="4">
        <v>1925.0</v>
      </c>
      <c r="B1925" s="4" t="s">
        <v>1740</v>
      </c>
      <c r="C1925" s="4" t="s">
        <v>1101</v>
      </c>
      <c r="D1925" s="4" t="s">
        <v>1098</v>
      </c>
      <c r="E1925" s="15">
        <v>45297.0</v>
      </c>
    </row>
    <row r="1926">
      <c r="A1926" s="4">
        <v>1926.0</v>
      </c>
      <c r="B1926" s="4" t="s">
        <v>1740</v>
      </c>
      <c r="C1926" s="4" t="s">
        <v>1101</v>
      </c>
      <c r="D1926" s="4" t="s">
        <v>1098</v>
      </c>
      <c r="E1926" s="15">
        <v>45297.0</v>
      </c>
    </row>
    <row r="1927">
      <c r="A1927" s="4">
        <v>1927.0</v>
      </c>
      <c r="B1927" s="4" t="s">
        <v>1718</v>
      </c>
      <c r="C1927" s="4" t="s">
        <v>1143</v>
      </c>
      <c r="D1927" s="4" t="s">
        <v>1098</v>
      </c>
      <c r="E1927" s="15">
        <v>45297.0</v>
      </c>
    </row>
    <row r="1928">
      <c r="A1928" s="4">
        <v>1928.0</v>
      </c>
      <c r="B1928" s="4" t="s">
        <v>1741</v>
      </c>
      <c r="C1928" s="4" t="s">
        <v>1184</v>
      </c>
      <c r="D1928" s="4" t="s">
        <v>1098</v>
      </c>
      <c r="E1928" s="15">
        <v>45297.0</v>
      </c>
    </row>
    <row r="1929">
      <c r="A1929" s="4">
        <v>1929.0</v>
      </c>
      <c r="B1929" s="4" t="s">
        <v>1741</v>
      </c>
      <c r="C1929" s="4" t="s">
        <v>1574</v>
      </c>
      <c r="D1929" s="4" t="s">
        <v>1098</v>
      </c>
      <c r="E1929" s="15">
        <v>45297.0</v>
      </c>
    </row>
    <row r="1930">
      <c r="A1930" s="4">
        <v>1930.0</v>
      </c>
      <c r="B1930" s="4" t="s">
        <v>1741</v>
      </c>
      <c r="C1930" s="4" t="s">
        <v>1584</v>
      </c>
      <c r="D1930" s="4" t="s">
        <v>1098</v>
      </c>
      <c r="E1930" s="15">
        <v>45297.0</v>
      </c>
    </row>
    <row r="1931">
      <c r="A1931" s="4">
        <v>1931.0</v>
      </c>
      <c r="B1931" s="4" t="s">
        <v>1741</v>
      </c>
      <c r="C1931" s="4" t="s">
        <v>1575</v>
      </c>
      <c r="D1931" s="4" t="s">
        <v>1098</v>
      </c>
      <c r="E1931" s="15">
        <v>45297.0</v>
      </c>
    </row>
    <row r="1932">
      <c r="A1932" s="4">
        <v>1932.0</v>
      </c>
      <c r="B1932" s="4" t="s">
        <v>1741</v>
      </c>
      <c r="C1932" s="4" t="s">
        <v>1419</v>
      </c>
      <c r="D1932" s="4" t="s">
        <v>1098</v>
      </c>
      <c r="E1932" s="15">
        <v>45297.0</v>
      </c>
    </row>
    <row r="1933">
      <c r="A1933" s="4">
        <v>1933.0</v>
      </c>
      <c r="B1933" s="4" t="s">
        <v>1741</v>
      </c>
      <c r="C1933" s="4" t="s">
        <v>1138</v>
      </c>
      <c r="D1933" s="4" t="s">
        <v>1098</v>
      </c>
      <c r="E1933" s="15">
        <v>45297.0</v>
      </c>
    </row>
    <row r="1934">
      <c r="A1934" s="4">
        <v>1934.0</v>
      </c>
      <c r="B1934" s="4" t="s">
        <v>1741</v>
      </c>
      <c r="C1934" s="4" t="s">
        <v>1586</v>
      </c>
      <c r="D1934" s="4" t="s">
        <v>1098</v>
      </c>
      <c r="E1934" s="15">
        <v>45297.0</v>
      </c>
    </row>
    <row r="1935">
      <c r="A1935" s="4">
        <v>1935.0</v>
      </c>
      <c r="B1935" s="4" t="s">
        <v>1741</v>
      </c>
      <c r="C1935" s="4" t="s">
        <v>1587</v>
      </c>
      <c r="D1935" s="4" t="s">
        <v>1098</v>
      </c>
      <c r="E1935" s="15">
        <v>45297.0</v>
      </c>
    </row>
    <row r="1936">
      <c r="A1936" s="4">
        <v>1936.0</v>
      </c>
      <c r="B1936" s="4" t="s">
        <v>1741</v>
      </c>
      <c r="C1936" s="4" t="s">
        <v>1576</v>
      </c>
      <c r="D1936" s="4" t="s">
        <v>1098</v>
      </c>
      <c r="E1936" s="15">
        <v>45297.0</v>
      </c>
    </row>
    <row r="1937">
      <c r="A1937" s="4">
        <v>1937.0</v>
      </c>
      <c r="B1937" s="4" t="s">
        <v>1741</v>
      </c>
      <c r="C1937" s="4" t="s">
        <v>1421</v>
      </c>
      <c r="D1937" s="4" t="s">
        <v>1098</v>
      </c>
      <c r="E1937" s="15">
        <v>45297.0</v>
      </c>
    </row>
    <row r="1938">
      <c r="A1938" s="4">
        <v>1938.0</v>
      </c>
      <c r="B1938" s="4" t="s">
        <v>1741</v>
      </c>
      <c r="C1938" s="4" t="s">
        <v>1423</v>
      </c>
      <c r="D1938" s="4" t="s">
        <v>1098</v>
      </c>
      <c r="E1938" s="15">
        <v>45297.0</v>
      </c>
    </row>
    <row r="1939">
      <c r="A1939" s="4">
        <v>1939.0</v>
      </c>
      <c r="B1939" s="4" t="s">
        <v>1741</v>
      </c>
      <c r="C1939" s="4" t="s">
        <v>1579</v>
      </c>
      <c r="D1939" s="4" t="s">
        <v>1098</v>
      </c>
      <c r="E1939" s="15">
        <v>45297.0</v>
      </c>
    </row>
    <row r="1940">
      <c r="A1940" s="4">
        <v>1940.0</v>
      </c>
      <c r="B1940" s="4" t="s">
        <v>1741</v>
      </c>
      <c r="C1940" s="4" t="s">
        <v>1556</v>
      </c>
      <c r="D1940" s="4" t="s">
        <v>1098</v>
      </c>
      <c r="E1940" s="15">
        <v>45297.0</v>
      </c>
    </row>
    <row r="1941">
      <c r="A1941" s="4">
        <v>1941.0</v>
      </c>
      <c r="B1941" s="4" t="s">
        <v>1741</v>
      </c>
      <c r="C1941" s="4" t="s">
        <v>1580</v>
      </c>
      <c r="D1941" s="4" t="s">
        <v>1098</v>
      </c>
      <c r="E1941" s="15">
        <v>45297.0</v>
      </c>
    </row>
    <row r="1942">
      <c r="A1942" s="4">
        <v>1942.0</v>
      </c>
      <c r="B1942" s="4" t="s">
        <v>1742</v>
      </c>
      <c r="C1942" s="4" t="s">
        <v>1319</v>
      </c>
      <c r="D1942" s="4" t="s">
        <v>1098</v>
      </c>
      <c r="E1942" s="15">
        <v>45297.0</v>
      </c>
    </row>
    <row r="1943">
      <c r="A1943" s="4">
        <v>1943.0</v>
      </c>
      <c r="B1943" s="4" t="s">
        <v>1741</v>
      </c>
      <c r="C1943" s="4" t="s">
        <v>1548</v>
      </c>
      <c r="D1943" s="4" t="s">
        <v>1098</v>
      </c>
      <c r="E1943" s="15">
        <v>45297.0</v>
      </c>
    </row>
    <row r="1944">
      <c r="A1944" s="4">
        <v>1944.0</v>
      </c>
      <c r="B1944" s="4" t="s">
        <v>1743</v>
      </c>
      <c r="C1944" s="4" t="s">
        <v>1141</v>
      </c>
      <c r="D1944" s="4" t="s">
        <v>1098</v>
      </c>
      <c r="E1944" s="15">
        <v>45296.0</v>
      </c>
    </row>
    <row r="1945">
      <c r="A1945" s="4">
        <v>1945.0</v>
      </c>
      <c r="B1945" s="4" t="s">
        <v>1519</v>
      </c>
      <c r="C1945" s="4" t="s">
        <v>1101</v>
      </c>
      <c r="D1945" s="4" t="s">
        <v>1098</v>
      </c>
      <c r="E1945" s="15">
        <v>45296.0</v>
      </c>
    </row>
    <row r="1946">
      <c r="A1946" s="4">
        <v>1946.0</v>
      </c>
      <c r="B1946" s="4" t="s">
        <v>1744</v>
      </c>
      <c r="C1946" s="4" t="s">
        <v>1101</v>
      </c>
      <c r="D1946" s="4" t="s">
        <v>1098</v>
      </c>
      <c r="E1946" s="15">
        <v>45296.0</v>
      </c>
    </row>
    <row r="1947">
      <c r="A1947" s="4">
        <v>1947.0</v>
      </c>
      <c r="B1947" s="4" t="s">
        <v>1673</v>
      </c>
      <c r="C1947" s="4" t="s">
        <v>1101</v>
      </c>
      <c r="D1947" s="4" t="s">
        <v>1098</v>
      </c>
      <c r="E1947" s="15">
        <v>45296.0</v>
      </c>
    </row>
    <row r="1948">
      <c r="A1948" s="4">
        <v>1948.0</v>
      </c>
      <c r="B1948" s="4" t="s">
        <v>1743</v>
      </c>
      <c r="C1948" s="4" t="s">
        <v>1143</v>
      </c>
      <c r="D1948" s="4" t="s">
        <v>1098</v>
      </c>
      <c r="E1948" s="15">
        <v>45296.0</v>
      </c>
    </row>
    <row r="1949">
      <c r="A1949" s="4">
        <v>1949.0</v>
      </c>
      <c r="B1949" s="4" t="s">
        <v>1673</v>
      </c>
      <c r="C1949" s="4" t="s">
        <v>1143</v>
      </c>
      <c r="D1949" s="4" t="s">
        <v>1098</v>
      </c>
      <c r="E1949" s="15">
        <v>45296.0</v>
      </c>
    </row>
    <row r="1950">
      <c r="A1950" s="4">
        <v>1950.0</v>
      </c>
      <c r="B1950" s="4" t="s">
        <v>1673</v>
      </c>
      <c r="C1950" s="4" t="s">
        <v>1143</v>
      </c>
      <c r="D1950" s="4" t="s">
        <v>1098</v>
      </c>
      <c r="E1950" s="15">
        <v>45296.0</v>
      </c>
    </row>
    <row r="1951">
      <c r="A1951" s="4">
        <v>1951.0</v>
      </c>
      <c r="B1951" s="4" t="s">
        <v>1673</v>
      </c>
      <c r="C1951" s="4" t="s">
        <v>1143</v>
      </c>
      <c r="D1951" s="4" t="s">
        <v>1098</v>
      </c>
      <c r="E1951" s="15">
        <v>45296.0</v>
      </c>
    </row>
    <row r="1952">
      <c r="A1952" s="4">
        <v>1952.0</v>
      </c>
      <c r="B1952" s="4" t="s">
        <v>1743</v>
      </c>
      <c r="C1952" s="4" t="s">
        <v>1333</v>
      </c>
      <c r="D1952" s="4" t="s">
        <v>1098</v>
      </c>
      <c r="E1952" s="15">
        <v>45296.0</v>
      </c>
    </row>
    <row r="1953">
      <c r="A1953" s="4">
        <v>1953.0</v>
      </c>
      <c r="B1953" s="4" t="s">
        <v>1712</v>
      </c>
      <c r="C1953" s="4" t="s">
        <v>1207</v>
      </c>
      <c r="D1953" s="4" t="s">
        <v>1098</v>
      </c>
      <c r="E1953" s="15">
        <v>45295.0</v>
      </c>
    </row>
    <row r="1954">
      <c r="A1954" s="4">
        <v>1954.0</v>
      </c>
      <c r="B1954" s="4" t="s">
        <v>1745</v>
      </c>
      <c r="C1954" s="4" t="s">
        <v>1141</v>
      </c>
      <c r="D1954" s="4" t="s">
        <v>1098</v>
      </c>
      <c r="E1954" s="15">
        <v>45295.0</v>
      </c>
    </row>
    <row r="1955">
      <c r="A1955" s="4">
        <v>1955.0</v>
      </c>
      <c r="B1955" s="4" t="s">
        <v>1734</v>
      </c>
      <c r="C1955" s="4" t="s">
        <v>1101</v>
      </c>
      <c r="D1955" s="4" t="s">
        <v>1098</v>
      </c>
      <c r="E1955" s="15">
        <v>45295.0</v>
      </c>
    </row>
    <row r="1956">
      <c r="A1956" s="4">
        <v>1956.0</v>
      </c>
      <c r="B1956" s="4" t="s">
        <v>1746</v>
      </c>
      <c r="C1956" s="4" t="s">
        <v>1101</v>
      </c>
      <c r="D1956" s="4" t="s">
        <v>1098</v>
      </c>
      <c r="E1956" s="15">
        <v>45295.0</v>
      </c>
    </row>
    <row r="1957">
      <c r="A1957" s="4">
        <v>1957.0</v>
      </c>
      <c r="B1957" s="4" t="s">
        <v>1745</v>
      </c>
      <c r="C1957" s="4" t="s">
        <v>1101</v>
      </c>
      <c r="D1957" s="4" t="s">
        <v>1098</v>
      </c>
      <c r="E1957" s="15">
        <v>45295.0</v>
      </c>
    </row>
    <row r="1958">
      <c r="A1958" s="4">
        <v>1958.0</v>
      </c>
      <c r="B1958" s="4" t="s">
        <v>1745</v>
      </c>
      <c r="C1958" s="4" t="s">
        <v>1101</v>
      </c>
      <c r="D1958" s="4" t="s">
        <v>1098</v>
      </c>
      <c r="E1958" s="15">
        <v>45295.0</v>
      </c>
    </row>
    <row r="1959">
      <c r="A1959" s="4">
        <v>1959.0</v>
      </c>
      <c r="B1959" s="4" t="s">
        <v>1745</v>
      </c>
      <c r="C1959" s="4" t="s">
        <v>1101</v>
      </c>
      <c r="D1959" s="4" t="s">
        <v>1098</v>
      </c>
      <c r="E1959" s="15">
        <v>45295.0</v>
      </c>
    </row>
    <row r="1960">
      <c r="A1960" s="4">
        <v>1960.0</v>
      </c>
      <c r="B1960" s="4" t="s">
        <v>1745</v>
      </c>
      <c r="C1960" s="4" t="s">
        <v>1101</v>
      </c>
      <c r="D1960" s="4" t="s">
        <v>1098</v>
      </c>
      <c r="E1960" s="15">
        <v>45295.0</v>
      </c>
    </row>
    <row r="1961">
      <c r="A1961" s="4">
        <v>1961.0</v>
      </c>
      <c r="B1961" s="4" t="s">
        <v>1734</v>
      </c>
      <c r="C1961" s="4" t="s">
        <v>1101</v>
      </c>
      <c r="D1961" s="4" t="s">
        <v>1098</v>
      </c>
      <c r="E1961" s="15">
        <v>45295.0</v>
      </c>
    </row>
    <row r="1962">
      <c r="A1962" s="4">
        <v>1962.0</v>
      </c>
      <c r="B1962" s="4" t="s">
        <v>1747</v>
      </c>
      <c r="C1962" s="4" t="s">
        <v>1143</v>
      </c>
      <c r="D1962" s="4" t="s">
        <v>1098</v>
      </c>
      <c r="E1962" s="15">
        <v>45295.0</v>
      </c>
    </row>
    <row r="1963">
      <c r="A1963" s="4">
        <v>1963.0</v>
      </c>
      <c r="B1963" s="4" t="s">
        <v>1748</v>
      </c>
      <c r="C1963" s="4" t="s">
        <v>1143</v>
      </c>
      <c r="D1963" s="4" t="s">
        <v>1098</v>
      </c>
      <c r="E1963" s="15">
        <v>45295.0</v>
      </c>
    </row>
    <row r="1964">
      <c r="A1964" s="4">
        <v>1964.0</v>
      </c>
      <c r="B1964" s="4" t="s">
        <v>1242</v>
      </c>
      <c r="C1964" s="4" t="s">
        <v>1143</v>
      </c>
      <c r="D1964" s="4" t="s">
        <v>1098</v>
      </c>
      <c r="E1964" s="15">
        <v>45295.0</v>
      </c>
    </row>
    <row r="1965">
      <c r="A1965" s="4">
        <v>1965.0</v>
      </c>
      <c r="B1965" s="4" t="s">
        <v>1712</v>
      </c>
      <c r="C1965" s="4" t="s">
        <v>1184</v>
      </c>
      <c r="D1965" s="4" t="s">
        <v>1098</v>
      </c>
      <c r="E1965" s="15">
        <v>45295.0</v>
      </c>
    </row>
    <row r="1966">
      <c r="A1966" s="4">
        <v>1966.0</v>
      </c>
      <c r="B1966" s="4" t="s">
        <v>1712</v>
      </c>
      <c r="C1966" s="4" t="s">
        <v>1574</v>
      </c>
      <c r="D1966" s="4" t="s">
        <v>1098</v>
      </c>
      <c r="E1966" s="15">
        <v>45295.0</v>
      </c>
    </row>
    <row r="1967">
      <c r="A1967" s="4">
        <v>1967.0</v>
      </c>
      <c r="B1967" s="4" t="s">
        <v>1712</v>
      </c>
      <c r="C1967" s="4" t="s">
        <v>1584</v>
      </c>
      <c r="D1967" s="4" t="s">
        <v>1098</v>
      </c>
      <c r="E1967" s="15">
        <v>45295.0</v>
      </c>
    </row>
    <row r="1968">
      <c r="A1968" s="4">
        <v>1968.0</v>
      </c>
      <c r="B1968" s="4" t="s">
        <v>1749</v>
      </c>
      <c r="C1968" s="4" t="s">
        <v>1575</v>
      </c>
      <c r="D1968" s="4" t="s">
        <v>1098</v>
      </c>
      <c r="E1968" s="15">
        <v>45295.0</v>
      </c>
    </row>
    <row r="1969">
      <c r="A1969" s="4">
        <v>1969.0</v>
      </c>
      <c r="B1969" s="4" t="s">
        <v>1749</v>
      </c>
      <c r="C1969" s="4" t="s">
        <v>1575</v>
      </c>
      <c r="D1969" s="4" t="s">
        <v>1098</v>
      </c>
      <c r="E1969" s="15">
        <v>45295.0</v>
      </c>
    </row>
    <row r="1970">
      <c r="A1970" s="4">
        <v>1970.0</v>
      </c>
      <c r="B1970" s="4" t="s">
        <v>1712</v>
      </c>
      <c r="C1970" s="4" t="s">
        <v>1575</v>
      </c>
      <c r="D1970" s="4" t="s">
        <v>1098</v>
      </c>
      <c r="E1970" s="15">
        <v>45295.0</v>
      </c>
    </row>
    <row r="1971">
      <c r="A1971" s="4">
        <v>1971.0</v>
      </c>
      <c r="B1971" s="4" t="s">
        <v>1712</v>
      </c>
      <c r="C1971" s="4" t="s">
        <v>1419</v>
      </c>
      <c r="D1971" s="4" t="s">
        <v>1098</v>
      </c>
      <c r="E1971" s="15">
        <v>45295.0</v>
      </c>
    </row>
    <row r="1972">
      <c r="A1972" s="4">
        <v>1972.0</v>
      </c>
      <c r="B1972" s="4" t="s">
        <v>1712</v>
      </c>
      <c r="C1972" s="4" t="s">
        <v>1138</v>
      </c>
      <c r="D1972" s="4" t="s">
        <v>1098</v>
      </c>
      <c r="E1972" s="15">
        <v>45295.0</v>
      </c>
    </row>
    <row r="1973">
      <c r="A1973" s="4">
        <v>1973.0</v>
      </c>
      <c r="B1973" s="4" t="s">
        <v>1712</v>
      </c>
      <c r="C1973" s="4" t="s">
        <v>1586</v>
      </c>
      <c r="D1973" s="4" t="s">
        <v>1098</v>
      </c>
      <c r="E1973" s="15">
        <v>45295.0</v>
      </c>
    </row>
    <row r="1974">
      <c r="A1974" s="4">
        <v>1974.0</v>
      </c>
      <c r="B1974" s="4" t="s">
        <v>1712</v>
      </c>
      <c r="C1974" s="4" t="s">
        <v>1587</v>
      </c>
      <c r="D1974" s="4" t="s">
        <v>1098</v>
      </c>
      <c r="E1974" s="15">
        <v>45295.0</v>
      </c>
    </row>
    <row r="1975">
      <c r="A1975" s="4">
        <v>1975.0</v>
      </c>
      <c r="B1975" s="4" t="s">
        <v>1712</v>
      </c>
      <c r="C1975" s="4" t="s">
        <v>1576</v>
      </c>
      <c r="D1975" s="4" t="s">
        <v>1098</v>
      </c>
      <c r="E1975" s="15">
        <v>45295.0</v>
      </c>
    </row>
    <row r="1976">
      <c r="A1976" s="4">
        <v>1976.0</v>
      </c>
      <c r="B1976" s="4" t="s">
        <v>1712</v>
      </c>
      <c r="C1976" s="4" t="s">
        <v>1421</v>
      </c>
      <c r="D1976" s="4" t="s">
        <v>1098</v>
      </c>
      <c r="E1976" s="15">
        <v>45295.0</v>
      </c>
    </row>
    <row r="1977">
      <c r="A1977" s="4">
        <v>1977.0</v>
      </c>
      <c r="B1977" s="4" t="s">
        <v>1712</v>
      </c>
      <c r="C1977" s="4" t="s">
        <v>1423</v>
      </c>
      <c r="D1977" s="4" t="s">
        <v>1098</v>
      </c>
      <c r="E1977" s="15">
        <v>45295.0</v>
      </c>
    </row>
    <row r="1978">
      <c r="A1978" s="4">
        <v>1978.0</v>
      </c>
      <c r="B1978" s="4" t="s">
        <v>1716</v>
      </c>
      <c r="C1978" s="4" t="s">
        <v>1372</v>
      </c>
      <c r="D1978" s="4" t="s">
        <v>1098</v>
      </c>
      <c r="E1978" s="15">
        <v>45295.0</v>
      </c>
    </row>
    <row r="1979">
      <c r="A1979" s="4">
        <v>1979.0</v>
      </c>
      <c r="B1979" s="4" t="s">
        <v>1712</v>
      </c>
      <c r="C1979" s="4" t="s">
        <v>1579</v>
      </c>
      <c r="D1979" s="4" t="s">
        <v>1098</v>
      </c>
      <c r="E1979" s="15">
        <v>45295.0</v>
      </c>
    </row>
    <row r="1980">
      <c r="A1980" s="4">
        <v>1980.0</v>
      </c>
      <c r="B1980" s="4" t="s">
        <v>1716</v>
      </c>
      <c r="C1980" s="4" t="s">
        <v>1579</v>
      </c>
      <c r="D1980" s="4" t="s">
        <v>1098</v>
      </c>
      <c r="E1980" s="15">
        <v>45295.0</v>
      </c>
    </row>
    <row r="1981">
      <c r="A1981" s="4">
        <v>1981.0</v>
      </c>
      <c r="B1981" s="4" t="s">
        <v>1716</v>
      </c>
      <c r="C1981" s="4" t="s">
        <v>1579</v>
      </c>
      <c r="D1981" s="4" t="s">
        <v>1098</v>
      </c>
      <c r="E1981" s="15">
        <v>45295.0</v>
      </c>
    </row>
    <row r="1982">
      <c r="A1982" s="4">
        <v>1982.0</v>
      </c>
      <c r="B1982" s="4" t="s">
        <v>1647</v>
      </c>
      <c r="C1982" s="4" t="s">
        <v>1579</v>
      </c>
      <c r="D1982" s="4" t="s">
        <v>1098</v>
      </c>
      <c r="E1982" s="15">
        <v>45295.0</v>
      </c>
    </row>
    <row r="1983">
      <c r="A1983" s="4">
        <v>1983.0</v>
      </c>
      <c r="B1983" s="4" t="s">
        <v>1750</v>
      </c>
      <c r="C1983" s="4" t="s">
        <v>1237</v>
      </c>
      <c r="D1983" s="4" t="s">
        <v>1098</v>
      </c>
      <c r="E1983" s="15">
        <v>45295.0</v>
      </c>
    </row>
    <row r="1984">
      <c r="A1984" s="4">
        <v>1984.0</v>
      </c>
      <c r="B1984" s="4" t="s">
        <v>1712</v>
      </c>
      <c r="C1984" s="4" t="s">
        <v>1556</v>
      </c>
      <c r="D1984" s="4" t="s">
        <v>1098</v>
      </c>
      <c r="E1984" s="15">
        <v>45295.0</v>
      </c>
    </row>
    <row r="1985">
      <c r="A1985" s="4">
        <v>1985.0</v>
      </c>
      <c r="B1985" s="4" t="s">
        <v>1712</v>
      </c>
      <c r="C1985" s="4" t="s">
        <v>1580</v>
      </c>
      <c r="D1985" s="4" t="s">
        <v>1098</v>
      </c>
      <c r="E1985" s="15">
        <v>45295.0</v>
      </c>
    </row>
    <row r="1986">
      <c r="A1986" s="4">
        <v>1986.0</v>
      </c>
      <c r="B1986" s="4" t="s">
        <v>1712</v>
      </c>
      <c r="C1986" s="4" t="s">
        <v>1548</v>
      </c>
      <c r="D1986" s="4" t="s">
        <v>1098</v>
      </c>
      <c r="E1986" s="15">
        <v>45295.0</v>
      </c>
    </row>
    <row r="1987">
      <c r="A1987" s="4">
        <v>1987.0</v>
      </c>
      <c r="B1987" s="4" t="s">
        <v>1751</v>
      </c>
      <c r="C1987" s="4" t="s">
        <v>1589</v>
      </c>
      <c r="D1987" s="4" t="s">
        <v>1098</v>
      </c>
      <c r="E1987" s="15">
        <v>45295.0</v>
      </c>
    </row>
    <row r="1988">
      <c r="A1988" s="4">
        <v>1988.0</v>
      </c>
      <c r="B1988" s="4" t="s">
        <v>1747</v>
      </c>
      <c r="C1988" s="4" t="s">
        <v>1641</v>
      </c>
      <c r="D1988" s="4" t="s">
        <v>1098</v>
      </c>
      <c r="E1988" s="15">
        <v>45295.0</v>
      </c>
    </row>
    <row r="1989">
      <c r="A1989" s="4">
        <v>1989.0</v>
      </c>
      <c r="B1989" s="4" t="s">
        <v>1712</v>
      </c>
      <c r="C1989" s="4" t="s">
        <v>1377</v>
      </c>
      <c r="D1989" s="4" t="s">
        <v>1098</v>
      </c>
      <c r="E1989" s="15">
        <v>45295.0</v>
      </c>
    </row>
    <row r="1990">
      <c r="A1990" s="4">
        <v>1990.0</v>
      </c>
      <c r="B1990" s="4" t="s">
        <v>1384</v>
      </c>
      <c r="C1990" s="4" t="s">
        <v>1204</v>
      </c>
      <c r="D1990" s="4" t="s">
        <v>1098</v>
      </c>
      <c r="E1990" s="15">
        <v>45295.0</v>
      </c>
    </row>
    <row r="1991">
      <c r="A1991" s="4">
        <v>1991.0</v>
      </c>
      <c r="B1991" s="4" t="s">
        <v>1384</v>
      </c>
      <c r="C1991" s="4" t="s">
        <v>1204</v>
      </c>
      <c r="D1991" s="4" t="s">
        <v>1098</v>
      </c>
      <c r="E1991" s="15">
        <v>45295.0</v>
      </c>
    </row>
    <row r="1992">
      <c r="A1992" s="4">
        <v>1992.0</v>
      </c>
      <c r="B1992" s="4" t="s">
        <v>1324</v>
      </c>
      <c r="C1992" s="4" t="s">
        <v>1204</v>
      </c>
      <c r="D1992" s="4" t="s">
        <v>1098</v>
      </c>
      <c r="E1992" s="15">
        <v>45295.0</v>
      </c>
    </row>
    <row r="1993">
      <c r="A1993" s="4">
        <v>1993.0</v>
      </c>
      <c r="B1993" s="4" t="s">
        <v>1752</v>
      </c>
      <c r="C1993" s="4" t="s">
        <v>1520</v>
      </c>
      <c r="D1993" s="4" t="s">
        <v>1098</v>
      </c>
      <c r="E1993" s="15">
        <v>45294.0</v>
      </c>
    </row>
    <row r="1994">
      <c r="A1994" s="4">
        <v>1994.0</v>
      </c>
      <c r="B1994" s="4" t="s">
        <v>1647</v>
      </c>
      <c r="C1994" s="4" t="s">
        <v>1610</v>
      </c>
      <c r="D1994" s="4" t="s">
        <v>1098</v>
      </c>
      <c r="E1994" s="15">
        <v>45294.0</v>
      </c>
    </row>
    <row r="1995">
      <c r="A1995" s="4">
        <v>1995.0</v>
      </c>
      <c r="B1995" s="4" t="s">
        <v>1753</v>
      </c>
      <c r="C1995" s="4" t="s">
        <v>1565</v>
      </c>
      <c r="D1995" s="4" t="s">
        <v>1098</v>
      </c>
      <c r="E1995" s="15">
        <v>45294.0</v>
      </c>
    </row>
    <row r="1996">
      <c r="A1996" s="4">
        <v>1996.0</v>
      </c>
      <c r="B1996" s="4" t="s">
        <v>368</v>
      </c>
      <c r="C1996" s="4" t="s">
        <v>1207</v>
      </c>
      <c r="D1996" s="4" t="s">
        <v>1098</v>
      </c>
      <c r="E1996" s="15">
        <v>45294.0</v>
      </c>
    </row>
    <row r="1997">
      <c r="A1997" s="4">
        <v>1997.0</v>
      </c>
      <c r="B1997" s="4" t="s">
        <v>368</v>
      </c>
      <c r="C1997" s="4" t="s">
        <v>1207</v>
      </c>
      <c r="D1997" s="4" t="s">
        <v>1098</v>
      </c>
      <c r="E1997" s="15">
        <v>45294.0</v>
      </c>
    </row>
    <row r="1998">
      <c r="A1998" s="4">
        <v>1998.0</v>
      </c>
      <c r="B1998" s="4" t="s">
        <v>368</v>
      </c>
      <c r="C1998" s="4" t="s">
        <v>1207</v>
      </c>
      <c r="D1998" s="4" t="s">
        <v>1098</v>
      </c>
      <c r="E1998" s="15">
        <v>45294.0</v>
      </c>
    </row>
    <row r="1999">
      <c r="A1999" s="4">
        <v>1999.0</v>
      </c>
      <c r="B1999" s="4" t="s">
        <v>368</v>
      </c>
      <c r="C1999" s="4" t="s">
        <v>1207</v>
      </c>
      <c r="D1999" s="4" t="s">
        <v>1098</v>
      </c>
      <c r="E1999" s="15">
        <v>45294.0</v>
      </c>
    </row>
    <row r="2000">
      <c r="A2000" s="4">
        <v>2000.0</v>
      </c>
      <c r="B2000" s="4" t="s">
        <v>1177</v>
      </c>
      <c r="C2000" s="4" t="s">
        <v>1207</v>
      </c>
      <c r="D2000" s="4" t="s">
        <v>1098</v>
      </c>
      <c r="E2000" s="15">
        <v>45294.0</v>
      </c>
    </row>
    <row r="2001">
      <c r="A2001" s="4">
        <v>2001.0</v>
      </c>
      <c r="B2001" s="4" t="s">
        <v>1753</v>
      </c>
      <c r="C2001" s="4" t="s">
        <v>1207</v>
      </c>
      <c r="D2001" s="4" t="s">
        <v>1098</v>
      </c>
      <c r="E2001" s="15">
        <v>45294.0</v>
      </c>
    </row>
    <row r="2002">
      <c r="A2002" s="4">
        <v>2002.0</v>
      </c>
      <c r="B2002" s="4" t="s">
        <v>1754</v>
      </c>
      <c r="C2002" s="4" t="s">
        <v>1264</v>
      </c>
      <c r="D2002" s="4" t="s">
        <v>1098</v>
      </c>
      <c r="E2002" s="15">
        <v>45294.0</v>
      </c>
    </row>
    <row r="2003">
      <c r="A2003" s="4">
        <v>2003.0</v>
      </c>
      <c r="B2003" s="4" t="s">
        <v>1754</v>
      </c>
      <c r="C2003" s="4" t="s">
        <v>1193</v>
      </c>
      <c r="D2003" s="4" t="s">
        <v>1098</v>
      </c>
      <c r="E2003" s="15">
        <v>45294.0</v>
      </c>
    </row>
    <row r="2004">
      <c r="A2004" s="4">
        <v>2004.0</v>
      </c>
      <c r="B2004" s="4" t="s">
        <v>1754</v>
      </c>
      <c r="C2004" s="4" t="s">
        <v>1194</v>
      </c>
      <c r="D2004" s="4" t="s">
        <v>1098</v>
      </c>
      <c r="E2004" s="15">
        <v>45294.0</v>
      </c>
    </row>
    <row r="2005">
      <c r="A2005" s="4">
        <v>2005.0</v>
      </c>
      <c r="B2005" s="4" t="s">
        <v>1754</v>
      </c>
      <c r="C2005" s="4" t="s">
        <v>1097</v>
      </c>
      <c r="D2005" s="4" t="s">
        <v>1098</v>
      </c>
      <c r="E2005" s="15">
        <v>45294.0</v>
      </c>
    </row>
    <row r="2006">
      <c r="A2006" s="4">
        <v>2006.0</v>
      </c>
      <c r="B2006" s="4" t="s">
        <v>1754</v>
      </c>
      <c r="C2006" s="4" t="s">
        <v>1099</v>
      </c>
      <c r="D2006" s="4" t="s">
        <v>1098</v>
      </c>
      <c r="E2006" s="15">
        <v>45294.0</v>
      </c>
    </row>
    <row r="2007">
      <c r="A2007" s="4">
        <v>2007.0</v>
      </c>
      <c r="B2007" s="4" t="s">
        <v>1754</v>
      </c>
      <c r="C2007" s="4" t="s">
        <v>1195</v>
      </c>
      <c r="D2007" s="4" t="s">
        <v>1098</v>
      </c>
      <c r="E2007" s="15">
        <v>45294.0</v>
      </c>
    </row>
    <row r="2008">
      <c r="A2008" s="4">
        <v>2008.0</v>
      </c>
      <c r="B2008" s="4" t="s">
        <v>1754</v>
      </c>
      <c r="C2008" s="4" t="s">
        <v>1168</v>
      </c>
      <c r="D2008" s="4" t="s">
        <v>1098</v>
      </c>
      <c r="E2008" s="15">
        <v>45294.0</v>
      </c>
    </row>
    <row r="2009">
      <c r="A2009" s="4">
        <v>2009.0</v>
      </c>
      <c r="B2009" s="4" t="s">
        <v>1754</v>
      </c>
      <c r="C2009" s="4" t="s">
        <v>1141</v>
      </c>
      <c r="D2009" s="4" t="s">
        <v>1098</v>
      </c>
      <c r="E2009" s="15">
        <v>45294.0</v>
      </c>
    </row>
    <row r="2010">
      <c r="A2010" s="4">
        <v>2010.0</v>
      </c>
      <c r="B2010" s="4" t="s">
        <v>1754</v>
      </c>
      <c r="C2010" s="4" t="s">
        <v>1101</v>
      </c>
      <c r="D2010" s="4" t="s">
        <v>1098</v>
      </c>
      <c r="E2010" s="15">
        <v>45294.0</v>
      </c>
    </row>
    <row r="2011">
      <c r="A2011" s="4">
        <v>2011.0</v>
      </c>
      <c r="B2011" s="4" t="s">
        <v>1714</v>
      </c>
      <c r="C2011" s="4" t="s">
        <v>1143</v>
      </c>
      <c r="D2011" s="4" t="s">
        <v>1098</v>
      </c>
      <c r="E2011" s="15">
        <v>45294.0</v>
      </c>
    </row>
    <row r="2012">
      <c r="A2012" s="4">
        <v>2012.0</v>
      </c>
      <c r="B2012" s="4" t="s">
        <v>1754</v>
      </c>
      <c r="C2012" s="4" t="s">
        <v>1143</v>
      </c>
      <c r="D2012" s="4" t="s">
        <v>1098</v>
      </c>
      <c r="E2012" s="15">
        <v>45294.0</v>
      </c>
    </row>
    <row r="2013">
      <c r="A2013" s="4">
        <v>2013.0</v>
      </c>
      <c r="B2013" s="4" t="s">
        <v>1647</v>
      </c>
      <c r="C2013" s="4" t="s">
        <v>1143</v>
      </c>
      <c r="D2013" s="4" t="s">
        <v>1098</v>
      </c>
      <c r="E2013" s="15">
        <v>45294.0</v>
      </c>
    </row>
    <row r="2014">
      <c r="A2014" s="4">
        <v>2014.0</v>
      </c>
      <c r="B2014" s="4" t="s">
        <v>1752</v>
      </c>
      <c r="C2014" s="4" t="s">
        <v>1433</v>
      </c>
      <c r="D2014" s="4" t="s">
        <v>1098</v>
      </c>
      <c r="E2014" s="15">
        <v>45294.0</v>
      </c>
    </row>
    <row r="2015">
      <c r="A2015" s="4">
        <v>2015.0</v>
      </c>
      <c r="B2015" s="4" t="s">
        <v>1752</v>
      </c>
      <c r="C2015" s="4" t="s">
        <v>1256</v>
      </c>
      <c r="D2015" s="4" t="s">
        <v>1098</v>
      </c>
      <c r="E2015" s="15">
        <v>45294.0</v>
      </c>
    </row>
    <row r="2016">
      <c r="A2016" s="4">
        <v>2016.0</v>
      </c>
      <c r="B2016" s="4" t="s">
        <v>1752</v>
      </c>
      <c r="C2016" s="4" t="s">
        <v>1669</v>
      </c>
      <c r="D2016" s="4" t="s">
        <v>1098</v>
      </c>
      <c r="E2016" s="15">
        <v>45294.0</v>
      </c>
    </row>
    <row r="2017">
      <c r="A2017" s="4">
        <v>2017.0</v>
      </c>
      <c r="B2017" s="4" t="s">
        <v>1752</v>
      </c>
      <c r="C2017" s="4" t="s">
        <v>1350</v>
      </c>
      <c r="D2017" s="4" t="s">
        <v>1098</v>
      </c>
      <c r="E2017" s="15">
        <v>45294.0</v>
      </c>
    </row>
    <row r="2018">
      <c r="A2018" s="4">
        <v>2018.0</v>
      </c>
      <c r="B2018" s="4" t="s">
        <v>1752</v>
      </c>
      <c r="C2018" s="4" t="s">
        <v>1273</v>
      </c>
      <c r="D2018" s="4" t="s">
        <v>1098</v>
      </c>
      <c r="E2018" s="15">
        <v>45294.0</v>
      </c>
    </row>
    <row r="2019">
      <c r="A2019" s="4">
        <v>2019.0</v>
      </c>
      <c r="B2019" s="4" t="s">
        <v>1753</v>
      </c>
      <c r="C2019" s="4" t="s">
        <v>1220</v>
      </c>
      <c r="D2019" s="4" t="s">
        <v>1098</v>
      </c>
      <c r="E2019" s="15">
        <v>45294.0</v>
      </c>
    </row>
    <row r="2020">
      <c r="A2020" s="4">
        <v>2020.0</v>
      </c>
      <c r="B2020" s="4" t="s">
        <v>1736</v>
      </c>
      <c r="C2020" s="4" t="s">
        <v>1220</v>
      </c>
      <c r="D2020" s="4" t="s">
        <v>1098</v>
      </c>
      <c r="E2020" s="15">
        <v>45294.0</v>
      </c>
    </row>
    <row r="2021">
      <c r="A2021" s="4">
        <v>2021.0</v>
      </c>
      <c r="B2021" s="4" t="s">
        <v>1753</v>
      </c>
      <c r="C2021" s="4" t="s">
        <v>1220</v>
      </c>
      <c r="D2021" s="4" t="s">
        <v>1098</v>
      </c>
      <c r="E2021" s="15">
        <v>45294.0</v>
      </c>
    </row>
    <row r="2022">
      <c r="A2022" s="4">
        <v>2022.0</v>
      </c>
      <c r="B2022" s="4" t="s">
        <v>1753</v>
      </c>
      <c r="C2022" s="4" t="s">
        <v>1377</v>
      </c>
      <c r="D2022" s="4" t="s">
        <v>1098</v>
      </c>
      <c r="E2022" s="15">
        <v>45294.0</v>
      </c>
    </row>
    <row r="2023">
      <c r="A2023" s="4">
        <v>2024.0</v>
      </c>
      <c r="B2023" s="4" t="s">
        <v>1752</v>
      </c>
      <c r="C2023" s="4" t="s">
        <v>1508</v>
      </c>
      <c r="D2023" s="4" t="s">
        <v>1098</v>
      </c>
      <c r="E2023" s="15">
        <v>45294.0</v>
      </c>
    </row>
    <row r="2024">
      <c r="A2024" s="4">
        <v>2024.0</v>
      </c>
      <c r="B2024" s="4" t="s">
        <v>1753</v>
      </c>
      <c r="C2024" s="4" t="s">
        <v>1204</v>
      </c>
      <c r="D2024" s="4" t="s">
        <v>1098</v>
      </c>
      <c r="E2024" s="15">
        <v>45294.0</v>
      </c>
    </row>
    <row r="2025">
      <c r="A2025" s="4">
        <v>2025.0</v>
      </c>
      <c r="B2025" s="4" t="s">
        <v>1753</v>
      </c>
      <c r="C2025" s="4" t="s">
        <v>1204</v>
      </c>
      <c r="D2025" s="4" t="s">
        <v>1098</v>
      </c>
      <c r="E2025" s="15">
        <v>45294.0</v>
      </c>
    </row>
    <row r="2026">
      <c r="A2026" s="4">
        <v>2026.0</v>
      </c>
      <c r="B2026" s="4" t="s">
        <v>368</v>
      </c>
      <c r="C2026" s="4" t="s">
        <v>1559</v>
      </c>
      <c r="D2026" s="4" t="s">
        <v>1120</v>
      </c>
      <c r="E2026" s="15">
        <v>45294.0</v>
      </c>
    </row>
    <row r="2027">
      <c r="A2027" s="4">
        <v>2027.0</v>
      </c>
      <c r="B2027" s="4" t="s">
        <v>1755</v>
      </c>
      <c r="C2027" s="4" t="s">
        <v>1101</v>
      </c>
      <c r="D2027" s="4" t="s">
        <v>1098</v>
      </c>
      <c r="E2027" s="15">
        <v>45293.0</v>
      </c>
    </row>
    <row r="2028">
      <c r="A2028" s="4">
        <v>2028.0</v>
      </c>
      <c r="B2028" s="4" t="s">
        <v>1756</v>
      </c>
      <c r="C2028" s="4" t="s">
        <v>1101</v>
      </c>
      <c r="D2028" s="4" t="s">
        <v>1098</v>
      </c>
      <c r="E2028" s="15">
        <v>45293.0</v>
      </c>
    </row>
    <row r="2029">
      <c r="A2029" s="4">
        <v>2029.0</v>
      </c>
      <c r="B2029" s="4" t="s">
        <v>1757</v>
      </c>
      <c r="C2029" s="4" t="s">
        <v>1143</v>
      </c>
      <c r="D2029" s="4" t="s">
        <v>1098</v>
      </c>
      <c r="E2029" s="15">
        <v>45293.0</v>
      </c>
    </row>
    <row r="2030">
      <c r="A2030" s="4">
        <v>2030.0</v>
      </c>
      <c r="B2030" s="4" t="s">
        <v>1758</v>
      </c>
      <c r="C2030" s="4" t="s">
        <v>1138</v>
      </c>
      <c r="D2030" s="4" t="s">
        <v>1098</v>
      </c>
      <c r="E2030" s="15">
        <v>45293.0</v>
      </c>
    </row>
    <row r="2031">
      <c r="A2031" s="4">
        <v>2031.0</v>
      </c>
      <c r="B2031" s="4" t="s">
        <v>1744</v>
      </c>
      <c r="C2031" s="4" t="s">
        <v>1711</v>
      </c>
      <c r="D2031" s="4" t="s">
        <v>1098</v>
      </c>
      <c r="E2031" s="15">
        <v>45293.0</v>
      </c>
    </row>
    <row r="2032">
      <c r="A2032" s="4">
        <v>2032.0</v>
      </c>
      <c r="B2032" s="4" t="s">
        <v>1744</v>
      </c>
      <c r="C2032" s="4" t="s">
        <v>1446</v>
      </c>
      <c r="D2032" s="4" t="s">
        <v>1098</v>
      </c>
      <c r="E2032" s="15">
        <v>45293.0</v>
      </c>
    </row>
    <row r="2033">
      <c r="A2033" s="4">
        <v>2033.0</v>
      </c>
      <c r="B2033" s="4" t="s">
        <v>1744</v>
      </c>
      <c r="C2033" s="4" t="s">
        <v>1533</v>
      </c>
      <c r="D2033" s="4" t="s">
        <v>1098</v>
      </c>
      <c r="E2033" s="15">
        <v>45293.0</v>
      </c>
    </row>
    <row r="2034">
      <c r="A2034" s="4">
        <v>2034.0</v>
      </c>
      <c r="B2034" s="4" t="s">
        <v>1744</v>
      </c>
      <c r="C2034" s="4" t="s">
        <v>1256</v>
      </c>
      <c r="D2034" s="4" t="s">
        <v>1098</v>
      </c>
      <c r="E2034" s="15">
        <v>45293.0</v>
      </c>
    </row>
    <row r="2035">
      <c r="A2035" s="4">
        <v>2035.0</v>
      </c>
      <c r="B2035" s="4" t="s">
        <v>1744</v>
      </c>
      <c r="C2035" s="4" t="s">
        <v>1422</v>
      </c>
      <c r="D2035" s="4" t="s">
        <v>1098</v>
      </c>
      <c r="E2035" s="15">
        <v>45293.0</v>
      </c>
    </row>
    <row r="2036">
      <c r="A2036" s="4">
        <v>2036.0</v>
      </c>
      <c r="B2036" s="4" t="s">
        <v>1744</v>
      </c>
      <c r="C2036" s="4" t="s">
        <v>1296</v>
      </c>
      <c r="D2036" s="4" t="s">
        <v>1098</v>
      </c>
      <c r="E2036" s="15">
        <v>45293.0</v>
      </c>
    </row>
    <row r="2037">
      <c r="A2037" s="4">
        <v>2037.0</v>
      </c>
      <c r="B2037" s="4" t="s">
        <v>1744</v>
      </c>
      <c r="C2037" s="4" t="s">
        <v>1759</v>
      </c>
      <c r="D2037" s="4" t="s">
        <v>1098</v>
      </c>
      <c r="E2037" s="15">
        <v>45293.0</v>
      </c>
    </row>
    <row r="2038">
      <c r="A2038" s="4">
        <v>2038.0</v>
      </c>
      <c r="B2038" s="4" t="s">
        <v>1744</v>
      </c>
      <c r="C2038" s="4" t="s">
        <v>1760</v>
      </c>
      <c r="D2038" s="4" t="s">
        <v>1098</v>
      </c>
      <c r="E2038" s="15">
        <v>45293.0</v>
      </c>
    </row>
    <row r="2039">
      <c r="A2039" s="4">
        <v>2039.0</v>
      </c>
      <c r="B2039" s="4" t="s">
        <v>1744</v>
      </c>
      <c r="C2039" s="4" t="s">
        <v>1761</v>
      </c>
      <c r="D2039" s="4" t="s">
        <v>1098</v>
      </c>
      <c r="E2039" s="15">
        <v>45293.0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hidden="1" min="1" max="1" width="31.75"/>
    <col customWidth="1" hidden="1" min="2" max="2" width="86.25"/>
    <col hidden="1" min="3" max="4" width="12.63"/>
    <col customWidth="1" min="5" max="5" width="30.75"/>
    <col customWidth="1" min="6" max="6" width="70.63"/>
    <col customWidth="1" min="7" max="7" width="24.88"/>
  </cols>
  <sheetData>
    <row r="1">
      <c r="E1" s="16" t="s">
        <v>1762</v>
      </c>
      <c r="F1" s="17" t="s">
        <v>1763</v>
      </c>
      <c r="G1" s="18" t="s">
        <v>1764</v>
      </c>
    </row>
    <row r="2">
      <c r="A2" s="13" t="str">
        <f>IFERROR(__xludf.DUMMYFUNCTION("UNIQUE(query('DB Web'!B:D,""Select * where D='Publikasi' Order by B ASC, C ASC""))"),"112112093@stis:ac:id")</f>
        <v>112112093@stis:ac:id</v>
      </c>
      <c r="B2" s="13" t="str">
        <f>IFERROR(__xludf.DUMMYFUNCTION("""COMPUTED_VALUE"""),"Kabupaten Dairi Dalam Angka 2022")</f>
        <v>Kabupaten Dairi Dalam Angka 2022</v>
      </c>
      <c r="C2" s="13" t="str">
        <f>IFERROR(__xludf.DUMMYFUNCTION("""COMPUTED_VALUE"""),"Publikasi")</f>
        <v>Publikasi</v>
      </c>
      <c r="E2" s="19" t="str">
        <f t="array" ref="E2:E494">UNIQUE(A2:A1300)</f>
        <v>112112093@stis:ac:id</v>
      </c>
      <c r="F2" s="20" t="str">
        <f>IFERROR(__xludf.DUMMYFUNCTION("JOIN(""
"",FILTER($B2:$B1300,$A2:$A1300=E2))"),"Kabupaten Dairi Dalam Angka 2022")</f>
        <v>Kabupaten Dairi Dalam Angka 2022</v>
      </c>
    </row>
    <row r="3">
      <c r="A3" s="13" t="str">
        <f>IFERROR(__xludf.DUMMYFUNCTION("""COMPUTED_VALUE"""),"212011478@stis:ac:id")</f>
        <v>212011478@stis:ac:id</v>
      </c>
      <c r="B3" s="13" t="str">
        <f>IFERROR(__xludf.DUMMYFUNCTION("""COMPUTED_VALUE"""),"Kabupaten Dairi Dalam Angka 2024")</f>
        <v>Kabupaten Dairi Dalam Angka 2024</v>
      </c>
      <c r="C3" s="13" t="str">
        <f>IFERROR(__xludf.DUMMYFUNCTION("""COMPUTED_VALUE"""),"Publikasi")</f>
        <v>Publikasi</v>
      </c>
      <c r="E3" s="19" t="s">
        <v>1178</v>
      </c>
      <c r="F3" s="20" t="str">
        <f>IFERROR(__xludf.DUMMYFUNCTION("JOIN(""
"",FILTER($B3:$B1300,$A3:$A1300=E3))"),"Kabupaten Dairi Dalam Angka 2024")</f>
        <v>Kabupaten Dairi Dalam Angka 2024</v>
      </c>
    </row>
    <row r="4">
      <c r="A4" s="13" t="str">
        <f>IFERROR(__xludf.DUMMYFUNCTION("""COMPUTED_VALUE"""),"212212902@stis:ac:id")</f>
        <v>212212902@stis:ac:id</v>
      </c>
      <c r="B4" s="13" t="str">
        <f>IFERROR(__xludf.DUMMYFUNCTION("""COMPUTED_VALUE"""),"Kabupaten Dairi Dalam Angka 2022")</f>
        <v>Kabupaten Dairi Dalam Angka 2022</v>
      </c>
      <c r="C4" s="13" t="str">
        <f>IFERROR(__xludf.DUMMYFUNCTION("""COMPUTED_VALUE"""),"Publikasi")</f>
        <v>Publikasi</v>
      </c>
      <c r="E4" s="19" t="s">
        <v>1353</v>
      </c>
      <c r="F4" s="20" t="str">
        <f>IFERROR(__xludf.DUMMYFUNCTION("JOIN(""
"",FILTER($B4:$B1300,$A4:$A1300=E4))"),"Kabupaten Dairi Dalam Angka 2022
Kecamatan Sidikalang Dalam Angka 2024")</f>
        <v>Kabupaten Dairi Dalam Angka 2022
Kecamatan Sidikalang Dalam Angka 2024</v>
      </c>
    </row>
    <row r="5">
      <c r="A5" s="13" t="str">
        <f>IFERROR(__xludf.DUMMYFUNCTION("""COMPUTED_VALUE"""),"212212902@stis:ac:id")</f>
        <v>212212902@stis:ac:id</v>
      </c>
      <c r="B5" s="13" t="str">
        <f>IFERROR(__xludf.DUMMYFUNCTION("""COMPUTED_VALUE"""),"Kecamatan Sidikalang Dalam Angka 2024")</f>
        <v>Kecamatan Sidikalang Dalam Angka 2024</v>
      </c>
      <c r="C5" s="13" t="str">
        <f>IFERROR(__xludf.DUMMYFUNCTION("""COMPUTED_VALUE"""),"Publikasi")</f>
        <v>Publikasi</v>
      </c>
      <c r="E5" s="19" t="s">
        <v>1197</v>
      </c>
      <c r="F5" s="20" t="str">
        <f>IFERROR(__xludf.DUMMYFUNCTION("JOIN(""
"",FILTER($B5:$B1300,$A5:$A1300=E5))"),"Kabupaten Dairi Dalam Angka 2024")</f>
        <v>Kabupaten Dairi Dalam Angka 2024</v>
      </c>
    </row>
    <row r="6">
      <c r="A6" s="13" t="str">
        <f>IFERROR(__xludf.DUMMYFUNCTION("""COMPUTED_VALUE"""),"222111900@stis:ac:id")</f>
        <v>222111900@stis:ac:id</v>
      </c>
      <c r="B6" s="13" t="str">
        <f>IFERROR(__xludf.DUMMYFUNCTION("""COMPUTED_VALUE"""),"Kabupaten Dairi Dalam Angka 2024")</f>
        <v>Kabupaten Dairi Dalam Angka 2024</v>
      </c>
      <c r="C6" s="13" t="str">
        <f>IFERROR(__xludf.DUMMYFUNCTION("""COMPUTED_VALUE"""),"Publikasi")</f>
        <v>Publikasi</v>
      </c>
      <c r="E6" s="19" t="s">
        <v>1228</v>
      </c>
      <c r="F6" s="20" t="str">
        <f>IFERROR(__xludf.DUMMYFUNCTION("JOIN(""
"",FILTER($B6:$B1300,$A6:$A1300=E6))"),"Kabupaten Dairi Dalam Angka 2014
Kabupaten Dairi Dalam Angka 2015
Kabupaten Dairi Dalam Angka 2016
Kabupaten Dairi Dalam Angka 2020
Kabupaten Dairi Dalam Angka 2022
Kabupaten Dairi Dalam Angka 2024
Produk Domestik Regional Bruto Menurut Lapangan Usaha Kab"&amp;"upaten Dairi 2016 - 2020
Statistik Daerah Kabupaten Dairi 2015")</f>
        <v>Kabupaten Dairi Dalam Angka 2014
Kabupaten Dairi Dalam Angka 2015
Kabupaten Dairi Dalam Angka 2016
Kabupaten Dairi Dalam Angka 2020
Kabupaten Dairi Dalam Angka 2022
Kabupaten Dairi Dalam Angka 2024
Produk Domestik Regional Bruto Menurut Lapangan Usaha Kabupaten Dairi 2016 - 2020
Statistik Daerah Kabupaten Dairi 2015</v>
      </c>
    </row>
    <row r="7">
      <c r="A7" s="13" t="str">
        <f>IFERROR(__xludf.DUMMYFUNCTION("""COMPUTED_VALUE"""),"28823014@mahasiswa:itb:ac:id")</f>
        <v>28823014@mahasiswa:itb:ac:id</v>
      </c>
      <c r="B7" s="13" t="str">
        <f>IFERROR(__xludf.DUMMYFUNCTION("""COMPUTED_VALUE"""),"Kabupaten Dairi Dalam Angka 2014")</f>
        <v>Kabupaten Dairi Dalam Angka 2014</v>
      </c>
      <c r="C7" s="13" t="str">
        <f>IFERROR(__xludf.DUMMYFUNCTION("""COMPUTED_VALUE"""),"Publikasi")</f>
        <v>Publikasi</v>
      </c>
      <c r="E7" s="19" t="s">
        <v>1721</v>
      </c>
      <c r="F7" s="20" t="str">
        <f>IFERROR(__xludf.DUMMYFUNCTION("JOIN(""
"",FILTER($B7:$B1300,$A7:$A1300=E7))"),"Statistik Daerah Kabupaten Dairi 2021")</f>
        <v>Statistik Daerah Kabupaten Dairi 2021</v>
      </c>
    </row>
    <row r="8">
      <c r="A8" s="13" t="str">
        <f>IFERROR(__xludf.DUMMYFUNCTION("""COMPUTED_VALUE"""),"28823014@mahasiswa:itb:ac:id")</f>
        <v>28823014@mahasiswa:itb:ac:id</v>
      </c>
      <c r="B8" s="13" t="str">
        <f>IFERROR(__xludf.DUMMYFUNCTION("""COMPUTED_VALUE"""),"Kabupaten Dairi Dalam Angka 2015")</f>
        <v>Kabupaten Dairi Dalam Angka 2015</v>
      </c>
      <c r="C8" s="13" t="str">
        <f>IFERROR(__xludf.DUMMYFUNCTION("""COMPUTED_VALUE"""),"Publikasi")</f>
        <v>Publikasi</v>
      </c>
      <c r="E8" s="19" t="s">
        <v>1232</v>
      </c>
      <c r="F8" s="20" t="str">
        <f>IFERROR(__xludf.DUMMYFUNCTION("JOIN(""
"",FILTER($B8:$B1300,$A8:$A1300=E8))"),"Kecamatan Lae Parira Dalam Angka 2024")</f>
        <v>Kecamatan Lae Parira Dalam Angka 2024</v>
      </c>
    </row>
    <row r="9">
      <c r="A9" s="13" t="str">
        <f>IFERROR(__xludf.DUMMYFUNCTION("""COMPUTED_VALUE"""),"28823014@mahasiswa:itb:ac:id")</f>
        <v>28823014@mahasiswa:itb:ac:id</v>
      </c>
      <c r="B9" s="13" t="str">
        <f>IFERROR(__xludf.DUMMYFUNCTION("""COMPUTED_VALUE"""),"Kabupaten Dairi Dalam Angka 2016")</f>
        <v>Kabupaten Dairi Dalam Angka 2016</v>
      </c>
      <c r="C9" s="13" t="str">
        <f>IFERROR(__xludf.DUMMYFUNCTION("""COMPUTED_VALUE"""),"Publikasi")</f>
        <v>Publikasi</v>
      </c>
      <c r="E9" s="19" t="s">
        <v>1250</v>
      </c>
      <c r="F9" s="20" t="str">
        <f>IFERROR(__xludf.DUMMYFUNCTION("JOIN(""
"",FILTER($B9:$B1300,$A9:$A1300=E9))"),"Kabupaten Dairi Dalam Angka 2024
Statistik Kesejahteraan Rakyat Kabupaten Dairi 2024
Statistik Kesejahteraan Rakyat Kabupaten Dairi 2024")</f>
        <v>Kabupaten Dairi Dalam Angka 2024
Statistik Kesejahteraan Rakyat Kabupaten Dairi 2024
Statistik Kesejahteraan Rakyat Kabupaten Dairi 2024</v>
      </c>
    </row>
    <row r="10">
      <c r="A10" s="13" t="str">
        <f>IFERROR(__xludf.DUMMYFUNCTION("""COMPUTED_VALUE"""),"28823014@mahasiswa:itb:ac:id")</f>
        <v>28823014@mahasiswa:itb:ac:id</v>
      </c>
      <c r="B10" s="13" t="str">
        <f>IFERROR(__xludf.DUMMYFUNCTION("""COMPUTED_VALUE"""),"Kabupaten Dairi Dalam Angka 2020")</f>
        <v>Kabupaten Dairi Dalam Angka 2020</v>
      </c>
      <c r="C10" s="13" t="str">
        <f>IFERROR(__xludf.DUMMYFUNCTION("""COMPUTED_VALUE"""),"Publikasi")</f>
        <v>Publikasi</v>
      </c>
      <c r="E10" s="19" t="s">
        <v>1476</v>
      </c>
      <c r="F10" s="20" t="str">
        <f>IFERROR(__xludf.DUMMYFUNCTION("JOIN(""
"",FILTER($B10:$B1300,$A10:$A1300=E10))"),"Kabupaten Dairi Dalam Angka 2024
Statistik Kesejahteraan Rakyat Kabupaten Dairi 2024
Statistik Kesejahteraan Rakyat Kabupaten Dairi 2024")</f>
        <v>Kabupaten Dairi Dalam Angka 2024
Statistik Kesejahteraan Rakyat Kabupaten Dairi 2024
Statistik Kesejahteraan Rakyat Kabupaten Dairi 2024</v>
      </c>
    </row>
    <row r="11">
      <c r="A11" s="13" t="str">
        <f>IFERROR(__xludf.DUMMYFUNCTION("""COMPUTED_VALUE"""),"28823014@mahasiswa:itb:ac:id")</f>
        <v>28823014@mahasiswa:itb:ac:id</v>
      </c>
      <c r="B11" s="13" t="str">
        <f>IFERROR(__xludf.DUMMYFUNCTION("""COMPUTED_VALUE"""),"Kabupaten Dairi Dalam Angka 2022")</f>
        <v>Kabupaten Dairi Dalam Angka 2022</v>
      </c>
      <c r="C11" s="13" t="str">
        <f>IFERROR(__xludf.DUMMYFUNCTION("""COMPUTED_VALUE"""),"Publikasi")</f>
        <v>Publikasi</v>
      </c>
      <c r="E11" s="19" t="s">
        <v>1240</v>
      </c>
      <c r="F11" s="20" t="str">
        <f>IFERROR(__xludf.DUMMYFUNCTION("JOIN(""
"",FILTER($B11:$B1300,$A11:$A1300=E11))"),"Indikator Kesejahteraan Rakyat Kabupaten Dairi Tahun 2024
Kabupaten Dairi Dalam Angka 2024
Statistik Kesejahteraan Rakyat Kabupaten Dairi 2024")</f>
        <v>Indikator Kesejahteraan Rakyat Kabupaten Dairi Tahun 2024
Kabupaten Dairi Dalam Angka 2024
Statistik Kesejahteraan Rakyat Kabupaten Dairi 2024</v>
      </c>
    </row>
    <row r="12">
      <c r="A12" s="13" t="str">
        <f>IFERROR(__xludf.DUMMYFUNCTION("""COMPUTED_VALUE"""),"28823014@mahasiswa:itb:ac:id")</f>
        <v>28823014@mahasiswa:itb:ac:id</v>
      </c>
      <c r="B12" s="13" t="str">
        <f>IFERROR(__xludf.DUMMYFUNCTION("""COMPUTED_VALUE"""),"Kabupaten Dairi Dalam Angka 2024")</f>
        <v>Kabupaten Dairi Dalam Angka 2024</v>
      </c>
      <c r="C12" s="13" t="str">
        <f>IFERROR(__xludf.DUMMYFUNCTION("""COMPUTED_VALUE"""),"Publikasi")</f>
        <v>Publikasi</v>
      </c>
      <c r="E12" s="19" t="s">
        <v>1453</v>
      </c>
      <c r="F12" s="20" t="str">
        <f>IFERROR(__xludf.DUMMYFUNCTION("JOIN(""
"",FILTER($B12:$B1300,$A12:$A1300=E12))"),"Kabupaten Dairi Dalam Angka 2024")</f>
        <v>Kabupaten Dairi Dalam Angka 2024</v>
      </c>
    </row>
    <row r="13">
      <c r="A13" s="13" t="str">
        <f>IFERROR(__xludf.DUMMYFUNCTION("""COMPUTED_VALUE"""),"28823014@mahasiswa:itb:ac:id")</f>
        <v>28823014@mahasiswa:itb:ac:id</v>
      </c>
      <c r="B13" s="13" t="str">
        <f>IFERROR(__xludf.DUMMYFUNCTION("""COMPUTED_VALUE"""),"Produk Domestik Regional Bruto Menurut Lapangan Usaha Kabupaten Dairi 2016 - 2020")</f>
        <v>Produk Domestik Regional Bruto Menurut Lapangan Usaha Kabupaten Dairi 2016 - 2020</v>
      </c>
      <c r="C13" s="13" t="str">
        <f>IFERROR(__xludf.DUMMYFUNCTION("""COMPUTED_VALUE"""),"Publikasi")</f>
        <v>Publikasi</v>
      </c>
      <c r="E13" s="19" t="s">
        <v>1280</v>
      </c>
      <c r="F13" s="20" t="str">
        <f>IFERROR(__xludf.DUMMYFUNCTION("JOIN(""
"",FILTER($B13:$B1300,$A13:$A1300=E13))"),"Kabupaten Dairi Dalam Angka 2024")</f>
        <v>Kabupaten Dairi Dalam Angka 2024</v>
      </c>
    </row>
    <row r="14">
      <c r="A14" s="13" t="str">
        <f>IFERROR(__xludf.DUMMYFUNCTION("""COMPUTED_VALUE"""),"28823014@mahasiswa:itb:ac:id")</f>
        <v>28823014@mahasiswa:itb:ac:id</v>
      </c>
      <c r="B14" s="13" t="str">
        <f>IFERROR(__xludf.DUMMYFUNCTION("""COMPUTED_VALUE"""),"Statistik Daerah Kabupaten Dairi 2015")</f>
        <v>Statistik Daerah Kabupaten Dairi 2015</v>
      </c>
      <c r="C14" s="13" t="str">
        <f>IFERROR(__xludf.DUMMYFUNCTION("""COMPUTED_VALUE"""),"Publikasi")</f>
        <v>Publikasi</v>
      </c>
      <c r="E14" s="19" t="s">
        <v>1209</v>
      </c>
      <c r="F14" s="20" t="str">
        <f>IFERROR(__xludf.DUMMYFUNCTION("JOIN(""
"",FILTER($B14:$B1300,$A14:$A1300=E14))"),"Kabupaten Dairi Dalam Angka 2021
Kabupaten Dairi Dalam Angka 2022")</f>
        <v>Kabupaten Dairi Dalam Angka 2021
Kabupaten Dairi Dalam Angka 2022</v>
      </c>
    </row>
    <row r="15">
      <c r="A15" s="13" t="str">
        <f>IFERROR(__xludf.DUMMYFUNCTION("""COMPUTED_VALUE"""),"a34303048@yahoo:com")</f>
        <v>a34303048@yahoo:com</v>
      </c>
      <c r="B15" s="13" t="str">
        <f>IFERROR(__xludf.DUMMYFUNCTION("""COMPUTED_VALUE"""),"Statistik Daerah Kabupaten Dairi 2021")</f>
        <v>Statistik Daerah Kabupaten Dairi 2021</v>
      </c>
      <c r="C15" s="13" t="str">
        <f>IFERROR(__xludf.DUMMYFUNCTION("""COMPUTED_VALUE"""),"Publikasi")</f>
        <v>Publikasi</v>
      </c>
      <c r="E15" s="19" t="s">
        <v>1268</v>
      </c>
      <c r="F15" s="20" t="str">
        <f>IFERROR(__xludf.DUMMYFUNCTION("JOIN(""
"",FILTER($B15:$B1300,$A15:$A1300=E15))"),"Kabupaten Dairi Dalam Angka 2024")</f>
        <v>Kabupaten Dairi Dalam Angka 2024</v>
      </c>
    </row>
    <row r="16">
      <c r="A16" s="13" t="str">
        <f>IFERROR(__xludf.DUMMYFUNCTION("""COMPUTED_VALUE"""),"a@b:com")</f>
        <v>a@b:com</v>
      </c>
      <c r="B16" s="13" t="str">
        <f>IFERROR(__xludf.DUMMYFUNCTION("""COMPUTED_VALUE"""),"Kecamatan Lae Parira Dalam Angka 2024")</f>
        <v>Kecamatan Lae Parira Dalam Angka 2024</v>
      </c>
      <c r="C16" s="13" t="str">
        <f>IFERROR(__xludf.DUMMYFUNCTION("""COMPUTED_VALUE"""),"Publikasi")</f>
        <v>Publikasi</v>
      </c>
      <c r="E16" s="19" t="s">
        <v>1316</v>
      </c>
      <c r="F16" s="20" t="str">
        <f>IFERROR(__xludf.DUMMYFUNCTION("JOIN(""
"",FILTER($B16:$B1300,$A16:$A1300=E16))"),"Kabupaten Dairi Dalam Angka 2019
Kabupaten Dairi Dalam Angka 2020
Kabupaten Dairi Dalam Angka 2021
Kabupaten Dairi Dalam Angka 2022
Kabupaten Dairi Dalam Angka 2024
Kecamatan Berampu Dalam Angka 2020
Kecamatan Berampu Dalam Angka 2021")</f>
        <v>Kabupaten Dairi Dalam Angka 2019
Kabupaten Dairi Dalam Angka 2020
Kabupaten Dairi Dalam Angka 2021
Kabupaten Dairi Dalam Angka 2022
Kabupaten Dairi Dalam Angka 2024
Kecamatan Berampu Dalam Angka 2020
Kecamatan Berampu Dalam Angka 2021</v>
      </c>
    </row>
    <row r="17">
      <c r="A17" s="13" t="str">
        <f>IFERROR(__xludf.DUMMYFUNCTION("""COMPUTED_VALUE"""),"a@bps:go")</f>
        <v>a@bps:go</v>
      </c>
      <c r="B17" s="13" t="str">
        <f>IFERROR(__xludf.DUMMYFUNCTION("""COMPUTED_VALUE"""),"Kabupaten Dairi Dalam Angka 2024")</f>
        <v>Kabupaten Dairi Dalam Angka 2024</v>
      </c>
      <c r="C17" s="13" t="str">
        <f>IFERROR(__xludf.DUMMYFUNCTION("""COMPUTED_VALUE"""),"Publikasi")</f>
        <v>Publikasi</v>
      </c>
      <c r="E17" s="19" t="s">
        <v>1620</v>
      </c>
      <c r="F17" s="20" t="str">
        <f>IFERROR(__xludf.DUMMYFUNCTION("JOIN(""
"",FILTER($B17:$B1300,$A17:$A1300=E17))"),"Kecamatan Silahisabungan Dalam Angka 2019
Kecamatan Silahisabungan Dalam Angka 2021")</f>
        <v>Kecamatan Silahisabungan Dalam Angka 2019
Kecamatan Silahisabungan Dalam Angka 2021</v>
      </c>
    </row>
    <row r="18">
      <c r="A18" s="13" t="str">
        <f>IFERROR(__xludf.DUMMYFUNCTION("""COMPUTED_VALUE"""),"a@bps:go")</f>
        <v>a@bps:go</v>
      </c>
      <c r="B18" s="13" t="str">
        <f>IFERROR(__xludf.DUMMYFUNCTION("""COMPUTED_VALUE"""),"Statistik Kesejahteraan Rakyat Kabupaten Dairi 2024")</f>
        <v>Statistik Kesejahteraan Rakyat Kabupaten Dairi 2024</v>
      </c>
      <c r="C18" s="13" t="str">
        <f>IFERROR(__xludf.DUMMYFUNCTION("""COMPUTED_VALUE"""),"Publikasi")</f>
        <v>Publikasi</v>
      </c>
      <c r="E18" s="19" t="s">
        <v>1717</v>
      </c>
      <c r="F18" s="20" t="str">
        <f>IFERROR(__xludf.DUMMYFUNCTION("JOIN(""
"",FILTER($B18:$B1300,$A18:$A1300=E18))"),"Kecamatan Sidikalang Dalam Angka 2021")</f>
        <v>Kecamatan Sidikalang Dalam Angka 2021</v>
      </c>
    </row>
    <row r="19">
      <c r="A19" s="13" t="str">
        <f>IFERROR(__xludf.DUMMYFUNCTION("""COMPUTED_VALUE"""),"A@BPS:GO")</f>
        <v>A@BPS:GO</v>
      </c>
      <c r="B19" s="13" t="str">
        <f>IFERROR(__xludf.DUMMYFUNCTION("""COMPUTED_VALUE"""),"Statistik Kesejahteraan Rakyat Kabupaten Dairi 2024")</f>
        <v>Statistik Kesejahteraan Rakyat Kabupaten Dairi 2024</v>
      </c>
      <c r="C19" s="13" t="str">
        <f>IFERROR(__xludf.DUMMYFUNCTION("""COMPUTED_VALUE"""),"Publikasi")</f>
        <v>Publikasi</v>
      </c>
      <c r="E19" s="19" t="s">
        <v>1538</v>
      </c>
      <c r="F19" s="20" t="str">
        <f>IFERROR(__xludf.DUMMYFUNCTION("JOIN(""
"",FILTER($B19:$B1300,$A19:$A1300=E19))"),"Profil Kependudukan dan Ketenagakerjaan Kabupaten Dairi 2022")</f>
        <v>Profil Kependudukan dan Ketenagakerjaan Kabupaten Dairi 2022</v>
      </c>
    </row>
    <row r="20">
      <c r="A20" s="13" t="str">
        <f>IFERROR(__xludf.DUMMYFUNCTION("""COMPUTED_VALUE"""),"a@bps:go:id")</f>
        <v>a@bps:go:id</v>
      </c>
      <c r="B20" s="13" t="str">
        <f>IFERROR(__xludf.DUMMYFUNCTION("""COMPUTED_VALUE"""),"Indikator Kesejahteraan Rakyat Kabupaten Dairi Tahun 2024")</f>
        <v>Indikator Kesejahteraan Rakyat Kabupaten Dairi Tahun 2024</v>
      </c>
      <c r="C20" s="13" t="str">
        <f>IFERROR(__xludf.DUMMYFUNCTION("""COMPUTED_VALUE"""),"Publikasi")</f>
        <v>Publikasi</v>
      </c>
      <c r="E20" s="19" t="s">
        <v>1722</v>
      </c>
      <c r="F20" s="20" t="str">
        <f>IFERROR(__xludf.DUMMYFUNCTION("JOIN(""
"",FILTER($B20:$B1300,$A20:$A1300=E20))"),"Kabupaten Dairi Dalam Angka 2021")</f>
        <v>Kabupaten Dairi Dalam Angka 2021</v>
      </c>
    </row>
    <row r="21">
      <c r="A21" s="13" t="str">
        <f>IFERROR(__xludf.DUMMYFUNCTION("""COMPUTED_VALUE"""),"a@bps:go:id")</f>
        <v>a@bps:go:id</v>
      </c>
      <c r="B21" s="13" t="str">
        <f>IFERROR(__xludf.DUMMYFUNCTION("""COMPUTED_VALUE"""),"Kabupaten Dairi Dalam Angka 2024")</f>
        <v>Kabupaten Dairi Dalam Angka 2024</v>
      </c>
      <c r="C21" s="13" t="str">
        <f>IFERROR(__xludf.DUMMYFUNCTION("""COMPUTED_VALUE"""),"Publikasi")</f>
        <v>Publikasi</v>
      </c>
      <c r="E21" s="19" t="s">
        <v>1263</v>
      </c>
      <c r="F21" s="20" t="str">
        <f>IFERROR(__xludf.DUMMYFUNCTION("JOIN(""
"",FILTER($B21:$B1300,$A21:$A1300=E21))"),"Kabupaten Dairi Dalam Angka 2013
Kabupaten Dairi Dalam Angka 2014
Kabupaten Dairi Dalam Angka 2015
Kabupaten Dairi Dalam Angka 2016
Kabupaten Dairi Dalam Angka 2017
Kabupaten Dairi Dalam Angka 2018
Kabupaten Dairi Dalam Angka 2019
Kabupaten Dairi Dalam An"&amp;"gka 2020
Kabupaten Dairi Dalam Angka 2021
Kabupaten Dairi Dalam Angka 2022
Kabupaten Dairi Dalam Angka 2024
Statistik Hortikultura Kabupaten Dairi Tahun 2021
Statistik Hortikultura Kabupaten Dairi Tahun 2022")</f>
        <v>Kabupaten Dairi Dalam Angka 2013
Kabupaten Dairi Dalam Angka 2014
Kabupaten Dairi Dalam Angka 2015
Kabupaten Dairi Dalam Angka 2016
Kabupaten Dairi Dalam Angka 2017
Kabupaten Dairi Dalam Angka 2018
Kabupaten Dairi Dalam Angka 2019
Kabupaten Dairi Dalam Angka 2020
Kabupaten Dairi Dalam Angka 2021
Kabupaten Dairi Dalam Angka 2022
Kabupaten Dairi Dalam Angka 2024
Statistik Hortikultura Kabupaten Dairi Tahun 2021
Statistik Hortikultura Kabupaten Dairi Tahun 2022</v>
      </c>
    </row>
    <row r="22">
      <c r="A22" s="13" t="str">
        <f>IFERROR(__xludf.DUMMYFUNCTION("""COMPUTED_VALUE"""),"a@bps:go:id")</f>
        <v>a@bps:go:id</v>
      </c>
      <c r="B22" s="13" t="str">
        <f>IFERROR(__xludf.DUMMYFUNCTION("""COMPUTED_VALUE"""),"Statistik Kesejahteraan Rakyat Kabupaten Dairi 2024")</f>
        <v>Statistik Kesejahteraan Rakyat Kabupaten Dairi 2024</v>
      </c>
      <c r="C22" s="13" t="str">
        <f>IFERROR(__xludf.DUMMYFUNCTION("""COMPUTED_VALUE"""),"Publikasi")</f>
        <v>Publikasi</v>
      </c>
      <c r="E22" s="19" t="s">
        <v>1531</v>
      </c>
      <c r="F22" s="20" t="str">
        <f>IFERROR(__xludf.DUMMYFUNCTION("JOIN(""
"",FILTER($B22:$B1300,$A22:$A1300=E22))"),"Statistik Tanaman Pangan (Padi dan Palawija) Kabupaten Dairi 2021
Statistik Tanaman Pangan (Padi dan Palawija) Kabupaten Dairi 2022")</f>
        <v>Statistik Tanaman Pangan (Padi dan Palawija) Kabupaten Dairi 2021
Statistik Tanaman Pangan (Padi dan Palawija) Kabupaten Dairi 2022</v>
      </c>
    </row>
    <row r="23">
      <c r="A23" s="13" t="str">
        <f>IFERROR(__xludf.DUMMYFUNCTION("""COMPUTED_VALUE"""),"a@gmail:com")</f>
        <v>a@gmail:com</v>
      </c>
      <c r="B23" s="13" t="str">
        <f>IFERROR(__xludf.DUMMYFUNCTION("""COMPUTED_VALUE"""),"Kabupaten Dairi Dalam Angka 2024")</f>
        <v>Kabupaten Dairi Dalam Angka 2024</v>
      </c>
      <c r="C23" s="13" t="str">
        <f>IFERROR(__xludf.DUMMYFUNCTION("""COMPUTED_VALUE"""),"Publikasi")</f>
        <v>Publikasi</v>
      </c>
      <c r="E23" s="19" t="s">
        <v>1506</v>
      </c>
      <c r="F23" s="20" t="str">
        <f>IFERROR(__xludf.DUMMYFUNCTION("JOIN(""
"",FILTER($B23:$B1300,$A23:$A1300=E23))"),"Kecamatan Sidikalang Dalam Angka 2021")</f>
        <v>Kecamatan Sidikalang Dalam Angka 2021</v>
      </c>
    </row>
    <row r="24">
      <c r="A24" s="13" t="str">
        <f>IFERROR(__xludf.DUMMYFUNCTION("""COMPUTED_VALUE"""),"aaa@g:com")</f>
        <v>aaa@g:com</v>
      </c>
      <c r="B24" s="13" t="str">
        <f>IFERROR(__xludf.DUMMYFUNCTION("""COMPUTED_VALUE"""),"Kabupaten Dairi Dalam Angka 2024")</f>
        <v>Kabupaten Dairi Dalam Angka 2024</v>
      </c>
      <c r="C24" s="13" t="str">
        <f>IFERROR(__xludf.DUMMYFUNCTION("""COMPUTED_VALUE"""),"Publikasi")</f>
        <v>Publikasi</v>
      </c>
      <c r="E24" s="19" t="s">
        <v>1180</v>
      </c>
      <c r="F24" s="20" t="str">
        <f>IFERROR(__xludf.DUMMYFUNCTION("JOIN(""
"",FILTER($B24:$B1300,$A24:$A1300=E24))"),"Kabupaten Dairi Dalam Angka 2024")</f>
        <v>Kabupaten Dairi Dalam Angka 2024</v>
      </c>
    </row>
    <row r="25">
      <c r="A25" s="13" t="str">
        <f>IFERROR(__xludf.DUMMYFUNCTION("""COMPUTED_VALUE"""),"Aalvindito@gmail:com")</f>
        <v>Aalvindito@gmail:com</v>
      </c>
      <c r="B25" s="13" t="str">
        <f>IFERROR(__xludf.DUMMYFUNCTION("""COMPUTED_VALUE"""),"Kabupaten Dairi Dalam Angka 2021")</f>
        <v>Kabupaten Dairi Dalam Angka 2021</v>
      </c>
      <c r="C25" s="13" t="str">
        <f>IFERROR(__xludf.DUMMYFUNCTION("""COMPUTED_VALUE"""),"Publikasi")</f>
        <v>Publikasi</v>
      </c>
      <c r="E25" s="19" t="s">
        <v>1152</v>
      </c>
      <c r="F25" s="20" t="str">
        <f>IFERROR(__xludf.DUMMYFUNCTION("JOIN(""
"",FILTER($B25:$B1300,$A25:$A1300=E25))"),"Kabupaten Dairi Dalam Angka 2016
Kabupaten Dairi Dalam Angka 2018
Kabupaten Dairi Dalam Angka 2019
Kabupaten Dairi Dalam Angka 2020
Kabupaten Dairi Dalam Angka 2021")</f>
        <v>Kabupaten Dairi Dalam Angka 2016
Kabupaten Dairi Dalam Angka 2018
Kabupaten Dairi Dalam Angka 2019
Kabupaten Dairi Dalam Angka 2020
Kabupaten Dairi Dalam Angka 2021</v>
      </c>
    </row>
    <row r="26">
      <c r="A26" s="13" t="str">
        <f>IFERROR(__xludf.DUMMYFUNCTION("""COMPUTED_VALUE"""),"Aalvindito@gmail:com")</f>
        <v>Aalvindito@gmail:com</v>
      </c>
      <c r="B26" s="13" t="str">
        <f>IFERROR(__xludf.DUMMYFUNCTION("""COMPUTED_VALUE"""),"Kabupaten Dairi Dalam Angka 2022")</f>
        <v>Kabupaten Dairi Dalam Angka 2022</v>
      </c>
      <c r="C26" s="13" t="str">
        <f>IFERROR(__xludf.DUMMYFUNCTION("""COMPUTED_VALUE"""),"Publikasi")</f>
        <v>Publikasi</v>
      </c>
      <c r="E26" s="19" t="s">
        <v>1755</v>
      </c>
      <c r="F26" s="20" t="str">
        <f>IFERROR(__xludf.DUMMYFUNCTION("JOIN(""
"",FILTER($B26:$B1300,$A26:$A1300=E26))"),"Kabupaten Dairi Dalam Angka 2021")</f>
        <v>Kabupaten Dairi Dalam Angka 2021</v>
      </c>
    </row>
    <row r="27">
      <c r="A27" s="13" t="str">
        <f>IFERROR(__xludf.DUMMYFUNCTION("""COMPUTED_VALUE"""),"abc@gmail:com")</f>
        <v>abc@gmail:com</v>
      </c>
      <c r="B27" s="13" t="str">
        <f>IFERROR(__xludf.DUMMYFUNCTION("""COMPUTED_VALUE"""),"Kabupaten Dairi Dalam Angka 2024")</f>
        <v>Kabupaten Dairi Dalam Angka 2024</v>
      </c>
      <c r="C27" s="13" t="str">
        <f>IFERROR(__xludf.DUMMYFUNCTION("""COMPUTED_VALUE"""),"Publikasi")</f>
        <v>Publikasi</v>
      </c>
      <c r="E27" s="19" t="s">
        <v>1682</v>
      </c>
      <c r="F27" s="20" t="str">
        <f>IFERROR(__xludf.DUMMYFUNCTION("JOIN(""
"",FILTER($B27:$B1300,$A27:$A1300=E27))"),"Kecamatan Sidikalang Dalam Angka 2021")</f>
        <v>Kecamatan Sidikalang Dalam Angka 2021</v>
      </c>
    </row>
    <row r="28">
      <c r="A28" s="13" t="str">
        <f>IFERROR(__xludf.DUMMYFUNCTION("""COMPUTED_VALUE"""),"abdulgb531@gmail:com")</f>
        <v>abdulgb531@gmail:com</v>
      </c>
      <c r="B28" s="13" t="str">
        <f>IFERROR(__xludf.DUMMYFUNCTION("""COMPUTED_VALUE"""),"Kabupaten Dairi Dalam Angka 2019")</f>
        <v>Kabupaten Dairi Dalam Angka 2019</v>
      </c>
      <c r="C28" s="13" t="str">
        <f>IFERROR(__xludf.DUMMYFUNCTION("""COMPUTED_VALUE"""),"Publikasi")</f>
        <v>Publikasi</v>
      </c>
      <c r="E28" s="19" t="s">
        <v>1428</v>
      </c>
      <c r="F28" s="20" t="str">
        <f>IFERROR(__xludf.DUMMYFUNCTION("JOIN(""
"",FILTER($B28:$B1300,$A28:$A1300=E28))"),"Kabupaten Dairi Dalam Angka 2012
Kabupaten Dairi Dalam Angka 2013
Produk Domestik Regional Bruto Kabupaten Dairi Menurut Lapangan Usaha 2013-2017")</f>
        <v>Kabupaten Dairi Dalam Angka 2012
Kabupaten Dairi Dalam Angka 2013
Produk Domestik Regional Bruto Kabupaten Dairi Menurut Lapangan Usaha 2013-2017</v>
      </c>
    </row>
    <row r="29">
      <c r="A29" s="13" t="str">
        <f>IFERROR(__xludf.DUMMYFUNCTION("""COMPUTED_VALUE"""),"abdulgb531@gmail:com")</f>
        <v>abdulgb531@gmail:com</v>
      </c>
      <c r="B29" s="13" t="str">
        <f>IFERROR(__xludf.DUMMYFUNCTION("""COMPUTED_VALUE"""),"Kabupaten Dairi Dalam Angka 2020")</f>
        <v>Kabupaten Dairi Dalam Angka 2020</v>
      </c>
      <c r="C29" s="13" t="str">
        <f>IFERROR(__xludf.DUMMYFUNCTION("""COMPUTED_VALUE"""),"Publikasi")</f>
        <v>Publikasi</v>
      </c>
      <c r="E29" s="19" t="s">
        <v>1434</v>
      </c>
      <c r="F29" s="20" t="str">
        <f>IFERROR(__xludf.DUMMYFUNCTION("JOIN(""
"",FILTER($B29:$B1300,$A29:$A1300=E29))"),"Produk Domestik Regional Bruto Kabupaten Dairi Menurut Lapangan Usaha 2013-2017")</f>
        <v>Produk Domestik Regional Bruto Kabupaten Dairi Menurut Lapangan Usaha 2013-2017</v>
      </c>
    </row>
    <row r="30">
      <c r="A30" s="13" t="str">
        <f>IFERROR(__xludf.DUMMYFUNCTION("""COMPUTED_VALUE"""),"abdulgb531@gmail:com")</f>
        <v>abdulgb531@gmail:com</v>
      </c>
      <c r="B30" s="13" t="str">
        <f>IFERROR(__xludf.DUMMYFUNCTION("""COMPUTED_VALUE"""),"Kabupaten Dairi Dalam Angka 2021")</f>
        <v>Kabupaten Dairi Dalam Angka 2021</v>
      </c>
      <c r="C30" s="13" t="str">
        <f>IFERROR(__xludf.DUMMYFUNCTION("""COMPUTED_VALUE"""),"Publikasi")</f>
        <v>Publikasi</v>
      </c>
      <c r="E30" s="19" t="s">
        <v>1757</v>
      </c>
      <c r="F30" s="20" t="str">
        <f>IFERROR(__xludf.DUMMYFUNCTION("JOIN(""
"",FILTER($B30:$B1300,$A30:$A1300=E30))"),"Kabupaten Dairi Dalam Angka 2022")</f>
        <v>Kabupaten Dairi Dalam Angka 2022</v>
      </c>
    </row>
    <row r="31">
      <c r="A31" s="13" t="str">
        <f>IFERROR(__xludf.DUMMYFUNCTION("""COMPUTED_VALUE"""),"abdulgb531@gmail:com")</f>
        <v>abdulgb531@gmail:com</v>
      </c>
      <c r="B31" s="13" t="str">
        <f>IFERROR(__xludf.DUMMYFUNCTION("""COMPUTED_VALUE"""),"Kabupaten Dairi Dalam Angka 2022")</f>
        <v>Kabupaten Dairi Dalam Angka 2022</v>
      </c>
      <c r="C31" s="13" t="str">
        <f>IFERROR(__xludf.DUMMYFUNCTION("""COMPUTED_VALUE"""),"Publikasi")</f>
        <v>Publikasi</v>
      </c>
      <c r="E31" s="19" t="s">
        <v>1524</v>
      </c>
      <c r="F31" s="20" t="str">
        <f>IFERROR(__xludf.DUMMYFUNCTION("JOIN(""
"",FILTER($B31:$B1300,$A31:$A1300=E31))"),"Kecamatan Sidikalang Dalam Angka 2024")</f>
        <v>Kecamatan Sidikalang Dalam Angka 2024</v>
      </c>
    </row>
    <row r="32">
      <c r="A32" s="13" t="str">
        <f>IFERROR(__xludf.DUMMYFUNCTION("""COMPUTED_VALUE"""),"abdulgb531@gmail:com")</f>
        <v>abdulgb531@gmail:com</v>
      </c>
      <c r="B32" s="13" t="str">
        <f>IFERROR(__xludf.DUMMYFUNCTION("""COMPUTED_VALUE"""),"Kabupaten Dairi Dalam Angka 2024")</f>
        <v>Kabupaten Dairi Dalam Angka 2024</v>
      </c>
      <c r="C32" s="13" t="str">
        <f>IFERROR(__xludf.DUMMYFUNCTION("""COMPUTED_VALUE"""),"Publikasi")</f>
        <v>Publikasi</v>
      </c>
      <c r="E32" s="19" t="s">
        <v>1731</v>
      </c>
      <c r="F32" s="20" t="str">
        <f>IFERROR(__xludf.DUMMYFUNCTION("JOIN(""
"",FILTER($B32:$B1300,$A32:$A1300=E32))"),"Kecamatan Parbuluan Dalam Angka 2022")</f>
        <v>Kecamatan Parbuluan Dalam Angka 2022</v>
      </c>
    </row>
    <row r="33">
      <c r="A33" s="13" t="str">
        <f>IFERROR(__xludf.DUMMYFUNCTION("""COMPUTED_VALUE"""),"abdulgb531@gmail:com")</f>
        <v>abdulgb531@gmail:com</v>
      </c>
      <c r="B33" s="13" t="str">
        <f>IFERROR(__xludf.DUMMYFUNCTION("""COMPUTED_VALUE"""),"Kecamatan Berampu Dalam Angka 2020")</f>
        <v>Kecamatan Berampu Dalam Angka 2020</v>
      </c>
      <c r="C33" s="13" t="str">
        <f>IFERROR(__xludf.DUMMYFUNCTION("""COMPUTED_VALUE"""),"Publikasi")</f>
        <v>Publikasi</v>
      </c>
      <c r="E33" s="19" t="s">
        <v>1096</v>
      </c>
      <c r="F33" s="20" t="str">
        <f>IFERROR(__xludf.DUMMYFUNCTION("JOIN(""
"",FILTER($B33:$B1300,$A33:$A1300=E33))"),"Kabupaten Dairi Dalam Angka 2016
Kabupaten Dairi Dalam Angka 2017
Kabupaten Dairi Dalam Angka 2018
Kabupaten Dairi Dalam Angka 2020
Kabupaten Dairi Dalam Angka 2022
Kabupaten Dairi Dalam Angka 2024")</f>
        <v>Kabupaten Dairi Dalam Angka 2016
Kabupaten Dairi Dalam Angka 2017
Kabupaten Dairi Dalam Angka 2018
Kabupaten Dairi Dalam Angka 2020
Kabupaten Dairi Dalam Angka 2022
Kabupaten Dairi Dalam Angka 2024</v>
      </c>
    </row>
    <row r="34">
      <c r="A34" s="13" t="str">
        <f>IFERROR(__xludf.DUMMYFUNCTION("""COMPUTED_VALUE"""),"abdulgb531@gmail:com")</f>
        <v>abdulgb531@gmail:com</v>
      </c>
      <c r="B34" s="13" t="str">
        <f>IFERROR(__xludf.DUMMYFUNCTION("""COMPUTED_VALUE"""),"Kecamatan Berampu Dalam Angka 2021")</f>
        <v>Kecamatan Berampu Dalam Angka 2021</v>
      </c>
      <c r="C34" s="13" t="str">
        <f>IFERROR(__xludf.DUMMYFUNCTION("""COMPUTED_VALUE"""),"Publikasi")</f>
        <v>Publikasi</v>
      </c>
      <c r="E34" s="19" t="s">
        <v>1339</v>
      </c>
      <c r="F34" s="20" t="str">
        <f>IFERROR(__xludf.DUMMYFUNCTION("JOIN(""
"",FILTER($B34:$B1300,$A34:$A1300=E34))"),"Kabupaten Dairi Dalam Angka 2008
Kabupaten Dairi Dalam Angka 2010
Kabupaten Dairi dalam angka tahun 2009")</f>
        <v>Kabupaten Dairi Dalam Angka 2008
Kabupaten Dairi Dalam Angka 2010
Kabupaten Dairi dalam angka tahun 2009</v>
      </c>
    </row>
    <row r="35">
      <c r="A35" s="13" t="str">
        <f>IFERROR(__xludf.DUMMYFUNCTION("""COMPUTED_VALUE"""),"abed_gabriel@yahoo:com")</f>
        <v>abed_gabriel@yahoo:com</v>
      </c>
      <c r="B35" s="13" t="str">
        <f>IFERROR(__xludf.DUMMYFUNCTION("""COMPUTED_VALUE"""),"Kecamatan Silahisabungan Dalam Angka 2019")</f>
        <v>Kecamatan Silahisabungan Dalam Angka 2019</v>
      </c>
      <c r="C35" s="13" t="str">
        <f>IFERROR(__xludf.DUMMYFUNCTION("""COMPUTED_VALUE"""),"Publikasi")</f>
        <v>Publikasi</v>
      </c>
      <c r="E35" s="19" t="s">
        <v>1455</v>
      </c>
      <c r="F35" s="20" t="str">
        <f>IFERROR(__xludf.DUMMYFUNCTION("JOIN(""
"",FILTER($B35:$B1300,$A35:$A1300=E35))"),"Kabupaten Dairi Dalam Angka 2016
Kabupaten Dairi Dalam Angka 2017
Kabupaten Dairi Dalam Angka 2018
Kabupaten Dairi Dalam Angka 2019
Kabupaten Dairi Dalam Angka 2020
Kabupaten Dairi Dalam Angka 2021
Kabupaten Dairi Dalam Angka 2022")</f>
        <v>Kabupaten Dairi Dalam Angka 2016
Kabupaten Dairi Dalam Angka 2017
Kabupaten Dairi Dalam Angka 2018
Kabupaten Dairi Dalam Angka 2019
Kabupaten Dairi Dalam Angka 2020
Kabupaten Dairi Dalam Angka 2021
Kabupaten Dairi Dalam Angka 2022</v>
      </c>
    </row>
    <row r="36">
      <c r="A36" s="13" t="str">
        <f>IFERROR(__xludf.DUMMYFUNCTION("""COMPUTED_VALUE"""),"abed_gabriel@yahoo:com")</f>
        <v>abed_gabriel@yahoo:com</v>
      </c>
      <c r="B36" s="13" t="str">
        <f>IFERROR(__xludf.DUMMYFUNCTION("""COMPUTED_VALUE"""),"Kecamatan Silahisabungan Dalam Angka 2021")</f>
        <v>Kecamatan Silahisabungan Dalam Angka 2021</v>
      </c>
      <c r="C36" s="13" t="str">
        <f>IFERROR(__xludf.DUMMYFUNCTION("""COMPUTED_VALUE"""),"Publikasi")</f>
        <v>Publikasi</v>
      </c>
      <c r="E36" s="19" t="s">
        <v>1744</v>
      </c>
      <c r="F36" s="20" t="str">
        <f>IFERROR(__xludf.DUMMYFUNCTION("JOIN(""
"",FILTER($B36:$B1300,$A36:$A1300=E36))"),"Kabupaten Dairi Dalam Angka 2021
Kecamatan Siempat Nempu Dalam Angka 2021
Kecamatan Siempat Nempu Hilir Dalam Angka 2021
Kecamatan Siempat Nempu Hulu Dalam Angka 2021
Kecamatan Silahisabungan Dalam Angka 2021
Kecamatan Silima Pungga-Pungga Dalam Angka 202"&amp;"1
Kecamatan Tiga Lingga Dalam Angka 2021
Siempat Nempu Dalam Angka 2015
Siempat Nempu Hulu Dalam Angka 2015
Silima Pungga-Pungga Dalam Angka 2015")</f>
        <v>Kabupaten Dairi Dalam Angka 2021
Kecamatan Siempat Nempu Dalam Angka 2021
Kecamatan Siempat Nempu Hilir Dalam Angka 2021
Kecamatan Siempat Nempu Hulu Dalam Angka 2021
Kecamatan Silahisabungan Dalam Angka 2021
Kecamatan Silima Pungga-Pungga Dalam Angka 2021
Kecamatan Tiga Lingga Dalam Angka 2021
Siempat Nempu Dalam Angka 2015
Siempat Nempu Hulu Dalam Angka 2015
Silima Pungga-Pungga Dalam Angka 2015</v>
      </c>
    </row>
    <row r="37">
      <c r="A37" s="13" t="str">
        <f>IFERROR(__xludf.DUMMYFUNCTION("""COMPUTED_VALUE"""),"abfg_asas@gmail:com")</f>
        <v>abfg_asas@gmail:com</v>
      </c>
      <c r="B37" s="13" t="str">
        <f>IFERROR(__xludf.DUMMYFUNCTION("""COMPUTED_VALUE"""),"Kecamatan Sidikalang Dalam Angka 2021")</f>
        <v>Kecamatan Sidikalang Dalam Angka 2021</v>
      </c>
      <c r="C37" s="13" t="str">
        <f>IFERROR(__xludf.DUMMYFUNCTION("""COMPUTED_VALUE"""),"Publikasi")</f>
        <v>Publikasi</v>
      </c>
      <c r="E37" s="19" t="s">
        <v>1368</v>
      </c>
      <c r="F37" s="20" t="str">
        <f>IFERROR(__xludf.DUMMYFUNCTION("JOIN(""
"",FILTER($B37:$B1300,$A37:$A1300=E37))"),"Kabupaten Dairi Dalam Angka 2024
Kecamatan Sitinjo Dalam Angka 2021")</f>
        <v>Kabupaten Dairi Dalam Angka 2024
Kecamatan Sitinjo Dalam Angka 2021</v>
      </c>
    </row>
    <row r="38">
      <c r="A38" s="13" t="str">
        <f>IFERROR(__xludf.DUMMYFUNCTION("""COMPUTED_VALUE"""),"ada@gmail:com")</f>
        <v>ada@gmail:com</v>
      </c>
      <c r="B38" s="13" t="str">
        <f>IFERROR(__xludf.DUMMYFUNCTION("""COMPUTED_VALUE"""),"Profil Kependudukan dan Ketenagakerjaan Kabupaten Dairi 2022")</f>
        <v>Profil Kependudukan dan Ketenagakerjaan Kabupaten Dairi 2022</v>
      </c>
      <c r="C38" s="13" t="str">
        <f>IFERROR(__xludf.DUMMYFUNCTION("""COMPUTED_VALUE"""),"Publikasi")</f>
        <v>Publikasi</v>
      </c>
      <c r="E38" s="19" t="s">
        <v>1702</v>
      </c>
      <c r="F38" s="20" t="str">
        <f>IFERROR(__xludf.DUMMYFUNCTION("JOIN(""
"",FILTER($B38:$B1300,$A38:$A1300=E38))"),"Indikator Kesejahteraan Rakyat Kabupaten Dairi Tahun 2022
Kabupaten Dairi Dalam Angka 2021")</f>
        <v>Indikator Kesejahteraan Rakyat Kabupaten Dairi Tahun 2022
Kabupaten Dairi Dalam Angka 2021</v>
      </c>
    </row>
    <row r="39">
      <c r="A39" s="13" t="str">
        <f>IFERROR(__xludf.DUMMYFUNCTION("""COMPUTED_VALUE"""),"ade:irma7511@gmail:com")</f>
        <v>ade:irma7511@gmail:com</v>
      </c>
      <c r="B39" s="13" t="str">
        <f>IFERROR(__xludf.DUMMYFUNCTION("""COMPUTED_VALUE"""),"Kabupaten Dairi Dalam Angka 2021")</f>
        <v>Kabupaten Dairi Dalam Angka 2021</v>
      </c>
      <c r="C39" s="13" t="str">
        <f>IFERROR(__xludf.DUMMYFUNCTION("""COMPUTED_VALUE"""),"Publikasi")</f>
        <v>Publikasi</v>
      </c>
      <c r="E39" s="19" t="s">
        <v>1183</v>
      </c>
      <c r="F39" s="20" t="str">
        <f>IFERROR(__xludf.DUMMYFUNCTION("JOIN(""
"",FILTER($B39:$B1300,$A39:$A1300=E39))"),"Buklet Hasil Pencacahan Lengkap Sensus Pertanian 2024 - Tahap I Kabupaten Dairi
Hasil Pencacahan Lengkap Sensus Pertanian 2024 - Tahap I Kabupaten Dairi
Kabupaten Dairi Dalam Angka 2021
Kabupaten Dairi Dalam Angka 2022
Kecamatan Berampu Dalam Angka 2022
K"&amp;"ecamatan Berampu Dalam Angka 2024
Statistik Daerah Kabupaten Dairi 2024
Statistik Hortikultura Kabupaten Dairi Tahun 2022
Statistik Tanaman Pangan (Padi dan Palawija) Kabupaten Dairi 2021
Statistik Tanaman Pangan (Padi dan Palawija) Kabupaten Dairi 2022")</f>
        <v>Buklet Hasil Pencacahan Lengkap Sensus Pertanian 2024 - Tahap I Kabupaten Dairi
Hasil Pencacahan Lengkap Sensus Pertanian 2024 - Tahap I Kabupaten Dairi
Kabupaten Dairi Dalam Angka 2021
Kabupaten Dairi Dalam Angka 2022
Kecamatan Berampu Dalam Angka 2022
Kecamatan Berampu Dalam Angka 2024
Statistik Daerah Kabupaten Dairi 2024
Statistik Hortikultura Kabupaten Dairi Tahun 2022
Statistik Tanaman Pangan (Padi dan Palawija) Kabupaten Dairi 2021
Statistik Tanaman Pangan (Padi dan Palawija) Kabupaten Dairi 2022</v>
      </c>
    </row>
    <row r="40">
      <c r="A40" s="13" t="str">
        <f>IFERROR(__xludf.DUMMYFUNCTION("""COMPUTED_VALUE"""),"adelianovalianti@gmail:com")</f>
        <v>adelianovalianti@gmail:com</v>
      </c>
      <c r="B40" s="13" t="str">
        <f>IFERROR(__xludf.DUMMYFUNCTION("""COMPUTED_VALUE"""),"Kabupaten Dairi Dalam Angka 2013")</f>
        <v>Kabupaten Dairi Dalam Angka 2013</v>
      </c>
      <c r="C40" s="13" t="str">
        <f>IFERROR(__xludf.DUMMYFUNCTION("""COMPUTED_VALUE"""),"Publikasi")</f>
        <v>Publikasi</v>
      </c>
      <c r="E40" s="19" t="s">
        <v>1386</v>
      </c>
      <c r="F40" s="20" t="str">
        <f>IFERROR(__xludf.DUMMYFUNCTION("JOIN(""
"",FILTER($B40:$B1300,$A40:$A1300=E40))"),"Kecamatan Sumbul Dalam Angka 2024")</f>
        <v>Kecamatan Sumbul Dalam Angka 2024</v>
      </c>
    </row>
    <row r="41">
      <c r="A41" s="13" t="str">
        <f>IFERROR(__xludf.DUMMYFUNCTION("""COMPUTED_VALUE"""),"adelianovalianti@gmail:com")</f>
        <v>adelianovalianti@gmail:com</v>
      </c>
      <c r="B41" s="13" t="str">
        <f>IFERROR(__xludf.DUMMYFUNCTION("""COMPUTED_VALUE"""),"Kabupaten Dairi Dalam Angka 2014")</f>
        <v>Kabupaten Dairi Dalam Angka 2014</v>
      </c>
      <c r="C41" s="13" t="str">
        <f>IFERROR(__xludf.DUMMYFUNCTION("""COMPUTED_VALUE"""),"Publikasi")</f>
        <v>Publikasi</v>
      </c>
      <c r="E41" s="19" t="s">
        <v>1302</v>
      </c>
      <c r="F41" s="20" t="str">
        <f>IFERROR(__xludf.DUMMYFUNCTION("JOIN(""
"",FILTER($B41:$B1300,$A41:$A1300=E41))"),"Kabupaten Dairi Dalam Angka 2024")</f>
        <v>Kabupaten Dairi Dalam Angka 2024</v>
      </c>
    </row>
    <row r="42">
      <c r="A42" s="13" t="str">
        <f>IFERROR(__xludf.DUMMYFUNCTION("""COMPUTED_VALUE"""),"adelianovalianti@gmail:com")</f>
        <v>adelianovalianti@gmail:com</v>
      </c>
      <c r="B42" s="13" t="str">
        <f>IFERROR(__xludf.DUMMYFUNCTION("""COMPUTED_VALUE"""),"Kabupaten Dairi Dalam Angka 2015")</f>
        <v>Kabupaten Dairi Dalam Angka 2015</v>
      </c>
      <c r="C42" s="13" t="str">
        <f>IFERROR(__xludf.DUMMYFUNCTION("""COMPUTED_VALUE"""),"Publikasi")</f>
        <v>Publikasi</v>
      </c>
      <c r="E42" s="19" t="s">
        <v>1110</v>
      </c>
      <c r="F42" s="20" t="str">
        <f>IFERROR(__xludf.DUMMYFUNCTION("JOIN(""
"",FILTER($B42:$B1300,$A42:$A1300=E42))"),"Kecamatan Gunung Sitember Dalam Angka 2024
Kecamatan Tanah Pinem Dalam Angka 2024
Kecamatan Tiga Lingga Dalam Angka 2024")</f>
        <v>Kecamatan Gunung Sitember Dalam Angka 2024
Kecamatan Tanah Pinem Dalam Angka 2024
Kecamatan Tiga Lingga Dalam Angka 2024</v>
      </c>
    </row>
    <row r="43">
      <c r="A43" s="13" t="str">
        <f>IFERROR(__xludf.DUMMYFUNCTION("""COMPUTED_VALUE"""),"adelianovalianti@gmail:com")</f>
        <v>adelianovalianti@gmail:com</v>
      </c>
      <c r="B43" s="13" t="str">
        <f>IFERROR(__xludf.DUMMYFUNCTION("""COMPUTED_VALUE"""),"Kabupaten Dairi Dalam Angka 2016")</f>
        <v>Kabupaten Dairi Dalam Angka 2016</v>
      </c>
      <c r="C43" s="13" t="str">
        <f>IFERROR(__xludf.DUMMYFUNCTION("""COMPUTED_VALUE"""),"Publikasi")</f>
        <v>Publikasi</v>
      </c>
      <c r="E43" s="19" t="s">
        <v>1645</v>
      </c>
      <c r="F43" s="20" t="str">
        <f>IFERROR(__xludf.DUMMYFUNCTION("JOIN(""
"",FILTER($B43:$B1300,$A43:$A1300=E43))"),"Kabupaten Dairi Dalam Angka 2022")</f>
        <v>Kabupaten Dairi Dalam Angka 2022</v>
      </c>
    </row>
    <row r="44">
      <c r="A44" s="13" t="str">
        <f>IFERROR(__xludf.DUMMYFUNCTION("""COMPUTED_VALUE"""),"adelianovalianti@gmail:com")</f>
        <v>adelianovalianti@gmail:com</v>
      </c>
      <c r="B44" s="13" t="str">
        <f>IFERROR(__xludf.DUMMYFUNCTION("""COMPUTED_VALUE"""),"Kabupaten Dairi Dalam Angka 2017")</f>
        <v>Kabupaten Dairi Dalam Angka 2017</v>
      </c>
      <c r="C44" s="13" t="str">
        <f>IFERROR(__xludf.DUMMYFUNCTION("""COMPUTED_VALUE"""),"Publikasi")</f>
        <v>Publikasi</v>
      </c>
      <c r="E44" s="19" t="s">
        <v>1632</v>
      </c>
      <c r="F44" s="20" t="str">
        <f>IFERROR(__xludf.DUMMYFUNCTION("JOIN(""
"",FILTER($B44:$B1300,$A44:$A1300=E44))"),"Kabupaten Dairi Dalam Angka 2022")</f>
        <v>Kabupaten Dairi Dalam Angka 2022</v>
      </c>
    </row>
    <row r="45">
      <c r="A45" s="13" t="str">
        <f>IFERROR(__xludf.DUMMYFUNCTION("""COMPUTED_VALUE"""),"adelianovalianti@gmail:com")</f>
        <v>adelianovalianti@gmail:com</v>
      </c>
      <c r="B45" s="13" t="str">
        <f>IFERROR(__xludf.DUMMYFUNCTION("""COMPUTED_VALUE"""),"Kabupaten Dairi Dalam Angka 2018")</f>
        <v>Kabupaten Dairi Dalam Angka 2018</v>
      </c>
      <c r="C45" s="13" t="str">
        <f>IFERROR(__xludf.DUMMYFUNCTION("""COMPUTED_VALUE"""),"Publikasi")</f>
        <v>Publikasi</v>
      </c>
      <c r="E45" s="19" t="s">
        <v>1147</v>
      </c>
      <c r="F45" s="20" t="str">
        <f>IFERROR(__xludf.DUMMYFUNCTION("JOIN(""
"",FILTER($B45:$B1300,$A45:$A1300=E45))"),"Kabupaten Dairi Dalam Angka 2024")</f>
        <v>Kabupaten Dairi Dalam Angka 2024</v>
      </c>
    </row>
    <row r="46">
      <c r="A46" s="13" t="str">
        <f>IFERROR(__xludf.DUMMYFUNCTION("""COMPUTED_VALUE"""),"adelianovalianti@gmail:com")</f>
        <v>adelianovalianti@gmail:com</v>
      </c>
      <c r="B46" s="13" t="str">
        <f>IFERROR(__xludf.DUMMYFUNCTION("""COMPUTED_VALUE"""),"Kabupaten Dairi Dalam Angka 2019")</f>
        <v>Kabupaten Dairi Dalam Angka 2019</v>
      </c>
      <c r="C46" s="13" t="str">
        <f>IFERROR(__xludf.DUMMYFUNCTION("""COMPUTED_VALUE"""),"Publikasi")</f>
        <v>Publikasi</v>
      </c>
      <c r="E46" s="19" t="s">
        <v>1536</v>
      </c>
      <c r="F46" s="20" t="str">
        <f>IFERROR(__xludf.DUMMYFUNCTION("JOIN(""
"",FILTER($B46:$B1300,$A46:$A1300=E46))"),"Kabupaten Dairi Dalam Angka 2024")</f>
        <v>Kabupaten Dairi Dalam Angka 2024</v>
      </c>
    </row>
    <row r="47">
      <c r="A47" s="13" t="str">
        <f>IFERROR(__xludf.DUMMYFUNCTION("""COMPUTED_VALUE"""),"adelianovalianti@gmail:com")</f>
        <v>adelianovalianti@gmail:com</v>
      </c>
      <c r="B47" s="13" t="str">
        <f>IFERROR(__xludf.DUMMYFUNCTION("""COMPUTED_VALUE"""),"Kabupaten Dairi Dalam Angka 2020")</f>
        <v>Kabupaten Dairi Dalam Angka 2020</v>
      </c>
      <c r="C47" s="13" t="str">
        <f>IFERROR(__xludf.DUMMYFUNCTION("""COMPUTED_VALUE"""),"Publikasi")</f>
        <v>Publikasi</v>
      </c>
      <c r="E47" s="19" t="s">
        <v>1484</v>
      </c>
      <c r="F47" s="20" t="str">
        <f>IFERROR(__xludf.DUMMYFUNCTION("JOIN(""
"",FILTER($B47:$B1300,$A47:$A1300=E47))"),"Kecamatan Pegagan Hilir Dalam Angka 2024")</f>
        <v>Kecamatan Pegagan Hilir Dalam Angka 2024</v>
      </c>
    </row>
    <row r="48">
      <c r="A48" s="13" t="str">
        <f>IFERROR(__xludf.DUMMYFUNCTION("""COMPUTED_VALUE"""),"adelianovalianti@gmail:com")</f>
        <v>adelianovalianti@gmail:com</v>
      </c>
      <c r="B48" s="13" t="str">
        <f>IFERROR(__xludf.DUMMYFUNCTION("""COMPUTED_VALUE"""),"Kabupaten Dairi Dalam Angka 2021")</f>
        <v>Kabupaten Dairi Dalam Angka 2021</v>
      </c>
      <c r="C48" s="13" t="str">
        <f>IFERROR(__xludf.DUMMYFUNCTION("""COMPUTED_VALUE"""),"Publikasi")</f>
        <v>Publikasi</v>
      </c>
      <c r="E48" s="19" t="s">
        <v>1733</v>
      </c>
      <c r="F48" s="20" t="str">
        <f>IFERROR(__xludf.DUMMYFUNCTION("JOIN(""
"",FILTER($B48:$B1300,$A48:$A1300=E48))"),"Analisis Survei Kebutuhan Data Kabupaten Dairi 2022
Statistik Daerah Kabupaten Dairi 2022
Statistik Hortikultura Kabupaten Dairi Tahun 2021
Statistik Tanaman Pangan (Padi dan Palawija) Kabupaten Dairi 2021")</f>
        <v>Analisis Survei Kebutuhan Data Kabupaten Dairi 2022
Statistik Daerah Kabupaten Dairi 2022
Statistik Hortikultura Kabupaten Dairi Tahun 2021
Statistik Tanaman Pangan (Padi dan Palawija) Kabupaten Dairi 2021</v>
      </c>
    </row>
    <row r="49">
      <c r="A49" s="13" t="str">
        <f>IFERROR(__xludf.DUMMYFUNCTION("""COMPUTED_VALUE"""),"adelianovalianti@gmail:com")</f>
        <v>adelianovalianti@gmail:com</v>
      </c>
      <c r="B49" s="13" t="str">
        <f>IFERROR(__xludf.DUMMYFUNCTION("""COMPUTED_VALUE"""),"Kabupaten Dairi Dalam Angka 2022")</f>
        <v>Kabupaten Dairi Dalam Angka 2022</v>
      </c>
      <c r="C49" s="13" t="str">
        <f>IFERROR(__xludf.DUMMYFUNCTION("""COMPUTED_VALUE"""),"Publikasi")</f>
        <v>Publikasi</v>
      </c>
      <c r="E49" s="19" t="s">
        <v>1532</v>
      </c>
      <c r="F49" s="20" t="str">
        <f>IFERROR(__xludf.DUMMYFUNCTION("JOIN(""
"",FILTER($B49:$B1300,$A49:$A1300=E49))"),"Kecamatan Siempat Nempu Hulu Dalam Angka 2021")</f>
        <v>Kecamatan Siempat Nempu Hulu Dalam Angka 2021</v>
      </c>
    </row>
    <row r="50">
      <c r="A50" s="13" t="str">
        <f>IFERROR(__xludf.DUMMYFUNCTION("""COMPUTED_VALUE"""),"adelianovalianti@gmail:com")</f>
        <v>adelianovalianti@gmail:com</v>
      </c>
      <c r="B50" s="13" t="str">
        <f>IFERROR(__xludf.DUMMYFUNCTION("""COMPUTED_VALUE"""),"Kabupaten Dairi Dalam Angka 2024")</f>
        <v>Kabupaten Dairi Dalam Angka 2024</v>
      </c>
      <c r="C50" s="13" t="str">
        <f>IFERROR(__xludf.DUMMYFUNCTION("""COMPUTED_VALUE"""),"Publikasi")</f>
        <v>Publikasi</v>
      </c>
      <c r="E50" s="19" t="s">
        <v>1628</v>
      </c>
      <c r="F50" s="20" t="str">
        <f>IFERROR(__xludf.DUMMYFUNCTION("JOIN(""
"",FILTER($B50:$B1300,$A50:$A1300=E50))"),"Indeks Pembangunan Manusia Kabupaten Dairi 2019
Indikator Kesejahteraan Rakyat Kabupaten Dairi Tahun 2022
Kecamatan Sidikalang Dalam Angka 2019
Profil Penduduk dan Ketenagakerjaan Kabupaten Dairi 2019")</f>
        <v>Indeks Pembangunan Manusia Kabupaten Dairi 2019
Indikator Kesejahteraan Rakyat Kabupaten Dairi Tahun 2022
Kecamatan Sidikalang Dalam Angka 2019
Profil Penduduk dan Ketenagakerjaan Kabupaten Dairi 2019</v>
      </c>
    </row>
    <row r="51">
      <c r="A51" s="13" t="str">
        <f>IFERROR(__xludf.DUMMYFUNCTION("""COMPUTED_VALUE"""),"adelianovalianti@gmail:com")</f>
        <v>adelianovalianti@gmail:com</v>
      </c>
      <c r="B51" s="13" t="str">
        <f>IFERROR(__xludf.DUMMYFUNCTION("""COMPUTED_VALUE"""),"Statistik Hortikultura Kabupaten Dairi Tahun 2021")</f>
        <v>Statistik Hortikultura Kabupaten Dairi Tahun 2021</v>
      </c>
      <c r="C51" s="13" t="str">
        <f>IFERROR(__xludf.DUMMYFUNCTION("""COMPUTED_VALUE"""),"Publikasi")</f>
        <v>Publikasi</v>
      </c>
      <c r="E51" s="19" t="s">
        <v>1499</v>
      </c>
      <c r="F51" s="20" t="str">
        <f>IFERROR(__xludf.DUMMYFUNCTION("JOIN(""
"",FILTER($B51:$B1300,$A51:$A1300=E51))"),"Hasil Pencacahan Lengkap Sensus Pertanian 2024 - Tahap I Kabupaten Dairi")</f>
        <v>Hasil Pencacahan Lengkap Sensus Pertanian 2024 - Tahap I Kabupaten Dairi</v>
      </c>
    </row>
    <row r="52">
      <c r="A52" s="13" t="str">
        <f>IFERROR(__xludf.DUMMYFUNCTION("""COMPUTED_VALUE"""),"adelianovalianti@gmail:com")</f>
        <v>adelianovalianti@gmail:com</v>
      </c>
      <c r="B52" s="13" t="str">
        <f>IFERROR(__xludf.DUMMYFUNCTION("""COMPUTED_VALUE"""),"Statistik Hortikultura Kabupaten Dairi Tahun 2022")</f>
        <v>Statistik Hortikultura Kabupaten Dairi Tahun 2022</v>
      </c>
      <c r="C52" s="13" t="str">
        <f>IFERROR(__xludf.DUMMYFUNCTION("""COMPUTED_VALUE"""),"Publikasi")</f>
        <v>Publikasi</v>
      </c>
      <c r="E52" s="19" t="s">
        <v>1675</v>
      </c>
      <c r="F52" s="20" t="str">
        <f>IFERROR(__xludf.DUMMYFUNCTION("JOIN(""
"",FILTER($B52:$B1300,$A52:$A1300=E52))"),"Kabupaten Dairi Dalam Angka 2022")</f>
        <v>Kabupaten Dairi Dalam Angka 2022</v>
      </c>
    </row>
    <row r="53">
      <c r="A53" s="13" t="str">
        <f>IFERROR(__xludf.DUMMYFUNCTION("""COMPUTED_VALUE"""),"aditiaplubis@gmail:com")</f>
        <v>aditiaplubis@gmail:com</v>
      </c>
      <c r="B53" s="13" t="str">
        <f>IFERROR(__xludf.DUMMYFUNCTION("""COMPUTED_VALUE"""),"Statistik Tanaman Pangan (Padi dan Palawija) Kabupaten Dairi 2021")</f>
        <v>Statistik Tanaman Pangan (Padi dan Palawija) Kabupaten Dairi 2021</v>
      </c>
      <c r="C53" s="13" t="str">
        <f>IFERROR(__xludf.DUMMYFUNCTION("""COMPUTED_VALUE"""),"Publikasi")</f>
        <v>Publikasi</v>
      </c>
      <c r="E53" s="19" t="s">
        <v>1255</v>
      </c>
      <c r="F53" s="20" t="str">
        <f>IFERROR(__xludf.DUMMYFUNCTION("JOIN(""
"",FILTER($B53:$B1300,$A53:$A1300=E53))"),"Kecamatan Silahisabungan Dalam Angka 2021")</f>
        <v>Kecamatan Silahisabungan Dalam Angka 2021</v>
      </c>
    </row>
    <row r="54">
      <c r="A54" s="13" t="str">
        <f>IFERROR(__xludf.DUMMYFUNCTION("""COMPUTED_VALUE"""),"aditiaplubis@gmail:com")</f>
        <v>aditiaplubis@gmail:com</v>
      </c>
      <c r="B54" s="13" t="str">
        <f>IFERROR(__xludf.DUMMYFUNCTION("""COMPUTED_VALUE"""),"Statistik Tanaman Pangan (Padi dan Palawija) Kabupaten Dairi 2022")</f>
        <v>Statistik Tanaman Pangan (Padi dan Palawija) Kabupaten Dairi 2022</v>
      </c>
      <c r="C54" s="13" t="str">
        <f>IFERROR(__xludf.DUMMYFUNCTION("""COMPUTED_VALUE"""),"Publikasi")</f>
        <v>Publikasi</v>
      </c>
      <c r="E54" s="19" t="s">
        <v>1749</v>
      </c>
      <c r="F54" s="20" t="str">
        <f>IFERROR(__xludf.DUMMYFUNCTION("JOIN(""
"",FILTER($B54:$B1300,$A54:$A1300=E54))"),"Kecamatan Parbuluan Dalam Angka 2022")</f>
        <v>Kecamatan Parbuluan Dalam Angka 2022</v>
      </c>
    </row>
    <row r="55">
      <c r="A55" s="13" t="str">
        <f>IFERROR(__xludf.DUMMYFUNCTION("""COMPUTED_VALUE"""),"ado_aja@yahoo:com")</f>
        <v>ado_aja@yahoo:com</v>
      </c>
      <c r="B55" s="13" t="str">
        <f>IFERROR(__xludf.DUMMYFUNCTION("""COMPUTED_VALUE"""),"Kecamatan Sidikalang Dalam Angka 2021")</f>
        <v>Kecamatan Sidikalang Dalam Angka 2021</v>
      </c>
      <c r="C55" s="13" t="str">
        <f>IFERROR(__xludf.DUMMYFUNCTION("""COMPUTED_VALUE"""),"Publikasi")</f>
        <v>Publikasi</v>
      </c>
      <c r="E55" s="19" t="s">
        <v>1740</v>
      </c>
      <c r="F55" s="20" t="str">
        <f>IFERROR(__xludf.DUMMYFUNCTION("JOIN(""
"",FILTER($B55:$B1300,$A55:$A1300=E55))"),"Kabupaten Dairi Dalam Angka 2021")</f>
        <v>Kabupaten Dairi Dalam Angka 2021</v>
      </c>
    </row>
    <row r="56">
      <c r="A56" s="13" t="str">
        <f>IFERROR(__xludf.DUMMYFUNCTION("""COMPUTED_VALUE"""),"advendsimbolon07@Gmail:com")</f>
        <v>advendsimbolon07@Gmail:com</v>
      </c>
      <c r="B56" s="13" t="str">
        <f>IFERROR(__xludf.DUMMYFUNCTION("""COMPUTED_VALUE"""),"Kabupaten Dairi Dalam Angka 2024")</f>
        <v>Kabupaten Dairi Dalam Angka 2024</v>
      </c>
      <c r="C56" s="13" t="str">
        <f>IFERROR(__xludf.DUMMYFUNCTION("""COMPUTED_VALUE"""),"Publikasi")</f>
        <v>Publikasi</v>
      </c>
      <c r="E56" s="19" t="s">
        <v>1625</v>
      </c>
      <c r="F56" s="20" t="str">
        <f>IFERROR(__xludf.DUMMYFUNCTION("JOIN(""
"",FILTER($B56:$B1300,$A56:$A1300=E56))"),"Profil Kependudukan dan Ketenagakerjaan Kabupaten Dairi 2020
Profil Kependudukan dan Ketenagakerjaan Kabupaten Dairi 2021
Statistik Tanaman Pangan (Padi dan Palawija) Kabupaten Dairi 2021")</f>
        <v>Profil Kependudukan dan Ketenagakerjaan Kabupaten Dairi 2020
Profil Kependudukan dan Ketenagakerjaan Kabupaten Dairi 2021
Statistik Tanaman Pangan (Padi dan Palawija) Kabupaten Dairi 2021</v>
      </c>
    </row>
    <row r="57">
      <c r="A57" s="13" t="str">
        <f>IFERROR(__xludf.DUMMYFUNCTION("""COMPUTED_VALUE"""),"afifaaaassss@gmail:com")</f>
        <v>afifaaaassss@gmail:com</v>
      </c>
      <c r="B57" s="13" t="str">
        <f>IFERROR(__xludf.DUMMYFUNCTION("""COMPUTED_VALUE"""),"Kabupaten Dairi Dalam Angka 2016")</f>
        <v>Kabupaten Dairi Dalam Angka 2016</v>
      </c>
      <c r="C57" s="13" t="str">
        <f>IFERROR(__xludf.DUMMYFUNCTION("""COMPUTED_VALUE"""),"Publikasi")</f>
        <v>Publikasi</v>
      </c>
      <c r="E57" s="19" t="s">
        <v>1514</v>
      </c>
      <c r="F57" s="20" t="str">
        <f>IFERROR(__xludf.DUMMYFUNCTION("JOIN(""
"",FILTER($B57:$B1300,$A57:$A1300=E57))"),"Kabupaten Dairi Dalam Angka 2024")</f>
        <v>Kabupaten Dairi Dalam Angka 2024</v>
      </c>
    </row>
    <row r="58">
      <c r="A58" s="13" t="str">
        <f>IFERROR(__xludf.DUMMYFUNCTION("""COMPUTED_VALUE"""),"afifaaaassss@gmail:com")</f>
        <v>afifaaaassss@gmail:com</v>
      </c>
      <c r="B58" s="13" t="str">
        <f>IFERROR(__xludf.DUMMYFUNCTION("""COMPUTED_VALUE"""),"Kabupaten Dairi Dalam Angka 2018")</f>
        <v>Kabupaten Dairi Dalam Angka 2018</v>
      </c>
      <c r="C58" s="13" t="str">
        <f>IFERROR(__xludf.DUMMYFUNCTION("""COMPUTED_VALUE"""),"Publikasi")</f>
        <v>Publikasi</v>
      </c>
      <c r="E58" s="19" t="s">
        <v>1695</v>
      </c>
      <c r="F58" s="20" t="str">
        <f>IFERROR(__xludf.DUMMYFUNCTION("JOIN(""
"",FILTER($B58:$B1300,$A58:$A1300=E58))"),"Kabupaten Dairi Dalam Angka 2022")</f>
        <v>Kabupaten Dairi Dalam Angka 2022</v>
      </c>
    </row>
    <row r="59">
      <c r="A59" s="13" t="str">
        <f>IFERROR(__xludf.DUMMYFUNCTION("""COMPUTED_VALUE"""),"afifaaaassss@gmail:com")</f>
        <v>afifaaaassss@gmail:com</v>
      </c>
      <c r="B59" s="13" t="str">
        <f>IFERROR(__xludf.DUMMYFUNCTION("""COMPUTED_VALUE"""),"Kabupaten Dairi Dalam Angka 2019")</f>
        <v>Kabupaten Dairi Dalam Angka 2019</v>
      </c>
      <c r="C59" s="13" t="str">
        <f>IFERROR(__xludf.DUMMYFUNCTION("""COMPUTED_VALUE"""),"Publikasi")</f>
        <v>Publikasi</v>
      </c>
      <c r="E59" s="19" t="s">
        <v>1477</v>
      </c>
      <c r="F59" s="20" t="str">
        <f>IFERROR(__xludf.DUMMYFUNCTION("JOIN(""
"",FILTER($B59:$B1300,$A59:$A1300=E59))"),"Analisis Hasil Survei Kebutuhan Data BPS Kabupaten Dairi 2024")</f>
        <v>Analisis Hasil Survei Kebutuhan Data BPS Kabupaten Dairi 2024</v>
      </c>
      <c r="G59" s="4"/>
    </row>
    <row r="60">
      <c r="A60" s="13" t="str">
        <f>IFERROR(__xludf.DUMMYFUNCTION("""COMPUTED_VALUE"""),"afifaaaassss@gmail:com")</f>
        <v>afifaaaassss@gmail:com</v>
      </c>
      <c r="B60" s="13" t="str">
        <f>IFERROR(__xludf.DUMMYFUNCTION("""COMPUTED_VALUE"""),"Kabupaten Dairi Dalam Angka 2020")</f>
        <v>Kabupaten Dairi Dalam Angka 2020</v>
      </c>
      <c r="C60" s="13" t="str">
        <f>IFERROR(__xludf.DUMMYFUNCTION("""COMPUTED_VALUE"""),"Publikasi")</f>
        <v>Publikasi</v>
      </c>
      <c r="E60" s="19" t="s">
        <v>1714</v>
      </c>
      <c r="F60" s="20" t="str">
        <f>IFERROR(__xludf.DUMMYFUNCTION("JOIN(""
"",FILTER($B60:$B1300,$A60:$A1300=E60))"),"Kabupaten Dairi Dalam Angka 2022
Kecamatan Berampu Dalam Angka 2022
Kecamatan Gunung Sitember Dalam Angka 2022
Kecamatan Lae Parira Dalam Angka 2022
Kecamatan Parbuluan Dalam Angka 2022
Kecamatan Pegagan Hilir Dalam Angka 2022
Kecamatan Sidikalang Dalam A"&amp;"ngka 2022
Kecamatan Siempat Nempu Dalam Angka 2022
Kecamatan Siempat Nempu Hilir Dalam Angka 2022
Kecamatan Siempat Nempu Hulu Dalam Angka 2022
Kecamatan Silahisabungan Dalam Angka 2022
Kecamatan Silima Pungga-Pungga Dalam Angka 2022
Kecamatan Sitinjo Dal"&amp;"am Angka 2022
Kecamatan Sumbul Dalam Angka 2022
Kecamatan Tanah Pinem Dalam Angka 2022
Kecamatan Tiga Lingga Dalam Angka 2022")</f>
        <v>Kabupaten Dairi Dalam Angka 2022
Kecamatan Berampu Dalam Angka 2022
Kecamatan Gunung Sitember Dalam Angka 2022
Kecamatan Lae Parira Dalam Angka 2022
Kecamatan Parbuluan Dalam Angka 2022
Kecamatan Pegagan Hilir Dalam Angka 2022
Kecamatan Sidikalang Dalam Angka 2022
Kecamatan Siempat Nempu Dalam Angka 2022
Kecamatan Siempat Nempu Hilir Dalam Angka 2022
Kecamatan Siempat Nempu Hulu Dalam Angka 2022
Kecamatan Silahisabungan Dalam Angka 2022
Kecamatan Silima Pungga-Pungga Dalam Angka 2022
Kecamatan Sitinjo Dalam Angka 2022
Kecamatan Sumbul Dalam Angka 2022
Kecamatan Tanah Pinem Dalam Angka 2022
Kecamatan Tiga Lingga Dalam Angka 2022</v>
      </c>
    </row>
    <row r="61">
      <c r="A61" s="13" t="str">
        <f>IFERROR(__xludf.DUMMYFUNCTION("""COMPUTED_VALUE"""),"afifaaaassss@gmail:com")</f>
        <v>afifaaaassss@gmail:com</v>
      </c>
      <c r="B61" s="13" t="str">
        <f>IFERROR(__xludf.DUMMYFUNCTION("""COMPUTED_VALUE"""),"Kabupaten Dairi Dalam Angka 2021")</f>
        <v>Kabupaten Dairi Dalam Angka 2021</v>
      </c>
      <c r="C61" s="13" t="str">
        <f>IFERROR(__xludf.DUMMYFUNCTION("""COMPUTED_VALUE"""),"Publikasi")</f>
        <v>Publikasi</v>
      </c>
      <c r="E61" s="19" t="s">
        <v>1100</v>
      </c>
      <c r="F61" s="20" t="str">
        <f>IFERROR(__xludf.DUMMYFUNCTION("JOIN(""
"",FILTER($B61:$B1300,$A61:$A1300=E61))"),"Kabupaten Dairi Dalam Angka 2021
Kabupaten Dairi Dalam Angka 2024")</f>
        <v>Kabupaten Dairi Dalam Angka 2021
Kabupaten Dairi Dalam Angka 2024</v>
      </c>
    </row>
    <row r="62">
      <c r="A62" s="13" t="str">
        <f>IFERROR(__xludf.DUMMYFUNCTION("""COMPUTED_VALUE"""),"agung:wre2000@gmail:com")</f>
        <v>agung:wre2000@gmail:com</v>
      </c>
      <c r="B62" s="13" t="str">
        <f>IFERROR(__xludf.DUMMYFUNCTION("""COMPUTED_VALUE"""),"Kabupaten Dairi Dalam Angka 2021")</f>
        <v>Kabupaten Dairi Dalam Angka 2021</v>
      </c>
      <c r="C62" s="13" t="str">
        <f>IFERROR(__xludf.DUMMYFUNCTION("""COMPUTED_VALUE"""),"Publikasi")</f>
        <v>Publikasi</v>
      </c>
      <c r="E62" s="19" t="s">
        <v>1667</v>
      </c>
      <c r="F62" s="20" t="str">
        <f>IFERROR(__xludf.DUMMYFUNCTION("JOIN(""
"",FILTER($B62:$B1300,$A62:$A1300=E62))"),"Kabupaten Dairi Dalam Angka 2022
Kecamatan Sumbul Dalam Angka 2018
Kecamatan Sumbul Dalam Angka 2019
Kecamatan Sumbul Dalam Angka 2021")</f>
        <v>Kabupaten Dairi Dalam Angka 2022
Kecamatan Sumbul Dalam Angka 2018
Kecamatan Sumbul Dalam Angka 2019
Kecamatan Sumbul Dalam Angka 2021</v>
      </c>
    </row>
    <row r="63">
      <c r="A63" s="13" t="str">
        <f>IFERROR(__xludf.DUMMYFUNCTION("""COMPUTED_VALUE"""),"agustinasihombing37@gmail:com")</f>
        <v>agustinasihombing37@gmail:com</v>
      </c>
      <c r="B63" s="13" t="str">
        <f>IFERROR(__xludf.DUMMYFUNCTION("""COMPUTED_VALUE"""),"Kecamatan Sidikalang Dalam Angka 2021")</f>
        <v>Kecamatan Sidikalang Dalam Angka 2021</v>
      </c>
      <c r="C63" s="13" t="str">
        <f>IFERROR(__xludf.DUMMYFUNCTION("""COMPUTED_VALUE"""),"Publikasi")</f>
        <v>Publikasi</v>
      </c>
      <c r="E63" s="19" t="s">
        <v>1395</v>
      </c>
      <c r="F63" s="20" t="str">
        <f>IFERROR(__xludf.DUMMYFUNCTION("JOIN(""
"",FILTER($B63:$B1300,$A63:$A1300=E63))"),"Hasil Pencacahan Lengkap Sensus Pertanian 2024 - Tahap I Kabupaten Dairi")</f>
        <v>Hasil Pencacahan Lengkap Sensus Pertanian 2024 - Tahap I Kabupaten Dairi</v>
      </c>
    </row>
    <row r="64">
      <c r="A64" s="13" t="str">
        <f>IFERROR(__xludf.DUMMYFUNCTION("""COMPUTED_VALUE"""),"ahmadrizkiharahap@gmail:com")</f>
        <v>ahmadrizkiharahap@gmail:com</v>
      </c>
      <c r="B64" s="13" t="str">
        <f>IFERROR(__xludf.DUMMYFUNCTION("""COMPUTED_VALUE"""),"Kabupaten Dairi Dalam Angka 2012")</f>
        <v>Kabupaten Dairi Dalam Angka 2012</v>
      </c>
      <c r="C64" s="13" t="str">
        <f>IFERROR(__xludf.DUMMYFUNCTION("""COMPUTED_VALUE"""),"Publikasi")</f>
        <v>Publikasi</v>
      </c>
      <c r="E64" s="19" t="s">
        <v>1485</v>
      </c>
      <c r="F64" s="20" t="str">
        <f>IFERROR(__xludf.DUMMYFUNCTION("JOIN(""
"",FILTER($B64:$B1300,$A64:$A1300=E64))"),"Profil Kependudukan dan Ketenagakerjaan Kabupaten Dairi 2022")</f>
        <v>Profil Kependudukan dan Ketenagakerjaan Kabupaten Dairi 2022</v>
      </c>
    </row>
    <row r="65">
      <c r="A65" s="13" t="str">
        <f>IFERROR(__xludf.DUMMYFUNCTION("""COMPUTED_VALUE"""),"ahmadrizkiharahap@gmail:com")</f>
        <v>ahmadrizkiharahap@gmail:com</v>
      </c>
      <c r="B65" s="13" t="str">
        <f>IFERROR(__xludf.DUMMYFUNCTION("""COMPUTED_VALUE"""),"Kabupaten Dairi Dalam Angka 2013")</f>
        <v>Kabupaten Dairi Dalam Angka 2013</v>
      </c>
      <c r="C65" s="13" t="str">
        <f>IFERROR(__xludf.DUMMYFUNCTION("""COMPUTED_VALUE"""),"Publikasi")</f>
        <v>Publikasi</v>
      </c>
      <c r="E65" s="19" t="s">
        <v>1294</v>
      </c>
      <c r="F65" s="20" t="str">
        <f>IFERROR(__xludf.DUMMYFUNCTION("JOIN(""
"",FILTER($B65:$B1300,$A65:$A1300=E65))"),"Indikator Kesejahteraan Rakyat Kabupaten Dairi Tahun 2024")</f>
        <v>Indikator Kesejahteraan Rakyat Kabupaten Dairi Tahun 2024</v>
      </c>
    </row>
    <row r="66">
      <c r="A66" s="13" t="str">
        <f>IFERROR(__xludf.DUMMYFUNCTION("""COMPUTED_VALUE"""),"ahmadrizkiharahap@gmail:com")</f>
        <v>ahmadrizkiharahap@gmail:com</v>
      </c>
      <c r="B66" s="13" t="str">
        <f>IFERROR(__xludf.DUMMYFUNCTION("""COMPUTED_VALUE"""),"Produk Domestik Regional Bruto Kabupaten Dairi Menurut Lapangan Usaha 2013-2017")</f>
        <v>Produk Domestik Regional Bruto Kabupaten Dairi Menurut Lapangan Usaha 2013-2017</v>
      </c>
      <c r="C66" s="13" t="str">
        <f>IFERROR(__xludf.DUMMYFUNCTION("""COMPUTED_VALUE"""),"Publikasi")</f>
        <v>Publikasi</v>
      </c>
      <c r="E66" s="19" t="s">
        <v>1307</v>
      </c>
      <c r="F66" s="20" t="str">
        <f>IFERROR(__xludf.DUMMYFUNCTION("JOIN(""
"",FILTER($B66:$B1300,$A66:$A1300=E66))"),"Kabupaten Dairi Dalam Angka 2021")</f>
        <v>Kabupaten Dairi Dalam Angka 2021</v>
      </c>
    </row>
    <row r="67">
      <c r="A67" s="13" t="str">
        <f>IFERROR(__xludf.DUMMYFUNCTION("""COMPUTED_VALUE"""),"ahmadrizkihrp@unds:ac:id")</f>
        <v>ahmadrizkihrp@unds:ac:id</v>
      </c>
      <c r="B67" s="13" t="str">
        <f>IFERROR(__xludf.DUMMYFUNCTION("""COMPUTED_VALUE"""),"Produk Domestik Regional Bruto Kabupaten Dairi Menurut Lapangan Usaha 2013-2017")</f>
        <v>Produk Domestik Regional Bruto Kabupaten Dairi Menurut Lapangan Usaha 2013-2017</v>
      </c>
      <c r="C67" s="13" t="str">
        <f>IFERROR(__xludf.DUMMYFUNCTION("""COMPUTED_VALUE"""),"Publikasi")</f>
        <v>Publikasi</v>
      </c>
      <c r="E67" s="19" t="s">
        <v>1323</v>
      </c>
      <c r="F67" s="20" t="str">
        <f>IFERROR(__xludf.DUMMYFUNCTION("JOIN(""
"",FILTER($B67:$B1300,$A67:$A1300=E67))"),"Kecamatan Sumbul Dalam Angka 2024")</f>
        <v>Kecamatan Sumbul Dalam Angka 2024</v>
      </c>
    </row>
    <row r="68">
      <c r="A68" s="13" t="str">
        <f>IFERROR(__xludf.DUMMYFUNCTION("""COMPUTED_VALUE"""),"ahmat:amini@bps:go:id")</f>
        <v>ahmat:amini@bps:go:id</v>
      </c>
      <c r="B68" s="13" t="str">
        <f>IFERROR(__xludf.DUMMYFUNCTION("""COMPUTED_VALUE"""),"Kabupaten Dairi Dalam Angka 2022")</f>
        <v>Kabupaten Dairi Dalam Angka 2022</v>
      </c>
      <c r="C68" s="13" t="str">
        <f>IFERROR(__xludf.DUMMYFUNCTION("""COMPUTED_VALUE"""),"Publikasi")</f>
        <v>Publikasi</v>
      </c>
      <c r="E68" s="19" t="s">
        <v>1321</v>
      </c>
      <c r="F68" s="20" t="str">
        <f>IFERROR(__xludf.DUMMYFUNCTION("JOIN(""
"",FILTER($B68:$B1300,$A68:$A1300=E68))"),"Kecamatan Sumbul Dalam Angka 2021")</f>
        <v>Kecamatan Sumbul Dalam Angka 2021</v>
      </c>
    </row>
    <row r="69">
      <c r="A69" s="13" t="str">
        <f>IFERROR(__xludf.DUMMYFUNCTION("""COMPUTED_VALUE"""),"ahsanbintang@gmail:com")</f>
        <v>ahsanbintang@gmail:com</v>
      </c>
      <c r="B69" s="13" t="str">
        <f>IFERROR(__xludf.DUMMYFUNCTION("""COMPUTED_VALUE"""),"Kecamatan Sidikalang Dalam Angka 2024")</f>
        <v>Kecamatan Sidikalang Dalam Angka 2024</v>
      </c>
      <c r="C69" s="13" t="str">
        <f>IFERROR(__xludf.DUMMYFUNCTION("""COMPUTED_VALUE"""),"Publikasi")</f>
        <v>Publikasi</v>
      </c>
      <c r="E69" s="19" t="s">
        <v>1174</v>
      </c>
      <c r="F69" s="20" t="str">
        <f>IFERROR(__xludf.DUMMYFUNCTION("JOIN(""
"",FILTER($B69:$B1300,$A69:$A1300=E69))"),"Kabupaten Dairi Dalam Angka 2024")</f>
        <v>Kabupaten Dairi Dalam Angka 2024</v>
      </c>
    </row>
    <row r="70">
      <c r="A70" s="13" t="str">
        <f>IFERROR(__xludf.DUMMYFUNCTION("""COMPUTED_VALUE"""),"ai_ibas@yahoo:com")</f>
        <v>ai_ibas@yahoo:com</v>
      </c>
      <c r="B70" s="13" t="str">
        <f>IFERROR(__xludf.DUMMYFUNCTION("""COMPUTED_VALUE"""),"Kecamatan Parbuluan Dalam Angka 2022")</f>
        <v>Kecamatan Parbuluan Dalam Angka 2022</v>
      </c>
      <c r="C70" s="13" t="str">
        <f>IFERROR(__xludf.DUMMYFUNCTION("""COMPUTED_VALUE"""),"Publikasi")</f>
        <v>Publikasi</v>
      </c>
      <c r="E70" s="19" t="s">
        <v>1182</v>
      </c>
      <c r="F70" s="20" t="str">
        <f>IFERROR(__xludf.DUMMYFUNCTION("JOIN(""
"",FILTER($B70:$B1300,$A70:$A1300=E70))"),"Kabupaten Dairi Dalam Angka 2024")</f>
        <v>Kabupaten Dairi Dalam Angka 2024</v>
      </c>
    </row>
    <row r="71">
      <c r="A71" s="13" t="str">
        <f>IFERROR(__xludf.DUMMYFUNCTION("""COMPUTED_VALUE"""),"akbar:verary91@gmail:com")</f>
        <v>akbar:verary91@gmail:com</v>
      </c>
      <c r="B71" s="13" t="str">
        <f>IFERROR(__xludf.DUMMYFUNCTION("""COMPUTED_VALUE"""),"Kabupaten Dairi Dalam Angka 2016")</f>
        <v>Kabupaten Dairi Dalam Angka 2016</v>
      </c>
      <c r="C71" s="13" t="str">
        <f>IFERROR(__xludf.DUMMYFUNCTION("""COMPUTED_VALUE"""),"Publikasi")</f>
        <v>Publikasi</v>
      </c>
      <c r="E71" s="19" t="s">
        <v>1673</v>
      </c>
      <c r="F71" s="20" t="str">
        <f>IFERROR(__xludf.DUMMYFUNCTION("JOIN(""
"",FILTER($B71:$B1300,$A71:$A1300=E71))"),"Kabupaten Dairi Dalam Angka 2021
Kabupaten Dairi Dalam Angka 2022")</f>
        <v>Kabupaten Dairi Dalam Angka 2021
Kabupaten Dairi Dalam Angka 2022</v>
      </c>
    </row>
    <row r="72">
      <c r="A72" s="13" t="str">
        <f>IFERROR(__xludf.DUMMYFUNCTION("""COMPUTED_VALUE"""),"akbar:verary91@gmail:com")</f>
        <v>akbar:verary91@gmail:com</v>
      </c>
      <c r="B72" s="13" t="str">
        <f>IFERROR(__xludf.DUMMYFUNCTION("""COMPUTED_VALUE"""),"Kabupaten Dairi Dalam Angka 2017")</f>
        <v>Kabupaten Dairi Dalam Angka 2017</v>
      </c>
      <c r="C72" s="13" t="str">
        <f>IFERROR(__xludf.DUMMYFUNCTION("""COMPUTED_VALUE"""),"Publikasi")</f>
        <v>Publikasi</v>
      </c>
      <c r="E72" s="19" t="s">
        <v>1472</v>
      </c>
      <c r="F72" s="20" t="str">
        <f>IFERROR(__xludf.DUMMYFUNCTION("JOIN(""
"",FILTER($B72:$B1300,$A72:$A1300=E72))"),"Kabupaten Dairi Dalam Angka 2024")</f>
        <v>Kabupaten Dairi Dalam Angka 2024</v>
      </c>
    </row>
    <row r="73">
      <c r="A73" s="13" t="str">
        <f>IFERROR(__xludf.DUMMYFUNCTION("""COMPUTED_VALUE"""),"akbar:verary91@gmail:com")</f>
        <v>akbar:verary91@gmail:com</v>
      </c>
      <c r="B73" s="13" t="str">
        <f>IFERROR(__xludf.DUMMYFUNCTION("""COMPUTED_VALUE"""),"Kabupaten Dairi Dalam Angka 2018")</f>
        <v>Kabupaten Dairi Dalam Angka 2018</v>
      </c>
      <c r="C73" s="13" t="str">
        <f>IFERROR(__xludf.DUMMYFUNCTION("""COMPUTED_VALUE"""),"Publikasi")</f>
        <v>Publikasi</v>
      </c>
      <c r="E73" s="19" t="s">
        <v>1142</v>
      </c>
      <c r="F73" s="20" t="str">
        <f>IFERROR(__xludf.DUMMYFUNCTION("JOIN(""
"",FILTER($B73:$B1300,$A73:$A1300=E73))"),"Kabupaten Dairi Dalam Angka 2022")</f>
        <v>Kabupaten Dairi Dalam Angka 2022</v>
      </c>
    </row>
    <row r="74">
      <c r="A74" s="13" t="str">
        <f>IFERROR(__xludf.DUMMYFUNCTION("""COMPUTED_VALUE"""),"akbar:verary91@gmail:com")</f>
        <v>akbar:verary91@gmail:com</v>
      </c>
      <c r="B74" s="13" t="str">
        <f>IFERROR(__xludf.DUMMYFUNCTION("""COMPUTED_VALUE"""),"Kabupaten Dairi Dalam Angka 2020")</f>
        <v>Kabupaten Dairi Dalam Angka 2020</v>
      </c>
      <c r="C74" s="13" t="str">
        <f>IFERROR(__xludf.DUMMYFUNCTION("""COMPUTED_VALUE"""),"Publikasi")</f>
        <v>Publikasi</v>
      </c>
      <c r="E74" s="19" t="s">
        <v>1705</v>
      </c>
      <c r="F74" s="20" t="str">
        <f>IFERROR(__xludf.DUMMYFUNCTION("JOIN(""
"",FILTER($B74:$B1300,$A74:$A1300=E74))"),"Kecamatan Sidikalang Dalam Angka 2022")</f>
        <v>Kecamatan Sidikalang Dalam Angka 2022</v>
      </c>
    </row>
    <row r="75">
      <c r="A75" s="13" t="str">
        <f>IFERROR(__xludf.DUMMYFUNCTION("""COMPUTED_VALUE"""),"akbar:verary91@gmail:com")</f>
        <v>akbar:verary91@gmail:com</v>
      </c>
      <c r="B75" s="13" t="str">
        <f>IFERROR(__xludf.DUMMYFUNCTION("""COMPUTED_VALUE"""),"Kabupaten Dairi Dalam Angka 2022")</f>
        <v>Kabupaten Dairi Dalam Angka 2022</v>
      </c>
      <c r="C75" s="13" t="str">
        <f>IFERROR(__xludf.DUMMYFUNCTION("""COMPUTED_VALUE"""),"Publikasi")</f>
        <v>Publikasi</v>
      </c>
      <c r="E75" s="19" t="s">
        <v>1211</v>
      </c>
      <c r="F75" s="20" t="str">
        <f>IFERROR(__xludf.DUMMYFUNCTION("JOIN(""
"",FILTER($B75:$B1300,$A75:$A1300=E75))"),"Kabupaten Dairi Dalam Angka 2022")</f>
        <v>Kabupaten Dairi Dalam Angka 2022</v>
      </c>
    </row>
    <row r="76">
      <c r="A76" s="13" t="str">
        <f>IFERROR(__xludf.DUMMYFUNCTION("""COMPUTED_VALUE"""),"akbar:verary91@gmail:com")</f>
        <v>akbar:verary91@gmail:com</v>
      </c>
      <c r="B76" s="13" t="str">
        <f>IFERROR(__xludf.DUMMYFUNCTION("""COMPUTED_VALUE"""),"Kabupaten Dairi Dalam Angka 2024")</f>
        <v>Kabupaten Dairi Dalam Angka 2024</v>
      </c>
      <c r="C76" s="13" t="str">
        <f>IFERROR(__xludf.DUMMYFUNCTION("""COMPUTED_VALUE"""),"Publikasi")</f>
        <v>Publikasi</v>
      </c>
      <c r="E76" s="19" t="s">
        <v>1496</v>
      </c>
      <c r="F76" s="20" t="str">
        <f>IFERROR(__xludf.DUMMYFUNCTION("JOIN(""
"",FILTER($B76:$B1300,$A76:$A1300=E76))"),"Produk Domestik Regional Bruto Kabupaten Dairi Menurut Lapangan Usaha 2018 - 2022")</f>
        <v>Produk Domestik Regional Bruto Kabupaten Dairi Menurut Lapangan Usaha 2018 - 2022</v>
      </c>
    </row>
    <row r="77">
      <c r="A77" s="13" t="str">
        <f>IFERROR(__xludf.DUMMYFUNCTION("""COMPUTED_VALUE"""),"aksjdhaksjd@gmail:com")</f>
        <v>aksjdhaksjd@gmail:com</v>
      </c>
      <c r="B77" s="13" t="str">
        <f>IFERROR(__xludf.DUMMYFUNCTION("""COMPUTED_VALUE"""),"Kabupaten Dairi Dalam Angka 2008")</f>
        <v>Kabupaten Dairi Dalam Angka 2008</v>
      </c>
      <c r="C77" s="13" t="str">
        <f>IFERROR(__xludf.DUMMYFUNCTION("""COMPUTED_VALUE"""),"Publikasi")</f>
        <v>Publikasi</v>
      </c>
      <c r="E77" s="19" t="s">
        <v>1374</v>
      </c>
      <c r="F77" s="20" t="str">
        <f>IFERROR(__xludf.DUMMYFUNCTION("JOIN(""
"",FILTER($B77:$B1300,$A77:$A1300=E77))"),"Indikator Kesejahteraan Rakyat Kabupaten Dairi Tahun 2022
Statistik Kesejahteraan Rakyat Kabupaten Dairi 2022")</f>
        <v>Indikator Kesejahteraan Rakyat Kabupaten Dairi Tahun 2022
Statistik Kesejahteraan Rakyat Kabupaten Dairi 2022</v>
      </c>
    </row>
    <row r="78">
      <c r="A78" s="13" t="str">
        <f>IFERROR(__xludf.DUMMYFUNCTION("""COMPUTED_VALUE"""),"aksjdhaksjd@gmail:com")</f>
        <v>aksjdhaksjd@gmail:com</v>
      </c>
      <c r="B78" s="13" t="str">
        <f>IFERROR(__xludf.DUMMYFUNCTION("""COMPUTED_VALUE"""),"Kabupaten Dairi Dalam Angka 2010")</f>
        <v>Kabupaten Dairi Dalam Angka 2010</v>
      </c>
      <c r="C78" s="13" t="str">
        <f>IFERROR(__xludf.DUMMYFUNCTION("""COMPUTED_VALUE"""),"Publikasi")</f>
        <v>Publikasi</v>
      </c>
      <c r="E78" s="19" t="s">
        <v>1406</v>
      </c>
      <c r="F78" s="20" t="str">
        <f>IFERROR(__xludf.DUMMYFUNCTION("JOIN(""
"",FILTER($B78:$B1300,$A78:$A1300=E78))"),"Indikator Kesejahteraan Rakyat Kabupaten Dairi Tahun 2024")</f>
        <v>Indikator Kesejahteraan Rakyat Kabupaten Dairi Tahun 2024</v>
      </c>
    </row>
    <row r="79">
      <c r="A79" s="13" t="str">
        <f>IFERROR(__xludf.DUMMYFUNCTION("""COMPUTED_VALUE"""),"aksjdhaksjd@gmail:com")</f>
        <v>aksjdhaksjd@gmail:com</v>
      </c>
      <c r="B79" s="13" t="str">
        <f>IFERROR(__xludf.DUMMYFUNCTION("""COMPUTED_VALUE"""),"Kabupaten Dairi dalam angka tahun 2009")</f>
        <v>Kabupaten Dairi dalam angka tahun 2009</v>
      </c>
      <c r="C79" s="13" t="str">
        <f>IFERROR(__xludf.DUMMYFUNCTION("""COMPUTED_VALUE"""),"Publikasi")</f>
        <v>Publikasi</v>
      </c>
      <c r="E79" s="19" t="s">
        <v>1690</v>
      </c>
      <c r="F79" s="20" t="str">
        <f>IFERROR(__xludf.DUMMYFUNCTION("JOIN(""
"",FILTER($B79:$B1300,$A79:$A1300=E79))"),"Kabupaten Dairi Dalam Angka 2016
Kabupaten Dairi Dalam Angka 2017
Kabupaten Dairi Dalam Angka 2018
Kabupaten Dairi Dalam Angka 2019
Kabupaten Dairi Dalam Angka 2020
Kabupaten Dairi Dalam Angka 2021
Kabupaten Dairi Dalam Angka 2022")</f>
        <v>Kabupaten Dairi Dalam Angka 2016
Kabupaten Dairi Dalam Angka 2017
Kabupaten Dairi Dalam Angka 2018
Kabupaten Dairi Dalam Angka 2019
Kabupaten Dairi Dalam Angka 2020
Kabupaten Dairi Dalam Angka 2021
Kabupaten Dairi Dalam Angka 2022</v>
      </c>
    </row>
    <row r="80">
      <c r="A80" s="13" t="str">
        <f>IFERROR(__xludf.DUMMYFUNCTION("""COMPUTED_VALUE"""),"albertludi@gmail:com")</f>
        <v>albertludi@gmail:com</v>
      </c>
      <c r="B80" s="13" t="str">
        <f>IFERROR(__xludf.DUMMYFUNCTION("""COMPUTED_VALUE"""),"Kabupaten Dairi Dalam Angka 2016")</f>
        <v>Kabupaten Dairi Dalam Angka 2016</v>
      </c>
      <c r="C80" s="13" t="str">
        <f>IFERROR(__xludf.DUMMYFUNCTION("""COMPUTED_VALUE"""),"Publikasi")</f>
        <v>Publikasi</v>
      </c>
      <c r="E80" s="19" t="s">
        <v>368</v>
      </c>
      <c r="F80" s="20" t="str">
        <f>IFERROR(__xludf.DUMMYFUNCTION("JOIN(""
"",FILTER($B80:$B1300,$A80:$A1300=E80))"),"Indikator Kesejahteraan Rakyat Kabupaten Dairi Tahun 2022")</f>
        <v>Indikator Kesejahteraan Rakyat Kabupaten Dairi Tahun 2022</v>
      </c>
    </row>
    <row r="81">
      <c r="A81" s="13" t="str">
        <f>IFERROR(__xludf.DUMMYFUNCTION("""COMPUTED_VALUE"""),"albertludi@gmail:com")</f>
        <v>albertludi@gmail:com</v>
      </c>
      <c r="B81" s="13" t="str">
        <f>IFERROR(__xludf.DUMMYFUNCTION("""COMPUTED_VALUE"""),"Kabupaten Dairi Dalam Angka 2017")</f>
        <v>Kabupaten Dairi Dalam Angka 2017</v>
      </c>
      <c r="C81" s="13" t="str">
        <f>IFERROR(__xludf.DUMMYFUNCTION("""COMPUTED_VALUE"""),"Publikasi")</f>
        <v>Publikasi</v>
      </c>
      <c r="E81" s="19" t="s">
        <v>1199</v>
      </c>
      <c r="F81" s="20" t="str">
        <f>IFERROR(__xludf.DUMMYFUNCTION("JOIN(""
"",FILTER($B81:$B1300,$A81:$A1300=E81))"),"Kabupaten Dairi Dalam Angka 2024")</f>
        <v>Kabupaten Dairi Dalam Angka 2024</v>
      </c>
    </row>
    <row r="82">
      <c r="A82" s="13" t="str">
        <f>IFERROR(__xludf.DUMMYFUNCTION("""COMPUTED_VALUE"""),"albertludi@gmail:com")</f>
        <v>albertludi@gmail:com</v>
      </c>
      <c r="B82" s="13" t="str">
        <f>IFERROR(__xludf.DUMMYFUNCTION("""COMPUTED_VALUE"""),"Kabupaten Dairi Dalam Angka 2018")</f>
        <v>Kabupaten Dairi Dalam Angka 2018</v>
      </c>
      <c r="C82" s="13" t="str">
        <f>IFERROR(__xludf.DUMMYFUNCTION("""COMPUTED_VALUE"""),"Publikasi")</f>
        <v>Publikasi</v>
      </c>
      <c r="E82" s="19" t="s">
        <v>1245</v>
      </c>
      <c r="F82" s="20" t="str">
        <f>IFERROR(__xludf.DUMMYFUNCTION("JOIN(""
"",FILTER($B82:$B1300,$A82:$A1300=E82))"),"Kabupaten Dairi Dalam Angka 2024")</f>
        <v>Kabupaten Dairi Dalam Angka 2024</v>
      </c>
    </row>
    <row r="83">
      <c r="A83" s="13" t="str">
        <f>IFERROR(__xludf.DUMMYFUNCTION("""COMPUTED_VALUE"""),"albertludi@gmail:com")</f>
        <v>albertludi@gmail:com</v>
      </c>
      <c r="B83" s="13" t="str">
        <f>IFERROR(__xludf.DUMMYFUNCTION("""COMPUTED_VALUE"""),"Kabupaten Dairi Dalam Angka 2019")</f>
        <v>Kabupaten Dairi Dalam Angka 2019</v>
      </c>
      <c r="C83" s="13" t="str">
        <f>IFERROR(__xludf.DUMMYFUNCTION("""COMPUTED_VALUE"""),"Publikasi")</f>
        <v>Publikasi</v>
      </c>
      <c r="E83" s="19" t="s">
        <v>1155</v>
      </c>
      <c r="F83" s="20" t="str">
        <f>IFERROR(__xludf.DUMMYFUNCTION("JOIN(""
"",FILTER($B83:$B1300,$A83:$A1300=E83))"),"Kabupaten Dairi Dalam Angka 2024")</f>
        <v>Kabupaten Dairi Dalam Angka 2024</v>
      </c>
    </row>
    <row r="84">
      <c r="A84" s="13" t="str">
        <f>IFERROR(__xludf.DUMMYFUNCTION("""COMPUTED_VALUE"""),"albertludi@gmail:com")</f>
        <v>albertludi@gmail:com</v>
      </c>
      <c r="B84" s="13" t="str">
        <f>IFERROR(__xludf.DUMMYFUNCTION("""COMPUTED_VALUE"""),"Kabupaten Dairi Dalam Angka 2020")</f>
        <v>Kabupaten Dairi Dalam Angka 2020</v>
      </c>
      <c r="C84" s="13" t="str">
        <f>IFERROR(__xludf.DUMMYFUNCTION("""COMPUTED_VALUE"""),"Publikasi")</f>
        <v>Publikasi</v>
      </c>
      <c r="E84" s="19" t="s">
        <v>1173</v>
      </c>
      <c r="F84" s="20" t="str">
        <f>IFERROR(__xludf.DUMMYFUNCTION("JOIN(""
"",FILTER($B84:$B1300,$A84:$A1300=E84))"),"Kabupaten Dairi Dalam Angka 2024")</f>
        <v>Kabupaten Dairi Dalam Angka 2024</v>
      </c>
    </row>
    <row r="85">
      <c r="A85" s="13" t="str">
        <f>IFERROR(__xludf.DUMMYFUNCTION("""COMPUTED_VALUE"""),"albertludi@gmail:com")</f>
        <v>albertludi@gmail:com</v>
      </c>
      <c r="B85" s="13" t="str">
        <f>IFERROR(__xludf.DUMMYFUNCTION("""COMPUTED_VALUE"""),"Kabupaten Dairi Dalam Angka 2021")</f>
        <v>Kabupaten Dairi Dalam Angka 2021</v>
      </c>
      <c r="C85" s="13" t="str">
        <f>IFERROR(__xludf.DUMMYFUNCTION("""COMPUTED_VALUE"""),"Publikasi")</f>
        <v>Publikasi</v>
      </c>
      <c r="E85" s="19" t="s">
        <v>1630</v>
      </c>
      <c r="F85" s="20" t="str">
        <f>IFERROR(__xludf.DUMMYFUNCTION("JOIN(""
"",FILTER($B85:$B1300,$A85:$A1300=E85))"),"Indikator Kesejahteraan Rakyat Kabupaten Dairi Tahun 2022
Statistik Daerah Kabupaten Dairi 2022")</f>
        <v>Indikator Kesejahteraan Rakyat Kabupaten Dairi Tahun 2022
Statistik Daerah Kabupaten Dairi 2022</v>
      </c>
    </row>
    <row r="86">
      <c r="A86" s="13" t="str">
        <f>IFERROR(__xludf.DUMMYFUNCTION("""COMPUTED_VALUE"""),"albertludi@gmail:com")</f>
        <v>albertludi@gmail:com</v>
      </c>
      <c r="B86" s="13" t="str">
        <f>IFERROR(__xludf.DUMMYFUNCTION("""COMPUTED_VALUE"""),"Kabupaten Dairi Dalam Angka 2022")</f>
        <v>Kabupaten Dairi Dalam Angka 2022</v>
      </c>
      <c r="C86" s="13" t="str">
        <f>IFERROR(__xludf.DUMMYFUNCTION("""COMPUTED_VALUE"""),"Publikasi")</f>
        <v>Publikasi</v>
      </c>
      <c r="E86" s="19" t="s">
        <v>1160</v>
      </c>
      <c r="F86" s="20" t="str">
        <f>IFERROR(__xludf.DUMMYFUNCTION("JOIN(""
"",FILTER($B86:$B1300,$A86:$A1300=E86))"),"Kabupaten Dairi Dalam Angka 2024
Kabupaten Dairi Dalam Angka 2024")</f>
        <v>Kabupaten Dairi Dalam Angka 2024
Kabupaten Dairi Dalam Angka 2024</v>
      </c>
    </row>
    <row r="87">
      <c r="A87" s="13" t="str">
        <f>IFERROR(__xludf.DUMMYFUNCTION("""COMPUTED_VALUE"""),"aldaanm28@gmail:com")</f>
        <v>aldaanm28@gmail:com</v>
      </c>
      <c r="B87" s="13" t="str">
        <f>IFERROR(__xludf.DUMMYFUNCTION("""COMPUTED_VALUE"""),"Kabupaten Dairi Dalam Angka 2021")</f>
        <v>Kabupaten Dairi Dalam Angka 2021</v>
      </c>
      <c r="C87" s="13" t="str">
        <f>IFERROR(__xludf.DUMMYFUNCTION("""COMPUTED_VALUE"""),"Publikasi")</f>
        <v>Publikasi</v>
      </c>
      <c r="E87" s="19" t="s">
        <v>1161</v>
      </c>
      <c r="F87" s="20" t="str">
        <f>IFERROR(__xludf.DUMMYFUNCTION("JOIN(""
"",FILTER($B87:$B1300,$A87:$A1300=E87))"),"Kabupaten Dairi Dalam Angka 2024
Kabupaten Dairi Dalam Angka 2024")</f>
        <v>Kabupaten Dairi Dalam Angka 2024
Kabupaten Dairi Dalam Angka 2024</v>
      </c>
    </row>
    <row r="88">
      <c r="A88" s="13" t="str">
        <f>IFERROR(__xludf.DUMMYFUNCTION("""COMPUTED_VALUE"""),"aldaanm28@gmail:com")</f>
        <v>aldaanm28@gmail:com</v>
      </c>
      <c r="B88" s="13" t="str">
        <f>IFERROR(__xludf.DUMMYFUNCTION("""COMPUTED_VALUE"""),"Kecamatan Siempat Nempu Dalam Angka 2021")</f>
        <v>Kecamatan Siempat Nempu Dalam Angka 2021</v>
      </c>
      <c r="C88" s="13" t="str">
        <f>IFERROR(__xludf.DUMMYFUNCTION("""COMPUTED_VALUE"""),"Publikasi")</f>
        <v>Publikasi</v>
      </c>
      <c r="E88" s="19" t="s">
        <v>1708</v>
      </c>
      <c r="F88" s="20" t="str">
        <f>IFERROR(__xludf.DUMMYFUNCTION("JOIN(""
"",FILTER($B88:$B1300,$A88:$A1300=E88))"),"Kabupaten Dairi Dalam Angka 2021
Kabupaten Dairi Dalam Angka 2022")</f>
        <v>Kabupaten Dairi Dalam Angka 2021
Kabupaten Dairi Dalam Angka 2022</v>
      </c>
    </row>
    <row r="89">
      <c r="A89" s="13" t="str">
        <f>IFERROR(__xludf.DUMMYFUNCTION("""COMPUTED_VALUE"""),"aldaanm28@gmail:com")</f>
        <v>aldaanm28@gmail:com</v>
      </c>
      <c r="B89" s="13" t="str">
        <f>IFERROR(__xludf.DUMMYFUNCTION("""COMPUTED_VALUE"""),"Kecamatan Siempat Nempu Hilir Dalam Angka 2021")</f>
        <v>Kecamatan Siempat Nempu Hilir Dalam Angka 2021</v>
      </c>
      <c r="C89" s="13" t="str">
        <f>IFERROR(__xludf.DUMMYFUNCTION("""COMPUTED_VALUE"""),"Publikasi")</f>
        <v>Publikasi</v>
      </c>
      <c r="E89" s="19" t="s">
        <v>1720</v>
      </c>
      <c r="F89" s="20" t="str">
        <f>IFERROR(__xludf.DUMMYFUNCTION("JOIN(""
"",FILTER($B89:$B1300,$A89:$A1300=E89))"),"Kabupaten Dairi Dalam Angka 2022")</f>
        <v>Kabupaten Dairi Dalam Angka 2022</v>
      </c>
    </row>
    <row r="90">
      <c r="A90" s="13" t="str">
        <f>IFERROR(__xludf.DUMMYFUNCTION("""COMPUTED_VALUE"""),"aldaanm28@gmail:com")</f>
        <v>aldaanm28@gmail:com</v>
      </c>
      <c r="B90" s="13" t="str">
        <f>IFERROR(__xludf.DUMMYFUNCTION("""COMPUTED_VALUE"""),"Kecamatan Siempat Nempu Hulu Dalam Angka 2021")</f>
        <v>Kecamatan Siempat Nempu Hulu Dalam Angka 2021</v>
      </c>
      <c r="C90" s="13" t="str">
        <f>IFERROR(__xludf.DUMMYFUNCTION("""COMPUTED_VALUE"""),"Publikasi")</f>
        <v>Publikasi</v>
      </c>
      <c r="E90" s="19" t="s">
        <v>1288</v>
      </c>
      <c r="F90" s="20" t="str">
        <f>IFERROR(__xludf.DUMMYFUNCTION("JOIN(""
"",FILTER($B90:$B1300,$A90:$A1300=E90))"),"Analisis Hasil Survei Kebutuhan Data BPS Kabupaten Dairi 2021
Analisis Hasil Survei Kebutuhan Data Kabupaten Dairi 2020")</f>
        <v>Analisis Hasil Survei Kebutuhan Data BPS Kabupaten Dairi 2021
Analisis Hasil Survei Kebutuhan Data Kabupaten Dairi 2020</v>
      </c>
    </row>
    <row r="91">
      <c r="A91" s="13" t="str">
        <f>IFERROR(__xludf.DUMMYFUNCTION("""COMPUTED_VALUE"""),"aldaanm28@gmail:com")</f>
        <v>aldaanm28@gmail:com</v>
      </c>
      <c r="B91" s="13" t="str">
        <f>IFERROR(__xludf.DUMMYFUNCTION("""COMPUTED_VALUE"""),"Kecamatan Silahisabungan Dalam Angka 2021")</f>
        <v>Kecamatan Silahisabungan Dalam Angka 2021</v>
      </c>
      <c r="C91" s="13" t="str">
        <f>IFERROR(__xludf.DUMMYFUNCTION("""COMPUTED_VALUE"""),"Publikasi")</f>
        <v>Publikasi</v>
      </c>
      <c r="E91" s="19" t="s">
        <v>1266</v>
      </c>
      <c r="F91" s="20" t="str">
        <f>IFERROR(__xludf.DUMMYFUNCTION("JOIN(""
"",FILTER($B91:$B1300,$A91:$A1300=E91))"),"Kabupaten Dairi Dalam Angka 2024")</f>
        <v>Kabupaten Dairi Dalam Angka 2024</v>
      </c>
    </row>
    <row r="92">
      <c r="A92" s="13" t="str">
        <f>IFERROR(__xludf.DUMMYFUNCTION("""COMPUTED_VALUE"""),"aldaanm28@gmail:com")</f>
        <v>aldaanm28@gmail:com</v>
      </c>
      <c r="B92" s="13" t="str">
        <f>IFERROR(__xludf.DUMMYFUNCTION("""COMPUTED_VALUE"""),"Kecamatan Silima Pungga-Pungga Dalam Angka 2021")</f>
        <v>Kecamatan Silima Pungga-Pungga Dalam Angka 2021</v>
      </c>
      <c r="C92" s="13" t="str">
        <f>IFERROR(__xludf.DUMMYFUNCTION("""COMPUTED_VALUE"""),"Publikasi")</f>
        <v>Publikasi</v>
      </c>
      <c r="E92" s="19" t="s">
        <v>1246</v>
      </c>
      <c r="F92" s="20" t="str">
        <f>IFERROR(__xludf.DUMMYFUNCTION("JOIN(""
"",FILTER($B92:$B1300,$A92:$A1300=E92))"),"Kabupaten Dairi Dalam Angka 2024
Statistik Daerah Kabupaten Dairi 2024")</f>
        <v>Kabupaten Dairi Dalam Angka 2024
Statistik Daerah Kabupaten Dairi 2024</v>
      </c>
    </row>
    <row r="93">
      <c r="A93" s="13" t="str">
        <f>IFERROR(__xludf.DUMMYFUNCTION("""COMPUTED_VALUE"""),"aldaanm28@gmail:com")</f>
        <v>aldaanm28@gmail:com</v>
      </c>
      <c r="B93" s="13" t="str">
        <f>IFERROR(__xludf.DUMMYFUNCTION("""COMPUTED_VALUE"""),"Kecamatan Tiga Lingga Dalam Angka 2021")</f>
        <v>Kecamatan Tiga Lingga Dalam Angka 2021</v>
      </c>
      <c r="C93" s="13" t="str">
        <f>IFERROR(__xludf.DUMMYFUNCTION("""COMPUTED_VALUE"""),"Publikasi")</f>
        <v>Publikasi</v>
      </c>
      <c r="E93" s="19" t="s">
        <v>1283</v>
      </c>
      <c r="F93" s="20" t="str">
        <f>IFERROR(__xludf.DUMMYFUNCTION("JOIN(""
"",FILTER($B93:$B1300,$A93:$A1300=E93))"),"Dairi DALAM ANGKA 2007
Kabupaten Dairi Dalam Angka 2008
Kabupaten Dairi dalam angka tahun 2009")</f>
        <v>Dairi DALAM ANGKA 2007
Kabupaten Dairi Dalam Angka 2008
Kabupaten Dairi dalam angka tahun 2009</v>
      </c>
    </row>
    <row r="94">
      <c r="A94" s="13" t="str">
        <f>IFERROR(__xludf.DUMMYFUNCTION("""COMPUTED_VALUE"""),"aldaanm28@gmail:com")</f>
        <v>aldaanm28@gmail:com</v>
      </c>
      <c r="B94" s="13" t="str">
        <f>IFERROR(__xludf.DUMMYFUNCTION("""COMPUTED_VALUE"""),"Siempat Nempu Dalam Angka 2015")</f>
        <v>Siempat Nempu Dalam Angka 2015</v>
      </c>
      <c r="C94" s="13" t="str">
        <f>IFERROR(__xludf.DUMMYFUNCTION("""COMPUTED_VALUE"""),"Publikasi")</f>
        <v>Publikasi</v>
      </c>
      <c r="E94" s="19" t="s">
        <v>1355</v>
      </c>
      <c r="F94" s="20" t="str">
        <f>IFERROR(__xludf.DUMMYFUNCTION("JOIN(""
"",FILTER($B94:$B1300,$A94:$A1300=E94))"),"Kecamatan Berampu Dalam Angka 2024
Kecamatan Gunung Sitember Dalam Angka 2024
Kecamatan Lae Parira Dalam Angka 2024
Kecamatan Parbuluan Dalam Angka 2024
Kecamatan Pegagan Hilir Dalam Angka 2024
Kecamatan Sidikalang Dalam Angka 2024
Kecamatan Siempat Nempu"&amp;" Hilir Dalam Angka 2024
Kecamatan Siempat Nempu Hulu Dalam Angka 2024
Kecamatan Silahisabungan Dalam Angka 2024
Kecamatan Silima Pungga-Pungga Dalam Angka 2024
Kecamatan Sitinjo Dalam Angka 2024
Kecamatan Sumbul Dalam Angka 2024
Kecamatan Tanah Pinem Dala"&amp;"m Angka 2024
Kecamatan Tigalingga Dalam Angka 2018")</f>
        <v>Kecamatan Berampu Dalam Angka 2024
Kecamatan Gunung Sitember Dalam Angka 2024
Kecamatan Lae Parira Dalam Angka 2024
Kecamatan Parbuluan Dalam Angka 2024
Kecamatan Pegagan Hilir Dalam Angka 2024
Kecamatan Sidikalang Dalam Angka 2024
Kecamatan Siempat Nempu Hilir Dalam Angka 2024
Kecamatan Siempat Nempu Hulu Dalam Angka 2024
Kecamatan Silahisabungan Dalam Angka 2024
Kecamatan Silima Pungga-Pungga Dalam Angka 2024
Kecamatan Sitinjo Dalam Angka 2024
Kecamatan Sumbul Dalam Angka 2024
Kecamatan Tanah Pinem Dalam Angka 2024
Kecamatan Tigalingga Dalam Angka 2018</v>
      </c>
    </row>
    <row r="95">
      <c r="A95" s="13" t="str">
        <f>IFERROR(__xludf.DUMMYFUNCTION("""COMPUTED_VALUE"""),"aldaanm28@gmail:com")</f>
        <v>aldaanm28@gmail:com</v>
      </c>
      <c r="B95" s="13" t="str">
        <f>IFERROR(__xludf.DUMMYFUNCTION("""COMPUTED_VALUE"""),"Siempat Nempu Hulu Dalam Angka 2015")</f>
        <v>Siempat Nempu Hulu Dalam Angka 2015</v>
      </c>
      <c r="C95" s="13" t="str">
        <f>IFERROR(__xludf.DUMMYFUNCTION("""COMPUTED_VALUE"""),"Publikasi")</f>
        <v>Publikasi</v>
      </c>
      <c r="E95" s="19" t="s">
        <v>231</v>
      </c>
      <c r="F95" s="20" t="str">
        <f>IFERROR(__xludf.DUMMYFUNCTION("JOIN(""
"",FILTER($B95:$B1300,$A95:$A1300=E95))"),"Hasil Pencacahan Lengkap Sensus Pertanian 2024 - Tahap I Kabupaten Dairi
Indikator Kesejahteraan Rakyat Kabupaten Dairi Tahun 2024
Statistik Kesejahteraan Rakyat Kabupaten Dairi 2024")</f>
        <v>Hasil Pencacahan Lengkap Sensus Pertanian 2024 - Tahap I Kabupaten Dairi
Indikator Kesejahteraan Rakyat Kabupaten Dairi Tahun 2024
Statistik Kesejahteraan Rakyat Kabupaten Dairi 2024</v>
      </c>
    </row>
    <row r="96">
      <c r="A96" s="13" t="str">
        <f>IFERROR(__xludf.DUMMYFUNCTION("""COMPUTED_VALUE"""),"aldaanm28@gmail:com")</f>
        <v>aldaanm28@gmail:com</v>
      </c>
      <c r="B96" s="13" t="str">
        <f>IFERROR(__xludf.DUMMYFUNCTION("""COMPUTED_VALUE"""),"Silima Pungga-Pungga Dalam Angka 2015")</f>
        <v>Silima Pungga-Pungga Dalam Angka 2015</v>
      </c>
      <c r="C96" s="13" t="str">
        <f>IFERROR(__xludf.DUMMYFUNCTION("""COMPUTED_VALUE"""),"Publikasi")</f>
        <v>Publikasi</v>
      </c>
      <c r="E96" s="19" t="s">
        <v>1390</v>
      </c>
      <c r="F96" s="20" t="str">
        <f>IFERROR(__xludf.DUMMYFUNCTION("JOIN(""
"",FILTER($B96:$B1300,$A96:$A1300=E96))"),"Kecamatan Silahisabungan Dalam Angka 2021")</f>
        <v>Kecamatan Silahisabungan Dalam Angka 2021</v>
      </c>
    </row>
    <row r="97">
      <c r="A97" s="13" t="str">
        <f>IFERROR(__xludf.DUMMYFUNCTION("""COMPUTED_VALUE"""),"alexandersimatupang10@gmail:com")</f>
        <v>alexandersimatupang10@gmail:com</v>
      </c>
      <c r="B97" s="13" t="str">
        <f>IFERROR(__xludf.DUMMYFUNCTION("""COMPUTED_VALUE"""),"Kabupaten Dairi Dalam Angka 2024")</f>
        <v>Kabupaten Dairi Dalam Angka 2024</v>
      </c>
      <c r="C97" s="13" t="str">
        <f>IFERROR(__xludf.DUMMYFUNCTION("""COMPUTED_VALUE"""),"Publikasi")</f>
        <v>Publikasi</v>
      </c>
      <c r="E97" s="19" t="s">
        <v>1604</v>
      </c>
      <c r="F97" s="20" t="str">
        <f>IFERROR(__xludf.DUMMYFUNCTION("JOIN(""
"",FILTER($B97:$B1300,$A97:$A1300=E97))"),"Kabupaten Dairi Dalam Angka 2022")</f>
        <v>Kabupaten Dairi Dalam Angka 2022</v>
      </c>
    </row>
    <row r="98">
      <c r="A98" s="13" t="str">
        <f>IFERROR(__xludf.DUMMYFUNCTION("""COMPUTED_VALUE"""),"alexandersimatupang10@gmail:com")</f>
        <v>alexandersimatupang10@gmail:com</v>
      </c>
      <c r="B98" s="13" t="str">
        <f>IFERROR(__xludf.DUMMYFUNCTION("""COMPUTED_VALUE"""),"Kecamatan Sitinjo Dalam Angka 2021")</f>
        <v>Kecamatan Sitinjo Dalam Angka 2021</v>
      </c>
      <c r="C98" s="13" t="str">
        <f>IFERROR(__xludf.DUMMYFUNCTION("""COMPUTED_VALUE"""),"Publikasi")</f>
        <v>Publikasi</v>
      </c>
      <c r="E98" s="19" t="s">
        <v>1234</v>
      </c>
      <c r="F98" s="20" t="str">
        <f>IFERROR(__xludf.DUMMYFUNCTION("JOIN(""
"",FILTER($B98:$B1300,$A98:$A1300=E98))"),"Kecamatan Parbuluan Dalam Angka 2024")</f>
        <v>Kecamatan Parbuluan Dalam Angka 2024</v>
      </c>
    </row>
    <row r="99">
      <c r="A99" s="13" t="str">
        <f>IFERROR(__xludf.DUMMYFUNCTION("""COMPUTED_VALUE"""),"alie:rahangiar@gmail:com")</f>
        <v>alie:rahangiar@gmail:com</v>
      </c>
      <c r="B99" s="13" t="str">
        <f>IFERROR(__xludf.DUMMYFUNCTION("""COMPUTED_VALUE"""),"Indikator Kesejahteraan Rakyat Kabupaten Dairi Tahun 2022")</f>
        <v>Indikator Kesejahteraan Rakyat Kabupaten Dairi Tahun 2022</v>
      </c>
      <c r="C99" s="13" t="str">
        <f>IFERROR(__xludf.DUMMYFUNCTION("""COMPUTED_VALUE"""),"Publikasi")</f>
        <v>Publikasi</v>
      </c>
      <c r="E99" s="19" t="s">
        <v>864</v>
      </c>
      <c r="F99" s="20" t="str">
        <f>IFERROR(__xludf.DUMMYFUNCTION("JOIN(""
"",FILTER($B99:$B1300,$A99:$A1300=E99))"),"Indikator Kesejahteraan Rakyat Kabupaten Dairi Tahun 2024")</f>
        <v>Indikator Kesejahteraan Rakyat Kabupaten Dairi Tahun 2024</v>
      </c>
    </row>
    <row r="100">
      <c r="A100" s="13" t="str">
        <f>IFERROR(__xludf.DUMMYFUNCTION("""COMPUTED_VALUE"""),"alie:rahangiar@gmail:com")</f>
        <v>alie:rahangiar@gmail:com</v>
      </c>
      <c r="B100" s="13" t="str">
        <f>IFERROR(__xludf.DUMMYFUNCTION("""COMPUTED_VALUE"""),"Kabupaten Dairi Dalam Angka 2021")</f>
        <v>Kabupaten Dairi Dalam Angka 2021</v>
      </c>
      <c r="C100" s="13" t="str">
        <f>IFERROR(__xludf.DUMMYFUNCTION("""COMPUTED_VALUE"""),"Publikasi")</f>
        <v>Publikasi</v>
      </c>
      <c r="E100" s="19" t="s">
        <v>1369</v>
      </c>
      <c r="F100" s="20" t="str">
        <f>IFERROR(__xludf.DUMMYFUNCTION("JOIN(""
"",FILTER($B100:$B1300,$A100:$A1300=E100))"),"Kabupaten Dairi Dalam Angka 2024")</f>
        <v>Kabupaten Dairi Dalam Angka 2024</v>
      </c>
    </row>
    <row r="101">
      <c r="A101" s="13" t="str">
        <f>IFERROR(__xludf.DUMMYFUNCTION("""COMPUTED_VALUE"""),"almabrurah0702@gmail:com")</f>
        <v>almabrurah0702@gmail:com</v>
      </c>
      <c r="B101" s="13" t="str">
        <f>IFERROR(__xludf.DUMMYFUNCTION("""COMPUTED_VALUE"""),"Buklet Hasil Pencacahan Lengkap Sensus Pertanian 2024 - Tahap I Kabupaten Dairi")</f>
        <v>Buklet Hasil Pencacahan Lengkap Sensus Pertanian 2024 - Tahap I Kabupaten Dairi</v>
      </c>
      <c r="C101" s="13" t="str">
        <f>IFERROR(__xludf.DUMMYFUNCTION("""COMPUTED_VALUE"""),"Publikasi")</f>
        <v>Publikasi</v>
      </c>
      <c r="E101" s="19" t="s">
        <v>1388</v>
      </c>
      <c r="F101" s="20" t="str">
        <f>IFERROR(__xludf.DUMMYFUNCTION("JOIN(""
"",FILTER($B101:$B1300,$A101:$A1300=E101))"),"Kabupaten Dairi Dalam Angka 2024")</f>
        <v>Kabupaten Dairi Dalam Angka 2024</v>
      </c>
    </row>
    <row r="102">
      <c r="A102" s="13" t="str">
        <f>IFERROR(__xludf.DUMMYFUNCTION("""COMPUTED_VALUE"""),"almabrurah0702@gmail:com")</f>
        <v>almabrurah0702@gmail:com</v>
      </c>
      <c r="B102" s="13" t="str">
        <f>IFERROR(__xludf.DUMMYFUNCTION("""COMPUTED_VALUE"""),"Hasil Pencacahan Lengkap Sensus Pertanian 2024 - Tahap I Kabupaten Dairi")</f>
        <v>Hasil Pencacahan Lengkap Sensus Pertanian 2024 - Tahap I Kabupaten Dairi</v>
      </c>
      <c r="C102" s="13" t="str">
        <f>IFERROR(__xludf.DUMMYFUNCTION("""COMPUTED_VALUE"""),"Publikasi")</f>
        <v>Publikasi</v>
      </c>
      <c r="E102" s="19" t="s">
        <v>1724</v>
      </c>
      <c r="F102" s="20" t="str">
        <f>IFERROR(__xludf.DUMMYFUNCTION("JOIN(""
"",FILTER($B102:$B1300,$A102:$A1300=E102))"),"Kabupaten Dairi Dalam Angka 2022")</f>
        <v>Kabupaten Dairi Dalam Angka 2022</v>
      </c>
    </row>
    <row r="103">
      <c r="A103" s="13" t="str">
        <f>IFERROR(__xludf.DUMMYFUNCTION("""COMPUTED_VALUE"""),"almabrurah0702@gmail:com")</f>
        <v>almabrurah0702@gmail:com</v>
      </c>
      <c r="B103" s="13" t="str">
        <f>IFERROR(__xludf.DUMMYFUNCTION("""COMPUTED_VALUE"""),"Kabupaten Dairi Dalam Angka 2021")</f>
        <v>Kabupaten Dairi Dalam Angka 2021</v>
      </c>
      <c r="C103" s="13" t="str">
        <f>IFERROR(__xludf.DUMMYFUNCTION("""COMPUTED_VALUE"""),"Publikasi")</f>
        <v>Publikasi</v>
      </c>
      <c r="E103" s="19" t="s">
        <v>1522</v>
      </c>
      <c r="F103" s="20" t="str">
        <f>IFERROR(__xludf.DUMMYFUNCTION("JOIN(""
"",FILTER($B103:$B1300,$A103:$A1300=E103))"),"Kabupaten Dairi Dalam Angka 2014
Kabupaten Dairi Dalam Angka 2015
Kabupaten Dairi Dalam Angka 2016
Kabupaten Dairi Dalam Angka 2017")</f>
        <v>Kabupaten Dairi Dalam Angka 2014
Kabupaten Dairi Dalam Angka 2015
Kabupaten Dairi Dalam Angka 2016
Kabupaten Dairi Dalam Angka 2017</v>
      </c>
    </row>
    <row r="104">
      <c r="A104" s="13" t="str">
        <f>IFERROR(__xludf.DUMMYFUNCTION("""COMPUTED_VALUE"""),"almabrurah0702@gmail:com")</f>
        <v>almabrurah0702@gmail:com</v>
      </c>
      <c r="B104" s="13" t="str">
        <f>IFERROR(__xludf.DUMMYFUNCTION("""COMPUTED_VALUE"""),"Kabupaten Dairi Dalam Angka 2022")</f>
        <v>Kabupaten Dairi Dalam Angka 2022</v>
      </c>
      <c r="C104" s="13" t="str">
        <f>IFERROR(__xludf.DUMMYFUNCTION("""COMPUTED_VALUE"""),"Publikasi")</f>
        <v>Publikasi</v>
      </c>
      <c r="E104" s="19" t="s">
        <v>1727</v>
      </c>
      <c r="F104" s="20" t="str">
        <f>IFERROR(__xludf.DUMMYFUNCTION("JOIN(""
"",FILTER($B104:$B1300,$A104:$A1300=E104))"),"Kabupaten Dairi Dalam Angka 2022")</f>
        <v>Kabupaten Dairi Dalam Angka 2022</v>
      </c>
    </row>
    <row r="105">
      <c r="A105" s="13" t="str">
        <f>IFERROR(__xludf.DUMMYFUNCTION("""COMPUTED_VALUE"""),"almabrurah0702@gmail:com")</f>
        <v>almabrurah0702@gmail:com</v>
      </c>
      <c r="B105" s="13" t="str">
        <f>IFERROR(__xludf.DUMMYFUNCTION("""COMPUTED_VALUE"""),"Kecamatan Berampu Dalam Angka 2022")</f>
        <v>Kecamatan Berampu Dalam Angka 2022</v>
      </c>
      <c r="C105" s="13" t="str">
        <f>IFERROR(__xludf.DUMMYFUNCTION("""COMPUTED_VALUE"""),"Publikasi")</f>
        <v>Publikasi</v>
      </c>
      <c r="E105" s="19" t="s">
        <v>1151</v>
      </c>
      <c r="F105" s="20" t="str">
        <f>IFERROR(__xludf.DUMMYFUNCTION("JOIN(""
"",FILTER($B105:$B1300,$A105:$A1300=E105))"),"Hasil Pencacahan Lengkap Sensus Pertanian 2024 - Tahap I Kabupaten Dairi
Indeks Pembangunan Manusia Kabupaten Dairi 2024
Indikator Kesejahteraan Rakyat Kabupaten Dairi 2021
Indikator Kesejahteraan Rakyat Kabupaten Dairi Tahun 2022
Indikator Kesejahteraan "&amp;"Rakyat Kabupaten Dairi Tahun 2024
Kabupaten Dairi Dalam Angka 2024
Produk Domestik Regional Bruto Kabupaten Dairi Menurut Pengeluaran 2017 - 2021
Produk Domestik Regional Bruto Kabupaten Dairi Menurut Pengeluaran 2018 - 2022")</f>
        <v>Hasil Pencacahan Lengkap Sensus Pertanian 2024 - Tahap I Kabupaten Dairi
Indeks Pembangunan Manusia Kabupaten Dairi 2024
Indikator Kesejahteraan Rakyat Kabupaten Dairi 2021
Indikator Kesejahteraan Rakyat Kabupaten Dairi Tahun 2022
Indikator Kesejahteraan Rakyat Kabupaten Dairi Tahun 2024
Kabupaten Dairi Dalam Angka 2024
Produk Domestik Regional Bruto Kabupaten Dairi Menurut Pengeluaran 2017 - 2021
Produk Domestik Regional Bruto Kabupaten Dairi Menurut Pengeluaran 2018 - 2022</v>
      </c>
    </row>
    <row r="106">
      <c r="A106" s="13" t="str">
        <f>IFERROR(__xludf.DUMMYFUNCTION("""COMPUTED_VALUE"""),"almabrurah0702@gmail:com")</f>
        <v>almabrurah0702@gmail:com</v>
      </c>
      <c r="B106" s="13" t="str">
        <f>IFERROR(__xludf.DUMMYFUNCTION("""COMPUTED_VALUE"""),"Kecamatan Berampu Dalam Angka 2024")</f>
        <v>Kecamatan Berampu Dalam Angka 2024</v>
      </c>
      <c r="C106" s="13" t="str">
        <f>IFERROR(__xludf.DUMMYFUNCTION("""COMPUTED_VALUE"""),"Publikasi")</f>
        <v>Publikasi</v>
      </c>
      <c r="E106" s="19" t="s">
        <v>1430</v>
      </c>
      <c r="F106" s="20" t="str">
        <f>IFERROR(__xludf.DUMMYFUNCTION("JOIN(""
"",FILTER($B106:$B1300,$A106:$A1300=E106))"),"Kabupaten Dairi Dalam Angka 2024")</f>
        <v>Kabupaten Dairi Dalam Angka 2024</v>
      </c>
    </row>
    <row r="107">
      <c r="A107" s="13" t="str">
        <f>IFERROR(__xludf.DUMMYFUNCTION("""COMPUTED_VALUE"""),"almabrurah0702@gmail:com")</f>
        <v>almabrurah0702@gmail:com</v>
      </c>
      <c r="B107" s="13" t="str">
        <f>IFERROR(__xludf.DUMMYFUNCTION("""COMPUTED_VALUE"""),"Statistik Daerah Kabupaten Dairi 2024")</f>
        <v>Statistik Daerah Kabupaten Dairi 2024</v>
      </c>
      <c r="C107" s="13" t="str">
        <f>IFERROR(__xludf.DUMMYFUNCTION("""COMPUTED_VALUE"""),"Publikasi")</f>
        <v>Publikasi</v>
      </c>
      <c r="E107" s="19" t="s">
        <v>1166</v>
      </c>
      <c r="F107" s="20" t="str">
        <f>IFERROR(__xludf.DUMMYFUNCTION("JOIN(""
"",FILTER($B107:$B1300,$A107:$A1300=E107))"),"Indeks Pembangunan Manusia Kabupaten Dairi 2021
Indikator Kesejahteraan Rakyat Kabupaten Dairi 2021
Kecamatan Sidikalang Dalam Angka 2022
Produk Domestik Regional Bruto Kabupaten Dairi Menurut Lapangan Usaha 2017 - 2021
Produk Domestik Regional Bruto Kabu"&amp;"paten Dairi Menurut Pengeluaran 2017 - 2021
Statistik Daerah Kabupaten Dairi 2022")</f>
        <v>Indeks Pembangunan Manusia Kabupaten Dairi 2021
Indikator Kesejahteraan Rakyat Kabupaten Dairi 2021
Kecamatan Sidikalang Dalam Angka 2022
Produk Domestik Regional Bruto Kabupaten Dairi Menurut Lapangan Usaha 2017 - 2021
Produk Domestik Regional Bruto Kabupaten Dairi Menurut Pengeluaran 2017 - 2021
Statistik Daerah Kabupaten Dairi 2022</v>
      </c>
    </row>
    <row r="108">
      <c r="A108" s="13" t="str">
        <f>IFERROR(__xludf.DUMMYFUNCTION("""COMPUTED_VALUE"""),"almabrurah0702@gmail:com")</f>
        <v>almabrurah0702@gmail:com</v>
      </c>
      <c r="B108" s="13" t="str">
        <f>IFERROR(__xludf.DUMMYFUNCTION("""COMPUTED_VALUE"""),"Statistik Hortikultura Kabupaten Dairi Tahun 2022")</f>
        <v>Statistik Hortikultura Kabupaten Dairi Tahun 2022</v>
      </c>
      <c r="C108" s="13" t="str">
        <f>IFERROR(__xludf.DUMMYFUNCTION("""COMPUTED_VALUE"""),"Publikasi")</f>
        <v>Publikasi</v>
      </c>
      <c r="E108" s="19" t="s">
        <v>1424</v>
      </c>
      <c r="F108" s="20" t="str">
        <f>IFERROR(__xludf.DUMMYFUNCTION("JOIN(""
"",FILTER($B108:$B1300,$A108:$A1300=E108))"),"Indeks Pembangunan Manusia Kabupaten Dairi 2024
Indikator Kesejahteraan Rakyat Kabupaten Dairi Tahun 2024
Kabupaten Dairi Dalam Angka 2024
Kecamatan Sumbul Dalam Angka 2024")</f>
        <v>Indeks Pembangunan Manusia Kabupaten Dairi 2024
Indikator Kesejahteraan Rakyat Kabupaten Dairi Tahun 2024
Kabupaten Dairi Dalam Angka 2024
Kecamatan Sumbul Dalam Angka 2024</v>
      </c>
    </row>
    <row r="109">
      <c r="A109" s="13" t="str">
        <f>IFERROR(__xludf.DUMMYFUNCTION("""COMPUTED_VALUE"""),"almabrurah0702@gmail:com")</f>
        <v>almabrurah0702@gmail:com</v>
      </c>
      <c r="B109" s="13" t="str">
        <f>IFERROR(__xludf.DUMMYFUNCTION("""COMPUTED_VALUE"""),"Statistik Tanaman Pangan (Padi dan Palawija) Kabupaten Dairi 2021")</f>
        <v>Statistik Tanaman Pangan (Padi dan Palawija) Kabupaten Dairi 2021</v>
      </c>
      <c r="C109" s="13" t="str">
        <f>IFERROR(__xludf.DUMMYFUNCTION("""COMPUTED_VALUE"""),"Publikasi")</f>
        <v>Publikasi</v>
      </c>
      <c r="E109" s="19" t="s">
        <v>1653</v>
      </c>
      <c r="F109" s="20" t="str">
        <f>IFERROR(__xludf.DUMMYFUNCTION("JOIN(""
"",FILTER($B109:$B1300,$A109:$A1300=E109))"),"Profil Kependudukan dan Ketenagakerjaan Kabupaten Dairi 2021")</f>
        <v>Profil Kependudukan dan Ketenagakerjaan Kabupaten Dairi 2021</v>
      </c>
    </row>
    <row r="110">
      <c r="A110" s="13" t="str">
        <f>IFERROR(__xludf.DUMMYFUNCTION("""COMPUTED_VALUE"""),"almabrurah0702@gmail:com")</f>
        <v>almabrurah0702@gmail:com</v>
      </c>
      <c r="B110" s="13" t="str">
        <f>IFERROR(__xludf.DUMMYFUNCTION("""COMPUTED_VALUE"""),"Statistik Tanaman Pangan (Padi dan Palawija) Kabupaten Dairi 2022")</f>
        <v>Statistik Tanaman Pangan (Padi dan Palawija) Kabupaten Dairi 2022</v>
      </c>
      <c r="C110" s="13" t="str">
        <f>IFERROR(__xludf.DUMMYFUNCTION("""COMPUTED_VALUE"""),"Publikasi")</f>
        <v>Publikasi</v>
      </c>
      <c r="E110" s="19" t="s">
        <v>1605</v>
      </c>
      <c r="F110" s="20" t="str">
        <f>IFERROR(__xludf.DUMMYFUNCTION("JOIN(""
"",FILTER($B110:$B1300,$A110:$A1300=E110))"),"Kabupaten Dairi Dalam Angka 2022
Produk Domestik Regional Bruto Kabupaten Dairi Menurut Pengeluaran 2017 - 2021
Produk Domestik Regional Bruto Menurut Pengeluaran Kabupaten Dairi  2016 - 2020")</f>
        <v>Kabupaten Dairi Dalam Angka 2022
Produk Domestik Regional Bruto Kabupaten Dairi Menurut Pengeluaran 2017 - 2021
Produk Domestik Regional Bruto Menurut Pengeluaran Kabupaten Dairi  2016 - 2020</v>
      </c>
    </row>
    <row r="111">
      <c r="A111" s="13" t="str">
        <f>IFERROR(__xludf.DUMMYFUNCTION("""COMPUTED_VALUE"""),"alramadani1710@gmail:com")</f>
        <v>alramadani1710@gmail:com</v>
      </c>
      <c r="B111" s="13" t="str">
        <f>IFERROR(__xludf.DUMMYFUNCTION("""COMPUTED_VALUE"""),"Kecamatan Sumbul Dalam Angka 2024")</f>
        <v>Kecamatan Sumbul Dalam Angka 2024</v>
      </c>
      <c r="C111" s="13" t="str">
        <f>IFERROR(__xludf.DUMMYFUNCTION("""COMPUTED_VALUE"""),"Publikasi")</f>
        <v>Publikasi</v>
      </c>
      <c r="E111" s="19" t="s">
        <v>1505</v>
      </c>
      <c r="F111" s="20" t="str">
        <f>IFERROR(__xludf.DUMMYFUNCTION("JOIN(""
"",FILTER($B111:$B1300,$A111:$A1300=E111))"),"Kabupaten Dairi Dalam Angka 2024")</f>
        <v>Kabupaten Dairi Dalam Angka 2024</v>
      </c>
    </row>
    <row r="112">
      <c r="A112" s="13" t="str">
        <f>IFERROR(__xludf.DUMMYFUNCTION("""COMPUTED_VALUE"""),"alv230999@gmail:com")</f>
        <v>alv230999@gmail:com</v>
      </c>
      <c r="B112" s="13" t="str">
        <f>IFERROR(__xludf.DUMMYFUNCTION("""COMPUTED_VALUE"""),"Kabupaten Dairi Dalam Angka 2024")</f>
        <v>Kabupaten Dairi Dalam Angka 2024</v>
      </c>
      <c r="C112" s="13" t="str">
        <f>IFERROR(__xludf.DUMMYFUNCTION("""COMPUTED_VALUE"""),"Publikasi")</f>
        <v>Publikasi</v>
      </c>
      <c r="E112" s="19" t="s">
        <v>1275</v>
      </c>
      <c r="F112" s="20" t="str">
        <f>IFERROR(__xludf.DUMMYFUNCTION("JOIN(""
"",FILTER($B112:$B1300,$A112:$A1300=E112))"),"Indikator Kesejahteraan Rakyat Kabupaten Dairi Tahun 2024")</f>
        <v>Indikator Kesejahteraan Rakyat Kabupaten Dairi Tahun 2024</v>
      </c>
    </row>
    <row r="113">
      <c r="A113" s="13" t="str">
        <f>IFERROR(__xludf.DUMMYFUNCTION("""COMPUTED_VALUE"""),"alvanriussembiring@gmail:com")</f>
        <v>alvanriussembiring@gmail:com</v>
      </c>
      <c r="B113" s="13" t="str">
        <f>IFERROR(__xludf.DUMMYFUNCTION("""COMPUTED_VALUE"""),"Kecamatan Gunung Sitember Dalam Angka 2024")</f>
        <v>Kecamatan Gunung Sitember Dalam Angka 2024</v>
      </c>
      <c r="C113" s="13" t="str">
        <f>IFERROR(__xludf.DUMMYFUNCTION("""COMPUTED_VALUE"""),"Publikasi")</f>
        <v>Publikasi</v>
      </c>
      <c r="E113" s="19" t="s">
        <v>1329</v>
      </c>
      <c r="F113" s="20" t="str">
        <f>IFERROR(__xludf.DUMMYFUNCTION("JOIN(""
"",FILTER($B113:$B1300,$A113:$A1300=E113))"),"Indeks Pembangunan Manusia Kabupaten Dairi 2024
Kabupaten Dairi Dalam Angka 2024
Profil Kependudukan dan Ketenagakerjaan Kabupaten Dairi 2022
Statistik Daerah Kabupaten Dairi 2024
Statistik Kesejahteraan Rakyat Kabupaten Dairi 2024")</f>
        <v>Indeks Pembangunan Manusia Kabupaten Dairi 2024
Kabupaten Dairi Dalam Angka 2024
Profil Kependudukan dan Ketenagakerjaan Kabupaten Dairi 2022
Statistik Daerah Kabupaten Dairi 2024
Statistik Kesejahteraan Rakyat Kabupaten Dairi 2024</v>
      </c>
    </row>
    <row r="114">
      <c r="A114" s="13" t="str">
        <f>IFERROR(__xludf.DUMMYFUNCTION("""COMPUTED_VALUE"""),"alvanriussembiring@gmail:com")</f>
        <v>alvanriussembiring@gmail:com</v>
      </c>
      <c r="B114" s="13" t="str">
        <f>IFERROR(__xludf.DUMMYFUNCTION("""COMPUTED_VALUE"""),"Kecamatan Tanah Pinem Dalam Angka 2024")</f>
        <v>Kecamatan Tanah Pinem Dalam Angka 2024</v>
      </c>
      <c r="C114" s="13" t="str">
        <f>IFERROR(__xludf.DUMMYFUNCTION("""COMPUTED_VALUE"""),"Publikasi")</f>
        <v>Publikasi</v>
      </c>
      <c r="E114" s="19" t="s">
        <v>1588</v>
      </c>
      <c r="F114" s="20" t="str">
        <f>IFERROR(__xludf.DUMMYFUNCTION("JOIN(""
"",FILTER($B114:$B1300,$A114:$A1300=E114))"),"Kecamatan Silahisabungan Dalam Angka 2020")</f>
        <v>Kecamatan Silahisabungan Dalam Angka 2020</v>
      </c>
    </row>
    <row r="115">
      <c r="A115" s="13" t="str">
        <f>IFERROR(__xludf.DUMMYFUNCTION("""COMPUTED_VALUE"""),"alvanriussembiring@gmail:com")</f>
        <v>alvanriussembiring@gmail:com</v>
      </c>
      <c r="B115" s="13" t="str">
        <f>IFERROR(__xludf.DUMMYFUNCTION("""COMPUTED_VALUE"""),"Kecamatan Tiga Lingga Dalam Angka 2024")</f>
        <v>Kecamatan Tiga Lingga Dalam Angka 2024</v>
      </c>
      <c r="C115" s="13" t="str">
        <f>IFERROR(__xludf.DUMMYFUNCTION("""COMPUTED_VALUE"""),"Publikasi")</f>
        <v>Publikasi</v>
      </c>
      <c r="E115" s="19" t="s">
        <v>1278</v>
      </c>
      <c r="F115" s="20" t="str">
        <f>IFERROR(__xludf.DUMMYFUNCTION("JOIN(""
"",FILTER($B115:$B1300,$A115:$A1300=E115))"),"Kabupaten Dairi Dalam Angka 2024")</f>
        <v>Kabupaten Dairi Dalam Angka 2024</v>
      </c>
    </row>
    <row r="116">
      <c r="A116" s="13" t="str">
        <f>IFERROR(__xludf.DUMMYFUNCTION("""COMPUTED_VALUE"""),"alyans1945@gmail:com")</f>
        <v>alyans1945@gmail:com</v>
      </c>
      <c r="B116" s="13" t="str">
        <f>IFERROR(__xludf.DUMMYFUNCTION("""COMPUTED_VALUE"""),"Kabupaten Dairi Dalam Angka 2022")</f>
        <v>Kabupaten Dairi Dalam Angka 2022</v>
      </c>
      <c r="C116" s="13" t="str">
        <f>IFERROR(__xludf.DUMMYFUNCTION("""COMPUTED_VALUE"""),"Publikasi")</f>
        <v>Publikasi</v>
      </c>
      <c r="E116" s="19" t="s">
        <v>1594</v>
      </c>
      <c r="F116" s="20" t="str">
        <f>IFERROR(__xludf.DUMMYFUNCTION("JOIN(""
"",FILTER($B116:$B1300,$A116:$A1300=E116))"),"Produk Domestik Regional Bruto Menurut Pengeluaran Kabupaten Dairi  2016 - 2020")</f>
        <v>Produk Domestik Regional Bruto Menurut Pengeluaran Kabupaten Dairi  2016 - 2020</v>
      </c>
    </row>
    <row r="117">
      <c r="A117" s="13" t="str">
        <f>IFERROR(__xludf.DUMMYFUNCTION("""COMPUTED_VALUE"""),"ambaritamegawati@gmail:com")</f>
        <v>ambaritamegawati@gmail:com</v>
      </c>
      <c r="B117" s="13" t="str">
        <f>IFERROR(__xludf.DUMMYFUNCTION("""COMPUTED_VALUE"""),"Kabupaten Dairi Dalam Angka 2022")</f>
        <v>Kabupaten Dairi Dalam Angka 2022</v>
      </c>
      <c r="C117" s="13" t="str">
        <f>IFERROR(__xludf.DUMMYFUNCTION("""COMPUTED_VALUE"""),"Publikasi")</f>
        <v>Publikasi</v>
      </c>
      <c r="E117" s="19" t="s">
        <v>1688</v>
      </c>
      <c r="F117" s="20" t="str">
        <f>IFERROR(__xludf.DUMMYFUNCTION("JOIN(""
"",FILTER($B117:$B1300,$A117:$A1300=E117))"),"Indikator Kesejahteraan Rakyat Kabupaten Dairi Tahun 2022")</f>
        <v>Indikator Kesejahteraan Rakyat Kabupaten Dairi Tahun 2022</v>
      </c>
    </row>
    <row r="118">
      <c r="A118" s="13" t="str">
        <f>IFERROR(__xludf.DUMMYFUNCTION("""COMPUTED_VALUE"""),"anak_ik@yahoo:com")</f>
        <v>anak_ik@yahoo:com</v>
      </c>
      <c r="B118" s="13" t="str">
        <f>IFERROR(__xludf.DUMMYFUNCTION("""COMPUTED_VALUE"""),"Kabupaten Dairi Dalam Angka 2024")</f>
        <v>Kabupaten Dairi Dalam Angka 2024</v>
      </c>
      <c r="C118" s="13" t="str">
        <f>IFERROR(__xludf.DUMMYFUNCTION("""COMPUTED_VALUE"""),"Publikasi")</f>
        <v>Publikasi</v>
      </c>
      <c r="E118" s="19" t="s">
        <v>1265</v>
      </c>
      <c r="F118" s="20" t="str">
        <f>IFERROR(__xludf.DUMMYFUNCTION("JOIN(""
"",FILTER($B118:$B1300,$A118:$A1300=E118))"),"Kabupaten Dairi Dalam Angka 2019
Kabupaten Dairi Dalam Angka 2022
Kabupaten Dairi Dalam Angka 2024")</f>
        <v>Kabupaten Dairi Dalam Angka 2019
Kabupaten Dairi Dalam Angka 2022
Kabupaten Dairi Dalam Angka 2024</v>
      </c>
    </row>
    <row r="119">
      <c r="A119" s="13" t="str">
        <f>IFERROR(__xludf.DUMMYFUNCTION("""COMPUTED_VALUE"""),"anandafita22@gmail:com")</f>
        <v>anandafita22@gmail:com</v>
      </c>
      <c r="B119" s="13" t="str">
        <f>IFERROR(__xludf.DUMMYFUNCTION("""COMPUTED_VALUE"""),"Kabupaten Dairi Dalam Angka 2024")</f>
        <v>Kabupaten Dairi Dalam Angka 2024</v>
      </c>
      <c r="C119" s="13" t="str">
        <f>IFERROR(__xludf.DUMMYFUNCTION("""COMPUTED_VALUE"""),"Publikasi")</f>
        <v>Publikasi</v>
      </c>
      <c r="E119" s="19" t="s">
        <v>1700</v>
      </c>
      <c r="F119" s="20" t="str">
        <f>IFERROR(__xludf.DUMMYFUNCTION("JOIN(""
"",FILTER($B119:$B1300,$A119:$A1300=E119))"),"Statistik Hortikultura Kabupaten Dairi Tahun 2021")</f>
        <v>Statistik Hortikultura Kabupaten Dairi Tahun 2021</v>
      </c>
    </row>
    <row r="120">
      <c r="A120" s="13" t="str">
        <f>IFERROR(__xludf.DUMMYFUNCTION("""COMPUTED_VALUE"""),"anggrek:ginting25@gmail:com")</f>
        <v>anggrek:ginting25@gmail:com</v>
      </c>
      <c r="B120" s="13" t="str">
        <f>IFERROR(__xludf.DUMMYFUNCTION("""COMPUTED_VALUE"""),"Kecamatan Pegagan Hilir Dalam Angka 2024")</f>
        <v>Kecamatan Pegagan Hilir Dalam Angka 2024</v>
      </c>
      <c r="C120" s="13" t="str">
        <f>IFERROR(__xludf.DUMMYFUNCTION("""COMPUTED_VALUE"""),"Publikasi")</f>
        <v>Publikasi</v>
      </c>
      <c r="E120" s="19" t="s">
        <v>1603</v>
      </c>
      <c r="F120" s="20" t="str">
        <f>IFERROR(__xludf.DUMMYFUNCTION("JOIN(""
"",FILTER($B120:$B1300,$A120:$A1300=E120))"),"Kabupaten Dairi Dalam Angka 2021")</f>
        <v>Kabupaten Dairi Dalam Angka 2021</v>
      </c>
    </row>
    <row r="121">
      <c r="A121" s="13" t="str">
        <f>IFERROR(__xludf.DUMMYFUNCTION("""COMPUTED_VALUE"""),"angrenisiska066@gmail:com")</f>
        <v>angrenisiska066@gmail:com</v>
      </c>
      <c r="B121" s="13" t="str">
        <f>IFERROR(__xludf.DUMMYFUNCTION("""COMPUTED_VALUE"""),"Analisis Survei Kebutuhan Data Kabupaten Dairi 2022")</f>
        <v>Analisis Survei Kebutuhan Data Kabupaten Dairi 2022</v>
      </c>
      <c r="C121" s="13" t="str">
        <f>IFERROR(__xludf.DUMMYFUNCTION("""COMPUTED_VALUE"""),"Publikasi")</f>
        <v>Publikasi</v>
      </c>
      <c r="E121" s="19" t="s">
        <v>1269</v>
      </c>
      <c r="F121" s="20" t="str">
        <f>IFERROR(__xludf.DUMMYFUNCTION("JOIN(""
"",FILTER($B121:$B1300,$A121:$A1300=E121))"),"Kabupaten Dairi Dalam Angka 2024")</f>
        <v>Kabupaten Dairi Dalam Angka 2024</v>
      </c>
    </row>
    <row r="122">
      <c r="A122" s="13" t="str">
        <f>IFERROR(__xludf.DUMMYFUNCTION("""COMPUTED_VALUE"""),"angrenisiska066@gmail:com")</f>
        <v>angrenisiska066@gmail:com</v>
      </c>
      <c r="B122" s="13" t="str">
        <f>IFERROR(__xludf.DUMMYFUNCTION("""COMPUTED_VALUE"""),"Statistik Daerah Kabupaten Dairi 2022")</f>
        <v>Statistik Daerah Kabupaten Dairi 2022</v>
      </c>
      <c r="C122" s="13" t="str">
        <f>IFERROR(__xludf.DUMMYFUNCTION("""COMPUTED_VALUE"""),"Publikasi")</f>
        <v>Publikasi</v>
      </c>
      <c r="E122" s="19" t="s">
        <v>1176</v>
      </c>
      <c r="F122" s="20" t="str">
        <f>IFERROR(__xludf.DUMMYFUNCTION("JOIN(""
"",FILTER($B122:$B1300,$A122:$A1300=E122))"),"Kabupaten Dairi Dalam Angka 2024")</f>
        <v>Kabupaten Dairi Dalam Angka 2024</v>
      </c>
    </row>
    <row r="123">
      <c r="A123" s="13" t="str">
        <f>IFERROR(__xludf.DUMMYFUNCTION("""COMPUTED_VALUE"""),"angrenisiska066@gmail:com")</f>
        <v>angrenisiska066@gmail:com</v>
      </c>
      <c r="B123" s="13" t="str">
        <f>IFERROR(__xludf.DUMMYFUNCTION("""COMPUTED_VALUE"""),"Statistik Hortikultura Kabupaten Dairi Tahun 2021")</f>
        <v>Statistik Hortikultura Kabupaten Dairi Tahun 2021</v>
      </c>
      <c r="C123" s="13" t="str">
        <f>IFERROR(__xludf.DUMMYFUNCTION("""COMPUTED_VALUE"""),"Publikasi")</f>
        <v>Publikasi</v>
      </c>
      <c r="E123" s="19" t="s">
        <v>1354</v>
      </c>
      <c r="F123" s="20" t="str">
        <f>IFERROR(__xludf.DUMMYFUNCTION("JOIN(""
"",FILTER($B123:$B1300,$A123:$A1300=E123))"),"Kecamatan Sidikalang Dalam Angka 2024")</f>
        <v>Kecamatan Sidikalang Dalam Angka 2024</v>
      </c>
    </row>
    <row r="124">
      <c r="A124" s="13" t="str">
        <f>IFERROR(__xludf.DUMMYFUNCTION("""COMPUTED_VALUE"""),"angrenisiska066@gmail:com")</f>
        <v>angrenisiska066@gmail:com</v>
      </c>
      <c r="B124" s="13" t="str">
        <f>IFERROR(__xludf.DUMMYFUNCTION("""COMPUTED_VALUE"""),"Statistik Tanaman Pangan (Padi dan Palawija) Kabupaten Dairi 2021")</f>
        <v>Statistik Tanaman Pangan (Padi dan Palawija) Kabupaten Dairi 2021</v>
      </c>
      <c r="C124" s="13" t="str">
        <f>IFERROR(__xludf.DUMMYFUNCTION("""COMPUTED_VALUE"""),"Publikasi")</f>
        <v>Publikasi</v>
      </c>
      <c r="E124" s="19" t="s">
        <v>1458</v>
      </c>
      <c r="F124" s="20" t="str">
        <f>IFERROR(__xludf.DUMMYFUNCTION("JOIN(""
"",FILTER($B124:$B1300,$A124:$A1300=E124))"),"Kabupaten Dairi Dalam Angka 2024
Statistik Tanaman Pangan (Padi dan Palawija) Kabupaten Dairi 2022")</f>
        <v>Kabupaten Dairi Dalam Angka 2024
Statistik Tanaman Pangan (Padi dan Palawija) Kabupaten Dairi 2022</v>
      </c>
    </row>
    <row r="125">
      <c r="A125" s="13" t="str">
        <f>IFERROR(__xludf.DUMMYFUNCTION("""COMPUTED_VALUE"""),"anhash16@gmail:com")</f>
        <v>anhash16@gmail:com</v>
      </c>
      <c r="B125" s="13" t="str">
        <f>IFERROR(__xludf.DUMMYFUNCTION("""COMPUTED_VALUE"""),"Kecamatan Siempat Nempu Hulu Dalam Angka 2021")</f>
        <v>Kecamatan Siempat Nempu Hulu Dalam Angka 2021</v>
      </c>
      <c r="C125" s="13" t="str">
        <f>IFERROR(__xludf.DUMMYFUNCTION("""COMPUTED_VALUE"""),"Publikasi")</f>
        <v>Publikasi</v>
      </c>
      <c r="E125" s="19" t="s">
        <v>1420</v>
      </c>
      <c r="F125" s="20" t="str">
        <f>IFERROR(__xludf.DUMMYFUNCTION("JOIN(""
"",FILTER($B125:$B1300,$A125:$A1300=E125))"),"Kecamatan Silahisabungan Dalam Angka 2022
Kecamatan Silahisabungan Dalam Angka 2024")</f>
        <v>Kecamatan Silahisabungan Dalam Angka 2022
Kecamatan Silahisabungan Dalam Angka 2024</v>
      </c>
    </row>
    <row r="126">
      <c r="A126" s="13" t="str">
        <f>IFERROR(__xludf.DUMMYFUNCTION("""COMPUTED_VALUE"""),"ani95867@gmail:com")</f>
        <v>ani95867@gmail:com</v>
      </c>
      <c r="B126" s="13" t="str">
        <f>IFERROR(__xludf.DUMMYFUNCTION("""COMPUTED_VALUE"""),"Indeks Pembangunan Manusia Kabupaten Dairi 2019")</f>
        <v>Indeks Pembangunan Manusia Kabupaten Dairi 2019</v>
      </c>
      <c r="C126" s="13" t="str">
        <f>IFERROR(__xludf.DUMMYFUNCTION("""COMPUTED_VALUE"""),"Publikasi")</f>
        <v>Publikasi</v>
      </c>
      <c r="E126" s="19" t="s">
        <v>1299</v>
      </c>
      <c r="F126" s="20" t="str">
        <f>IFERROR(__xludf.DUMMYFUNCTION("JOIN(""
"",FILTER($B126:$B1300,$A126:$A1300=E126))"),"Kabupaten Dairi Dalam Angka 2022")</f>
        <v>Kabupaten Dairi Dalam Angka 2022</v>
      </c>
    </row>
    <row r="127">
      <c r="A127" s="13" t="str">
        <f>IFERROR(__xludf.DUMMYFUNCTION("""COMPUTED_VALUE"""),"ani95867@gmail:com")</f>
        <v>ani95867@gmail:com</v>
      </c>
      <c r="B127" s="13" t="str">
        <f>IFERROR(__xludf.DUMMYFUNCTION("""COMPUTED_VALUE"""),"Indikator Kesejahteraan Rakyat Kabupaten Dairi Tahun 2022")</f>
        <v>Indikator Kesejahteraan Rakyat Kabupaten Dairi Tahun 2022</v>
      </c>
      <c r="C127" s="13" t="str">
        <f>IFERROR(__xludf.DUMMYFUNCTION("""COMPUTED_VALUE"""),"Publikasi")</f>
        <v>Publikasi</v>
      </c>
      <c r="E127" s="19" t="s">
        <v>1213</v>
      </c>
      <c r="F127" s="20" t="str">
        <f>IFERROR(__xludf.DUMMYFUNCTION("JOIN(""
"",FILTER($B127:$B1300,$A127:$A1300=E127))"),"Kabupaten Dairi Dalam Angka 2024")</f>
        <v>Kabupaten Dairi Dalam Angka 2024</v>
      </c>
    </row>
    <row r="128">
      <c r="A128" s="13" t="str">
        <f>IFERROR(__xludf.DUMMYFUNCTION("""COMPUTED_VALUE"""),"ani95867@gmail:com")</f>
        <v>ani95867@gmail:com</v>
      </c>
      <c r="B128" s="13" t="str">
        <f>IFERROR(__xludf.DUMMYFUNCTION("""COMPUTED_VALUE"""),"Kecamatan Sidikalang Dalam Angka 2019")</f>
        <v>Kecamatan Sidikalang Dalam Angka 2019</v>
      </c>
      <c r="C128" s="13" t="str">
        <f>IFERROR(__xludf.DUMMYFUNCTION("""COMPUTED_VALUE"""),"Publikasi")</f>
        <v>Publikasi</v>
      </c>
      <c r="E128" s="19" t="s">
        <v>1127</v>
      </c>
      <c r="F128" s="20" t="str">
        <f>IFERROR(__xludf.DUMMYFUNCTION("JOIN(""
"",FILTER($B128:$B1300,$A128:$A1300=E128))"),"Kecamatan Parbuluan Dalam Angka 2024")</f>
        <v>Kecamatan Parbuluan Dalam Angka 2024</v>
      </c>
    </row>
    <row r="129">
      <c r="A129" s="13" t="str">
        <f>IFERROR(__xludf.DUMMYFUNCTION("""COMPUTED_VALUE"""),"ani95867@gmail:com")</f>
        <v>ani95867@gmail:com</v>
      </c>
      <c r="B129" s="13" t="str">
        <f>IFERROR(__xludf.DUMMYFUNCTION("""COMPUTED_VALUE"""),"Profil Penduduk dan Ketenagakerjaan Kabupaten Dairi 2019")</f>
        <v>Profil Penduduk dan Ketenagakerjaan Kabupaten Dairi 2019</v>
      </c>
      <c r="C129" s="13" t="str">
        <f>IFERROR(__xludf.DUMMYFUNCTION("""COMPUTED_VALUE"""),"Publikasi")</f>
        <v>Publikasi</v>
      </c>
      <c r="E129" s="19" t="s">
        <v>1666</v>
      </c>
      <c r="F129" s="20" t="str">
        <f>IFERROR(__xludf.DUMMYFUNCTION("JOIN(""
"",FILTER($B129:$B1300,$A129:$A1300=E129))"),"Kabupaten Dairi Dalam Angka 2017")</f>
        <v>Kabupaten Dairi Dalam Angka 2017</v>
      </c>
    </row>
    <row r="130">
      <c r="A130" s="13" t="str">
        <f>IFERROR(__xludf.DUMMYFUNCTION("""COMPUTED_VALUE"""),"anitariani:ba@gmail:com")</f>
        <v>anitariani:ba@gmail:com</v>
      </c>
      <c r="B130" s="13" t="str">
        <f>IFERROR(__xludf.DUMMYFUNCTION("""COMPUTED_VALUE"""),"Hasil Pencacahan Lengkap Sensus Pertanian 2024 - Tahap I Kabupaten Dairi")</f>
        <v>Hasil Pencacahan Lengkap Sensus Pertanian 2024 - Tahap I Kabupaten Dairi</v>
      </c>
      <c r="C130" s="13" t="str">
        <f>IFERROR(__xludf.DUMMYFUNCTION("""COMPUTED_VALUE"""),"Publikasi")</f>
        <v>Publikasi</v>
      </c>
      <c r="E130" s="19" t="s">
        <v>1243</v>
      </c>
      <c r="F130" s="20" t="str">
        <f>IFERROR(__xludf.DUMMYFUNCTION("JOIN(""
"",FILTER($B130:$B1300,$A130:$A1300=E130))"),"Kabupaten Dairi Dalam Angka 2022")</f>
        <v>Kabupaten Dairi Dalam Angka 2022</v>
      </c>
    </row>
    <row r="131">
      <c r="A131" s="13" t="str">
        <f>IFERROR(__xludf.DUMMYFUNCTION("""COMPUTED_VALUE"""),"annelitamorina@gmail:com")</f>
        <v>annelitamorina@gmail:com</v>
      </c>
      <c r="B131" s="13" t="str">
        <f>IFERROR(__xludf.DUMMYFUNCTION("""COMPUTED_VALUE"""),"Kabupaten Dairi Dalam Angka 2022")</f>
        <v>Kabupaten Dairi Dalam Angka 2022</v>
      </c>
      <c r="C131" s="13" t="str">
        <f>IFERROR(__xludf.DUMMYFUNCTION("""COMPUTED_VALUE"""),"Publikasi")</f>
        <v>Publikasi</v>
      </c>
      <c r="E131" s="19" t="s">
        <v>1417</v>
      </c>
      <c r="F131" s="20" t="str">
        <f>IFERROR(__xludf.DUMMYFUNCTION("JOIN(""
"",FILTER($B131:$B1300,$A131:$A1300=E131))"),"Buklet Hasil Pencacahan Lengkap Sensus Pertanian 2024 - Tahap I Kabupaten Dairi
Indikator Kesejahteraan Rakyat Kabupaten Dairi Tahun 2024
Kabupaten Dairi Dalam Angka 2024
Kecamatan Berampu Dalam Angka 2024
Kecamatan Gunung Sitember Dalam Angka 2024
Kecama"&amp;"tan Lae Parira Dalam Angka 2024
Kecamatan Parbuluan Dalam Angka 2024
Kecamatan Pegagan Hilir Dalam Angka 2024
Kecamatan Sidikalang Dalam Angka 2024
Kecamatan Siempat Nempu Dalam Angka 2024
Kecamatan Siempat Nempu Hilir Dalam Angka 2024
Kecamatan Siempat N"&amp;"empu Hulu Dalam Angka 2024
Kecamatan Silahisabungan Dalam Angka 2024
Kecamatan Silima Pungga-Pungga Dalam Angka 2024
Kecamatan Sitinjo Dalam Angka 2024
Kecamatan Sumbul Dalam Angka 2024
Kecamatan Tanah Pinem Dalam Angka 2024
Kecamatan Tiga Lingga Dalam An"&amp;"gka 2024
Statistik Daerah Kabupaten Dairi 2024")</f>
        <v>Buklet Hasil Pencacahan Lengkap Sensus Pertanian 2024 - Tahap I Kabupaten Dairi
Indikator Kesejahteraan Rakyat Kabupaten Dairi Tahun 2024
Kabupaten Dairi Dalam Angka 2024
Kecamatan Berampu Dalam Angka 2024
Kecamatan Gunung Sitember Dalam Angka 2024
Kecamatan Lae Parira Dalam Angka 2024
Kecamatan Parbuluan Dalam Angka 2024
Kecamatan Pegagan Hilir Dalam Angka 2024
Kecamatan Sidikalang Dalam Angka 2024
Kecamatan Siempat Nempu Dalam Angka 2024
Kecamatan Siempat Nempu Hilir Dalam Angka 2024
Kecamatan Siempat Nempu Hulu Dalam Angka 2024
Kecamatan Silahisabungan Dalam Angka 2024
Kecamatan Silima Pungga-Pungga Dalam Angka 2024
Kecamatan Sitinjo Dalam Angka 2024
Kecamatan Sumbul Dalam Angka 2024
Kecamatan Tanah Pinem Dalam Angka 2024
Kecamatan Tiga Lingga Dalam Angka 2024
Statistik Daerah Kabupaten Dairi 2024</v>
      </c>
      <c r="G131" s="4" t="s">
        <v>1765</v>
      </c>
    </row>
    <row r="132">
      <c r="A132" s="13" t="str">
        <f>IFERROR(__xludf.DUMMYFUNCTION("""COMPUTED_VALUE"""),"annisa:r:lestari@gmail:com")</f>
        <v>annisa:r:lestari@gmail:com</v>
      </c>
      <c r="B132" s="13" t="str">
        <f>IFERROR(__xludf.DUMMYFUNCTION("""COMPUTED_VALUE"""),"Kecamatan Silahisabungan Dalam Angka 2021")</f>
        <v>Kecamatan Silahisabungan Dalam Angka 2021</v>
      </c>
      <c r="C132" s="13" t="str">
        <f>IFERROR(__xludf.DUMMYFUNCTION("""COMPUTED_VALUE"""),"Publikasi")</f>
        <v>Publikasi</v>
      </c>
      <c r="E132" s="19" t="s">
        <v>106</v>
      </c>
      <c r="F132" s="20" t="str">
        <f>IFERROR(__xludf.DUMMYFUNCTION("JOIN(""
"",FILTER($B132:$B1300,$A132:$A1300=E132))"),"Hasil Pencacahan Lengkap Sensus Pertanian 2024 - Tahap I Kabupaten Dairi
Indikator Kesejahteraan Rakyat Kabupaten Dairi Tahun 2024
Statistik Kesejahteraan Rakyat Kabupaten Dairi 2024")</f>
        <v>Hasil Pencacahan Lengkap Sensus Pertanian 2024 - Tahap I Kabupaten Dairi
Indikator Kesejahteraan Rakyat Kabupaten Dairi Tahun 2024
Statistik Kesejahteraan Rakyat Kabupaten Dairi 2024</v>
      </c>
    </row>
    <row r="133">
      <c r="A133" s="13" t="str">
        <f>IFERROR(__xludf.DUMMYFUNCTION("""COMPUTED_VALUE"""),"anriangkat2017@gmail:com")</f>
        <v>anriangkat2017@gmail:com</v>
      </c>
      <c r="B133" s="13" t="str">
        <f>IFERROR(__xludf.DUMMYFUNCTION("""COMPUTED_VALUE"""),"Kecamatan Parbuluan Dalam Angka 2022")</f>
        <v>Kecamatan Parbuluan Dalam Angka 2022</v>
      </c>
      <c r="C133" s="13" t="str">
        <f>IFERROR(__xludf.DUMMYFUNCTION("""COMPUTED_VALUE"""),"Publikasi")</f>
        <v>Publikasi</v>
      </c>
      <c r="E133" s="19" t="s">
        <v>1633</v>
      </c>
      <c r="F133" s="20" t="str">
        <f>IFERROR(__xludf.DUMMYFUNCTION("JOIN(""
"",FILTER($B133:$B1300,$A133:$A1300=E133))"),"Kecamatan Berampu Dalam Angka 2022")</f>
        <v>Kecamatan Berampu Dalam Angka 2022</v>
      </c>
    </row>
    <row r="134">
      <c r="A134" s="13" t="str">
        <f>IFERROR(__xludf.DUMMYFUNCTION("""COMPUTED_VALUE"""),"anrickson45@gmail:com")</f>
        <v>anrickson45@gmail:com</v>
      </c>
      <c r="B134" s="13" t="str">
        <f>IFERROR(__xludf.DUMMYFUNCTION("""COMPUTED_VALUE"""),"Kabupaten Dairi Dalam Angka 2021")</f>
        <v>Kabupaten Dairi Dalam Angka 2021</v>
      </c>
      <c r="C134" s="13" t="str">
        <f>IFERROR(__xludf.DUMMYFUNCTION("""COMPUTED_VALUE"""),"Publikasi")</f>
        <v>Publikasi</v>
      </c>
      <c r="E134" s="19" t="s">
        <v>1169</v>
      </c>
      <c r="F134" s="20" t="str">
        <f>IFERROR(__xludf.DUMMYFUNCTION("JOIN(""
"",FILTER($B134:$B1300,$A134:$A1300=E134))"),"Kabupaten Dairi Dalam Angka 2024")</f>
        <v>Kabupaten Dairi Dalam Angka 2024</v>
      </c>
    </row>
    <row r="135">
      <c r="A135" s="13" t="str">
        <f>IFERROR(__xludf.DUMMYFUNCTION("""COMPUTED_VALUE"""),"anti:virus:bagus8@gmail:com")</f>
        <v>anti:virus:bagus8@gmail:com</v>
      </c>
      <c r="B135" s="13" t="str">
        <f>IFERROR(__xludf.DUMMYFUNCTION("""COMPUTED_VALUE"""),"Profil Kependudukan dan Ketenagakerjaan Kabupaten Dairi 2020")</f>
        <v>Profil Kependudukan dan Ketenagakerjaan Kabupaten Dairi 2020</v>
      </c>
      <c r="C135" s="13" t="str">
        <f>IFERROR(__xludf.DUMMYFUNCTION("""COMPUTED_VALUE"""),"Publikasi")</f>
        <v>Publikasi</v>
      </c>
      <c r="E135" s="19" t="s">
        <v>1482</v>
      </c>
      <c r="F135" s="20" t="str">
        <f>IFERROR(__xludf.DUMMYFUNCTION("JOIN(""
"",FILTER($B135:$B1300,$A135:$A1300=E135))"),"Kabupaten Dairi Dalam Angka 2024
Kecamatan Sumbul Dalam Angka 2018
Kecamatan Sumbul Dalam Angka 2019
Kecamatan Sumbul Dalam Angka 2020
Kecamatan Sumbul Dalam Angka 2021
Kecamatan Sumbul Dalam Angka 2024")</f>
        <v>Kabupaten Dairi Dalam Angka 2024
Kecamatan Sumbul Dalam Angka 2018
Kecamatan Sumbul Dalam Angka 2019
Kecamatan Sumbul Dalam Angka 2020
Kecamatan Sumbul Dalam Angka 2021
Kecamatan Sumbul Dalam Angka 2024</v>
      </c>
    </row>
    <row r="136">
      <c r="A136" s="13" t="str">
        <f>IFERROR(__xludf.DUMMYFUNCTION("""COMPUTED_VALUE"""),"anti:virus:bagus8@gmail:com")</f>
        <v>anti:virus:bagus8@gmail:com</v>
      </c>
      <c r="B136" s="13" t="str">
        <f>IFERROR(__xludf.DUMMYFUNCTION("""COMPUTED_VALUE"""),"Profil Kependudukan dan Ketenagakerjaan Kabupaten Dairi 2021")</f>
        <v>Profil Kependudukan dan Ketenagakerjaan Kabupaten Dairi 2021</v>
      </c>
      <c r="C136" s="13" t="str">
        <f>IFERROR(__xludf.DUMMYFUNCTION("""COMPUTED_VALUE"""),"Publikasi")</f>
        <v>Publikasi</v>
      </c>
      <c r="E136" s="19" t="s">
        <v>1543</v>
      </c>
      <c r="F136" s="20" t="str">
        <f>IFERROR(__xludf.DUMMYFUNCTION("JOIN(""
"",FILTER($B136:$B1300,$A136:$A1300=E136))"),"Kabupaten Dairi Dalam Angka 2024")</f>
        <v>Kabupaten Dairi Dalam Angka 2024</v>
      </c>
    </row>
    <row r="137">
      <c r="A137" s="13" t="str">
        <f>IFERROR(__xludf.DUMMYFUNCTION("""COMPUTED_VALUE"""),"anti:virus:bagus8@gmail:com")</f>
        <v>anti:virus:bagus8@gmail:com</v>
      </c>
      <c r="B137" s="13" t="str">
        <f>IFERROR(__xludf.DUMMYFUNCTION("""COMPUTED_VALUE"""),"Statistik Tanaman Pangan (Padi dan Palawija) Kabupaten Dairi 2021")</f>
        <v>Statistik Tanaman Pangan (Padi dan Palawija) Kabupaten Dairi 2021</v>
      </c>
      <c r="C137" s="13" t="str">
        <f>IFERROR(__xludf.DUMMYFUNCTION("""COMPUTED_VALUE"""),"Publikasi")</f>
        <v>Publikasi</v>
      </c>
      <c r="E137" s="19" t="s">
        <v>1295</v>
      </c>
      <c r="F137" s="20" t="str">
        <f>IFERROR(__xludf.DUMMYFUNCTION("JOIN(""
"",FILTER($B137:$B1300,$A137:$A1300=E137))"),"Kabupaten Dairi Dalam Angka 2024
Kecamatan Tiga Lingga Dalam Angka 2021
Kecamatan Tiga Lingga Dalam Angka 2024")</f>
        <v>Kabupaten Dairi Dalam Angka 2024
Kecamatan Tiga Lingga Dalam Angka 2021
Kecamatan Tiga Lingga Dalam Angka 2024</v>
      </c>
    </row>
    <row r="138">
      <c r="A138" s="13" t="str">
        <f>IFERROR(__xludf.DUMMYFUNCTION("""COMPUTED_VALUE"""),"aparhusip@ymail:com")</f>
        <v>aparhusip@ymail:com</v>
      </c>
      <c r="B138" s="13" t="str">
        <f>IFERROR(__xludf.DUMMYFUNCTION("""COMPUTED_VALUE"""),"Kabupaten Dairi Dalam Angka 2024")</f>
        <v>Kabupaten Dairi Dalam Angka 2024</v>
      </c>
      <c r="C138" s="13" t="str">
        <f>IFERROR(__xludf.DUMMYFUNCTION("""COMPUTED_VALUE"""),"Publikasi")</f>
        <v>Publikasi</v>
      </c>
      <c r="E138" s="19" t="s">
        <v>1373</v>
      </c>
      <c r="F138" s="20" t="str">
        <f>IFERROR(__xludf.DUMMYFUNCTION("JOIN(""
"",FILTER($B138:$B1300,$A138:$A1300=E138))"),"Kabupaten Dairi Dalam Angka 2024
Statistik Daerah Kabupaten Dairi 2024")</f>
        <v>Kabupaten Dairi Dalam Angka 2024
Statistik Daerah Kabupaten Dairi 2024</v>
      </c>
    </row>
    <row r="139">
      <c r="A139" s="13" t="str">
        <f>IFERROR(__xludf.DUMMYFUNCTION("""COMPUTED_VALUE"""),"ardiantinendung90@gmail:com")</f>
        <v>ardiantinendung90@gmail:com</v>
      </c>
      <c r="B139" s="13" t="str">
        <f>IFERROR(__xludf.DUMMYFUNCTION("""COMPUTED_VALUE"""),"Kabupaten Dairi Dalam Angka 2022")</f>
        <v>Kabupaten Dairi Dalam Angka 2022</v>
      </c>
      <c r="C139" s="13" t="str">
        <f>IFERROR(__xludf.DUMMYFUNCTION("""COMPUTED_VALUE"""),"Publikasi")</f>
        <v>Publikasi</v>
      </c>
      <c r="E139" s="19" t="s">
        <v>1402</v>
      </c>
      <c r="F139" s="20" t="str">
        <f>IFERROR(__xludf.DUMMYFUNCTION("JOIN(""
"",FILTER($B139:$B1300,$A139:$A1300=E139))"),"Indeks Pembangunan Manusia Kabupaten Dairi 2024
Indikator Kesejahteraan Rakyat Kabupaten Dairi Tahun 2024
Statistik Kesejahteraan Rakyat Kabupaten Dairi 2024
Statistik Tanaman Pangan (Padi dan Palawija) Kabupaten Dairi 2022")</f>
        <v>Indeks Pembangunan Manusia Kabupaten Dairi 2024
Indikator Kesejahteraan Rakyat Kabupaten Dairi Tahun 2024
Statistik Kesejahteraan Rakyat Kabupaten Dairi 2024
Statistik Tanaman Pangan (Padi dan Palawija) Kabupaten Dairi 2022</v>
      </c>
    </row>
    <row r="140">
      <c r="A140" s="13" t="str">
        <f>IFERROR(__xludf.DUMMYFUNCTION("""COMPUTED_VALUE"""),"ardikemanik@gmail:com")</f>
        <v>ardikemanik@gmail:com</v>
      </c>
      <c r="B140" s="13" t="str">
        <f>IFERROR(__xludf.DUMMYFUNCTION("""COMPUTED_VALUE"""),"Analisis Hasil Survei Kebutuhan Data BPS Kabupaten Dairi 2024")</f>
        <v>Analisis Hasil Survei Kebutuhan Data BPS Kabupaten Dairi 2024</v>
      </c>
      <c r="C140" s="13" t="str">
        <f>IFERROR(__xludf.DUMMYFUNCTION("""COMPUTED_VALUE"""),"Publikasi")</f>
        <v>Publikasi</v>
      </c>
      <c r="E140" s="19" t="s">
        <v>1125</v>
      </c>
      <c r="F140" s="20" t="str">
        <f>IFERROR(__xludf.DUMMYFUNCTION("JOIN(""
"",FILTER($B140:$B1300,$A140:$A1300=E140))"),"Indikator Kesejahteraan Rakyat Kabupaten Dairi Tahun 2024")</f>
        <v>Indikator Kesejahteraan Rakyat Kabupaten Dairi Tahun 2024</v>
      </c>
    </row>
    <row r="141">
      <c r="A141" s="13" t="str">
        <f>IFERROR(__xludf.DUMMYFUNCTION("""COMPUTED_VALUE"""),"arifsuroso2009@gmail:com")</f>
        <v>arifsuroso2009@gmail:com</v>
      </c>
      <c r="B141" s="13" t="str">
        <f>IFERROR(__xludf.DUMMYFUNCTION("""COMPUTED_VALUE"""),"Kabupaten Dairi Dalam Angka 2022")</f>
        <v>Kabupaten Dairi Dalam Angka 2022</v>
      </c>
      <c r="C141" s="13" t="str">
        <f>IFERROR(__xludf.DUMMYFUNCTION("""COMPUTED_VALUE"""),"Publikasi")</f>
        <v>Publikasi</v>
      </c>
      <c r="E141" s="19" t="s">
        <v>1713</v>
      </c>
      <c r="F141" s="20" t="str">
        <f>IFERROR(__xludf.DUMMYFUNCTION("JOIN(""
"",FILTER($B141:$B1300,$A141:$A1300=E141))"),"Kabupaten Dairi Dalam Angka 2022
Kecamatan Parbuluan Dalam Angka 2020")</f>
        <v>Kabupaten Dairi Dalam Angka 2022
Kecamatan Parbuluan Dalam Angka 2020</v>
      </c>
    </row>
    <row r="142">
      <c r="A142" s="13" t="str">
        <f>IFERROR(__xludf.DUMMYFUNCTION("""COMPUTED_VALUE"""),"arifsuroso2009@gmail:com")</f>
        <v>arifsuroso2009@gmail:com</v>
      </c>
      <c r="B142" s="13" t="str">
        <f>IFERROR(__xludf.DUMMYFUNCTION("""COMPUTED_VALUE"""),"Kecamatan Berampu Dalam Angka 2022")</f>
        <v>Kecamatan Berampu Dalam Angka 2022</v>
      </c>
      <c r="C142" s="13" t="str">
        <f>IFERROR(__xludf.DUMMYFUNCTION("""COMPUTED_VALUE"""),"Publikasi")</f>
        <v>Publikasi</v>
      </c>
      <c r="E142" s="19" t="s">
        <v>1305</v>
      </c>
      <c r="F142" s="20" t="str">
        <f>IFERROR(__xludf.DUMMYFUNCTION("JOIN(""
"",FILTER($B142:$B1300,$A142:$A1300=E142))"),"Produk Domestik Regional Bruto Kabupaten Dairi Menurut Lapangan Usaha 2018 - 2022")</f>
        <v>Produk Domestik Regional Bruto Kabupaten Dairi Menurut Lapangan Usaha 2018 - 2022</v>
      </c>
    </row>
    <row r="143">
      <c r="A143" s="13" t="str">
        <f>IFERROR(__xludf.DUMMYFUNCTION("""COMPUTED_VALUE"""),"arifsuroso2009@gmail:com")</f>
        <v>arifsuroso2009@gmail:com</v>
      </c>
      <c r="B143" s="13" t="str">
        <f>IFERROR(__xludf.DUMMYFUNCTION("""COMPUTED_VALUE"""),"Kecamatan Gunung Sitember Dalam Angka 2022")</f>
        <v>Kecamatan Gunung Sitember Dalam Angka 2022</v>
      </c>
      <c r="C143" s="13" t="str">
        <f>IFERROR(__xludf.DUMMYFUNCTION("""COMPUTED_VALUE"""),"Publikasi")</f>
        <v>Publikasi</v>
      </c>
      <c r="E143" s="19" t="s">
        <v>1393</v>
      </c>
      <c r="F143" s="20" t="str">
        <f>IFERROR(__xludf.DUMMYFUNCTION("JOIN(""
"",FILTER($B143:$B1300,$A143:$A1300=E143))"),"Hasil Pencacahan Lengkap Sensus Pertanian 2024 - Tahap I Kabupaten Dairi
Indikator Kesejahteraan Rakyat Kabupaten Dairi Tahun 2024
Statistik Kesejahteraan Rakyat Kabupaten Dairi 2024")</f>
        <v>Hasil Pencacahan Lengkap Sensus Pertanian 2024 - Tahap I Kabupaten Dairi
Indikator Kesejahteraan Rakyat Kabupaten Dairi Tahun 2024
Statistik Kesejahteraan Rakyat Kabupaten Dairi 2024</v>
      </c>
    </row>
    <row r="144">
      <c r="A144" s="13" t="str">
        <f>IFERROR(__xludf.DUMMYFUNCTION("""COMPUTED_VALUE"""),"arifsuroso2009@gmail:com")</f>
        <v>arifsuroso2009@gmail:com</v>
      </c>
      <c r="B144" s="13" t="str">
        <f>IFERROR(__xludf.DUMMYFUNCTION("""COMPUTED_VALUE"""),"Kecamatan Lae Parira Dalam Angka 2022")</f>
        <v>Kecamatan Lae Parira Dalam Angka 2022</v>
      </c>
      <c r="C144" s="13" t="str">
        <f>IFERROR(__xludf.DUMMYFUNCTION("""COMPUTED_VALUE"""),"Publikasi")</f>
        <v>Publikasi</v>
      </c>
      <c r="E144" s="19" t="s">
        <v>1728</v>
      </c>
      <c r="F144" s="20" t="str">
        <f>IFERROR(__xludf.DUMMYFUNCTION("JOIN(""
"",FILTER($B144:$B1300,$A144:$A1300=E144))"),"Kabupaten Dairi Dalam Angka 2022")</f>
        <v>Kabupaten Dairi Dalam Angka 2022</v>
      </c>
    </row>
    <row r="145">
      <c r="A145" s="13" t="str">
        <f>IFERROR(__xludf.DUMMYFUNCTION("""COMPUTED_VALUE"""),"arifsuroso2009@gmail:com")</f>
        <v>arifsuroso2009@gmail:com</v>
      </c>
      <c r="B145" s="13" t="str">
        <f>IFERROR(__xludf.DUMMYFUNCTION("""COMPUTED_VALUE"""),"Kecamatan Parbuluan Dalam Angka 2022")</f>
        <v>Kecamatan Parbuluan Dalam Angka 2022</v>
      </c>
      <c r="C145" s="13" t="str">
        <f>IFERROR(__xludf.DUMMYFUNCTION("""COMPUTED_VALUE"""),"Publikasi")</f>
        <v>Publikasi</v>
      </c>
      <c r="E145" s="19" t="s">
        <v>1504</v>
      </c>
      <c r="F145" s="20" t="str">
        <f>IFERROR(__xludf.DUMMYFUNCTION("JOIN(""
"",FILTER($B145:$B1300,$A145:$A1300=E145))"),"Kabupaten Dairi Dalam Angka 2024")</f>
        <v>Kabupaten Dairi Dalam Angka 2024</v>
      </c>
    </row>
    <row r="146">
      <c r="A146" s="13" t="str">
        <f>IFERROR(__xludf.DUMMYFUNCTION("""COMPUTED_VALUE"""),"arifsuroso2009@gmail:com")</f>
        <v>arifsuroso2009@gmail:com</v>
      </c>
      <c r="B146" s="13" t="str">
        <f>IFERROR(__xludf.DUMMYFUNCTION("""COMPUTED_VALUE"""),"Kecamatan Pegagan Hilir Dalam Angka 2022")</f>
        <v>Kecamatan Pegagan Hilir Dalam Angka 2022</v>
      </c>
      <c r="C146" s="13" t="str">
        <f>IFERROR(__xludf.DUMMYFUNCTION("""COMPUTED_VALUE"""),"Publikasi")</f>
        <v>Publikasi</v>
      </c>
      <c r="E146" s="19" t="s">
        <v>1473</v>
      </c>
      <c r="F146" s="20" t="str">
        <f>IFERROR(__xludf.DUMMYFUNCTION("JOIN(""
"",FILTER($B146:$B1300,$A146:$A1300=E146))"),"Kabupaten Dairi Dalam Angka 2024
Statistik Daerah Kabupaten Dairi 2024")</f>
        <v>Kabupaten Dairi Dalam Angka 2024
Statistik Daerah Kabupaten Dairi 2024</v>
      </c>
    </row>
    <row r="147">
      <c r="A147" s="13" t="str">
        <f>IFERROR(__xludf.DUMMYFUNCTION("""COMPUTED_VALUE"""),"arifsuroso2009@gmail:com")</f>
        <v>arifsuroso2009@gmail:com</v>
      </c>
      <c r="B147" s="13" t="str">
        <f>IFERROR(__xludf.DUMMYFUNCTION("""COMPUTED_VALUE"""),"Kecamatan Sidikalang Dalam Angka 2022")</f>
        <v>Kecamatan Sidikalang Dalam Angka 2022</v>
      </c>
      <c r="C147" s="13" t="str">
        <f>IFERROR(__xludf.DUMMYFUNCTION("""COMPUTED_VALUE"""),"Publikasi")</f>
        <v>Publikasi</v>
      </c>
      <c r="E147" s="19" t="s">
        <v>1413</v>
      </c>
      <c r="F147" s="20" t="str">
        <f>IFERROR(__xludf.DUMMYFUNCTION("JOIN(""
"",FILTER($B147:$B1300,$A147:$A1300=E147))"),"Statistik Kesejahteraan Rakyat Kabupaten Dairi 2024")</f>
        <v>Statistik Kesejahteraan Rakyat Kabupaten Dairi 2024</v>
      </c>
    </row>
    <row r="148">
      <c r="A148" s="13" t="str">
        <f>IFERROR(__xludf.DUMMYFUNCTION("""COMPUTED_VALUE"""),"arifsuroso2009@gmail:com")</f>
        <v>arifsuroso2009@gmail:com</v>
      </c>
      <c r="B148" s="13" t="str">
        <f>IFERROR(__xludf.DUMMYFUNCTION("""COMPUTED_VALUE"""),"Kecamatan Siempat Nempu Dalam Angka 2022")</f>
        <v>Kecamatan Siempat Nempu Dalam Angka 2022</v>
      </c>
      <c r="C148" s="13" t="str">
        <f>IFERROR(__xludf.DUMMYFUNCTION("""COMPUTED_VALUE"""),"Publikasi")</f>
        <v>Publikasi</v>
      </c>
      <c r="E148" s="19" t="s">
        <v>1412</v>
      </c>
      <c r="F148" s="20" t="str">
        <f>IFERROR(__xludf.DUMMYFUNCTION("JOIN(""
"",FILTER($B148:$B1300,$A148:$A1300=E148))"),"Statistik Kesejahteraan Rakyat Kabupaten Dairi 2024")</f>
        <v>Statistik Kesejahteraan Rakyat Kabupaten Dairi 2024</v>
      </c>
    </row>
    <row r="149">
      <c r="A149" s="13" t="str">
        <f>IFERROR(__xludf.DUMMYFUNCTION("""COMPUTED_VALUE"""),"arifsuroso2009@gmail:com")</f>
        <v>arifsuroso2009@gmail:com</v>
      </c>
      <c r="B149" s="13" t="str">
        <f>IFERROR(__xludf.DUMMYFUNCTION("""COMPUTED_VALUE"""),"Kecamatan Siempat Nempu Hilir Dalam Angka 2022")</f>
        <v>Kecamatan Siempat Nempu Hilir Dalam Angka 2022</v>
      </c>
      <c r="C149" s="13" t="str">
        <f>IFERROR(__xludf.DUMMYFUNCTION("""COMPUTED_VALUE"""),"Publikasi")</f>
        <v>Publikasi</v>
      </c>
      <c r="E149" s="19" t="s">
        <v>117</v>
      </c>
      <c r="F149" s="20" t="str">
        <f>IFERROR(__xludf.DUMMYFUNCTION("JOIN(""
"",FILTER($B149:$B1300,$A149:$A1300=E149))"),"Hasil Pencacahan Lengkap Sensus Pertanian 2024 - Tahap I Kabupaten Dairi
Indikator Kesejahteraan Rakyat Kabupaten Dairi Tahun 2024
Statistik Kesejahteraan Rakyat Kabupaten Dairi 2024")</f>
        <v>Hasil Pencacahan Lengkap Sensus Pertanian 2024 - Tahap I Kabupaten Dairi
Indikator Kesejahteraan Rakyat Kabupaten Dairi Tahun 2024
Statistik Kesejahteraan Rakyat Kabupaten Dairi 2024</v>
      </c>
    </row>
    <row r="150">
      <c r="A150" s="13" t="str">
        <f>IFERROR(__xludf.DUMMYFUNCTION("""COMPUTED_VALUE"""),"arifsuroso2009@gmail:com")</f>
        <v>arifsuroso2009@gmail:com</v>
      </c>
      <c r="B150" s="13" t="str">
        <f>IFERROR(__xludf.DUMMYFUNCTION("""COMPUTED_VALUE"""),"Kecamatan Siempat Nempu Hulu Dalam Angka 2022")</f>
        <v>Kecamatan Siempat Nempu Hulu Dalam Angka 2022</v>
      </c>
      <c r="C150" s="13" t="str">
        <f>IFERROR(__xludf.DUMMYFUNCTION("""COMPUTED_VALUE"""),"Publikasi")</f>
        <v>Publikasi</v>
      </c>
      <c r="E150" s="19" t="s">
        <v>1130</v>
      </c>
      <c r="F150" s="20" t="str">
        <f>IFERROR(__xludf.DUMMYFUNCTION("JOIN(""
"",FILTER($B150:$B1300,$A150:$A1300=E150))"),"Hasil Pencacahan Lengkap Sensus Pertanian 2024 - Tahap I Kabupaten Dairi")</f>
        <v>Hasil Pencacahan Lengkap Sensus Pertanian 2024 - Tahap I Kabupaten Dairi</v>
      </c>
    </row>
    <row r="151">
      <c r="A151" s="13" t="str">
        <f>IFERROR(__xludf.DUMMYFUNCTION("""COMPUTED_VALUE"""),"arifsuroso2009@gmail:com")</f>
        <v>arifsuroso2009@gmail:com</v>
      </c>
      <c r="B151" s="13" t="str">
        <f>IFERROR(__xludf.DUMMYFUNCTION("""COMPUTED_VALUE"""),"Kecamatan Silahisabungan Dalam Angka 2022")</f>
        <v>Kecamatan Silahisabungan Dalam Angka 2022</v>
      </c>
      <c r="C151" s="13" t="str">
        <f>IFERROR(__xludf.DUMMYFUNCTION("""COMPUTED_VALUE"""),"Publikasi")</f>
        <v>Publikasi</v>
      </c>
      <c r="E151" s="19" t="s">
        <v>1330</v>
      </c>
      <c r="F151" s="20" t="str">
        <f>IFERROR(__xludf.DUMMYFUNCTION("JOIN(""
"",FILTER($B151:$B1300,$A151:$A1300=E151))"),"Indikator Kesejahteraan Rakyat Kabupaten Dairi Tahun 2024")</f>
        <v>Indikator Kesejahteraan Rakyat Kabupaten Dairi Tahun 2024</v>
      </c>
    </row>
    <row r="152">
      <c r="A152" s="13" t="str">
        <f>IFERROR(__xludf.DUMMYFUNCTION("""COMPUTED_VALUE"""),"arifsuroso2009@gmail:com")</f>
        <v>arifsuroso2009@gmail:com</v>
      </c>
      <c r="B152" s="13" t="str">
        <f>IFERROR(__xludf.DUMMYFUNCTION("""COMPUTED_VALUE"""),"Kecamatan Silima Pungga-Pungga Dalam Angka 2022")</f>
        <v>Kecamatan Silima Pungga-Pungga Dalam Angka 2022</v>
      </c>
      <c r="C152" s="13" t="str">
        <f>IFERROR(__xludf.DUMMYFUNCTION("""COMPUTED_VALUE"""),"Publikasi")</f>
        <v>Publikasi</v>
      </c>
      <c r="E152" s="19" t="s">
        <v>1449</v>
      </c>
      <c r="F152" s="20" t="str">
        <f>IFERROR(__xludf.DUMMYFUNCTION("JOIN(""
"",FILTER($B152:$B1300,$A152:$A1300=E152))"),"Kabupaten Dairi Dalam Angka 2020
Produk Domestik Regional Bruto Kabupaten Dairi Menurut Lapangan Usaha 2018 - 2022")</f>
        <v>Kabupaten Dairi Dalam Angka 2020
Produk Domestik Regional Bruto Kabupaten Dairi Menurut Lapangan Usaha 2018 - 2022</v>
      </c>
    </row>
    <row r="153">
      <c r="A153" s="13" t="str">
        <f>IFERROR(__xludf.DUMMYFUNCTION("""COMPUTED_VALUE"""),"arifsuroso2009@gmail:com")</f>
        <v>arifsuroso2009@gmail:com</v>
      </c>
      <c r="B153" s="13" t="str">
        <f>IFERROR(__xludf.DUMMYFUNCTION("""COMPUTED_VALUE"""),"Kecamatan Sitinjo Dalam Angka 2022")</f>
        <v>Kecamatan Sitinjo Dalam Angka 2022</v>
      </c>
      <c r="C153" s="13" t="str">
        <f>IFERROR(__xludf.DUMMYFUNCTION("""COMPUTED_VALUE"""),"Publikasi")</f>
        <v>Publikasi</v>
      </c>
      <c r="E153" s="19" t="s">
        <v>1654</v>
      </c>
      <c r="F153" s="20" t="str">
        <f>IFERROR(__xludf.DUMMYFUNCTION("JOIN(""
"",FILTER($B153:$B1300,$A153:$A1300=E153))"),"Statistik Daerah Kabupaten Dairi 2021")</f>
        <v>Statistik Daerah Kabupaten Dairi 2021</v>
      </c>
    </row>
    <row r="154">
      <c r="A154" s="13" t="str">
        <f>IFERROR(__xludf.DUMMYFUNCTION("""COMPUTED_VALUE"""),"arifsuroso2009@gmail:com")</f>
        <v>arifsuroso2009@gmail:com</v>
      </c>
      <c r="B154" s="13" t="str">
        <f>IFERROR(__xludf.DUMMYFUNCTION("""COMPUTED_VALUE"""),"Kecamatan Sumbul Dalam Angka 2022")</f>
        <v>Kecamatan Sumbul Dalam Angka 2022</v>
      </c>
      <c r="C154" s="13" t="str">
        <f>IFERROR(__xludf.DUMMYFUNCTION("""COMPUTED_VALUE"""),"Publikasi")</f>
        <v>Publikasi</v>
      </c>
      <c r="E154" s="19" t="s">
        <v>1486</v>
      </c>
      <c r="F154" s="20" t="str">
        <f>IFERROR(__xludf.DUMMYFUNCTION("JOIN(""
"",FILTER($B154:$B1300,$A154:$A1300=E154))"),"Hasil Pencacahan Lengkap Sensus Pertanian 2024 - Tahap I Kabupaten Dairi")</f>
        <v>Hasil Pencacahan Lengkap Sensus Pertanian 2024 - Tahap I Kabupaten Dairi</v>
      </c>
    </row>
    <row r="155">
      <c r="A155" s="13" t="str">
        <f>IFERROR(__xludf.DUMMYFUNCTION("""COMPUTED_VALUE"""),"arifsuroso2009@gmail:com")</f>
        <v>arifsuroso2009@gmail:com</v>
      </c>
      <c r="B155" s="13" t="str">
        <f>IFERROR(__xludf.DUMMYFUNCTION("""COMPUTED_VALUE"""),"Kecamatan Tanah Pinem Dalam Angka 2022")</f>
        <v>Kecamatan Tanah Pinem Dalam Angka 2022</v>
      </c>
      <c r="C155" s="13" t="str">
        <f>IFERROR(__xludf.DUMMYFUNCTION("""COMPUTED_VALUE"""),"Publikasi")</f>
        <v>Publikasi</v>
      </c>
      <c r="E155" s="19" t="s">
        <v>1646</v>
      </c>
      <c r="F155" s="20" t="str">
        <f>IFERROR(__xludf.DUMMYFUNCTION("JOIN(""
"",FILTER($B155:$B1300,$A155:$A1300=E155))"),"Kabupaten Dairi Dalam Angka 2022")</f>
        <v>Kabupaten Dairi Dalam Angka 2022</v>
      </c>
    </row>
    <row r="156">
      <c r="A156" s="13" t="str">
        <f>IFERROR(__xludf.DUMMYFUNCTION("""COMPUTED_VALUE"""),"arifsuroso2009@gmail:com")</f>
        <v>arifsuroso2009@gmail:com</v>
      </c>
      <c r="B156" s="13" t="str">
        <f>IFERROR(__xludf.DUMMYFUNCTION("""COMPUTED_VALUE"""),"Kecamatan Tiga Lingga Dalam Angka 2022")</f>
        <v>Kecamatan Tiga Lingga Dalam Angka 2022</v>
      </c>
      <c r="C156" s="13" t="str">
        <f>IFERROR(__xludf.DUMMYFUNCTION("""COMPUTED_VALUE"""),"Publikasi")</f>
        <v>Publikasi</v>
      </c>
      <c r="E156" s="19" t="s">
        <v>1112</v>
      </c>
      <c r="F156" s="20" t="str">
        <f>IFERROR(__xludf.DUMMYFUNCTION("JOIN(""
"",FILTER($B156:$B1300,$A156:$A1300=E156))"),"Kabupaten Dairi Dalam Angka 2024
Kecamatan Sidikalang Dalam Angka 2020
Kecamatan Sidikalang Dalam Angka 2021
Kecamatan Sidikalang Dalam Angka 2022")</f>
        <v>Kabupaten Dairi Dalam Angka 2024
Kecamatan Sidikalang Dalam Angka 2020
Kecamatan Sidikalang Dalam Angka 2021
Kecamatan Sidikalang Dalam Angka 2022</v>
      </c>
    </row>
    <row r="157">
      <c r="A157" s="13" t="str">
        <f>IFERROR(__xludf.DUMMYFUNCTION("""COMPUTED_VALUE"""),"arigenatix26@gmail:com")</f>
        <v>arigenatix26@gmail:com</v>
      </c>
      <c r="B157" s="13" t="str">
        <f>IFERROR(__xludf.DUMMYFUNCTION("""COMPUTED_VALUE"""),"Kabupaten Dairi Dalam Angka 2021")</f>
        <v>Kabupaten Dairi Dalam Angka 2021</v>
      </c>
      <c r="C157" s="13" t="str">
        <f>IFERROR(__xludf.DUMMYFUNCTION("""COMPUTED_VALUE"""),"Publikasi")</f>
        <v>Publikasi</v>
      </c>
      <c r="E157" s="19" t="s">
        <v>1459</v>
      </c>
      <c r="F157" s="20" t="str">
        <f>IFERROR(__xludf.DUMMYFUNCTION("JOIN(""
"",FILTER($B157:$B1300,$A157:$A1300=E157))"),"Kabupaten Dairi Dalam Angka 2024")</f>
        <v>Kabupaten Dairi Dalam Angka 2024</v>
      </c>
    </row>
    <row r="158">
      <c r="A158" s="13" t="str">
        <f>IFERROR(__xludf.DUMMYFUNCTION("""COMPUTED_VALUE"""),"arigenatix26@gmail:com")</f>
        <v>arigenatix26@gmail:com</v>
      </c>
      <c r="B158" s="13" t="str">
        <f>IFERROR(__xludf.DUMMYFUNCTION("""COMPUTED_VALUE"""),"Kabupaten Dairi Dalam Angka 2024")</f>
        <v>Kabupaten Dairi Dalam Angka 2024</v>
      </c>
      <c r="C158" s="13" t="str">
        <f>IFERROR(__xludf.DUMMYFUNCTION("""COMPUTED_VALUE"""),"Publikasi")</f>
        <v>Publikasi</v>
      </c>
      <c r="E158" s="19" t="s">
        <v>1560</v>
      </c>
      <c r="F158" s="20" t="str">
        <f>IFERROR(__xludf.DUMMYFUNCTION("JOIN(""
"",FILTER($B158:$B1300,$A158:$A1300=E158))"),"Kabupaten Dairi Dalam Angka 2022")</f>
        <v>Kabupaten Dairi Dalam Angka 2022</v>
      </c>
    </row>
    <row r="159">
      <c r="A159" s="13" t="str">
        <f>IFERROR(__xludf.DUMMYFUNCTION("""COMPUTED_VALUE"""),"aruwisama@gmail:com")</f>
        <v>aruwisama@gmail:com</v>
      </c>
      <c r="B159" s="13" t="str">
        <f>IFERROR(__xludf.DUMMYFUNCTION("""COMPUTED_VALUE"""),"Kabupaten Dairi Dalam Angka 2022")</f>
        <v>Kabupaten Dairi Dalam Angka 2022</v>
      </c>
      <c r="C159" s="13" t="str">
        <f>IFERROR(__xludf.DUMMYFUNCTION("""COMPUTED_VALUE"""),"Publikasi")</f>
        <v>Publikasi</v>
      </c>
      <c r="E159" s="19" t="s">
        <v>1709</v>
      </c>
      <c r="F159" s="20" t="str">
        <f>IFERROR(__xludf.DUMMYFUNCTION("JOIN(""
"",FILTER($B159:$B1300,$A159:$A1300=E159))"),"Kecamatan Berampu Dalam Angka 2022
Kecamatan Gunung Sitember Dalam Angka 2022
Kecamatan Lae Parira Dalam Angka 2022
Kecamatan Parbuluan Dalam Angka 2022
Kecamatan Pegagan Hilir Dalam Angka 2022
Kecamatan Sidikalang Dalam Angka 2022
Kecamatan Siempat Nempu"&amp;" Dalam Angka 2022
Kecamatan Siempat Nempu Hilir Dalam Angka 2022
Kecamatan Siempat Nempu Hulu Dalam Angka 2022
Kecamatan Silahisabungan Dalam Angka 2022
Kecamatan Silima Pungga-Pungga Dalam Angka 2022
Kecamatan Sitinjo Dalam Angka 2022
Kecamatan Sumbul Da"&amp;"lam Angka 2022
Kecamatan Tanah Pinem Dalam Angka 2022
Kecamatan Tigalingga Dalam Angka 2018")</f>
        <v>Kecamatan Berampu Dalam Angka 2022
Kecamatan Gunung Sitember Dalam Angka 2022
Kecamatan Lae Parira Dalam Angka 2022
Kecamatan Parbuluan Dalam Angka 2022
Kecamatan Pegagan Hilir Dalam Angka 2022
Kecamatan Sidikalang Dalam Angka 2022
Kecamatan Siempat Nempu Dalam Angka 2022
Kecamatan Siempat Nempu Hilir Dalam Angka 2022
Kecamatan Siempat Nempu Hulu Dalam Angka 2022
Kecamatan Silahisabungan Dalam Angka 2022
Kecamatan Silima Pungga-Pungga Dalam Angka 2022
Kecamatan Sitinjo Dalam Angka 2022
Kecamatan Sumbul Dalam Angka 2022
Kecamatan Tanah Pinem Dalam Angka 2022
Kecamatan Tigalingga Dalam Angka 2018</v>
      </c>
    </row>
    <row r="160">
      <c r="A160" s="13" t="str">
        <f>IFERROR(__xludf.DUMMYFUNCTION("""COMPUTED_VALUE"""),"aruwisama@gmail:com")</f>
        <v>aruwisama@gmail:com</v>
      </c>
      <c r="B160" s="13" t="str">
        <f>IFERROR(__xludf.DUMMYFUNCTION("""COMPUTED_VALUE"""),"Kecamatan Sumbul Dalam Angka 2018")</f>
        <v>Kecamatan Sumbul Dalam Angka 2018</v>
      </c>
      <c r="C160" s="13" t="str">
        <f>IFERROR(__xludf.DUMMYFUNCTION("""COMPUTED_VALUE"""),"Publikasi")</f>
        <v>Publikasi</v>
      </c>
      <c r="E160" s="19" t="s">
        <v>1616</v>
      </c>
      <c r="F160" s="20" t="str">
        <f>IFERROR(__xludf.DUMMYFUNCTION("JOIN(""
"",FILTER($B160:$B1300,$A160:$A1300=E160))"),"Kecamatan Parbuluan Dalam Angka 2017
Kecamatan Sidikalang Dalam Angka 2017
Produk Domestik Regional Bruto Kabupaten Dairi Menurut Pengeluaran 2017 - 2021")</f>
        <v>Kecamatan Parbuluan Dalam Angka 2017
Kecamatan Sidikalang Dalam Angka 2017
Produk Domestik Regional Bruto Kabupaten Dairi Menurut Pengeluaran 2017 - 2021</v>
      </c>
    </row>
    <row r="161">
      <c r="A161" s="13" t="str">
        <f>IFERROR(__xludf.DUMMYFUNCTION("""COMPUTED_VALUE"""),"aruwisama@gmail:com")</f>
        <v>aruwisama@gmail:com</v>
      </c>
      <c r="B161" s="13" t="str">
        <f>IFERROR(__xludf.DUMMYFUNCTION("""COMPUTED_VALUE"""),"Kecamatan Sumbul Dalam Angka 2019")</f>
        <v>Kecamatan Sumbul Dalam Angka 2019</v>
      </c>
      <c r="C161" s="13" t="str">
        <f>IFERROR(__xludf.DUMMYFUNCTION("""COMPUTED_VALUE"""),"Publikasi")</f>
        <v>Publikasi</v>
      </c>
      <c r="E161" s="19" t="s">
        <v>1561</v>
      </c>
      <c r="F161" s="20" t="str">
        <f>IFERROR(__xludf.DUMMYFUNCTION("JOIN(""
"",FILTER($B161:$B1300,$A161:$A1300=E161))"),"Kabupaten Dairi Dalam Angka 2022")</f>
        <v>Kabupaten Dairi Dalam Angka 2022</v>
      </c>
    </row>
    <row r="162">
      <c r="A162" s="13" t="str">
        <f>IFERROR(__xludf.DUMMYFUNCTION("""COMPUTED_VALUE"""),"aruwisama@gmail:com")</f>
        <v>aruwisama@gmail:com</v>
      </c>
      <c r="B162" s="13" t="str">
        <f>IFERROR(__xludf.DUMMYFUNCTION("""COMPUTED_VALUE"""),"Kecamatan Sumbul Dalam Angka 2021")</f>
        <v>Kecamatan Sumbul Dalam Angka 2021</v>
      </c>
      <c r="C162" s="13" t="str">
        <f>IFERROR(__xludf.DUMMYFUNCTION("""COMPUTED_VALUE"""),"Publikasi")</f>
        <v>Publikasi</v>
      </c>
      <c r="E162" s="19" t="s">
        <v>1179</v>
      </c>
      <c r="F162" s="20" t="str">
        <f>IFERROR(__xludf.DUMMYFUNCTION("JOIN(""
"",FILTER($B162:$B1300,$A162:$A1300=E162))"),"Kabupaten Dairi Dalam Angka 2024")</f>
        <v>Kabupaten Dairi Dalam Angka 2024</v>
      </c>
    </row>
    <row r="163">
      <c r="A163" s="13" t="str">
        <f>IFERROR(__xludf.DUMMYFUNCTION("""COMPUTED_VALUE"""),"asady:junior@icloud:com")</f>
        <v>asady:junior@icloud:com</v>
      </c>
      <c r="B163" s="13" t="str">
        <f>IFERROR(__xludf.DUMMYFUNCTION("""COMPUTED_VALUE"""),"Hasil Pencacahan Lengkap Sensus Pertanian 2024 - Tahap I Kabupaten Dairi")</f>
        <v>Hasil Pencacahan Lengkap Sensus Pertanian 2024 - Tahap I Kabupaten Dairi</v>
      </c>
      <c r="C163" s="13" t="str">
        <f>IFERROR(__xludf.DUMMYFUNCTION("""COMPUTED_VALUE"""),"Publikasi")</f>
        <v>Publikasi</v>
      </c>
      <c r="E163" s="19" t="s">
        <v>1471</v>
      </c>
      <c r="F163" s="20" t="str">
        <f>IFERROR(__xludf.DUMMYFUNCTION("JOIN(""
"",FILTER($B163:$B1300,$A163:$A1300=E163))"),"Hasil Pencacahan Lengkap Sensus Pertanian 2024 - Tahap I Kabupaten Dairi
Indeks Pembangunan Manusia Kabupaten Dairi 2024
Kabupaten Dairi Dalam Angka 2024")</f>
        <v>Hasil Pencacahan Lengkap Sensus Pertanian 2024 - Tahap I Kabupaten Dairi
Indeks Pembangunan Manusia Kabupaten Dairi 2024
Kabupaten Dairi Dalam Angka 2024</v>
      </c>
    </row>
    <row r="164">
      <c r="A164" s="13" t="str">
        <f>IFERROR(__xludf.DUMMYFUNCTION("""COMPUTED_VALUE"""),"asdf@asdf:com")</f>
        <v>asdf@asdf:com</v>
      </c>
      <c r="B164" s="13" t="str">
        <f>IFERROR(__xludf.DUMMYFUNCTION("""COMPUTED_VALUE"""),"Profil Kependudukan dan Ketenagakerjaan Kabupaten Dairi 2022")</f>
        <v>Profil Kependudukan dan Ketenagakerjaan Kabupaten Dairi 2022</v>
      </c>
      <c r="C164" s="13" t="str">
        <f>IFERROR(__xludf.DUMMYFUNCTION("""COMPUTED_VALUE"""),"Publikasi")</f>
        <v>Publikasi</v>
      </c>
      <c r="E164" s="19" t="s">
        <v>1140</v>
      </c>
      <c r="F164" s="20" t="str">
        <f>IFERROR(__xludf.DUMMYFUNCTION("JOIN(""
"",FILTER($B164:$B1300,$A164:$A1300=E164))"),"Kabupaten Dairi Dalam Angka 2020
Kabupaten Dairi Dalam Angka 2022
Kabupaten Dairi Dalam Angka 2024")</f>
        <v>Kabupaten Dairi Dalam Angka 2020
Kabupaten Dairi Dalam Angka 2022
Kabupaten Dairi Dalam Angka 2024</v>
      </c>
    </row>
    <row r="165">
      <c r="A165" s="13" t="str">
        <f>IFERROR(__xludf.DUMMYFUNCTION("""COMPUTED_VALUE"""),"asndf@klajd:kljsdf")</f>
        <v>asndf@klajd:kljsdf</v>
      </c>
      <c r="B165" s="13" t="str">
        <f>IFERROR(__xludf.DUMMYFUNCTION("""COMPUTED_VALUE"""),"Indikator Kesejahteraan Rakyat Kabupaten Dairi Tahun 2024")</f>
        <v>Indikator Kesejahteraan Rakyat Kabupaten Dairi Tahun 2024</v>
      </c>
      <c r="C165" s="13" t="str">
        <f>IFERROR(__xludf.DUMMYFUNCTION("""COMPUTED_VALUE"""),"Publikasi")</f>
        <v>Publikasi</v>
      </c>
      <c r="E165" s="19" t="s">
        <v>135</v>
      </c>
      <c r="F165" s="20" t="str">
        <f>IFERROR(__xludf.DUMMYFUNCTION("JOIN(""
"",FILTER($B165:$B1300,$A165:$A1300=E165))"),"Hasil Pencacahan Lengkap Sensus Pertanian 2024 - Tahap I Kabupaten Dairi")</f>
        <v>Hasil Pencacahan Lengkap Sensus Pertanian 2024 - Tahap I Kabupaten Dairi</v>
      </c>
    </row>
    <row r="166">
      <c r="A166" s="13" t="str">
        <f>IFERROR(__xludf.DUMMYFUNCTION("""COMPUTED_VALUE"""),"atatak78@gmail:com")</f>
        <v>atatak78@gmail:com</v>
      </c>
      <c r="B166" s="13" t="str">
        <f>IFERROR(__xludf.DUMMYFUNCTION("""COMPUTED_VALUE"""),"Kabupaten Dairi Dalam Angka 2021")</f>
        <v>Kabupaten Dairi Dalam Angka 2021</v>
      </c>
      <c r="C166" s="13" t="str">
        <f>IFERROR(__xludf.DUMMYFUNCTION("""COMPUTED_VALUE"""),"Publikasi")</f>
        <v>Publikasi</v>
      </c>
      <c r="E166" s="19" t="s">
        <v>1148</v>
      </c>
      <c r="F166" s="20" t="str">
        <f>IFERROR(__xludf.DUMMYFUNCTION("JOIN(""
"",FILTER($B166:$B1300,$A166:$A1300=E166))"),"Kabupaten Dairi Dalam Angka 2024")</f>
        <v>Kabupaten Dairi Dalam Angka 2024</v>
      </c>
    </row>
    <row r="167">
      <c r="A167" s="13" t="str">
        <f>IFERROR(__xludf.DUMMYFUNCTION("""COMPUTED_VALUE"""),"auliawardani1404@gmail:com")</f>
        <v>auliawardani1404@gmail:com</v>
      </c>
      <c r="B167" s="13" t="str">
        <f>IFERROR(__xludf.DUMMYFUNCTION("""COMPUTED_VALUE"""),"Kecamatan Sumbul Dalam Angka 2024")</f>
        <v>Kecamatan Sumbul Dalam Angka 2024</v>
      </c>
      <c r="C167" s="13" t="str">
        <f>IFERROR(__xludf.DUMMYFUNCTION("""COMPUTED_VALUE"""),"Publikasi")</f>
        <v>Publikasi</v>
      </c>
      <c r="E167" s="19" t="s">
        <v>1457</v>
      </c>
      <c r="F167" s="20" t="str">
        <f>IFERROR(__xludf.DUMMYFUNCTION("JOIN(""
"",FILTER($B167:$B1300,$A167:$A1300=E167))"),"Kabupaten Dairi Dalam Angka 2021")</f>
        <v>Kabupaten Dairi Dalam Angka 2021</v>
      </c>
    </row>
    <row r="168">
      <c r="A168" s="13" t="str">
        <f>IFERROR(__xludf.DUMMYFUNCTION("""COMPUTED_VALUE"""),"auliwardani40@gmail:com")</f>
        <v>auliwardani40@gmail:com</v>
      </c>
      <c r="B168" s="13" t="str">
        <f>IFERROR(__xludf.DUMMYFUNCTION("""COMPUTED_VALUE"""),"Kecamatan Sumbul Dalam Angka 2021")</f>
        <v>Kecamatan Sumbul Dalam Angka 2021</v>
      </c>
      <c r="C168" s="13" t="str">
        <f>IFERROR(__xludf.DUMMYFUNCTION("""COMPUTED_VALUE"""),"Publikasi")</f>
        <v>Publikasi</v>
      </c>
      <c r="E168" s="19" t="s">
        <v>1416</v>
      </c>
      <c r="F168" s="20" t="str">
        <f>IFERROR(__xludf.DUMMYFUNCTION("JOIN(""
"",FILTER($B168:$B1300,$A168:$A1300=E168))"),"Kabupaten Dairi Dalam Angka 2022
Kabupaten Dairi Dalam Angka 2024")</f>
        <v>Kabupaten Dairi Dalam Angka 2022
Kabupaten Dairi Dalam Angka 2024</v>
      </c>
    </row>
    <row r="169">
      <c r="A169" s="13" t="str">
        <f>IFERROR(__xludf.DUMMYFUNCTION("""COMPUTED_VALUE"""),"avans1209@gmail:com")</f>
        <v>avans1209@gmail:com</v>
      </c>
      <c r="B169" s="13" t="str">
        <f>IFERROR(__xludf.DUMMYFUNCTION("""COMPUTED_VALUE"""),"Kabupaten Dairi Dalam Angka 2024")</f>
        <v>Kabupaten Dairi Dalam Angka 2024</v>
      </c>
      <c r="C169" s="13" t="str">
        <f>IFERROR(__xludf.DUMMYFUNCTION("""COMPUTED_VALUE"""),"Publikasi")</f>
        <v>Publikasi</v>
      </c>
      <c r="E169" s="19" t="s">
        <v>1636</v>
      </c>
      <c r="F169" s="20" t="str">
        <f>IFERROR(__xludf.DUMMYFUNCTION("JOIN(""
"",FILTER($B169:$B1300,$A169:$A1300=E169))"),"Kecamatan Silahisabungan Dalam Angka 2021")</f>
        <v>Kecamatan Silahisabungan Dalam Angka 2021</v>
      </c>
    </row>
    <row r="170">
      <c r="A170" s="13" t="str">
        <f>IFERROR(__xludf.DUMMYFUNCTION("""COMPUTED_VALUE"""),"axioapr@duck:com")</f>
        <v>axioapr@duck:com</v>
      </c>
      <c r="B170" s="13" t="str">
        <f>IFERROR(__xludf.DUMMYFUNCTION("""COMPUTED_VALUE"""),"Kabupaten Dairi Dalam Angka 2024")</f>
        <v>Kabupaten Dairi Dalam Angka 2024</v>
      </c>
      <c r="C170" s="13" t="str">
        <f>IFERROR(__xludf.DUMMYFUNCTION("""COMPUTED_VALUE"""),"Publikasi")</f>
        <v>Publikasi</v>
      </c>
      <c r="E170" s="19" t="s">
        <v>1738</v>
      </c>
      <c r="F170" s="20" t="str">
        <f>IFERROR(__xludf.DUMMYFUNCTION("JOIN(""
"",FILTER($B170:$B1300,$A170:$A1300=E170))"),"Kabupaten Dairi Dalam Angka 2022")</f>
        <v>Kabupaten Dairi Dalam Angka 2022</v>
      </c>
    </row>
    <row r="171">
      <c r="A171" s="13" t="str">
        <f>IFERROR(__xludf.DUMMYFUNCTION("""COMPUTED_VALUE"""),"ayuunormann@gmail:com")</f>
        <v>ayuunormann@gmail:com</v>
      </c>
      <c r="B171" s="13" t="str">
        <f>IFERROR(__xludf.DUMMYFUNCTION("""COMPUTED_VALUE"""),"Kabupaten Dairi Dalam Angka 2021")</f>
        <v>Kabupaten Dairi Dalam Angka 2021</v>
      </c>
      <c r="C171" s="13" t="str">
        <f>IFERROR(__xludf.DUMMYFUNCTION("""COMPUTED_VALUE"""),"Publikasi")</f>
        <v>Publikasi</v>
      </c>
      <c r="E171" s="19" t="s">
        <v>1631</v>
      </c>
      <c r="F171" s="20" t="str">
        <f>IFERROR(__xludf.DUMMYFUNCTION("JOIN(""
"",FILTER($B171:$B1300,$A171:$A1300=E171))"),"Kabupaten Dairi Dalam Angka 2022")</f>
        <v>Kabupaten Dairi Dalam Angka 2022</v>
      </c>
    </row>
    <row r="172">
      <c r="A172" s="13" t="str">
        <f>IFERROR(__xludf.DUMMYFUNCTION("""COMPUTED_VALUE"""),"ayuunormann@gmail:com")</f>
        <v>ayuunormann@gmail:com</v>
      </c>
      <c r="B172" s="13" t="str">
        <f>IFERROR(__xludf.DUMMYFUNCTION("""COMPUTED_VALUE"""),"Kabupaten Dairi Dalam Angka 2022")</f>
        <v>Kabupaten Dairi Dalam Angka 2022</v>
      </c>
      <c r="C172" s="13" t="str">
        <f>IFERROR(__xludf.DUMMYFUNCTION("""COMPUTED_VALUE"""),"Publikasi")</f>
        <v>Publikasi</v>
      </c>
      <c r="E172" s="19" t="s">
        <v>1660</v>
      </c>
      <c r="F172" s="20" t="str">
        <f>IFERROR(__xludf.DUMMYFUNCTION("JOIN(""
"",FILTER($B172:$B1300,$A172:$A1300=E172))"),"Kabupaten Dairi Dalam Angka 2020
Kabupaten Dairi Dalam Angka 2021
Kabupaten Dairi Dalam Angka 2022")</f>
        <v>Kabupaten Dairi Dalam Angka 2020
Kabupaten Dairi Dalam Angka 2021
Kabupaten Dairi Dalam Angka 2022</v>
      </c>
    </row>
    <row r="173">
      <c r="A173" s="13" t="str">
        <f>IFERROR(__xludf.DUMMYFUNCTION("""COMPUTED_VALUE"""),"Azhimah91@gmail:com")</f>
        <v>Azhimah91@gmail:com</v>
      </c>
      <c r="B173" s="13" t="str">
        <f>IFERROR(__xludf.DUMMYFUNCTION("""COMPUTED_VALUE"""),"Kabupaten Dairi Dalam Angka 2024")</f>
        <v>Kabupaten Dairi Dalam Angka 2024</v>
      </c>
      <c r="C173" s="13" t="str">
        <f>IFERROR(__xludf.DUMMYFUNCTION("""COMPUTED_VALUE"""),"Publikasi")</f>
        <v>Publikasi</v>
      </c>
      <c r="E173" s="19" t="s">
        <v>1438</v>
      </c>
      <c r="F173" s="20" t="str">
        <f>IFERROR(__xludf.DUMMYFUNCTION("JOIN(""
"",FILTER($B173:$B1300,$A173:$A1300=E173))"),"Kabupaten Dairi Dalam Angka 2022")</f>
        <v>Kabupaten Dairi Dalam Angka 2022</v>
      </c>
    </row>
    <row r="174">
      <c r="A174" s="13" t="str">
        <f>IFERROR(__xludf.DUMMYFUNCTION("""COMPUTED_VALUE"""),"azhrioktavian@gmail:com")</f>
        <v>azhrioktavian@gmail:com</v>
      </c>
      <c r="B174" s="13" t="str">
        <f>IFERROR(__xludf.DUMMYFUNCTION("""COMPUTED_VALUE"""),"Kabupaten Dairi Dalam Angka 2022")</f>
        <v>Kabupaten Dairi Dalam Angka 2022</v>
      </c>
      <c r="C174" s="13" t="str">
        <f>IFERROR(__xludf.DUMMYFUNCTION("""COMPUTED_VALUE"""),"Publikasi")</f>
        <v>Publikasi</v>
      </c>
      <c r="E174" s="19" t="s">
        <v>1671</v>
      </c>
      <c r="F174" s="20" t="str">
        <f>IFERROR(__xludf.DUMMYFUNCTION("JOIN(""
"",FILTER($B174:$B1300,$A174:$A1300=E174))"),"Indikator Kesejahteraan Rakyat Kabupaten Dairi 2021")</f>
        <v>Indikator Kesejahteraan Rakyat Kabupaten Dairi 2021</v>
      </c>
    </row>
    <row r="175">
      <c r="A175" s="13" t="str">
        <f>IFERROR(__xludf.DUMMYFUNCTION("""COMPUTED_VALUE"""),"azrilingga95@gmail:com")</f>
        <v>azrilingga95@gmail:com</v>
      </c>
      <c r="B175" s="13" t="str">
        <f>IFERROR(__xludf.DUMMYFUNCTION("""COMPUTED_VALUE"""),"Kecamatan Sidikalang Dalam Angka 2022")</f>
        <v>Kecamatan Sidikalang Dalam Angka 2022</v>
      </c>
      <c r="C175" s="13" t="str">
        <f>IFERROR(__xludf.DUMMYFUNCTION("""COMPUTED_VALUE"""),"Publikasi")</f>
        <v>Publikasi</v>
      </c>
      <c r="E175" s="19" t="s">
        <v>1602</v>
      </c>
      <c r="F175" s="20" t="str">
        <f>IFERROR(__xludf.DUMMYFUNCTION("JOIN(""
"",FILTER($B175:$B1300,$A175:$A1300=E175))"),"Kabupaten Dairi Dalam Angka 2020")</f>
        <v>Kabupaten Dairi Dalam Angka 2020</v>
      </c>
    </row>
    <row r="176">
      <c r="A176" s="13" t="str">
        <f>IFERROR(__xludf.DUMMYFUNCTION("""COMPUTED_VALUE"""),"azzahradalvi8@gmail:com")</f>
        <v>azzahradalvi8@gmail:com</v>
      </c>
      <c r="B176" s="13" t="str">
        <f>IFERROR(__xludf.DUMMYFUNCTION("""COMPUTED_VALUE"""),"Kabupaten Dairi Dalam Angka 2022")</f>
        <v>Kabupaten Dairi Dalam Angka 2022</v>
      </c>
      <c r="C176" s="13" t="str">
        <f>IFERROR(__xludf.DUMMYFUNCTION("""COMPUTED_VALUE"""),"Publikasi")</f>
        <v>Publikasi</v>
      </c>
      <c r="E176" s="19" t="s">
        <v>1236</v>
      </c>
      <c r="F176" s="20" t="str">
        <f>IFERROR(__xludf.DUMMYFUNCTION("JOIN(""
"",FILTER($B176:$B1300,$A176:$A1300=E176))"),"Kecamatan Sumbul Dalam Angka 2021
Kecamatan Sumbul Dalam Angka 2024")</f>
        <v>Kecamatan Sumbul Dalam Angka 2021
Kecamatan Sumbul Dalam Angka 2024</v>
      </c>
    </row>
    <row r="177">
      <c r="A177" s="13" t="str">
        <f>IFERROR(__xludf.DUMMYFUNCTION("""COMPUTED_VALUE"""),"backtiarpp@gmail:com")</f>
        <v>backtiarpp@gmail:com</v>
      </c>
      <c r="B177" s="13" t="str">
        <f>IFERROR(__xludf.DUMMYFUNCTION("""COMPUTED_VALUE"""),"Produk Domestik Regional Bruto Kabupaten Dairi Menurut Lapangan Usaha 2018 - 2022")</f>
        <v>Produk Domestik Regional Bruto Kabupaten Dairi Menurut Lapangan Usaha 2018 - 2022</v>
      </c>
      <c r="C177" s="13" t="str">
        <f>IFERROR(__xludf.DUMMYFUNCTION("""COMPUTED_VALUE"""),"Publikasi")</f>
        <v>Publikasi</v>
      </c>
      <c r="E177" s="19" t="s">
        <v>1201</v>
      </c>
      <c r="F177" s="20" t="str">
        <f>IFERROR(__xludf.DUMMYFUNCTION("JOIN(""
"",FILTER($B177:$B1300,$A177:$A1300=E177))"),"Kabupaten Dairi Dalam Angka 2024
Kecamatan Sumbul Dalam Angka 2024")</f>
        <v>Kabupaten Dairi Dalam Angka 2024
Kecamatan Sumbul Dalam Angka 2024</v>
      </c>
    </row>
    <row r="178">
      <c r="A178" s="13" t="str">
        <f>IFERROR(__xludf.DUMMYFUNCTION("""COMPUTED_VALUE"""),"bagasfahriansyah16@gmail:com")</f>
        <v>bagasfahriansyah16@gmail:com</v>
      </c>
      <c r="B178" s="13" t="str">
        <f>IFERROR(__xludf.DUMMYFUNCTION("""COMPUTED_VALUE"""),"Indikator Kesejahteraan Rakyat Kabupaten Dairi Tahun 2022")</f>
        <v>Indikator Kesejahteraan Rakyat Kabupaten Dairi Tahun 2022</v>
      </c>
      <c r="C178" s="13" t="str">
        <f>IFERROR(__xludf.DUMMYFUNCTION("""COMPUTED_VALUE"""),"Publikasi")</f>
        <v>Publikasi</v>
      </c>
      <c r="E178" s="19" t="s">
        <v>1186</v>
      </c>
      <c r="F178" s="20" t="str">
        <f>IFERROR(__xludf.DUMMYFUNCTION("JOIN(""
"",FILTER($B178:$B1300,$A178:$A1300=E178))"),"Kecamatan Sumbul Dalam Angka 2024")</f>
        <v>Kecamatan Sumbul Dalam Angka 2024</v>
      </c>
    </row>
    <row r="179">
      <c r="A179" s="13" t="str">
        <f>IFERROR(__xludf.DUMMYFUNCTION("""COMPUTED_VALUE"""),"bagasfahriansyah16@gmail:com")</f>
        <v>bagasfahriansyah16@gmail:com</v>
      </c>
      <c r="B179" s="13" t="str">
        <f>IFERROR(__xludf.DUMMYFUNCTION("""COMPUTED_VALUE"""),"Statistik Kesejahteraan Rakyat Kabupaten Dairi 2022")</f>
        <v>Statistik Kesejahteraan Rakyat Kabupaten Dairi 2022</v>
      </c>
      <c r="C179" s="13" t="str">
        <f>IFERROR(__xludf.DUMMYFUNCTION("""COMPUTED_VALUE"""),"Publikasi")</f>
        <v>Publikasi</v>
      </c>
      <c r="E179" s="19" t="s">
        <v>1342</v>
      </c>
      <c r="F179" s="20" t="str">
        <f>IFERROR(__xludf.DUMMYFUNCTION("JOIN(""
"",FILTER($B179:$B1300,$A179:$A1300=E179))"),"Kecamatan Parbuluan Dalam Angka 2021
Statistik Hortikultura Kabupaten Dairi Tahun 2021")</f>
        <v>Kecamatan Parbuluan Dalam Angka 2021
Statistik Hortikultura Kabupaten Dairi Tahun 2021</v>
      </c>
    </row>
    <row r="180">
      <c r="A180" s="13" t="str">
        <f>IFERROR(__xludf.DUMMYFUNCTION("""COMPUTED_VALUE"""),"bagrenpolresdairi@gmail:com")</f>
        <v>bagrenpolresdairi@gmail:com</v>
      </c>
      <c r="B180" s="13" t="str">
        <f>IFERROR(__xludf.DUMMYFUNCTION("""COMPUTED_VALUE"""),"Indikator Kesejahteraan Rakyat Kabupaten Dairi Tahun 2024")</f>
        <v>Indikator Kesejahteraan Rakyat Kabupaten Dairi Tahun 2024</v>
      </c>
      <c r="C180" s="13" t="str">
        <f>IFERROR(__xludf.DUMMYFUNCTION("""COMPUTED_VALUE"""),"Publikasi")</f>
        <v>Publikasi</v>
      </c>
      <c r="E180" s="19" t="s">
        <v>1123</v>
      </c>
      <c r="F180" s="20" t="str">
        <f>IFERROR(__xludf.DUMMYFUNCTION("JOIN(""
"",FILTER($B180:$B1300,$A180:$A1300=E180))"),"Indikator Kesejahteraan Rakyat Kabupaten Dairi Tahun 2024")</f>
        <v>Indikator Kesejahteraan Rakyat Kabupaten Dairi Tahun 2024</v>
      </c>
    </row>
    <row r="181">
      <c r="A181" s="13" t="str">
        <f>IFERROR(__xludf.DUMMYFUNCTION("""COMPUTED_VALUE"""),"bancindwiyanti@gmail:com")</f>
        <v>bancindwiyanti@gmail:com</v>
      </c>
      <c r="B181" s="13" t="str">
        <f>IFERROR(__xludf.DUMMYFUNCTION("""COMPUTED_VALUE"""),"Kabupaten Dairi Dalam Angka 2016")</f>
        <v>Kabupaten Dairi Dalam Angka 2016</v>
      </c>
      <c r="C181" s="13" t="str">
        <f>IFERROR(__xludf.DUMMYFUNCTION("""COMPUTED_VALUE"""),"Publikasi")</f>
        <v>Publikasi</v>
      </c>
      <c r="E181" s="19" t="s">
        <v>1124</v>
      </c>
      <c r="F181" s="20" t="str">
        <f>IFERROR(__xludf.DUMMYFUNCTION("JOIN(""
"",FILTER($B181:$B1300,$A181:$A1300=E181))"),"Indikator Kesejahteraan Rakyat Kabupaten Dairi Tahun 2024")</f>
        <v>Indikator Kesejahteraan Rakyat Kabupaten Dairi Tahun 2024</v>
      </c>
    </row>
    <row r="182">
      <c r="A182" s="13" t="str">
        <f>IFERROR(__xludf.DUMMYFUNCTION("""COMPUTED_VALUE"""),"bancindwiyanti@gmail:com")</f>
        <v>bancindwiyanti@gmail:com</v>
      </c>
      <c r="B182" s="13" t="str">
        <f>IFERROR(__xludf.DUMMYFUNCTION("""COMPUTED_VALUE"""),"Kabupaten Dairi Dalam Angka 2017")</f>
        <v>Kabupaten Dairi Dalam Angka 2017</v>
      </c>
      <c r="C182" s="13" t="str">
        <f>IFERROR(__xludf.DUMMYFUNCTION("""COMPUTED_VALUE"""),"Publikasi")</f>
        <v>Publikasi</v>
      </c>
      <c r="E182" s="19" t="s">
        <v>1126</v>
      </c>
      <c r="F182" s="20" t="str">
        <f>IFERROR(__xludf.DUMMYFUNCTION("JOIN(""
"",FILTER($B182:$B1300,$A182:$A1300=E182))"),"Indikator Kesejahteraan Rakyat Kabupaten Dairi Tahun 2024")</f>
        <v>Indikator Kesejahteraan Rakyat Kabupaten Dairi Tahun 2024</v>
      </c>
    </row>
    <row r="183">
      <c r="A183" s="13" t="str">
        <f>IFERROR(__xludf.DUMMYFUNCTION("""COMPUTED_VALUE"""),"bancindwiyanti@gmail:com")</f>
        <v>bancindwiyanti@gmail:com</v>
      </c>
      <c r="B183" s="13" t="str">
        <f>IFERROR(__xludf.DUMMYFUNCTION("""COMPUTED_VALUE"""),"Kabupaten Dairi Dalam Angka 2018")</f>
        <v>Kabupaten Dairi Dalam Angka 2018</v>
      </c>
      <c r="C183" s="13" t="str">
        <f>IFERROR(__xludf.DUMMYFUNCTION("""COMPUTED_VALUE"""),"Publikasi")</f>
        <v>Publikasi</v>
      </c>
      <c r="E183" s="19" t="s">
        <v>1121</v>
      </c>
      <c r="F183" s="20" t="str">
        <f>IFERROR(__xludf.DUMMYFUNCTION("JOIN(""
"",FILTER($B183:$B1300,$A183:$A1300=E183))"),"Indikator Kesejahteraan Rakyat Kabupaten Dairi Tahun 2024")</f>
        <v>Indikator Kesejahteraan Rakyat Kabupaten Dairi Tahun 2024</v>
      </c>
    </row>
    <row r="184">
      <c r="A184" s="13" t="str">
        <f>IFERROR(__xludf.DUMMYFUNCTION("""COMPUTED_VALUE"""),"bancindwiyanti@gmail:com")</f>
        <v>bancindwiyanti@gmail:com</v>
      </c>
      <c r="B184" s="13" t="str">
        <f>IFERROR(__xludf.DUMMYFUNCTION("""COMPUTED_VALUE"""),"Kabupaten Dairi Dalam Angka 2019")</f>
        <v>Kabupaten Dairi Dalam Angka 2019</v>
      </c>
      <c r="C184" s="13" t="str">
        <f>IFERROR(__xludf.DUMMYFUNCTION("""COMPUTED_VALUE"""),"Publikasi")</f>
        <v>Publikasi</v>
      </c>
      <c r="E184" s="19" t="s">
        <v>1216</v>
      </c>
      <c r="F184" s="20" t="str">
        <f>IFERROR(__xludf.DUMMYFUNCTION("JOIN(""
"",FILTER($B184:$B1300,$A184:$A1300=E184))"),"Kecamatan Parbuluan Dalam Angka 2019
Kecamatan Sumbul Dalam Angka 2024
Statistik Lahan Bukan Sawah Kabupaten Dairi 2017")</f>
        <v>Kecamatan Parbuluan Dalam Angka 2019
Kecamatan Sumbul Dalam Angka 2024
Statistik Lahan Bukan Sawah Kabupaten Dairi 2017</v>
      </c>
    </row>
    <row r="185">
      <c r="A185" s="13" t="str">
        <f>IFERROR(__xludf.DUMMYFUNCTION("""COMPUTED_VALUE"""),"bancindwiyanti@gmail:com")</f>
        <v>bancindwiyanti@gmail:com</v>
      </c>
      <c r="B185" s="13" t="str">
        <f>IFERROR(__xludf.DUMMYFUNCTION("""COMPUTED_VALUE"""),"Kabupaten Dairi Dalam Angka 2020")</f>
        <v>Kabupaten Dairi Dalam Angka 2020</v>
      </c>
      <c r="C185" s="13" t="str">
        <f>IFERROR(__xludf.DUMMYFUNCTION("""COMPUTED_VALUE"""),"Publikasi")</f>
        <v>Publikasi</v>
      </c>
      <c r="E185" s="19" t="s">
        <v>1162</v>
      </c>
      <c r="F185" s="20" t="str">
        <f>IFERROR(__xludf.DUMMYFUNCTION("JOIN(""
"",FILTER($B185:$B1300,$A185:$A1300=E185))"),"Kabupaten Dairi Dalam Angka 2024")</f>
        <v>Kabupaten Dairi Dalam Angka 2024</v>
      </c>
    </row>
    <row r="186">
      <c r="A186" s="13" t="str">
        <f>IFERROR(__xludf.DUMMYFUNCTION("""COMPUTED_VALUE"""),"bancindwiyanti@gmail:com")</f>
        <v>bancindwiyanti@gmail:com</v>
      </c>
      <c r="B186" s="13" t="str">
        <f>IFERROR(__xludf.DUMMYFUNCTION("""COMPUTED_VALUE"""),"Kabupaten Dairi Dalam Angka 2021")</f>
        <v>Kabupaten Dairi Dalam Angka 2021</v>
      </c>
      <c r="C186" s="13" t="str">
        <f>IFERROR(__xludf.DUMMYFUNCTION("""COMPUTED_VALUE"""),"Publikasi")</f>
        <v>Publikasi</v>
      </c>
      <c r="E186" s="19" t="s">
        <v>1463</v>
      </c>
      <c r="F186" s="20" t="str">
        <f>IFERROR(__xludf.DUMMYFUNCTION("JOIN(""
"",FILTER($B186:$B1300,$A186:$A1300=E186))"),"Kecamatan Sidikalang Dalam Angka 2019")</f>
        <v>Kecamatan Sidikalang Dalam Angka 2019</v>
      </c>
    </row>
    <row r="187">
      <c r="A187" s="13" t="str">
        <f>IFERROR(__xludf.DUMMYFUNCTION("""COMPUTED_VALUE"""),"bancindwiyanti@gmail:com")</f>
        <v>bancindwiyanti@gmail:com</v>
      </c>
      <c r="B187" s="13" t="str">
        <f>IFERROR(__xludf.DUMMYFUNCTION("""COMPUTED_VALUE"""),"Kabupaten Dairi Dalam Angka 2022")</f>
        <v>Kabupaten Dairi Dalam Angka 2022</v>
      </c>
      <c r="C187" s="13" t="str">
        <f>IFERROR(__xludf.DUMMYFUNCTION("""COMPUTED_VALUE"""),"Publikasi")</f>
        <v>Publikasi</v>
      </c>
      <c r="E187" s="19" t="s">
        <v>1540</v>
      </c>
      <c r="F187" s="20" t="str">
        <f>IFERROR(__xludf.DUMMYFUNCTION("JOIN(""
"",FILTER($B187:$B1300,$A187:$A1300=E187))"),"Analisis Hasil Survei Kebutuhan Data BPS Kabupaten Dairi 2024
Buklet Hasil Pencacahan Lengkap Sensus Pertanian 2024 - Tahap I Kabupaten Dairi
Direktori Perusahaan Konstruksi Kabupaten Dairi 2022
Hasil Pencacahan Lengkap Sensus Pertanian 2024 - Tahap I Kab"&amp;"upaten Dairi
Indeks Pembangunan Manusia Kabupaten Dairi 2024
Indikator Kesejahteraan Rakyat Kabupaten Dairi Tahun 2024
Kecamatan Berampu Dalam Angka 2024
Kecamatan Gunung Sitember Dalam Angka 2024
Kecamatan Lae Parira Dalam Angka 2024
Kecamatan Parbuluan "&amp;"Dalam Angka 2024
Kecamatan Pegagan Hilir Dalam Angka 2024
Kecamatan Sidikalang Dalam Angka 2024
Kecamatan Siempat Nempu Dalam Angka 2024
Kecamatan Siempat Nempu Hilir Dalam Angka 2024
Kecamatan Siempat Nempu Hulu Dalam Angka 2024
Kecamatan Silahisabungan "&amp;"Dalam Angka 2024
Kecamatan Silima Pungga-Pungga Dalam Angka 2024
Kecamatan Sitinjo Dalam Angka 2024
Kecamatan Sumbul Dalam Angka 2024
Kecamatan Tanah Pinem Dalam Angka 2024
Kecamatan Tiga Lingga Dalam Angka 2024
Profil Kependudukan dan Ketenagakerjaan Kab"&amp;"upaten Dairi 2022
Statistik Daerah Kabupaten Dairi 2024
Statistik Hortikultura Kabupaten Dairi Tahun 2022
Statistik Kesejahteraan Rakyat Kabupaten Dairi 2024")</f>
        <v>Analisis Hasil Survei Kebutuhan Data BPS Kabupaten Dairi 2024
Buklet Hasil Pencacahan Lengkap Sensus Pertanian 2024 - Tahap I Kabupaten Dairi
Direktori Perusahaan Konstruksi Kabupaten Dairi 2022
Hasil Pencacahan Lengkap Sensus Pertanian 2024 - Tahap I Kabupaten Dairi
Indeks Pembangunan Manusia Kabupaten Dairi 2024
Indikator Kesejahteraan Rakyat Kabupaten Dairi Tahun 2024
Kecamatan Berampu Dalam Angka 2024
Kecamatan Gunung Sitember Dalam Angka 2024
Kecamatan Lae Parira Dalam Angka 2024
Kecamatan Parbuluan Dalam Angka 2024
Kecamatan Pegagan Hilir Dalam Angka 2024
Kecamatan Sidikalang Dalam Angka 2024
Kecamatan Siempat Nempu Dalam Angka 2024
Kecamatan Siempat Nempu Hilir Dalam Angka 2024
Kecamatan Siempat Nempu Hulu Dalam Angka 2024
Kecamatan Silahisabungan Dalam Angka 2024
Kecamatan Silima Pungga-Pungga Dalam Angka 2024
Kecamatan Sitinjo Dalam Angka 2024
Kecamatan Sumbul Dalam Angka 2024
Kecamatan Tanah Pinem Dalam Angka 2024
Kecamatan Tiga Lingga Dalam Angka 2024
Profil Kependudukan dan Ketenagakerjaan Kabupaten Dairi 2022
Statistik Daerah Kabupaten Dairi 2024
Statistik Hortikultura Kabupaten Dairi Tahun 2022
Statistik Kesejahteraan Rakyat Kabupaten Dairi 2024</v>
      </c>
      <c r="G187" s="21" t="s">
        <v>1766</v>
      </c>
    </row>
    <row r="188">
      <c r="A188" s="13" t="str">
        <f>IFERROR(__xludf.DUMMYFUNCTION("""COMPUTED_VALUE"""),"bantjincharles@gmail:com")</f>
        <v>bantjincharles@gmail:com</v>
      </c>
      <c r="B188" s="13" t="str">
        <f>IFERROR(__xludf.DUMMYFUNCTION("""COMPUTED_VALUE"""),"Indikator Kesejahteraan Rakyat Kabupaten Dairi Tahun 2022")</f>
        <v>Indikator Kesejahteraan Rakyat Kabupaten Dairi Tahun 2022</v>
      </c>
      <c r="C188" s="13" t="str">
        <f>IFERROR(__xludf.DUMMYFUNCTION("""COMPUTED_VALUE"""),"Publikasi")</f>
        <v>Publikasi</v>
      </c>
      <c r="E188" s="19" t="s">
        <v>1135</v>
      </c>
      <c r="F188" s="20" t="str">
        <f>IFERROR(__xludf.DUMMYFUNCTION("JOIN(""
"",FILTER($B188:$B1300,$A188:$A1300=E188))"),"Kabupaten Dairi Dalam Angka 2024")</f>
        <v>Kabupaten Dairi Dalam Angka 2024</v>
      </c>
    </row>
    <row r="189">
      <c r="A189" s="13" t="str">
        <f>IFERROR(__xludf.DUMMYFUNCTION("""COMPUTED_VALUE"""),"bapemmaspddairi@gmail:com")</f>
        <v>bapemmaspddairi@gmail:com</v>
      </c>
      <c r="B189" s="13" t="str">
        <f>IFERROR(__xludf.DUMMYFUNCTION("""COMPUTED_VALUE"""),"Kabupaten Dairi Dalam Angka 2024")</f>
        <v>Kabupaten Dairi Dalam Angka 2024</v>
      </c>
      <c r="C189" s="13" t="str">
        <f>IFERROR(__xludf.DUMMYFUNCTION("""COMPUTED_VALUE"""),"Publikasi")</f>
        <v>Publikasi</v>
      </c>
      <c r="E189" s="19" t="s">
        <v>1226</v>
      </c>
      <c r="F189" s="20" t="str">
        <f>IFERROR(__xludf.DUMMYFUNCTION("JOIN(""
"",FILTER($B189:$B1300,$A189:$A1300=E189))"),"Statistik Tanaman Pangan (Padi dan Palawija) Kabupaten Dairi 2022")</f>
        <v>Statistik Tanaman Pangan (Padi dan Palawija) Kabupaten Dairi 2022</v>
      </c>
    </row>
    <row r="190">
      <c r="A190" s="13" t="str">
        <f>IFERROR(__xludf.DUMMYFUNCTION("""COMPUTED_VALUE"""),"benrisipayung373@gmail:com")</f>
        <v>benrisipayung373@gmail:com</v>
      </c>
      <c r="B190" s="13" t="str">
        <f>IFERROR(__xludf.DUMMYFUNCTION("""COMPUTED_VALUE"""),"Kabupaten Dairi Dalam Angka 2024")</f>
        <v>Kabupaten Dairi Dalam Angka 2024</v>
      </c>
      <c r="C190" s="13" t="str">
        <f>IFERROR(__xludf.DUMMYFUNCTION("""COMPUTED_VALUE"""),"Publikasi")</f>
        <v>Publikasi</v>
      </c>
      <c r="E190" s="19" t="s">
        <v>1467</v>
      </c>
      <c r="F190" s="20" t="str">
        <f>IFERROR(__xludf.DUMMYFUNCTION("JOIN(""
"",FILTER($B190:$B1300,$A190:$A1300=E190))"),"Kabupaten Dairi Dalam Angka 2024")</f>
        <v>Kabupaten Dairi Dalam Angka 2024</v>
      </c>
    </row>
    <row r="191">
      <c r="A191" s="13" t="str">
        <f>IFERROR(__xludf.DUMMYFUNCTION("""COMPUTED_VALUE"""),"benrisipayung373@yahoo:com")</f>
        <v>benrisipayung373@yahoo:com</v>
      </c>
      <c r="B191" s="13" t="str">
        <f>IFERROR(__xludf.DUMMYFUNCTION("""COMPUTED_VALUE"""),"Kabupaten Dairi Dalam Angka 2024")</f>
        <v>Kabupaten Dairi Dalam Angka 2024</v>
      </c>
      <c r="C191" s="13" t="str">
        <f>IFERROR(__xludf.DUMMYFUNCTION("""COMPUTED_VALUE"""),"Publikasi")</f>
        <v>Publikasi</v>
      </c>
      <c r="E191" s="19" t="s">
        <v>1513</v>
      </c>
      <c r="F191" s="20" t="str">
        <f>IFERROR(__xludf.DUMMYFUNCTION("JOIN(""
"",FILTER($B191:$B1300,$A191:$A1300=E191))"),"Kabupaten Dairi Dalam Angka 2024")</f>
        <v>Kabupaten Dairi Dalam Angka 2024</v>
      </c>
    </row>
    <row r="192">
      <c r="A192" s="13" t="str">
        <f>IFERROR(__xludf.DUMMYFUNCTION("""COMPUTED_VALUE"""),"bertonsigalingging@gmail:com")</f>
        <v>bertonsigalingging@gmail:com</v>
      </c>
      <c r="B192" s="13" t="str">
        <f>IFERROR(__xludf.DUMMYFUNCTION("""COMPUTED_VALUE"""),"Kabupaten Dairi Dalam Angka 2024")</f>
        <v>Kabupaten Dairi Dalam Angka 2024</v>
      </c>
      <c r="C192" s="13" t="str">
        <f>IFERROR(__xludf.DUMMYFUNCTION("""COMPUTED_VALUE"""),"Publikasi")</f>
        <v>Publikasi</v>
      </c>
      <c r="E192" s="19" t="s">
        <v>1511</v>
      </c>
      <c r="F192" s="20" t="str">
        <f>IFERROR(__xludf.DUMMYFUNCTION("JOIN(""
"",FILTER($B192:$B1300,$A192:$A1300=E192))"),"Kabupaten Dairi Dalam Angka 2022
Kabupaten Dairi Dalam Angka 2024")</f>
        <v>Kabupaten Dairi Dalam Angka 2022
Kabupaten Dairi Dalam Angka 2024</v>
      </c>
    </row>
    <row r="193">
      <c r="A193" s="13" t="str">
        <f>IFERROR(__xludf.DUMMYFUNCTION("""COMPUTED_VALUE"""),"bimamarbun78@gmail:com")</f>
        <v>bimamarbun78@gmail:com</v>
      </c>
      <c r="B193" s="13" t="str">
        <f>IFERROR(__xludf.DUMMYFUNCTION("""COMPUTED_VALUE"""),"Indikator Kesejahteraan Rakyat Kabupaten Dairi Tahun 2022")</f>
        <v>Indikator Kesejahteraan Rakyat Kabupaten Dairi Tahun 2022</v>
      </c>
      <c r="C193" s="13" t="str">
        <f>IFERROR(__xludf.DUMMYFUNCTION("""COMPUTED_VALUE"""),"Publikasi")</f>
        <v>Publikasi</v>
      </c>
      <c r="E193" s="19" t="s">
        <v>1145</v>
      </c>
      <c r="F193" s="20" t="str">
        <f>IFERROR(__xludf.DUMMYFUNCTION("JOIN(""
"",FILTER($B193:$B1300,$A193:$A1300=E193))"),"Kabupaten Dairi Dalam Angka 2024")</f>
        <v>Kabupaten Dairi Dalam Angka 2024</v>
      </c>
    </row>
    <row r="194">
      <c r="A194" s="13" t="str">
        <f>IFERROR(__xludf.DUMMYFUNCTION("""COMPUTED_VALUE"""),"bimamarbun78@gmail:com")</f>
        <v>bimamarbun78@gmail:com</v>
      </c>
      <c r="B194" s="13" t="str">
        <f>IFERROR(__xludf.DUMMYFUNCTION("""COMPUTED_VALUE"""),"Statistik Daerah Kabupaten Dairi 2022")</f>
        <v>Statistik Daerah Kabupaten Dairi 2022</v>
      </c>
      <c r="C194" s="13" t="str">
        <f>IFERROR(__xludf.DUMMYFUNCTION("""COMPUTED_VALUE"""),"Publikasi")</f>
        <v>Publikasi</v>
      </c>
      <c r="E194" s="19" t="s">
        <v>1405</v>
      </c>
      <c r="F194" s="20" t="str">
        <f>IFERROR(__xludf.DUMMYFUNCTION("JOIN(""
"",FILTER($B194:$B1300,$A194:$A1300=E194))"),"Indikator Kesejahteraan Rakyat Kabupaten Dairi Tahun 2024")</f>
        <v>Indikator Kesejahteraan Rakyat Kabupaten Dairi Tahun 2024</v>
      </c>
    </row>
    <row r="195">
      <c r="A195" s="13" t="str">
        <f>IFERROR(__xludf.DUMMYFUNCTION("""COMPUTED_VALUE"""),"bintangmelva9@gmail:com")</f>
        <v>bintangmelva9@gmail:com</v>
      </c>
      <c r="B195" s="13" t="str">
        <f>IFERROR(__xludf.DUMMYFUNCTION("""COMPUTED_VALUE"""),"Kabupaten Dairi Dalam Angka 2024")</f>
        <v>Kabupaten Dairi Dalam Angka 2024</v>
      </c>
      <c r="C195" s="13" t="str">
        <f>IFERROR(__xludf.DUMMYFUNCTION("""COMPUTED_VALUE"""),"Publikasi")</f>
        <v>Publikasi</v>
      </c>
      <c r="E195" s="19" t="s">
        <v>1585</v>
      </c>
      <c r="F195" s="20" t="str">
        <f>IFERROR(__xludf.DUMMYFUNCTION("JOIN(""
"",FILTER($B195:$B1300,$A195:$A1300=E195))"),"Kecamatan Pegagan Hilir Dalam Angka 2021")</f>
        <v>Kecamatan Pegagan Hilir Dalam Angka 2021</v>
      </c>
    </row>
    <row r="196">
      <c r="A196" s="13" t="str">
        <f>IFERROR(__xludf.DUMMYFUNCTION("""COMPUTED_VALUE"""),"Bintangmelva9@gmail:com")</f>
        <v>Bintangmelva9@gmail:com</v>
      </c>
      <c r="B196" s="13" t="str">
        <f>IFERROR(__xludf.DUMMYFUNCTION("""COMPUTED_VALUE"""),"Kabupaten Dairi Dalam Angka 2024")</f>
        <v>Kabupaten Dairi Dalam Angka 2024</v>
      </c>
      <c r="C196" s="13" t="str">
        <f>IFERROR(__xludf.DUMMYFUNCTION("""COMPUTED_VALUE"""),"Publikasi")</f>
        <v>Publikasi</v>
      </c>
      <c r="E196" s="19" t="s">
        <v>1396</v>
      </c>
      <c r="F196" s="20" t="str">
        <f>IFERROR(__xludf.DUMMYFUNCTION("JOIN(""
"",FILTER($B196:$B1300,$A196:$A1300=E196))"),"Hasil Pencacahan Lengkap Sensus Pertanian 2024 - Tahap I Kabupaten Dairi
Indikator Kesejahteraan Rakyat Kabupaten Dairi Tahun 2024
Statistik Kesejahteraan Rakyat Kabupaten Dairi 2024")</f>
        <v>Hasil Pencacahan Lengkap Sensus Pertanian 2024 - Tahap I Kabupaten Dairi
Indikator Kesejahteraan Rakyat Kabupaten Dairi Tahun 2024
Statistik Kesejahteraan Rakyat Kabupaten Dairi 2024</v>
      </c>
    </row>
    <row r="197">
      <c r="A197" s="13" t="str">
        <f>IFERROR(__xludf.DUMMYFUNCTION("""COMPUTED_VALUE"""),"boangjang@gmail:com")</f>
        <v>boangjang@gmail:com</v>
      </c>
      <c r="B197" s="13" t="str">
        <f>IFERROR(__xludf.DUMMYFUNCTION("""COMPUTED_VALUE"""),"Kabupaten Dairi Dalam Angka 2021")</f>
        <v>Kabupaten Dairi Dalam Angka 2021</v>
      </c>
      <c r="C197" s="13" t="str">
        <f>IFERROR(__xludf.DUMMYFUNCTION("""COMPUTED_VALUE"""),"Publikasi")</f>
        <v>Publikasi</v>
      </c>
      <c r="E197" s="19" t="s">
        <v>1501</v>
      </c>
      <c r="F197" s="20" t="str">
        <f>IFERROR(__xludf.DUMMYFUNCTION("JOIN(""
"",FILTER($B197:$B1300,$A197:$A1300=E197))"),"Produk Domestik Regional Bruto Kabupaten Dairi Menurut Lapangan Usaha 2018 - 2022
Statistik Kesejahteraan Rakyat Kabupaten Dairi 2024")</f>
        <v>Produk Domestik Regional Bruto Kabupaten Dairi Menurut Lapangan Usaha 2018 - 2022
Statistik Kesejahteraan Rakyat Kabupaten Dairi 2024</v>
      </c>
    </row>
    <row r="198">
      <c r="A198" s="13" t="str">
        <f>IFERROR(__xludf.DUMMYFUNCTION("""COMPUTED_VALUE"""),"boangjang@gmail:com")</f>
        <v>boangjang@gmail:com</v>
      </c>
      <c r="B198" s="13" t="str">
        <f>IFERROR(__xludf.DUMMYFUNCTION("""COMPUTED_VALUE"""),"Kabupaten Dairi Dalam Angka 2022")</f>
        <v>Kabupaten Dairi Dalam Angka 2022</v>
      </c>
      <c r="C198" s="13" t="str">
        <f>IFERROR(__xludf.DUMMYFUNCTION("""COMPUTED_VALUE"""),"Publikasi")</f>
        <v>Publikasi</v>
      </c>
      <c r="E198" s="19" t="s">
        <v>1349</v>
      </c>
      <c r="F198" s="20" t="str">
        <f>IFERROR(__xludf.DUMMYFUNCTION("JOIN(""
"",FILTER($B198:$B1300,$A198:$A1300=E198))"),"Kecamatan Tanah Pinem Dalam Angka 2021")</f>
        <v>Kecamatan Tanah Pinem Dalam Angka 2021</v>
      </c>
    </row>
    <row r="199">
      <c r="A199" s="13" t="str">
        <f>IFERROR(__xludf.DUMMYFUNCTION("""COMPUTED_VALUE"""),"boni_bonaventura@yahoo:com")</f>
        <v>boni_bonaventura@yahoo:com</v>
      </c>
      <c r="B199" s="13" t="str">
        <f>IFERROR(__xludf.DUMMYFUNCTION("""COMPUTED_VALUE"""),"Kabupaten Dairi Dalam Angka 2022")</f>
        <v>Kabupaten Dairi Dalam Angka 2022</v>
      </c>
      <c r="C199" s="13" t="str">
        <f>IFERROR(__xludf.DUMMYFUNCTION("""COMPUTED_VALUE"""),"Publikasi")</f>
        <v>Publikasi</v>
      </c>
      <c r="E199" s="19" t="s">
        <v>1737</v>
      </c>
      <c r="F199" s="20" t="str">
        <f>IFERROR(__xludf.DUMMYFUNCTION("JOIN(""
"",FILTER($B199:$B1300,$A199:$A1300=E199))"),"Kabupaten Dairi Dalam Angka 2022
Kecamatan Berampu Dalam Angka 2021
Statistik Daerah Kabupaten Dairi 2021")</f>
        <v>Kabupaten Dairi Dalam Angka 2022
Kecamatan Berampu Dalam Angka 2021
Statistik Daerah Kabupaten Dairi 2021</v>
      </c>
    </row>
    <row r="200">
      <c r="A200" s="13" t="str">
        <f>IFERROR(__xludf.DUMMYFUNCTION("""COMPUTED_VALUE"""),"bps1210@bps:go:id")</f>
        <v>bps1210@bps:go:id</v>
      </c>
      <c r="B200" s="13" t="str">
        <f>IFERROR(__xludf.DUMMYFUNCTION("""COMPUTED_VALUE"""),"Analisis Hasil Survei Kebutuhan Data BPS Kabupaten Dairi 2021")</f>
        <v>Analisis Hasil Survei Kebutuhan Data BPS Kabupaten Dairi 2021</v>
      </c>
      <c r="C200" s="13" t="str">
        <f>IFERROR(__xludf.DUMMYFUNCTION("""COMPUTED_VALUE"""),"Publikasi")</f>
        <v>Publikasi</v>
      </c>
      <c r="E200" s="19" t="s">
        <v>1441</v>
      </c>
      <c r="F200" s="20" t="str">
        <f>IFERROR(__xludf.DUMMYFUNCTION("JOIN(""
"",FILTER($B200:$B1300,$A200:$A1300=E200))"),"Kabupaten Dairi Dalam Angka 2024
Kecamatan Sidikalang Dalam Angka 2024")</f>
        <v>Kabupaten Dairi Dalam Angka 2024
Kecamatan Sidikalang Dalam Angka 2024</v>
      </c>
    </row>
    <row r="201">
      <c r="A201" s="13" t="str">
        <f>IFERROR(__xludf.DUMMYFUNCTION("""COMPUTED_VALUE"""),"bps1210@bps:go:id")</f>
        <v>bps1210@bps:go:id</v>
      </c>
      <c r="B201" s="13" t="str">
        <f>IFERROR(__xludf.DUMMYFUNCTION("""COMPUTED_VALUE"""),"Analisis Hasil Survei Kebutuhan Data Kabupaten Dairi 2020")</f>
        <v>Analisis Hasil Survei Kebutuhan Data Kabupaten Dairi 2020</v>
      </c>
      <c r="C201" s="13" t="str">
        <f>IFERROR(__xludf.DUMMYFUNCTION("""COMPUTED_VALUE"""),"Publikasi")</f>
        <v>Publikasi</v>
      </c>
      <c r="E201" s="19" t="s">
        <v>1360</v>
      </c>
      <c r="F201" s="20" t="str">
        <f>IFERROR(__xludf.DUMMYFUNCTION("JOIN(""
"",FILTER($B201:$B1300,$A201:$A1300=E201))"),"Indeks Pembangunan Manusia Kabupaten Dairi 2024
Kabupaten Dairi Dalam Angka 2024")</f>
        <v>Indeks Pembangunan Manusia Kabupaten Dairi 2024
Kabupaten Dairi Dalam Angka 2024</v>
      </c>
    </row>
    <row r="202">
      <c r="A202" s="13" t="str">
        <f>IFERROR(__xludf.DUMMYFUNCTION("""COMPUTED_VALUE"""),"bpsniasutara@gmail:com")</f>
        <v>bpsniasutara@gmail:com</v>
      </c>
      <c r="B202" s="13" t="str">
        <f>IFERROR(__xludf.DUMMYFUNCTION("""COMPUTED_VALUE"""),"Kabupaten Dairi Dalam Angka 2024")</f>
        <v>Kabupaten Dairi Dalam Angka 2024</v>
      </c>
      <c r="C202" s="13" t="str">
        <f>IFERROR(__xludf.DUMMYFUNCTION("""COMPUTED_VALUE"""),"Publikasi")</f>
        <v>Publikasi</v>
      </c>
      <c r="E202" s="19" t="s">
        <v>1188</v>
      </c>
      <c r="F202" s="20" t="str">
        <f>IFERROR(__xludf.DUMMYFUNCTION("JOIN(""
"",FILTER($B202:$B1300,$A202:$A1300=E202))"),"Statistik Kesejahteraan Rakyat Kabupaten Dairi 2024")</f>
        <v>Statistik Kesejahteraan Rakyat Kabupaten Dairi 2024</v>
      </c>
    </row>
    <row r="203">
      <c r="A203" s="13" t="str">
        <f>IFERROR(__xludf.DUMMYFUNCTION("""COMPUTED_VALUE"""),"budimanjejaka1@gmail:com")</f>
        <v>budimanjejaka1@gmail:com</v>
      </c>
      <c r="B203" s="13" t="str">
        <f>IFERROR(__xludf.DUMMYFUNCTION("""COMPUTED_VALUE"""),"Kabupaten Dairi Dalam Angka 2024")</f>
        <v>Kabupaten Dairi Dalam Angka 2024</v>
      </c>
      <c r="C203" s="13" t="str">
        <f>IFERROR(__xludf.DUMMYFUNCTION("""COMPUTED_VALUE"""),"Publikasi")</f>
        <v>Publikasi</v>
      </c>
      <c r="E203" s="19" t="s">
        <v>1694</v>
      </c>
      <c r="F203" s="20" t="str">
        <f>IFERROR(__xludf.DUMMYFUNCTION("JOIN(""
"",FILTER($B203:$B1300,$A203:$A1300=E203))"),"Indikator Kesejahteraan Rakyat Kabupaten Dairi Tahun 2022
Statistik Kesejahteraan Rakyat Kabupaten Dairi 2022")</f>
        <v>Indikator Kesejahteraan Rakyat Kabupaten Dairi Tahun 2022
Statistik Kesejahteraan Rakyat Kabupaten Dairi 2022</v>
      </c>
    </row>
    <row r="204">
      <c r="A204" s="13" t="str">
        <f>IFERROR(__xludf.DUMMYFUNCTION("""COMPUTED_VALUE"""),"budimanjejaka1@gmail:com")</f>
        <v>budimanjejaka1@gmail:com</v>
      </c>
      <c r="B204" s="13" t="str">
        <f>IFERROR(__xludf.DUMMYFUNCTION("""COMPUTED_VALUE"""),"Statistik Daerah Kabupaten Dairi 2024")</f>
        <v>Statistik Daerah Kabupaten Dairi 2024</v>
      </c>
      <c r="C204" s="13" t="str">
        <f>IFERROR(__xludf.DUMMYFUNCTION("""COMPUTED_VALUE"""),"Publikasi")</f>
        <v>Publikasi</v>
      </c>
      <c r="E204" s="19" t="s">
        <v>1218</v>
      </c>
      <c r="F204" s="20" t="str">
        <f>IFERROR(__xludf.DUMMYFUNCTION("JOIN(""
"",FILTER($B204:$B1300,$A204:$A1300=E204))"),"Statistik Daerah Kabupaten Dairi 2024")</f>
        <v>Statistik Daerah Kabupaten Dairi 2024</v>
      </c>
    </row>
    <row r="205">
      <c r="A205" s="13" t="str">
        <f>IFERROR(__xludf.DUMMYFUNCTION("""COMPUTED_VALUE"""),"carecarekkkgut345@yahoo:com")</f>
        <v>carecarekkkgut345@yahoo:com</v>
      </c>
      <c r="B205" s="13" t="str">
        <f>IFERROR(__xludf.DUMMYFUNCTION("""COMPUTED_VALUE"""),"Dairi DALAM ANGKA 2007")</f>
        <v>Dairi DALAM ANGKA 2007</v>
      </c>
      <c r="C205" s="13" t="str">
        <f>IFERROR(__xludf.DUMMYFUNCTION("""COMPUTED_VALUE"""),"Publikasi")</f>
        <v>Publikasi</v>
      </c>
      <c r="E205" s="19" t="s">
        <v>1380</v>
      </c>
      <c r="F205" s="20" t="str">
        <f>IFERROR(__xludf.DUMMYFUNCTION("JOIN(""
"",FILTER($B205:$B1300,$A205:$A1300=E205))"),"Kabupaten Dairi Dalam Angka 2024")</f>
        <v>Kabupaten Dairi Dalam Angka 2024</v>
      </c>
    </row>
    <row r="206">
      <c r="A206" s="13" t="str">
        <f>IFERROR(__xludf.DUMMYFUNCTION("""COMPUTED_VALUE"""),"carecarekkkgut345@yahoo:com")</f>
        <v>carecarekkkgut345@yahoo:com</v>
      </c>
      <c r="B206" s="13" t="str">
        <f>IFERROR(__xludf.DUMMYFUNCTION("""COMPUTED_VALUE"""),"Kabupaten Dairi Dalam Angka 2008")</f>
        <v>Kabupaten Dairi Dalam Angka 2008</v>
      </c>
      <c r="C206" s="13" t="str">
        <f>IFERROR(__xludf.DUMMYFUNCTION("""COMPUTED_VALUE"""),"Publikasi")</f>
        <v>Publikasi</v>
      </c>
      <c r="E206" s="19" t="s">
        <v>1387</v>
      </c>
      <c r="F206" s="20" t="str">
        <f>IFERROR(__xludf.DUMMYFUNCTION("JOIN(""
"",FILTER($B206:$B1300,$A206:$A1300=E206))"),"Kabupaten Dairi Dalam Angka 2024")</f>
        <v>Kabupaten Dairi Dalam Angka 2024</v>
      </c>
    </row>
    <row r="207">
      <c r="A207" s="13" t="str">
        <f>IFERROR(__xludf.DUMMYFUNCTION("""COMPUTED_VALUE"""),"carecarekkkgut345@yahoo:com")</f>
        <v>carecarekkkgut345@yahoo:com</v>
      </c>
      <c r="B207" s="13" t="str">
        <f>IFERROR(__xludf.DUMMYFUNCTION("""COMPUTED_VALUE"""),"Kabupaten Dairi dalam angka tahun 2009")</f>
        <v>Kabupaten Dairi dalam angka tahun 2009</v>
      </c>
      <c r="C207" s="13" t="str">
        <f>IFERROR(__xludf.DUMMYFUNCTION("""COMPUTED_VALUE"""),"Publikasi")</f>
        <v>Publikasi</v>
      </c>
      <c r="E207" s="19" t="s">
        <v>699</v>
      </c>
      <c r="F207" s="20" t="str">
        <f>IFERROR(__xludf.DUMMYFUNCTION("JOIN(""
"",FILTER($B207:$B1300,$A207:$A1300=E207))"),"Kabupaten Dairi Dalam Angka 2011
Kabupaten Dairi Dalam Angka 2014
Kabupaten Dairi Dalam Angka 2015
Kabupaten Dairi Dalam Angka 2020
Kabupaten Dairi Dalam Angka 2022
Kecamatan Sidikalang Dalam Angka 2016
Kecamatan Sidikalang Dalam Angka 2021
Profil Kependu"&amp;"dukan dan Ketenagakerjaan Kabupaten Dairi 2020
Profil Kependudukan dan Ketenagakerjaan Kabupaten Dairi 2021
Profil Penduduk dan Ketenagakerjaan Kabupaten Dairi 2019
Statistik Daerah Kabupaten Dairi 2011
Statistik Daerah Kabupaten Dairi 2016
Statistik Daer"&amp;"ah Kecamatan Sidikalang 2011")</f>
        <v>Kabupaten Dairi Dalam Angka 2011
Kabupaten Dairi Dalam Angka 2014
Kabupaten Dairi Dalam Angka 2015
Kabupaten Dairi Dalam Angka 2020
Kabupaten Dairi Dalam Angka 2022
Kecamatan Sidikalang Dalam Angka 2016
Kecamatan Sidikalang Dalam Angka 2021
Profil Kependudukan dan Ketenagakerjaan Kabupaten Dairi 2020
Profil Kependudukan dan Ketenagakerjaan Kabupaten Dairi 2021
Profil Penduduk dan Ketenagakerjaan Kabupaten Dairi 2019
Statistik Daerah Kabupaten Dairi 2011
Statistik Daerah Kabupaten Dairi 2016
Statistik Daerah Kecamatan Sidikalang 2011</v>
      </c>
    </row>
    <row r="208">
      <c r="A208" s="13" t="str">
        <f>IFERROR(__xludf.DUMMYFUNCTION("""COMPUTED_VALUE"""),"cemara23@gmail:com")</f>
        <v>cemara23@gmail:com</v>
      </c>
      <c r="B208" s="13" t="str">
        <f>IFERROR(__xludf.DUMMYFUNCTION("""COMPUTED_VALUE"""),"Kecamatan Berampu Dalam Angka 2024")</f>
        <v>Kecamatan Berampu Dalam Angka 2024</v>
      </c>
      <c r="C208" s="13" t="str">
        <f>IFERROR(__xludf.DUMMYFUNCTION("""COMPUTED_VALUE"""),"Publikasi")</f>
        <v>Publikasi</v>
      </c>
      <c r="E208" s="19" t="s">
        <v>1465</v>
      </c>
      <c r="F208" s="20" t="str">
        <f>IFERROR(__xludf.DUMMYFUNCTION("JOIN(""
"",FILTER($B208:$B1300,$A208:$A1300=E208))"),"Kecamatan Sidikalang Dalam Angka 2024")</f>
        <v>Kecamatan Sidikalang Dalam Angka 2024</v>
      </c>
    </row>
    <row r="209">
      <c r="A209" s="13" t="str">
        <f>IFERROR(__xludf.DUMMYFUNCTION("""COMPUTED_VALUE"""),"cemara23@gmail:com")</f>
        <v>cemara23@gmail:com</v>
      </c>
      <c r="B209" s="13" t="str">
        <f>IFERROR(__xludf.DUMMYFUNCTION("""COMPUTED_VALUE"""),"Kecamatan Gunung Sitember Dalam Angka 2024")</f>
        <v>Kecamatan Gunung Sitember Dalam Angka 2024</v>
      </c>
      <c r="C209" s="13" t="str">
        <f>IFERROR(__xludf.DUMMYFUNCTION("""COMPUTED_VALUE"""),"Publikasi")</f>
        <v>Publikasi</v>
      </c>
      <c r="E209" s="19" t="s">
        <v>1150</v>
      </c>
      <c r="F209" s="20" t="str">
        <f>IFERROR(__xludf.DUMMYFUNCTION("JOIN(""
"",FILTER($B209:$B1300,$A209:$A1300=E209))"),"Analisis Hasil Survei Kebutuhan Data BPS Kabupaten Dairi 2021
Analisis Hasil Survei Kebutuhan Data BPS Kabupaten Dairi 2024
Analisis Survei Kebutuhan Data Kabupaten Dairi 2022
Indikator Kesejahteraan Rakyat Kabupaten Dairi Tahun 2022
Kabupaten Dairi Dalam"&amp;" Angka 2012
Kabupaten Dairi Dalam Angka 2014
Kabupaten Dairi Dalam Angka 2022
Kabupaten Dairi Dalam Angka 2024")</f>
        <v>Analisis Hasil Survei Kebutuhan Data BPS Kabupaten Dairi 2021
Analisis Hasil Survei Kebutuhan Data BPS Kabupaten Dairi 2024
Analisis Survei Kebutuhan Data Kabupaten Dairi 2022
Indikator Kesejahteraan Rakyat Kabupaten Dairi Tahun 2022
Kabupaten Dairi Dalam Angka 2012
Kabupaten Dairi Dalam Angka 2014
Kabupaten Dairi Dalam Angka 2022
Kabupaten Dairi Dalam Angka 2024</v>
      </c>
    </row>
    <row r="210">
      <c r="A210" s="13" t="str">
        <f>IFERROR(__xludf.DUMMYFUNCTION("""COMPUTED_VALUE"""),"cemara23@gmail:com")</f>
        <v>cemara23@gmail:com</v>
      </c>
      <c r="B210" s="13" t="str">
        <f>IFERROR(__xludf.DUMMYFUNCTION("""COMPUTED_VALUE"""),"Kecamatan Lae Parira Dalam Angka 2024")</f>
        <v>Kecamatan Lae Parira Dalam Angka 2024</v>
      </c>
      <c r="C210" s="13" t="str">
        <f>IFERROR(__xludf.DUMMYFUNCTION("""COMPUTED_VALUE"""),"Publikasi")</f>
        <v>Publikasi</v>
      </c>
      <c r="E210" s="19" t="s">
        <v>1392</v>
      </c>
      <c r="F210" s="20" t="str">
        <f>IFERROR(__xludf.DUMMYFUNCTION("JOIN(""
"",FILTER($B210:$B1300,$A210:$A1300=E210))"),"Hasil Pencacahan Lengkap Sensus Pertanian 2024 - Tahap I Kabupaten Dairi
Indikator Kesejahteraan Rakyat Kabupaten Dairi Tahun 2024
Statistik Kesejahteraan Rakyat Kabupaten Dairi 2024")</f>
        <v>Hasil Pencacahan Lengkap Sensus Pertanian 2024 - Tahap I Kabupaten Dairi
Indikator Kesejahteraan Rakyat Kabupaten Dairi Tahun 2024
Statistik Kesejahteraan Rakyat Kabupaten Dairi 2024</v>
      </c>
    </row>
    <row r="211">
      <c r="A211" s="13" t="str">
        <f>IFERROR(__xludf.DUMMYFUNCTION("""COMPUTED_VALUE"""),"cemara23@gmail:com")</f>
        <v>cemara23@gmail:com</v>
      </c>
      <c r="B211" s="13" t="str">
        <f>IFERROR(__xludf.DUMMYFUNCTION("""COMPUTED_VALUE"""),"Kecamatan Parbuluan Dalam Angka 2024")</f>
        <v>Kecamatan Parbuluan Dalam Angka 2024</v>
      </c>
      <c r="C211" s="13" t="str">
        <f>IFERROR(__xludf.DUMMYFUNCTION("""COMPUTED_VALUE"""),"Publikasi")</f>
        <v>Publikasi</v>
      </c>
      <c r="E211" s="19" t="s">
        <v>1577</v>
      </c>
      <c r="F211" s="20" t="str">
        <f>IFERROR(__xludf.DUMMYFUNCTION("JOIN(""
"",FILTER($B211:$B1300,$A211:$A1300=E211))"),"Kecamatan Sitinjo Dalam Angka 2021")</f>
        <v>Kecamatan Sitinjo Dalam Angka 2021</v>
      </c>
    </row>
    <row r="212">
      <c r="A212" s="13" t="str">
        <f>IFERROR(__xludf.DUMMYFUNCTION("""COMPUTED_VALUE"""),"cemara23@gmail:com")</f>
        <v>cemara23@gmail:com</v>
      </c>
      <c r="B212" s="13" t="str">
        <f>IFERROR(__xludf.DUMMYFUNCTION("""COMPUTED_VALUE"""),"Kecamatan Pegagan Hilir Dalam Angka 2024")</f>
        <v>Kecamatan Pegagan Hilir Dalam Angka 2024</v>
      </c>
      <c r="C212" s="13" t="str">
        <f>IFERROR(__xludf.DUMMYFUNCTION("""COMPUTED_VALUE"""),"Publikasi")</f>
        <v>Publikasi</v>
      </c>
      <c r="E212" s="19" t="s">
        <v>1578</v>
      </c>
      <c r="F212" s="20" t="str">
        <f>IFERROR(__xludf.DUMMYFUNCTION("JOIN(""
"",FILTER($B212:$B1300,$A212:$A1300=E212))"),"Kecamatan Sitinjo Dalam Angka 2021")</f>
        <v>Kecamatan Sitinjo Dalam Angka 2021</v>
      </c>
    </row>
    <row r="213">
      <c r="A213" s="13" t="str">
        <f>IFERROR(__xludf.DUMMYFUNCTION("""COMPUTED_VALUE"""),"cemara23@gmail:com")</f>
        <v>cemara23@gmail:com</v>
      </c>
      <c r="B213" s="13" t="str">
        <f>IFERROR(__xludf.DUMMYFUNCTION("""COMPUTED_VALUE"""),"Kecamatan Sidikalang Dalam Angka 2024")</f>
        <v>Kecamatan Sidikalang Dalam Angka 2024</v>
      </c>
      <c r="C213" s="13" t="str">
        <f>IFERROR(__xludf.DUMMYFUNCTION("""COMPUTED_VALUE"""),"Publikasi")</f>
        <v>Publikasi</v>
      </c>
      <c r="E213" s="19" t="s">
        <v>1347</v>
      </c>
      <c r="F213" s="20" t="str">
        <f>IFERROR(__xludf.DUMMYFUNCTION("JOIN(""
"",FILTER($B213:$B1300,$A213:$A1300=E213))"),"Indikator Kesejahteraan Rakyat Kabupaten Dairi Tahun 2024")</f>
        <v>Indikator Kesejahteraan Rakyat Kabupaten Dairi Tahun 2024</v>
      </c>
    </row>
    <row r="214">
      <c r="A214" s="13" t="str">
        <f>IFERROR(__xludf.DUMMYFUNCTION("""COMPUTED_VALUE"""),"cemara23@gmail:com")</f>
        <v>cemara23@gmail:com</v>
      </c>
      <c r="B214" s="13" t="str">
        <f>IFERROR(__xludf.DUMMYFUNCTION("""COMPUTED_VALUE"""),"Kecamatan Siempat Nempu Hilir Dalam Angka 2024")</f>
        <v>Kecamatan Siempat Nempu Hilir Dalam Angka 2024</v>
      </c>
      <c r="C214" s="13" t="str">
        <f>IFERROR(__xludf.DUMMYFUNCTION("""COMPUTED_VALUE"""),"Publikasi")</f>
        <v>Publikasi</v>
      </c>
      <c r="E214" s="19" t="s">
        <v>1397</v>
      </c>
      <c r="F214" s="20" t="str">
        <f>IFERROR(__xludf.DUMMYFUNCTION("JOIN(""
"",FILTER($B214:$B1300,$A214:$A1300=E214))"),"Hasil Pencacahan Lengkap Sensus Pertanian 2024 - Tahap I Kabupaten Dairi
Indeks Pembangunan Manusia Kabupaten Dairi 2024
Indikator Kesejahteraan Rakyat Kabupaten Dairi Tahun 2024
Statistik Kesejahteraan Rakyat Kabupaten Dairi 2024")</f>
        <v>Hasil Pencacahan Lengkap Sensus Pertanian 2024 - Tahap I Kabupaten Dairi
Indeks Pembangunan Manusia Kabupaten Dairi 2024
Indikator Kesejahteraan Rakyat Kabupaten Dairi Tahun 2024
Statistik Kesejahteraan Rakyat Kabupaten Dairi 2024</v>
      </c>
    </row>
    <row r="215">
      <c r="A215" s="13" t="str">
        <f>IFERROR(__xludf.DUMMYFUNCTION("""COMPUTED_VALUE"""),"cemara23@gmail:com")</f>
        <v>cemara23@gmail:com</v>
      </c>
      <c r="B215" s="13" t="str">
        <f>IFERROR(__xludf.DUMMYFUNCTION("""COMPUTED_VALUE"""),"Kecamatan Siempat Nempu Hulu Dalam Angka 2024")</f>
        <v>Kecamatan Siempat Nempu Hulu Dalam Angka 2024</v>
      </c>
      <c r="C215" s="13" t="str">
        <f>IFERROR(__xludf.DUMMYFUNCTION("""COMPUTED_VALUE"""),"Publikasi")</f>
        <v>Publikasi</v>
      </c>
      <c r="E215" s="19" t="s">
        <v>1452</v>
      </c>
      <c r="F215" s="20" t="str">
        <f>IFERROR(__xludf.DUMMYFUNCTION("JOIN(""
"",FILTER($B215:$B1300,$A215:$A1300=E215))"),"Booklet Hasil Long Form Sensus Penduduk 2020 Kabupaten Dairi
Kabupaten Dairi Dalam Angka 2024
Kecamatan Berampu Dalam Angka 2024
Kecamatan Parbuluan Dalam Angka 2024
Kecamatan Pegagan Hilir Dalam Angka 2024
Kecamatan Sidikalang Dalam Angka 2024
Kecamatan "&amp;"Silahisabungan Dalam Angka 2024
Kecamatan Sitinjo Dalam Angka 2024
Kecamatan Sumbul Dalam Angka 2024
Kecamatan Tanah Pinem Dalam Angka 2024
Kecamatan Tiga Lingga Dalam Angka 2024
Kecamatan Tigalingga Dalam Angka 2018
Statistik Daerah Kabupaten Dairi 2024")</f>
        <v>Booklet Hasil Long Form Sensus Penduduk 2020 Kabupaten Dairi
Kabupaten Dairi Dalam Angka 2024
Kecamatan Berampu Dalam Angka 2024
Kecamatan Parbuluan Dalam Angka 2024
Kecamatan Pegagan Hilir Dalam Angka 2024
Kecamatan Sidikalang Dalam Angka 2024
Kecamatan Silahisabungan Dalam Angka 2024
Kecamatan Sitinjo Dalam Angka 2024
Kecamatan Sumbul Dalam Angka 2024
Kecamatan Tanah Pinem Dalam Angka 2024
Kecamatan Tiga Lingga Dalam Angka 2024
Kecamatan Tigalingga Dalam Angka 2018
Statistik Daerah Kabupaten Dairi 2024</v>
      </c>
    </row>
    <row r="216">
      <c r="A216" s="13" t="str">
        <f>IFERROR(__xludf.DUMMYFUNCTION("""COMPUTED_VALUE"""),"cemara23@gmail:com")</f>
        <v>cemara23@gmail:com</v>
      </c>
      <c r="B216" s="13" t="str">
        <f>IFERROR(__xludf.DUMMYFUNCTION("""COMPUTED_VALUE"""),"Kecamatan Silahisabungan Dalam Angka 2024")</f>
        <v>Kecamatan Silahisabungan Dalam Angka 2024</v>
      </c>
      <c r="C216" s="13" t="str">
        <f>IFERROR(__xludf.DUMMYFUNCTION("""COMPUTED_VALUE"""),"Publikasi")</f>
        <v>Publikasi</v>
      </c>
      <c r="E216" s="19" t="s">
        <v>1334</v>
      </c>
      <c r="F216" s="20" t="str">
        <f>IFERROR(__xludf.DUMMYFUNCTION("JOIN(""
"",FILTER($B216:$B1300,$A216:$A1300=E216))"),"Kabupaten Dairi Dalam Angka 2024")</f>
        <v>Kabupaten Dairi Dalam Angka 2024</v>
      </c>
    </row>
    <row r="217">
      <c r="A217" s="13" t="str">
        <f>IFERROR(__xludf.DUMMYFUNCTION("""COMPUTED_VALUE"""),"cemara23@gmail:com")</f>
        <v>cemara23@gmail:com</v>
      </c>
      <c r="B217" s="13" t="str">
        <f>IFERROR(__xludf.DUMMYFUNCTION("""COMPUTED_VALUE"""),"Kecamatan Silima Pungga-Pungga Dalam Angka 2024")</f>
        <v>Kecamatan Silima Pungga-Pungga Dalam Angka 2024</v>
      </c>
      <c r="C217" s="13" t="str">
        <f>IFERROR(__xludf.DUMMYFUNCTION("""COMPUTED_VALUE"""),"Publikasi")</f>
        <v>Publikasi</v>
      </c>
      <c r="E217" s="19" t="s">
        <v>1698</v>
      </c>
      <c r="F217" s="20" t="str">
        <f>IFERROR(__xludf.DUMMYFUNCTION("JOIN(""
"",FILTER($B217:$B1300,$A217:$A1300=E217))"),"Kecamatan Silahisabungan Dalam Angka 2020
Kecamatan Silahisabungan Dalam Angka 2021")</f>
        <v>Kecamatan Silahisabungan Dalam Angka 2020
Kecamatan Silahisabungan Dalam Angka 2021</v>
      </c>
    </row>
    <row r="218">
      <c r="A218" s="13" t="str">
        <f>IFERROR(__xludf.DUMMYFUNCTION("""COMPUTED_VALUE"""),"cemara23@gmail:com")</f>
        <v>cemara23@gmail:com</v>
      </c>
      <c r="B218" s="13" t="str">
        <f>IFERROR(__xludf.DUMMYFUNCTION("""COMPUTED_VALUE"""),"Kecamatan Sitinjo Dalam Angka 2024")</f>
        <v>Kecamatan Sitinjo Dalam Angka 2024</v>
      </c>
      <c r="C218" s="13" t="str">
        <f>IFERROR(__xludf.DUMMYFUNCTION("""COMPUTED_VALUE"""),"Publikasi")</f>
        <v>Publikasi</v>
      </c>
      <c r="E218" s="19" t="s">
        <v>1384</v>
      </c>
      <c r="F218" s="20" t="str">
        <f>IFERROR(__xludf.DUMMYFUNCTION("JOIN(""
"",FILTER($B218:$B1300,$A218:$A1300=E218))"),"Kabupaten Dairi Dalam Angka 2024
Statistik Tanaman Pangan (Padi dan Palawija) Kabupaten Dairi 2021")</f>
        <v>Kabupaten Dairi Dalam Angka 2024
Statistik Tanaman Pangan (Padi dan Palawija) Kabupaten Dairi 2021</v>
      </c>
    </row>
    <row r="219">
      <c r="A219" s="13" t="str">
        <f>IFERROR(__xludf.DUMMYFUNCTION("""COMPUTED_VALUE"""),"cemara23@gmail:com")</f>
        <v>cemara23@gmail:com</v>
      </c>
      <c r="B219" s="13" t="str">
        <f>IFERROR(__xludf.DUMMYFUNCTION("""COMPUTED_VALUE"""),"Kecamatan Sumbul Dalam Angka 2024")</f>
        <v>Kecamatan Sumbul Dalam Angka 2024</v>
      </c>
      <c r="C219" s="13" t="str">
        <f>IFERROR(__xludf.DUMMYFUNCTION("""COMPUTED_VALUE"""),"Publikasi")</f>
        <v>Publikasi</v>
      </c>
      <c r="E219" s="19" t="s">
        <v>1159</v>
      </c>
      <c r="F219" s="20" t="str">
        <f>IFERROR(__xludf.DUMMYFUNCTION("JOIN(""
"",FILTER($B219:$B1300,$A219:$A1300=E219))"),"Kabupaten Dairi Dalam Angka 2024")</f>
        <v>Kabupaten Dairi Dalam Angka 2024</v>
      </c>
    </row>
    <row r="220">
      <c r="A220" s="13" t="str">
        <f>IFERROR(__xludf.DUMMYFUNCTION("""COMPUTED_VALUE"""),"cemara23@gmail:com")</f>
        <v>cemara23@gmail:com</v>
      </c>
      <c r="B220" s="13" t="str">
        <f>IFERROR(__xludf.DUMMYFUNCTION("""COMPUTED_VALUE"""),"Kecamatan Tanah Pinem Dalam Angka 2024")</f>
        <v>Kecamatan Tanah Pinem Dalam Angka 2024</v>
      </c>
      <c r="C220" s="13" t="str">
        <f>IFERROR(__xludf.DUMMYFUNCTION("""COMPUTED_VALUE"""),"Publikasi")</f>
        <v>Publikasi</v>
      </c>
      <c r="E220" s="19" t="s">
        <v>1153</v>
      </c>
      <c r="F220" s="20" t="str">
        <f>IFERROR(__xludf.DUMMYFUNCTION("JOIN(""
"",FILTER($B220:$B1300,$A220:$A1300=E220))"),"Kabupaten Dairi Dalam Angka 2024")</f>
        <v>Kabupaten Dairi Dalam Angka 2024</v>
      </c>
    </row>
    <row r="221">
      <c r="A221" s="13" t="str">
        <f>IFERROR(__xludf.DUMMYFUNCTION("""COMPUTED_VALUE"""),"cemara23@gmail:com")</f>
        <v>cemara23@gmail:com</v>
      </c>
      <c r="B221" s="13" t="str">
        <f>IFERROR(__xludf.DUMMYFUNCTION("""COMPUTED_VALUE"""),"Kecamatan Tigalingga Dalam Angka 2018")</f>
        <v>Kecamatan Tigalingga Dalam Angka 2018</v>
      </c>
      <c r="C221" s="13" t="str">
        <f>IFERROR(__xludf.DUMMYFUNCTION("""COMPUTED_VALUE"""),"Publikasi")</f>
        <v>Publikasi</v>
      </c>
      <c r="E221" s="19" t="s">
        <v>1252</v>
      </c>
      <c r="F221" s="20" t="str">
        <f>IFERROR(__xludf.DUMMYFUNCTION("JOIN(""
"",FILTER($B221:$B1300,$A221:$A1300=E221))"),"Kecamatan Berampu Dalam Angka 2018
Kecamatan Berampu Dalam Angka 2021")</f>
        <v>Kecamatan Berampu Dalam Angka 2018
Kecamatan Berampu Dalam Angka 2021</v>
      </c>
    </row>
    <row r="222">
      <c r="A222" s="13" t="str">
        <f>IFERROR(__xludf.DUMMYFUNCTION("""COMPUTED_VALUE"""),"chandramanik5277@gmail:com")</f>
        <v>chandramanik5277@gmail:com</v>
      </c>
      <c r="B222" s="13" t="str">
        <f>IFERROR(__xludf.DUMMYFUNCTION("""COMPUTED_VALUE"""),"Hasil Pencacahan Lengkap Sensus Pertanian 2024 - Tahap I Kabupaten Dairi")</f>
        <v>Hasil Pencacahan Lengkap Sensus Pertanian 2024 - Tahap I Kabupaten Dairi</v>
      </c>
      <c r="C222" s="13" t="str">
        <f>IFERROR(__xludf.DUMMYFUNCTION("""COMPUTED_VALUE"""),"Publikasi")</f>
        <v>Publikasi</v>
      </c>
      <c r="E222" s="19" t="s">
        <v>1362</v>
      </c>
      <c r="F222" s="20" t="str">
        <f>IFERROR(__xludf.DUMMYFUNCTION("JOIN(""
"",FILTER($B222:$B1300,$A222:$A1300=E222))"),"Kabupaten Dairi Dalam Angka 2024")</f>
        <v>Kabupaten Dairi Dalam Angka 2024</v>
      </c>
    </row>
    <row r="223">
      <c r="A223" s="13" t="str">
        <f>IFERROR(__xludf.DUMMYFUNCTION("""COMPUTED_VALUE"""),"chandramanik5277@gmail:com")</f>
        <v>chandramanik5277@gmail:com</v>
      </c>
      <c r="B223" s="13" t="str">
        <f>IFERROR(__xludf.DUMMYFUNCTION("""COMPUTED_VALUE"""),"Indikator Kesejahteraan Rakyat Kabupaten Dairi Tahun 2024")</f>
        <v>Indikator Kesejahteraan Rakyat Kabupaten Dairi Tahun 2024</v>
      </c>
      <c r="C223" s="13" t="str">
        <f>IFERROR(__xludf.DUMMYFUNCTION("""COMPUTED_VALUE"""),"Publikasi")</f>
        <v>Publikasi</v>
      </c>
      <c r="E223" s="19" t="s">
        <v>1703</v>
      </c>
      <c r="F223" s="20" t="str">
        <f>IFERROR(__xludf.DUMMYFUNCTION("JOIN(""
"",FILTER($B223:$B1300,$A223:$A1300=E223))"),"Kabupaten Dairi Dalam Angka 2022")</f>
        <v>Kabupaten Dairi Dalam Angka 2022</v>
      </c>
    </row>
    <row r="224">
      <c r="A224" s="13" t="str">
        <f>IFERROR(__xludf.DUMMYFUNCTION("""COMPUTED_VALUE"""),"chandramanik5277@gmail:com")</f>
        <v>chandramanik5277@gmail:com</v>
      </c>
      <c r="B224" s="13" t="str">
        <f>IFERROR(__xludf.DUMMYFUNCTION("""COMPUTED_VALUE"""),"Statistik Kesejahteraan Rakyat Kabupaten Dairi 2024")</f>
        <v>Statistik Kesejahteraan Rakyat Kabupaten Dairi 2024</v>
      </c>
      <c r="C224" s="13" t="str">
        <f>IFERROR(__xludf.DUMMYFUNCTION("""COMPUTED_VALUE"""),"Publikasi")</f>
        <v>Publikasi</v>
      </c>
      <c r="E224" s="19" t="s">
        <v>1730</v>
      </c>
      <c r="F224" s="20" t="str">
        <f>IFERROR(__xludf.DUMMYFUNCTION("JOIN(""
"",FILTER($B224:$B1300,$A224:$A1300=E224))"),"Kabupaten Dairi Dalam Angka 2022")</f>
        <v>Kabupaten Dairi Dalam Angka 2022</v>
      </c>
    </row>
    <row r="225">
      <c r="A225" s="13" t="str">
        <f>IFERROR(__xludf.DUMMYFUNCTION("""COMPUTED_VALUE"""),"chiciozs:luck@gmail:com")</f>
        <v>chiciozs:luck@gmail:com</v>
      </c>
      <c r="B225" s="13" t="str">
        <f>IFERROR(__xludf.DUMMYFUNCTION("""COMPUTED_VALUE"""),"Kecamatan Silahisabungan Dalam Angka 2021")</f>
        <v>Kecamatan Silahisabungan Dalam Angka 2021</v>
      </c>
      <c r="C225" s="13" t="str">
        <f>IFERROR(__xludf.DUMMYFUNCTION("""COMPUTED_VALUE"""),"Publikasi")</f>
        <v>Publikasi</v>
      </c>
      <c r="E225" s="19" t="s">
        <v>1344</v>
      </c>
      <c r="F225" s="20" t="str">
        <f>IFERROR(__xludf.DUMMYFUNCTION("JOIN(""
"",FILTER($B225:$B1300,$A225:$A1300=E225))"),"Kecamatan Silahisabungan Dalam Angka 2024
Statistik Daerah Kabupaten Dairi 2024")</f>
        <v>Kecamatan Silahisabungan Dalam Angka 2024
Statistik Daerah Kabupaten Dairi 2024</v>
      </c>
    </row>
    <row r="226">
      <c r="A226" s="13" t="str">
        <f>IFERROR(__xludf.DUMMYFUNCTION("""COMPUTED_VALUE"""),"Cicillia123456@gmail:com")</f>
        <v>Cicillia123456@gmail:com</v>
      </c>
      <c r="B226" s="13" t="str">
        <f>IFERROR(__xludf.DUMMYFUNCTION("""COMPUTED_VALUE"""),"Kabupaten Dairi Dalam Angka 2022")</f>
        <v>Kabupaten Dairi Dalam Angka 2022</v>
      </c>
      <c r="C226" s="13" t="str">
        <f>IFERROR(__xludf.DUMMYFUNCTION("""COMPUTED_VALUE"""),"Publikasi")</f>
        <v>Publikasi</v>
      </c>
      <c r="E226" s="19" t="s">
        <v>1415</v>
      </c>
      <c r="F226" s="20" t="str">
        <f>IFERROR(__xludf.DUMMYFUNCTION("JOIN(""
"",FILTER($B226:$B1300,$A226:$A1300=E226))"),"Kabupaten Dairi Dalam Angka 2022
Kabupaten Dairi Dalam Angka 2024
Kecamatan Lae Parira Dalam Angka 2024
Kecamatan Pegagan Hilir Dalam Angka 2022
Kecamatan Pegagan Hilir Dalam Angka 2024
Kecamatan Sidikalang Dalam Angka 2022
Kecamatan Sidikalang Dalam Angk"&amp;"a 2024
Kecamatan Silima Pungga-Pungga Dalam Angka 2021
Kecamatan Silima Pungga-Pungga Dalam Angka 2022
Kecamatan Silima Pungga-Pungga Dalam Angka 2024
Kecamatan Tiga Lingga Dalam Angka 2024")</f>
        <v>Kabupaten Dairi Dalam Angka 2022
Kabupaten Dairi Dalam Angka 2024
Kecamatan Lae Parira Dalam Angka 2024
Kecamatan Pegagan Hilir Dalam Angka 2022
Kecamatan Pegagan Hilir Dalam Angka 2024
Kecamatan Sidikalang Dalam Angka 2022
Kecamatan Sidikalang Dalam Angka 2024
Kecamatan Silima Pungga-Pungga Dalam Angka 2021
Kecamatan Silima Pungga-Pungga Dalam Angka 2022
Kecamatan Silima Pungga-Pungga Dalam Angka 2024
Kecamatan Tiga Lingga Dalam Angka 2024</v>
      </c>
    </row>
    <row r="227">
      <c r="A227" s="13" t="str">
        <f>IFERROR(__xludf.DUMMYFUNCTION("""COMPUTED_VALUE"""),"cindikenara@gmail:com")</f>
        <v>cindikenara@gmail:com</v>
      </c>
      <c r="B227" s="13" t="str">
        <f>IFERROR(__xludf.DUMMYFUNCTION("""COMPUTED_VALUE"""),"Kecamatan Parbuluan Dalam Angka 2024")</f>
        <v>Kecamatan Parbuluan Dalam Angka 2024</v>
      </c>
      <c r="C227" s="13" t="str">
        <f>IFERROR(__xludf.DUMMYFUNCTION("""COMPUTED_VALUE"""),"Publikasi")</f>
        <v>Publikasi</v>
      </c>
      <c r="E227" s="19" t="s">
        <v>1365</v>
      </c>
      <c r="F227" s="20" t="str">
        <f>IFERROR(__xludf.DUMMYFUNCTION("JOIN(""
"",FILTER($B227:$B1300,$A227:$A1300=E227))"),"Kabupaten Dairi Dalam Angka 2024")</f>
        <v>Kabupaten Dairi Dalam Angka 2024</v>
      </c>
    </row>
    <row r="228">
      <c r="A228" s="13" t="str">
        <f>IFERROR(__xludf.DUMMYFUNCTION("""COMPUTED_VALUE"""),"cristianbonart@gmail:com")</f>
        <v>cristianbonart@gmail:com</v>
      </c>
      <c r="B228" s="13" t="str">
        <f>IFERROR(__xludf.DUMMYFUNCTION("""COMPUTED_VALUE"""),"Indikator Kesejahteraan Rakyat Kabupaten Dairi Tahun 2024")</f>
        <v>Indikator Kesejahteraan Rakyat Kabupaten Dairi Tahun 2024</v>
      </c>
      <c r="C228" s="13" t="str">
        <f>IFERROR(__xludf.DUMMYFUNCTION("""COMPUTED_VALUE"""),"Publikasi")</f>
        <v>Publikasi</v>
      </c>
      <c r="E228" s="19" t="s">
        <v>1149</v>
      </c>
      <c r="F228" s="20" t="str">
        <f>IFERROR(__xludf.DUMMYFUNCTION("JOIN(""
"",FILTER($B228:$B1300,$A228:$A1300=E228))"),"Indeks Pembangunan Manusia Kabupaten Dairi 2024
Kabupaten Dairi Dalam Angka 2024")</f>
        <v>Indeks Pembangunan Manusia Kabupaten Dairi 2024
Kabupaten Dairi Dalam Angka 2024</v>
      </c>
    </row>
    <row r="229">
      <c r="A229" s="13" t="str">
        <f>IFERROR(__xludf.DUMMYFUNCTION("""COMPUTED_VALUE"""),"cristinasinaga31@gmail:com")</f>
        <v>cristinasinaga31@gmail:com</v>
      </c>
      <c r="B229" s="13" t="str">
        <f>IFERROR(__xludf.DUMMYFUNCTION("""COMPUTED_VALUE"""),"Kabupaten Dairi Dalam Angka 2024")</f>
        <v>Kabupaten Dairi Dalam Angka 2024</v>
      </c>
      <c r="C229" s="13" t="str">
        <f>IFERROR(__xludf.DUMMYFUNCTION("""COMPUTED_VALUE"""),"Publikasi")</f>
        <v>Publikasi</v>
      </c>
      <c r="E229" s="19" t="s">
        <v>1134</v>
      </c>
      <c r="F229" s="20" t="str">
        <f>IFERROR(__xludf.DUMMYFUNCTION("JOIN(""
"",FILTER($B229:$B1300,$A229:$A1300=E229))"),"Kabupaten Dairi Dalam Angka 2024")</f>
        <v>Kabupaten Dairi Dalam Angka 2024</v>
      </c>
    </row>
    <row r="230">
      <c r="A230" s="13" t="str">
        <f>IFERROR(__xludf.DUMMYFUNCTION("""COMPUTED_VALUE"""),"daniel:amosbintang@gmail:com")</f>
        <v>daniel:amosbintang@gmail:com</v>
      </c>
      <c r="B230" s="13" t="str">
        <f>IFERROR(__xludf.DUMMYFUNCTION("""COMPUTED_VALUE"""),"Kabupaten Dairi Dalam Angka 2024")</f>
        <v>Kabupaten Dairi Dalam Angka 2024</v>
      </c>
      <c r="C230" s="13" t="str">
        <f>IFERROR(__xludf.DUMMYFUNCTION("""COMPUTED_VALUE"""),"Publikasi")</f>
        <v>Publikasi</v>
      </c>
      <c r="E230" s="19" t="s">
        <v>1741</v>
      </c>
      <c r="F230" s="20" t="str">
        <f>IFERROR(__xludf.DUMMYFUNCTION("JOIN(""
"",FILTER($B230:$B1300,$A230:$A1300=E230))"),"Kecamatan Berampu Dalam Angka 2022
Kecamatan Gunung Sitember Dalam Angka 2022
Kecamatan Lae Parira Dalam Angka 2022
Kecamatan Parbuluan Dalam Angka 2022
Kecamatan Pegagan Hilir Dalam Angka 2022
Kecamatan Sidikalang Dalam Angka 2022
Kecamatan Siempat Nempu"&amp;" Dalam Angka 2022
Kecamatan Siempat Nempu Hilir Dalam Angka 2022
Kecamatan Siempat Nempu Hulu Dalam Angka 2022
Kecamatan Silahisabungan Dalam Angka 2022
Kecamatan Silima Pungga-Pungga Dalam Angka 2022
Kecamatan Sitinjo Dalam Angka 2022
Kecamatan Sumbul Da"&amp;"lam Angka 2022
Kecamatan Tanah Pinem Dalam Angka 2022
Kecamatan Tiga Lingga Dalam Angka 2022")</f>
        <v>Kecamatan Berampu Dalam Angka 2022
Kecamatan Gunung Sitember Dalam Angka 2022
Kecamatan Lae Parira Dalam Angka 2022
Kecamatan Parbuluan Dalam Angka 2022
Kecamatan Pegagan Hilir Dalam Angka 2022
Kecamatan Sidikalang Dalam Angka 2022
Kecamatan Siempat Nempu Dalam Angka 2022
Kecamatan Siempat Nempu Hilir Dalam Angka 2022
Kecamatan Siempat Nempu Hulu Dalam Angka 2022
Kecamatan Silahisabungan Dalam Angka 2022
Kecamatan Silima Pungga-Pungga Dalam Angka 2022
Kecamatan Sitinjo Dalam Angka 2022
Kecamatan Sumbul Dalam Angka 2022
Kecamatan Tanah Pinem Dalam Angka 2022
Kecamatan Tiga Lingga Dalam Angka 2022</v>
      </c>
    </row>
    <row r="231">
      <c r="A231" s="13" t="str">
        <f>IFERROR(__xludf.DUMMYFUNCTION("""COMPUTED_VALUE"""),"darapuspitaa6688@gmail:com")</f>
        <v>darapuspitaa6688@gmail:com</v>
      </c>
      <c r="B231" s="13" t="str">
        <f>IFERROR(__xludf.DUMMYFUNCTION("""COMPUTED_VALUE"""),"Kabupaten Dairi Dalam Angka 2022")</f>
        <v>Kabupaten Dairi Dalam Angka 2022</v>
      </c>
      <c r="C231" s="13" t="str">
        <f>IFERROR(__xludf.DUMMYFUNCTION("""COMPUTED_VALUE"""),"Publikasi")</f>
        <v>Publikasi</v>
      </c>
      <c r="E231" s="19" t="s">
        <v>1712</v>
      </c>
      <c r="F231" s="20" t="str">
        <f>IFERROR(__xludf.DUMMYFUNCTION("JOIN(""
"",FILTER($B231:$B1300,$A231:$A1300=E231))"),"Indikator Kesejahteraan Rakyat Kabupaten Dairi Tahun 2022
Kabupaten Dairi Dalam Angka 2022
Kecamatan Berampu Dalam Angka 2022
Kecamatan Gunung Sitember Dalam Angka 2022
Kecamatan Lae Parira Dalam Angka 2022
Kecamatan Parbuluan Dalam Angka 2022
Kecamatan P"&amp;"egagan Hilir Dalam Angka 2022
Kecamatan Sidikalang Dalam Angka 2022
Kecamatan Siempat Nempu Dalam Angka 2022
Kecamatan Siempat Nempu Hilir Dalam Angka 2022
Kecamatan Siempat Nempu Hulu Dalam Angka 2022
Kecamatan Silahisabungan Dalam Angka 2022
Kecamatan S"&amp;"ilima Pungga-Pungga Dalam Angka 2022
Kecamatan Sitinjo Dalam Angka 2022
Kecamatan Sumbul Dalam Angka 2022
Kecamatan Tanah Pinem Dalam Angka 2022
Kecamatan Tiga Lingga Dalam Angka 2022
Statistik Kesejahteraan Rakyat Kabupaten Dairi 2022")</f>
        <v>Indikator Kesejahteraan Rakyat Kabupaten Dairi Tahun 2022
Kabupaten Dairi Dalam Angka 2022
Kecamatan Berampu Dalam Angka 2022
Kecamatan Gunung Sitember Dalam Angka 2022
Kecamatan Lae Parira Dalam Angka 2022
Kecamatan Parbuluan Dalam Angka 2022
Kecamatan Pegagan Hilir Dalam Angka 2022
Kecamatan Sidikalang Dalam Angka 2022
Kecamatan Siempat Nempu Dalam Angka 2022
Kecamatan Siempat Nempu Hilir Dalam Angka 2022
Kecamatan Siempat Nempu Hulu Dalam Angka 2022
Kecamatan Silahisabungan Dalam Angka 2022
Kecamatan Silima Pungga-Pungga Dalam Angka 2022
Kecamatan Sitinjo Dalam Angka 2022
Kecamatan Sumbul Dalam Angka 2022
Kecamatan Tanah Pinem Dalam Angka 2022
Kecamatan Tiga Lingga Dalam Angka 2022
Statistik Kesejahteraan Rakyat Kabupaten Dairi 2022</v>
      </c>
    </row>
    <row r="232">
      <c r="A232" s="13" t="str">
        <f>IFERROR(__xludf.DUMMYFUNCTION("""COMPUTED_VALUE"""),"darwin@usi:ac:id")</f>
        <v>darwin@usi:ac:id</v>
      </c>
      <c r="B232" s="13" t="str">
        <f>IFERROR(__xludf.DUMMYFUNCTION("""COMPUTED_VALUE"""),"Kabupaten Dairi Dalam Angka 2014")</f>
        <v>Kabupaten Dairi Dalam Angka 2014</v>
      </c>
      <c r="C232" s="13" t="str">
        <f>IFERROR(__xludf.DUMMYFUNCTION("""COMPUTED_VALUE"""),"Publikasi")</f>
        <v>Publikasi</v>
      </c>
      <c r="E232" s="19" t="s">
        <v>1326</v>
      </c>
      <c r="F232" s="20" t="str">
        <f>IFERROR(__xludf.DUMMYFUNCTION("JOIN(""
"",FILTER($B232:$B1300,$A232:$A1300=E232))"),"Indikator Kesejahteraan Rakyat Kabupaten Dairi Tahun 2024
Kabupaten Dairi Dalam Angka 2024")</f>
        <v>Indikator Kesejahteraan Rakyat Kabupaten Dairi Tahun 2024
Kabupaten Dairi Dalam Angka 2024</v>
      </c>
    </row>
    <row r="233">
      <c r="A233" s="13" t="str">
        <f>IFERROR(__xludf.DUMMYFUNCTION("""COMPUTED_VALUE"""),"darwin@usi:ac:id")</f>
        <v>darwin@usi:ac:id</v>
      </c>
      <c r="B233" s="13" t="str">
        <f>IFERROR(__xludf.DUMMYFUNCTION("""COMPUTED_VALUE"""),"Kabupaten Dairi Dalam Angka 2015")</f>
        <v>Kabupaten Dairi Dalam Angka 2015</v>
      </c>
      <c r="C233" s="13" t="str">
        <f>IFERROR(__xludf.DUMMYFUNCTION("""COMPUTED_VALUE"""),"Publikasi")</f>
        <v>Publikasi</v>
      </c>
      <c r="E233" s="19" t="s">
        <v>1251</v>
      </c>
      <c r="F233" s="20" t="str">
        <f>IFERROR(__xludf.DUMMYFUNCTION("JOIN(""
"",FILTER($B233:$B1300,$A233:$A1300=E233))"),"Kabupaten Dairi Dalam Angka 2024")</f>
        <v>Kabupaten Dairi Dalam Angka 2024</v>
      </c>
    </row>
    <row r="234">
      <c r="A234" s="13" t="str">
        <f>IFERROR(__xludf.DUMMYFUNCTION("""COMPUTED_VALUE"""),"darwin@usi:ac:id")</f>
        <v>darwin@usi:ac:id</v>
      </c>
      <c r="B234" s="13" t="str">
        <f>IFERROR(__xludf.DUMMYFUNCTION("""COMPUTED_VALUE"""),"Kabupaten Dairi Dalam Angka 2016")</f>
        <v>Kabupaten Dairi Dalam Angka 2016</v>
      </c>
      <c r="C234" s="13" t="str">
        <f>IFERROR(__xludf.DUMMYFUNCTION("""COMPUTED_VALUE"""),"Publikasi")</f>
        <v>Publikasi</v>
      </c>
      <c r="E234" s="19" t="s">
        <v>1118</v>
      </c>
      <c r="F234" s="20" t="str">
        <f>IFERROR(__xludf.DUMMYFUNCTION("JOIN(""
"",FILTER($B234:$B1300,$A234:$A1300=E234))"),"Kabupaten Dairi Dalam Angka 2024
Profil Kependudukan dan Ketenagakerjaan Kabupaten Dairi 2022
Statistik Daerah Kabupaten Dairi 2024")</f>
        <v>Kabupaten Dairi Dalam Angka 2024
Profil Kependudukan dan Ketenagakerjaan Kabupaten Dairi 2022
Statistik Daerah Kabupaten Dairi 2024</v>
      </c>
    </row>
    <row r="235">
      <c r="A235" s="13" t="str">
        <f>IFERROR(__xludf.DUMMYFUNCTION("""COMPUTED_VALUE"""),"darwin@usi:ac:id")</f>
        <v>darwin@usi:ac:id</v>
      </c>
      <c r="B235" s="13" t="str">
        <f>IFERROR(__xludf.DUMMYFUNCTION("""COMPUTED_VALUE"""),"Kabupaten Dairi Dalam Angka 2017")</f>
        <v>Kabupaten Dairi Dalam Angka 2017</v>
      </c>
      <c r="C235" s="13" t="str">
        <f>IFERROR(__xludf.DUMMYFUNCTION("""COMPUTED_VALUE"""),"Publikasi")</f>
        <v>Publikasi</v>
      </c>
      <c r="E235" s="19" t="s">
        <v>1132</v>
      </c>
      <c r="F235" s="20" t="str">
        <f>IFERROR(__xludf.DUMMYFUNCTION("JOIN(""
"",FILTER($B235:$B1300,$A235:$A1300=E235))"),"Hasil Pencacahan Lengkap Sensus Pertanian 2024 - Tahap I Kabupaten Dairi
Indikator Kesejahteraan Rakyat Kabupaten Dairi Tahun 2024
Kabupaten Dairi Dalam Angka 2024
Statistik Tanaman Pangan (Padi dan Palawija) Kabupaten Dairi 2022")</f>
        <v>Hasil Pencacahan Lengkap Sensus Pertanian 2024 - Tahap I Kabupaten Dairi
Indikator Kesejahteraan Rakyat Kabupaten Dairi Tahun 2024
Kabupaten Dairi Dalam Angka 2024
Statistik Tanaman Pangan (Padi dan Palawija) Kabupaten Dairi 2022</v>
      </c>
    </row>
    <row r="236">
      <c r="A236" s="13" t="str">
        <f>IFERROR(__xludf.DUMMYFUNCTION("""COMPUTED_VALUE"""),"daryanto:marbun@gmail:com")</f>
        <v>daryanto:marbun@gmail:com</v>
      </c>
      <c r="B236" s="13" t="str">
        <f>IFERROR(__xludf.DUMMYFUNCTION("""COMPUTED_VALUE"""),"Kabupaten Dairi Dalam Angka 2022")</f>
        <v>Kabupaten Dairi Dalam Angka 2022</v>
      </c>
      <c r="C236" s="13" t="str">
        <f>IFERROR(__xludf.DUMMYFUNCTION("""COMPUTED_VALUE"""),"Publikasi")</f>
        <v>Publikasi</v>
      </c>
      <c r="E236" s="19" t="s">
        <v>1663</v>
      </c>
      <c r="F236" s="20" t="str">
        <f>IFERROR(__xludf.DUMMYFUNCTION("JOIN(""
"",FILTER($B236:$B1300,$A236:$A1300=E236))"),"Profil Kependudukan dan Ketenagakerjaan Kabupaten Dairi 2021
Statistik Daerah Kabupaten Dairi 2022")</f>
        <v>Profil Kependudukan dan Ketenagakerjaan Kabupaten Dairi 2021
Statistik Daerah Kabupaten Dairi 2022</v>
      </c>
    </row>
    <row r="237">
      <c r="A237" s="13" t="str">
        <f>IFERROR(__xludf.DUMMYFUNCTION("""COMPUTED_VALUE"""),"david:pasaribu@bps:go:id")</f>
        <v>david:pasaribu@bps:go:id</v>
      </c>
      <c r="B237" s="13" t="str">
        <f>IFERROR(__xludf.DUMMYFUNCTION("""COMPUTED_VALUE"""),"Hasil Pencacahan Lengkap Sensus Pertanian 2024 - Tahap I Kabupaten Dairi")</f>
        <v>Hasil Pencacahan Lengkap Sensus Pertanian 2024 - Tahap I Kabupaten Dairi</v>
      </c>
      <c r="C237" s="13" t="str">
        <f>IFERROR(__xludf.DUMMYFUNCTION("""COMPUTED_VALUE"""),"Publikasi")</f>
        <v>Publikasi</v>
      </c>
      <c r="E237" s="19" t="s">
        <v>1745</v>
      </c>
      <c r="F237" s="20" t="str">
        <f>IFERROR(__xludf.DUMMYFUNCTION("JOIN(""
"",FILTER($B237:$B1300,$A237:$A1300=E237))"),"Kabupaten Dairi Dalam Angka 2020
Kabupaten Dairi Dalam Angka 2021")</f>
        <v>Kabupaten Dairi Dalam Angka 2020
Kabupaten Dairi Dalam Angka 2021</v>
      </c>
    </row>
    <row r="238">
      <c r="A238" s="13" t="str">
        <f>IFERROR(__xludf.DUMMYFUNCTION("""COMPUTED_VALUE"""),"david:pasaribu@bps:go:id")</f>
        <v>david:pasaribu@bps:go:id</v>
      </c>
      <c r="B238" s="13" t="str">
        <f>IFERROR(__xludf.DUMMYFUNCTION("""COMPUTED_VALUE"""),"Indeks Pembangunan Manusia Kabupaten Dairi 2024")</f>
        <v>Indeks Pembangunan Manusia Kabupaten Dairi 2024</v>
      </c>
      <c r="C238" s="13" t="str">
        <f>IFERROR(__xludf.DUMMYFUNCTION("""COMPUTED_VALUE"""),"Publikasi")</f>
        <v>Publikasi</v>
      </c>
      <c r="E238" s="19" t="s">
        <v>1177</v>
      </c>
      <c r="F238" s="20" t="str">
        <f>IFERROR(__xludf.DUMMYFUNCTION("JOIN(""
"",FILTER($B238:$B1300,$A238:$A1300=E238))"),"Analisis Survei Kebutuhan Data Kabupaten Dairi 2022
Hasil Pencacahan Lengkap Sensus Pertanian 2024 - Tahap I Kabupaten Dairi
Indeks Pembangunan Manusia Kabupaten Dairi 2024
Indikator Kesejahteraan Rakyat Kabupaten Dairi Tahun 2022
Indikator Kesejahteraan "&amp;"Rakyat Kabupaten Dairi Tahun 2024
Kabupaten Dairi Dalam Angka 2021
Kabupaten Dairi Dalam Angka 2024
Statistik Kesejahteraan Rakyat Kabupaten Dairi 2022
Statistik Kesejahteraan Rakyat Kabupaten Dairi 2024")</f>
        <v>Analisis Survei Kebutuhan Data Kabupaten Dairi 2022
Hasil Pencacahan Lengkap Sensus Pertanian 2024 - Tahap I Kabupaten Dairi
Indeks Pembangunan Manusia Kabupaten Dairi 2024
Indikator Kesejahteraan Rakyat Kabupaten Dairi Tahun 2022
Indikator Kesejahteraan Rakyat Kabupaten Dairi Tahun 2024
Kabupaten Dairi Dalam Angka 2021
Kabupaten Dairi Dalam Angka 2024
Statistik Kesejahteraan Rakyat Kabupaten Dairi 2022
Statistik Kesejahteraan Rakyat Kabupaten Dairi 2024</v>
      </c>
    </row>
    <row r="239">
      <c r="A239" s="13" t="str">
        <f>IFERROR(__xludf.DUMMYFUNCTION("""COMPUTED_VALUE"""),"david:pasaribu@bps:go:id")</f>
        <v>david:pasaribu@bps:go:id</v>
      </c>
      <c r="B239" s="13" t="str">
        <f>IFERROR(__xludf.DUMMYFUNCTION("""COMPUTED_VALUE"""),"Indikator Kesejahteraan Rakyat Kabupaten Dairi 2021")</f>
        <v>Indikator Kesejahteraan Rakyat Kabupaten Dairi 2021</v>
      </c>
      <c r="C239" s="13" t="str">
        <f>IFERROR(__xludf.DUMMYFUNCTION("""COMPUTED_VALUE"""),"Publikasi")</f>
        <v>Publikasi</v>
      </c>
      <c r="E239" s="19" t="s">
        <v>1198</v>
      </c>
      <c r="F239" s="20" t="str">
        <f>IFERROR(__xludf.DUMMYFUNCTION("JOIN(""
"",FILTER($B239:$B1300,$A239:$A1300=E239))"),"Analisis Hasil Survei Kebutuhan Data BPS Kabupaten Dairi 2024
Kabupaten Dairi Dalam Angka 2024
Kecamatan Tanah Pinem Dalam Angka 2022")</f>
        <v>Analisis Hasil Survei Kebutuhan Data BPS Kabupaten Dairi 2024
Kabupaten Dairi Dalam Angka 2024
Kecamatan Tanah Pinem Dalam Angka 2022</v>
      </c>
    </row>
    <row r="240">
      <c r="A240" s="13" t="str">
        <f>IFERROR(__xludf.DUMMYFUNCTION("""COMPUTED_VALUE"""),"david:pasaribu@bps:go:id")</f>
        <v>david:pasaribu@bps:go:id</v>
      </c>
      <c r="B240" s="13" t="str">
        <f>IFERROR(__xludf.DUMMYFUNCTION("""COMPUTED_VALUE"""),"Indikator Kesejahteraan Rakyat Kabupaten Dairi Tahun 2022")</f>
        <v>Indikator Kesejahteraan Rakyat Kabupaten Dairi Tahun 2022</v>
      </c>
      <c r="C240" s="13" t="str">
        <f>IFERROR(__xludf.DUMMYFUNCTION("""COMPUTED_VALUE"""),"Publikasi")</f>
        <v>Publikasi</v>
      </c>
      <c r="E240" s="19" t="s">
        <v>1242</v>
      </c>
      <c r="F240" s="20" t="str">
        <f>IFERROR(__xludf.DUMMYFUNCTION("JOIN(""
"",FILTER($B240:$B1300,$A240:$A1300=E240))"),"Analisis Survei Kebutuhan Data Kabupaten Dairi 2022
Kabupaten Dairi Dalam Angka 2020
Kabupaten Dairi Dalam Angka 2021
Kabupaten Dairi Dalam Angka 2022
Kabupaten Dairi Dalam Angka 2024
Produk Domestik Regional Bruto Kabupaten Dairi Menurut Pengeluaran 2017"&amp;" - 2021
Profil Kependudukan dan Ketenagakerjaan Kabupaten Dairi 2021
Statistik Hortikultura Kabupaten Dairi Tahun 2022
Statistik Kesejahteraan Rakyat Kabupaten Dairi 2024
Statistik Tanaman Pangan (Padi dan Palawija) Kabupaten Dairi 2021
Statistik Tanaman "&amp;"Pangan (Padi dan Palawija) Kabupaten Dairi 2022")</f>
        <v>Analisis Survei Kebutuhan Data Kabupaten Dairi 2022
Kabupaten Dairi Dalam Angka 2020
Kabupaten Dairi Dalam Angka 2021
Kabupaten Dairi Dalam Angka 2022
Kabupaten Dairi Dalam Angka 2024
Produk Domestik Regional Bruto Kabupaten Dairi Menurut Pengeluaran 2017 - 2021
Profil Kependudukan dan Ketenagakerjaan Kabupaten Dairi 2021
Statistik Hortikultura Kabupaten Dairi Tahun 2022
Statistik Kesejahteraan Rakyat Kabupaten Dairi 2024
Statistik Tanaman Pangan (Padi dan Palawija) Kabupaten Dairi 2021
Statistik Tanaman Pangan (Padi dan Palawija) Kabupaten Dairi 2022</v>
      </c>
    </row>
    <row r="241">
      <c r="A241" s="13" t="str">
        <f>IFERROR(__xludf.DUMMYFUNCTION("""COMPUTED_VALUE"""),"david:pasaribu@bps:go:id")</f>
        <v>david:pasaribu@bps:go:id</v>
      </c>
      <c r="B241" s="13" t="str">
        <f>IFERROR(__xludf.DUMMYFUNCTION("""COMPUTED_VALUE"""),"Indikator Kesejahteraan Rakyat Kabupaten Dairi Tahun 2024")</f>
        <v>Indikator Kesejahteraan Rakyat Kabupaten Dairi Tahun 2024</v>
      </c>
      <c r="C241" s="13" t="str">
        <f>IFERROR(__xludf.DUMMYFUNCTION("""COMPUTED_VALUE"""),"Publikasi")</f>
        <v>Publikasi</v>
      </c>
      <c r="E241" s="19" t="s">
        <v>1376</v>
      </c>
      <c r="F241" s="20" t="str">
        <f>IFERROR(__xludf.DUMMYFUNCTION("JOIN(""
"",FILTER($B241:$B1300,$A241:$A1300=E241))"),"Kabupaten Dairi Dalam Angka 2024")</f>
        <v>Kabupaten Dairi Dalam Angka 2024</v>
      </c>
    </row>
    <row r="242">
      <c r="A242" s="13" t="str">
        <f>IFERROR(__xludf.DUMMYFUNCTION("""COMPUTED_VALUE"""),"david:pasaribu@bps:go:id")</f>
        <v>david:pasaribu@bps:go:id</v>
      </c>
      <c r="B242" s="13" t="str">
        <f>IFERROR(__xludf.DUMMYFUNCTION("""COMPUTED_VALUE"""),"Kabupaten Dairi Dalam Angka 2024")</f>
        <v>Kabupaten Dairi Dalam Angka 2024</v>
      </c>
      <c r="C242" s="13" t="str">
        <f>IFERROR(__xludf.DUMMYFUNCTION("""COMPUTED_VALUE"""),"Publikasi")</f>
        <v>Publikasi</v>
      </c>
      <c r="E242" s="19" t="s">
        <v>1260</v>
      </c>
      <c r="F242" s="20" t="str">
        <f>IFERROR(__xludf.DUMMYFUNCTION("JOIN(""
"",FILTER($B242:$B1300,$A242:$A1300=E242))"),"Tingkat Penghunian Kamar Akomodasi Dairi 2022")</f>
        <v>Tingkat Penghunian Kamar Akomodasi Dairi 2022</v>
      </c>
    </row>
    <row r="243">
      <c r="A243" s="13" t="str">
        <f>IFERROR(__xludf.DUMMYFUNCTION("""COMPUTED_VALUE"""),"david:pasaribu@bps:go:id")</f>
        <v>david:pasaribu@bps:go:id</v>
      </c>
      <c r="B243" s="13" t="str">
        <f>IFERROR(__xludf.DUMMYFUNCTION("""COMPUTED_VALUE"""),"Produk Domestik Regional Bruto Kabupaten Dairi Menurut Pengeluaran 2017 - 2021")</f>
        <v>Produk Domestik Regional Bruto Kabupaten Dairi Menurut Pengeluaran 2017 - 2021</v>
      </c>
      <c r="C243" s="13" t="str">
        <f>IFERROR(__xludf.DUMMYFUNCTION("""COMPUTED_VALUE"""),"Publikasi")</f>
        <v>Publikasi</v>
      </c>
      <c r="E243" s="19" t="s">
        <v>1754</v>
      </c>
      <c r="F243" s="20" t="str">
        <f>IFERROR(__xludf.DUMMYFUNCTION("JOIN(""
"",FILTER($B243:$B1300,$A243:$A1300=E243))"),"Kabupaten Dairi Dalam Angka 2013
Kabupaten Dairi Dalam Angka 2014
Kabupaten Dairi Dalam Angka 2015
Kabupaten Dairi Dalam Angka 2016
Kabupaten Dairi Dalam Angka 2016
Kabupaten Dairi Dalam Angka 2017
Kabupaten Dairi Dalam Angka 2018
Kabupaten Dairi Dalam An"&amp;"gka 2019
Kabupaten Dairi Dalam Angka 2020
Kabupaten Dairi Dalam Angka 2021
Kabupaten Dairi Dalam Angka 2022")</f>
        <v>Kabupaten Dairi Dalam Angka 2013
Kabupaten Dairi Dalam Angka 2014
Kabupaten Dairi Dalam Angka 2015
Kabupaten Dairi Dalam Angka 2016
Kabupaten Dairi Dalam Angka 2016
Kabupaten Dairi Dalam Angka 2017
Kabupaten Dairi Dalam Angka 2018
Kabupaten Dairi Dalam Angka 2019
Kabupaten Dairi Dalam Angka 2020
Kabupaten Dairi Dalam Angka 2021
Kabupaten Dairi Dalam Angka 2022</v>
      </c>
    </row>
    <row r="244">
      <c r="A244" s="13" t="str">
        <f>IFERROR(__xludf.DUMMYFUNCTION("""COMPUTED_VALUE"""),"david:pasaribu@bps:go:id")</f>
        <v>david:pasaribu@bps:go:id</v>
      </c>
      <c r="B244" s="13" t="str">
        <f>IFERROR(__xludf.DUMMYFUNCTION("""COMPUTED_VALUE"""),"Produk Domestik Regional Bruto Kabupaten Dairi Menurut Pengeluaran 2018 - 2022")</f>
        <v>Produk Domestik Regional Bruto Kabupaten Dairi Menurut Pengeluaran 2018 - 2022</v>
      </c>
      <c r="C244" s="13" t="str">
        <f>IFERROR(__xludf.DUMMYFUNCTION("""COMPUTED_VALUE"""),"Publikasi")</f>
        <v>Publikasi</v>
      </c>
      <c r="E244" s="19" t="s">
        <v>1665</v>
      </c>
      <c r="F244" s="20" t="str">
        <f>IFERROR(__xludf.DUMMYFUNCTION("JOIN(""
"",FILTER($B244:$B1300,$A244:$A1300=E244))"),"Kabupaten Dairi Dalam Angka 2013
Kabupaten Dairi Dalam Angka 2014
Kabupaten Dairi Dalam Angka 2015
Kabupaten Dairi Dalam Angka 2016
Kabupaten Dairi Dalam Angka 2016
Kabupaten Dairi Dalam Angka 2017
Kabupaten Dairi Dalam Angka 2018
Kabupaten Dairi Dalam An"&amp;"gka 2019
Kabupaten Dairi Dalam Angka 2020
Kabupaten Dairi Dalam Angka 2021
Kabupaten Dairi Dalam Angka 2022")</f>
        <v>Kabupaten Dairi Dalam Angka 2013
Kabupaten Dairi Dalam Angka 2014
Kabupaten Dairi Dalam Angka 2015
Kabupaten Dairi Dalam Angka 2016
Kabupaten Dairi Dalam Angka 2016
Kabupaten Dairi Dalam Angka 2017
Kabupaten Dairi Dalam Angka 2018
Kabupaten Dairi Dalam Angka 2019
Kabupaten Dairi Dalam Angka 2020
Kabupaten Dairi Dalam Angka 2021
Kabupaten Dairi Dalam Angka 2022</v>
      </c>
    </row>
    <row r="245">
      <c r="A245" s="13" t="str">
        <f>IFERROR(__xludf.DUMMYFUNCTION("""COMPUTED_VALUE"""),"davidpadangtujuh@gmail:com")</f>
        <v>davidpadangtujuh@gmail:com</v>
      </c>
      <c r="B245" s="13" t="str">
        <f>IFERROR(__xludf.DUMMYFUNCTION("""COMPUTED_VALUE"""),"Kabupaten Dairi Dalam Angka 2024")</f>
        <v>Kabupaten Dairi Dalam Angka 2024</v>
      </c>
      <c r="C245" s="13" t="str">
        <f>IFERROR(__xludf.DUMMYFUNCTION("""COMPUTED_VALUE"""),"Publikasi")</f>
        <v>Publikasi</v>
      </c>
      <c r="E245" s="19" t="s">
        <v>1154</v>
      </c>
      <c r="F245" s="20" t="str">
        <f>IFERROR(__xludf.DUMMYFUNCTION("JOIN(""
"",FILTER($B245:$B1300,$A245:$A1300=E245))"),"Kabupaten Dairi Dalam Angka 2024")</f>
        <v>Kabupaten Dairi Dalam Angka 2024</v>
      </c>
    </row>
    <row r="246">
      <c r="A246" s="13" t="str">
        <f>IFERROR(__xludf.DUMMYFUNCTION("""COMPUTED_VALUE"""),"davidpasaribu1982@gmail:com")</f>
        <v>davidpasaribu1982@gmail:com</v>
      </c>
      <c r="B246" s="13" t="str">
        <f>IFERROR(__xludf.DUMMYFUNCTION("""COMPUTED_VALUE"""),"Indeks Pembangunan Manusia Kabupaten Dairi 2021")</f>
        <v>Indeks Pembangunan Manusia Kabupaten Dairi 2021</v>
      </c>
      <c r="C246" s="13" t="str">
        <f>IFERROR(__xludf.DUMMYFUNCTION("""COMPUTED_VALUE"""),"Publikasi")</f>
        <v>Publikasi</v>
      </c>
      <c r="E246" s="19" t="s">
        <v>805</v>
      </c>
      <c r="F246" s="20" t="str">
        <f>IFERROR(__xludf.DUMMYFUNCTION("JOIN(""
"",FILTER($B246:$B1300,$A246:$A1300=E246))"),"Kabupaten Dairi Dalam Angka 2024")</f>
        <v>Kabupaten Dairi Dalam Angka 2024</v>
      </c>
    </row>
    <row r="247">
      <c r="A247" s="13" t="str">
        <f>IFERROR(__xludf.DUMMYFUNCTION("""COMPUTED_VALUE"""),"davidpasaribu1982@gmail:com")</f>
        <v>davidpasaribu1982@gmail:com</v>
      </c>
      <c r="B247" s="13" t="str">
        <f>IFERROR(__xludf.DUMMYFUNCTION("""COMPUTED_VALUE"""),"Indikator Kesejahteraan Rakyat Kabupaten Dairi 2021")</f>
        <v>Indikator Kesejahteraan Rakyat Kabupaten Dairi 2021</v>
      </c>
      <c r="C247" s="13" t="str">
        <f>IFERROR(__xludf.DUMMYFUNCTION("""COMPUTED_VALUE"""),"Publikasi")</f>
        <v>Publikasi</v>
      </c>
      <c r="E247" s="19" t="s">
        <v>1451</v>
      </c>
      <c r="F247" s="20" t="str">
        <f>IFERROR(__xludf.DUMMYFUNCTION("JOIN(""
"",FILTER($B247:$B1300,$A247:$A1300=E247))"),"Kabupaten Dairi Dalam Angka 2024")</f>
        <v>Kabupaten Dairi Dalam Angka 2024</v>
      </c>
    </row>
    <row r="248">
      <c r="A248" s="13" t="str">
        <f>IFERROR(__xludf.DUMMYFUNCTION("""COMPUTED_VALUE"""),"davidpasaribu1982@gmail:com")</f>
        <v>davidpasaribu1982@gmail:com</v>
      </c>
      <c r="B248" s="13" t="str">
        <f>IFERROR(__xludf.DUMMYFUNCTION("""COMPUTED_VALUE"""),"Kecamatan Sidikalang Dalam Angka 2022")</f>
        <v>Kecamatan Sidikalang Dalam Angka 2022</v>
      </c>
      <c r="C248" s="13" t="str">
        <f>IFERROR(__xludf.DUMMYFUNCTION("""COMPUTED_VALUE"""),"Publikasi")</f>
        <v>Publikasi</v>
      </c>
      <c r="E248" s="19" t="s">
        <v>1491</v>
      </c>
      <c r="F248" s="20" t="str">
        <f>IFERROR(__xludf.DUMMYFUNCTION("JOIN(""
"",FILTER($B248:$B1300,$A248:$A1300=E248))"),"Kabupaten Dairi Dalam Angka 2024")</f>
        <v>Kabupaten Dairi Dalam Angka 2024</v>
      </c>
    </row>
    <row r="249">
      <c r="A249" s="13" t="str">
        <f>IFERROR(__xludf.DUMMYFUNCTION("""COMPUTED_VALUE"""),"davidpasaribu1982@gmail:com")</f>
        <v>davidpasaribu1982@gmail:com</v>
      </c>
      <c r="B249" s="13" t="str">
        <f>IFERROR(__xludf.DUMMYFUNCTION("""COMPUTED_VALUE"""),"Produk Domestik Regional Bruto Kabupaten Dairi Menurut Lapangan Usaha 2017 - 2021")</f>
        <v>Produk Domestik Regional Bruto Kabupaten Dairi Menurut Lapangan Usaha 2017 - 2021</v>
      </c>
      <c r="C249" s="13" t="str">
        <f>IFERROR(__xludf.DUMMYFUNCTION("""COMPUTED_VALUE"""),"Publikasi")</f>
        <v>Publikasi</v>
      </c>
      <c r="E249" s="19" t="s">
        <v>1468</v>
      </c>
      <c r="F249" s="20" t="str">
        <f>IFERROR(__xludf.DUMMYFUNCTION("JOIN(""
"",FILTER($B249:$B1300,$A249:$A1300=E249))"),"Kabupaten Dairi Dalam Angka 2024")</f>
        <v>Kabupaten Dairi Dalam Angka 2024</v>
      </c>
    </row>
    <row r="250">
      <c r="A250" s="13" t="str">
        <f>IFERROR(__xludf.DUMMYFUNCTION("""COMPUTED_VALUE"""),"davidpasaribu1982@gmail:com")</f>
        <v>davidpasaribu1982@gmail:com</v>
      </c>
      <c r="B250" s="13" t="str">
        <f>IFERROR(__xludf.DUMMYFUNCTION("""COMPUTED_VALUE"""),"Produk Domestik Regional Bruto Kabupaten Dairi Menurut Pengeluaran 2017 - 2021")</f>
        <v>Produk Domestik Regional Bruto Kabupaten Dairi Menurut Pengeluaran 2017 - 2021</v>
      </c>
      <c r="C250" s="13" t="str">
        <f>IFERROR(__xludf.DUMMYFUNCTION("""COMPUTED_VALUE"""),"Publikasi")</f>
        <v>Publikasi</v>
      </c>
      <c r="E250" s="19" t="s">
        <v>1401</v>
      </c>
      <c r="F250" s="20" t="str">
        <f>IFERROR(__xludf.DUMMYFUNCTION("JOIN(""
"",FILTER($B250:$B1300,$A250:$A1300=E250))"),"Indeks Pembangunan Manusia Kabupaten Dairi 2024")</f>
        <v>Indeks Pembangunan Manusia Kabupaten Dairi 2024</v>
      </c>
    </row>
    <row r="251">
      <c r="A251" s="13" t="str">
        <f>IFERROR(__xludf.DUMMYFUNCTION("""COMPUTED_VALUE"""),"davidpasaribu1982@gmail:com")</f>
        <v>davidpasaribu1982@gmail:com</v>
      </c>
      <c r="B251" s="13" t="str">
        <f>IFERROR(__xludf.DUMMYFUNCTION("""COMPUTED_VALUE"""),"Statistik Daerah Kabupaten Dairi 2022")</f>
        <v>Statistik Daerah Kabupaten Dairi 2022</v>
      </c>
      <c r="C251" s="13" t="str">
        <f>IFERROR(__xludf.DUMMYFUNCTION("""COMPUTED_VALUE"""),"Publikasi")</f>
        <v>Publikasi</v>
      </c>
      <c r="E251" s="19" t="s">
        <v>1592</v>
      </c>
      <c r="F251" s="20" t="str">
        <f>IFERROR(__xludf.DUMMYFUNCTION("JOIN(""
"",FILTER($B251:$B1300,$A251:$A1300=E251))"),"Profil Kependudukan dan Ketenagakerjaan Kabupaten Dairi 2021
Statistik Kesejahteraan Rakyat Kabupaten Dairi 2022")</f>
        <v>Profil Kependudukan dan Ketenagakerjaan Kabupaten Dairi 2021
Statistik Kesejahteraan Rakyat Kabupaten Dairi 2022</v>
      </c>
      <c r="G251" s="4" t="s">
        <v>1766</v>
      </c>
    </row>
    <row r="252">
      <c r="A252" s="13" t="str">
        <f>IFERROR(__xludf.DUMMYFUNCTION("""COMPUTED_VALUE"""),"Davinshahreza123@gmail:com")</f>
        <v>Davinshahreza123@gmail:com</v>
      </c>
      <c r="B252" s="13" t="str">
        <f>IFERROR(__xludf.DUMMYFUNCTION("""COMPUTED_VALUE"""),"Indeks Pembangunan Manusia Kabupaten Dairi 2024")</f>
        <v>Indeks Pembangunan Manusia Kabupaten Dairi 2024</v>
      </c>
      <c r="C252" s="13" t="str">
        <f>IFERROR(__xludf.DUMMYFUNCTION("""COMPUTED_VALUE"""),"Publikasi")</f>
        <v>Publikasi</v>
      </c>
      <c r="E252" s="19" t="s">
        <v>1327</v>
      </c>
      <c r="F252" s="20" t="str">
        <f>IFERROR(__xludf.DUMMYFUNCTION("JOIN(""
"",FILTER($B252:$B1300,$A252:$A1300=E252))"),"Indikator Kesejahteraan Rakyat Kabupaten Dairi Tahun 2024")</f>
        <v>Indikator Kesejahteraan Rakyat Kabupaten Dairi Tahun 2024</v>
      </c>
    </row>
    <row r="253">
      <c r="A253" s="13" t="str">
        <f>IFERROR(__xludf.DUMMYFUNCTION("""COMPUTED_VALUE"""),"Davinshahreza123@gmail:com")</f>
        <v>Davinshahreza123@gmail:com</v>
      </c>
      <c r="B253" s="13" t="str">
        <f>IFERROR(__xludf.DUMMYFUNCTION("""COMPUTED_VALUE"""),"Indikator Kesejahteraan Rakyat Kabupaten Dairi Tahun 2024")</f>
        <v>Indikator Kesejahteraan Rakyat Kabupaten Dairi Tahun 2024</v>
      </c>
      <c r="C253" s="13" t="str">
        <f>IFERROR(__xludf.DUMMYFUNCTION("""COMPUTED_VALUE"""),"Publikasi")</f>
        <v>Publikasi</v>
      </c>
      <c r="E253" s="19" t="s">
        <v>1597</v>
      </c>
      <c r="F253" s="20" t="str">
        <f>IFERROR(__xludf.DUMMYFUNCTION("JOIN(""
"",FILTER($B253:$B1300,$A253:$A1300=E253))"),"Kabupaten Dairi Dalam Angka 2018
Kabupaten Dairi Dalam Angka 2019")</f>
        <v>Kabupaten Dairi Dalam Angka 2018
Kabupaten Dairi Dalam Angka 2019</v>
      </c>
    </row>
    <row r="254">
      <c r="A254" s="13" t="str">
        <f>IFERROR(__xludf.DUMMYFUNCTION("""COMPUTED_VALUE"""),"Davinshahreza123@gmail:com")</f>
        <v>Davinshahreza123@gmail:com</v>
      </c>
      <c r="B254" s="13" t="str">
        <f>IFERROR(__xludf.DUMMYFUNCTION("""COMPUTED_VALUE"""),"Kabupaten Dairi Dalam Angka 2024")</f>
        <v>Kabupaten Dairi Dalam Angka 2024</v>
      </c>
      <c r="C254" s="13" t="str">
        <f>IFERROR(__xludf.DUMMYFUNCTION("""COMPUTED_VALUE"""),"Publikasi")</f>
        <v>Publikasi</v>
      </c>
      <c r="E254" s="19" t="s">
        <v>1309</v>
      </c>
      <c r="F254" s="20" t="str">
        <f>IFERROR(__xludf.DUMMYFUNCTION("JOIN(""
"",FILTER($B254:$B1300,$A254:$A1300=E254))"),"Kabupaten Dairi Dalam Angka 2024")</f>
        <v>Kabupaten Dairi Dalam Angka 2024</v>
      </c>
    </row>
    <row r="255">
      <c r="A255" s="13" t="str">
        <f>IFERROR(__xludf.DUMMYFUNCTION("""COMPUTED_VALUE"""),"Davinshahreza123@gmail:com")</f>
        <v>Davinshahreza123@gmail:com</v>
      </c>
      <c r="B255" s="13" t="str">
        <f>IFERROR(__xludf.DUMMYFUNCTION("""COMPUTED_VALUE"""),"Kecamatan Sumbul Dalam Angka 2024")</f>
        <v>Kecamatan Sumbul Dalam Angka 2024</v>
      </c>
      <c r="C255" s="13" t="str">
        <f>IFERROR(__xludf.DUMMYFUNCTION("""COMPUTED_VALUE"""),"Publikasi")</f>
        <v>Publikasi</v>
      </c>
      <c r="E255" s="19" t="s">
        <v>1394</v>
      </c>
      <c r="F255" s="20" t="str">
        <f>IFERROR(__xludf.DUMMYFUNCTION("JOIN(""
"",FILTER($B255:$B1300,$A255:$A1300=E255))"),"Hasil Pencacahan Lengkap Sensus Pertanian 2024 - Tahap I Kabupaten Dairi
Indeks Pembangunan Manusia Kabupaten Dairi 2024
Indikator Kesejahteraan Rakyat Kabupaten Dairi Tahun 2024
Statistik Kesejahteraan Rakyat Kabupaten Dairi 2024")</f>
        <v>Hasil Pencacahan Lengkap Sensus Pertanian 2024 - Tahap I Kabupaten Dairi
Indeks Pembangunan Manusia Kabupaten Dairi 2024
Indikator Kesejahteraan Rakyat Kabupaten Dairi Tahun 2024
Statistik Kesejahteraan Rakyat Kabupaten Dairi 2024</v>
      </c>
    </row>
    <row r="256">
      <c r="A256" s="13" t="str">
        <f>IFERROR(__xludf.DUMMYFUNCTION("""COMPUTED_VALUE"""),"de_bagack@yahoo:com")</f>
        <v>de_bagack@yahoo:com</v>
      </c>
      <c r="B256" s="13" t="str">
        <f>IFERROR(__xludf.DUMMYFUNCTION("""COMPUTED_VALUE"""),"Profil Kependudukan dan Ketenagakerjaan Kabupaten Dairi 2021")</f>
        <v>Profil Kependudukan dan Ketenagakerjaan Kabupaten Dairi 2021</v>
      </c>
      <c r="C256" s="13" t="str">
        <f>IFERROR(__xludf.DUMMYFUNCTION("""COMPUTED_VALUE"""),"Publikasi")</f>
        <v>Publikasi</v>
      </c>
      <c r="E256" s="19" t="s">
        <v>1544</v>
      </c>
      <c r="F256" s="20" t="str">
        <f>IFERROR(__xludf.DUMMYFUNCTION("JOIN(""
"",FILTER($B256:$B1300,$A256:$A1300=E256))"),"Kabupaten Dairi Dalam Angka 2019
Kabupaten Dairi Dalam Angka 2020
Kabupaten Dairi Dalam Angka 2021
Kabupaten Dairi Dalam Angka 2022
Kabupaten Dairi Dalam Angka 2024")</f>
        <v>Kabupaten Dairi Dalam Angka 2019
Kabupaten Dairi Dalam Angka 2020
Kabupaten Dairi Dalam Angka 2021
Kabupaten Dairi Dalam Angka 2022
Kabupaten Dairi Dalam Angka 2024</v>
      </c>
    </row>
    <row r="257">
      <c r="A257" s="13" t="str">
        <f>IFERROR(__xludf.DUMMYFUNCTION("""COMPUTED_VALUE"""),"defrianysagala@gmail:com")</f>
        <v>defrianysagala@gmail:com</v>
      </c>
      <c r="B257" s="13" t="str">
        <f>IFERROR(__xludf.DUMMYFUNCTION("""COMPUTED_VALUE"""),"Kabupaten Dairi Dalam Angka 2022")</f>
        <v>Kabupaten Dairi Dalam Angka 2022</v>
      </c>
      <c r="C257" s="13" t="str">
        <f>IFERROR(__xludf.DUMMYFUNCTION("""COMPUTED_VALUE"""),"Publikasi")</f>
        <v>Publikasi</v>
      </c>
      <c r="E257" s="19" t="s">
        <v>1117</v>
      </c>
      <c r="F257" s="20" t="str">
        <f>IFERROR(__xludf.DUMMYFUNCTION("JOIN(""
"",FILTER($B257:$B1300,$A257:$A1300=E257))"),"Kecamatan Tiga Lingga Dalam Angka 2024")</f>
        <v>Kecamatan Tiga Lingga Dalam Angka 2024</v>
      </c>
    </row>
    <row r="258">
      <c r="A258" s="13" t="str">
        <f>IFERROR(__xludf.DUMMYFUNCTION("""COMPUTED_VALUE"""),"defrianysagala@gmail:com")</f>
        <v>defrianysagala@gmail:com</v>
      </c>
      <c r="B258" s="13" t="str">
        <f>IFERROR(__xludf.DUMMYFUNCTION("""COMPUTED_VALUE"""),"Produk Domestik Regional Bruto Kabupaten Dairi Menurut Pengeluaran 2017 - 2021")</f>
        <v>Produk Domestik Regional Bruto Kabupaten Dairi Menurut Pengeluaran 2017 - 2021</v>
      </c>
      <c r="C258" s="13" t="str">
        <f>IFERROR(__xludf.DUMMYFUNCTION("""COMPUTED_VALUE"""),"Publikasi")</f>
        <v>Publikasi</v>
      </c>
      <c r="E258" s="19" t="s">
        <v>1611</v>
      </c>
      <c r="F258" s="20" t="str">
        <f>IFERROR(__xludf.DUMMYFUNCTION("JOIN(""
"",FILTER($B258:$B1300,$A258:$A1300=E258))"),"Indikator Kesejahteraan Rakyat Kabupaten Dairi 2018")</f>
        <v>Indikator Kesejahteraan Rakyat Kabupaten Dairi 2018</v>
      </c>
    </row>
    <row r="259">
      <c r="A259" s="13" t="str">
        <f>IFERROR(__xludf.DUMMYFUNCTION("""COMPUTED_VALUE"""),"defrianysagala@gmail:com")</f>
        <v>defrianysagala@gmail:com</v>
      </c>
      <c r="B259" s="13" t="str">
        <f>IFERROR(__xludf.DUMMYFUNCTION("""COMPUTED_VALUE"""),"Produk Domestik Regional Bruto Menurut Pengeluaran Kabupaten Dairi  2016 - 2020")</f>
        <v>Produk Domestik Regional Bruto Menurut Pengeluaran Kabupaten Dairi  2016 - 2020</v>
      </c>
      <c r="C259" s="13" t="str">
        <f>IFERROR(__xludf.DUMMYFUNCTION("""COMPUTED_VALUE"""),"Publikasi")</f>
        <v>Publikasi</v>
      </c>
      <c r="E259" s="19" t="s">
        <v>1469</v>
      </c>
      <c r="F259" s="20" t="str">
        <f>IFERROR(__xludf.DUMMYFUNCTION("JOIN(""
"",FILTER($B259:$B1300,$A259:$A1300=E259))"),"Indeks Pembangunan Manusia Kabupaten Dairi 2024
Statistik Kesejahteraan Rakyat Kabupaten Dairi 2024")</f>
        <v>Indeks Pembangunan Manusia Kabupaten Dairi 2024
Statistik Kesejahteraan Rakyat Kabupaten Dairi 2024</v>
      </c>
    </row>
    <row r="260">
      <c r="A260" s="13" t="str">
        <f>IFERROR(__xludf.DUMMYFUNCTION("""COMPUTED_VALUE"""),"dennysiringoringo89@gmail:com")</f>
        <v>dennysiringoringo89@gmail:com</v>
      </c>
      <c r="B260" s="13" t="str">
        <f>IFERROR(__xludf.DUMMYFUNCTION("""COMPUTED_VALUE"""),"Kabupaten Dairi Dalam Angka 2024")</f>
        <v>Kabupaten Dairi Dalam Angka 2024</v>
      </c>
      <c r="C260" s="13" t="str">
        <f>IFERROR(__xludf.DUMMYFUNCTION("""COMPUTED_VALUE"""),"Publikasi")</f>
        <v>Publikasi</v>
      </c>
      <c r="E260" s="19" t="s">
        <v>1313</v>
      </c>
      <c r="F260" s="20" t="str">
        <f>IFERROR(__xludf.DUMMYFUNCTION("JOIN(""
"",FILTER($B260:$B1300,$A260:$A1300=E260))"),"Kabupaten Dairi Dalam Angka 2024")</f>
        <v>Kabupaten Dairi Dalam Angka 2024</v>
      </c>
    </row>
    <row r="261">
      <c r="A261" s="13" t="str">
        <f>IFERROR(__xludf.DUMMYFUNCTION("""COMPUTED_VALUE"""),"deshot999@gmail:com")</f>
        <v>deshot999@gmail:com</v>
      </c>
      <c r="B261" s="13" t="str">
        <f>IFERROR(__xludf.DUMMYFUNCTION("""COMPUTED_VALUE"""),"Indikator Kesejahteraan Rakyat Kabupaten Dairi Tahun 2024")</f>
        <v>Indikator Kesejahteraan Rakyat Kabupaten Dairi Tahun 2024</v>
      </c>
      <c r="C261" s="13" t="str">
        <f>IFERROR(__xludf.DUMMYFUNCTION("""COMPUTED_VALUE"""),"Publikasi")</f>
        <v>Publikasi</v>
      </c>
      <c r="E261" s="19" t="s">
        <v>1320</v>
      </c>
      <c r="F261" s="20" t="str">
        <f>IFERROR(__xludf.DUMMYFUNCTION("JOIN(""
"",FILTER($B261:$B1300,$A261:$A1300=E261))"),"Tingkat Penghunian Kamar Akomodasi Dairi 2022")</f>
        <v>Tingkat Penghunian Kamar Akomodasi Dairi 2022</v>
      </c>
    </row>
    <row r="262">
      <c r="A262" s="13" t="str">
        <f>IFERROR(__xludf.DUMMYFUNCTION("""COMPUTED_VALUE"""),"deshot:sh@gmail:com")</f>
        <v>deshot:sh@gmail:com</v>
      </c>
      <c r="B262" s="13" t="str">
        <f>IFERROR(__xludf.DUMMYFUNCTION("""COMPUTED_VALUE"""),"Indeks Pembangunan Manusia Kabupaten Dairi 2024")</f>
        <v>Indeks Pembangunan Manusia Kabupaten Dairi 2024</v>
      </c>
      <c r="C262" s="13" t="str">
        <f>IFERROR(__xludf.DUMMYFUNCTION("""COMPUTED_VALUE"""),"Publikasi")</f>
        <v>Publikasi</v>
      </c>
      <c r="E262" s="19" t="s">
        <v>1502</v>
      </c>
      <c r="F262" s="20" t="str">
        <f>IFERROR(__xludf.DUMMYFUNCTION("JOIN(""
"",FILTER($B262:$B1300,$A262:$A1300=E262))"),"Kecamatan Sitinjo Dalam Angka 2024")</f>
        <v>Kecamatan Sitinjo Dalam Angka 2024</v>
      </c>
    </row>
    <row r="263">
      <c r="A263" s="13" t="str">
        <f>IFERROR(__xludf.DUMMYFUNCTION("""COMPUTED_VALUE"""),"deshot:sh@gmail:com")</f>
        <v>deshot:sh@gmail:com</v>
      </c>
      <c r="B263" s="13" t="str">
        <f>IFERROR(__xludf.DUMMYFUNCTION("""COMPUTED_VALUE"""),"Kabupaten Dairi Dalam Angka 2024")</f>
        <v>Kabupaten Dairi Dalam Angka 2024</v>
      </c>
      <c r="C263" s="13" t="str">
        <f>IFERROR(__xludf.DUMMYFUNCTION("""COMPUTED_VALUE"""),"Publikasi")</f>
        <v>Publikasi</v>
      </c>
      <c r="E263" s="19" t="s">
        <v>1490</v>
      </c>
      <c r="F263" s="20" t="str">
        <f>IFERROR(__xludf.DUMMYFUNCTION("JOIN(""
"",FILTER($B263:$B1300,$A263:$A1300=E263))"),"Kabupaten Dairi Dalam Angka 2024")</f>
        <v>Kabupaten Dairi Dalam Angka 2024</v>
      </c>
    </row>
    <row r="264">
      <c r="A264" s="13" t="str">
        <f>IFERROR(__xludf.DUMMYFUNCTION("""COMPUTED_VALUE"""),"deshot:sh@gmail:com")</f>
        <v>deshot:sh@gmail:com</v>
      </c>
      <c r="B264" s="13" t="str">
        <f>IFERROR(__xludf.DUMMYFUNCTION("""COMPUTED_VALUE"""),"Profil Kependudukan dan Ketenagakerjaan Kabupaten Dairi 2022")</f>
        <v>Profil Kependudukan dan Ketenagakerjaan Kabupaten Dairi 2022</v>
      </c>
      <c r="C264" s="13" t="str">
        <f>IFERROR(__xludf.DUMMYFUNCTION("""COMPUTED_VALUE"""),"Publikasi")</f>
        <v>Publikasi</v>
      </c>
      <c r="E264" s="19" t="s">
        <v>1093</v>
      </c>
      <c r="F264" s="20" t="str">
        <f>IFERROR(__xludf.DUMMYFUNCTION("JOIN(""
"",FILTER($B264:$B1300,$A264:$A1300=E264))"),"Kabupaten Dairi Dalam Angka 2024")</f>
        <v>Kabupaten Dairi Dalam Angka 2024</v>
      </c>
    </row>
    <row r="265">
      <c r="A265" s="13" t="str">
        <f>IFERROR(__xludf.DUMMYFUNCTION("""COMPUTED_VALUE"""),"deshot:sh@gmail:com")</f>
        <v>deshot:sh@gmail:com</v>
      </c>
      <c r="B265" s="13" t="str">
        <f>IFERROR(__xludf.DUMMYFUNCTION("""COMPUTED_VALUE"""),"Statistik Daerah Kabupaten Dairi 2024")</f>
        <v>Statistik Daerah Kabupaten Dairi 2024</v>
      </c>
      <c r="C265" s="13" t="str">
        <f>IFERROR(__xludf.DUMMYFUNCTION("""COMPUTED_VALUE"""),"Publikasi")</f>
        <v>Publikasi</v>
      </c>
      <c r="E265" s="19" t="s">
        <v>1444</v>
      </c>
      <c r="F265" s="20" t="str">
        <f>IFERROR(__xludf.DUMMYFUNCTION("JOIN(""
"",FILTER($B265:$B1300,$A265:$A1300=E265))"),"Kabupaten Dairi Dalam Angka 2024")</f>
        <v>Kabupaten Dairi Dalam Angka 2024</v>
      </c>
    </row>
    <row r="266">
      <c r="A266" s="13" t="str">
        <f>IFERROR(__xludf.DUMMYFUNCTION("""COMPUTED_VALUE"""),"deshot:sh@gmail:com")</f>
        <v>deshot:sh@gmail:com</v>
      </c>
      <c r="B266" s="13" t="str">
        <f>IFERROR(__xludf.DUMMYFUNCTION("""COMPUTED_VALUE"""),"Statistik Kesejahteraan Rakyat Kabupaten Dairi 2024")</f>
        <v>Statistik Kesejahteraan Rakyat Kabupaten Dairi 2024</v>
      </c>
      <c r="C266" s="13" t="str">
        <f>IFERROR(__xludf.DUMMYFUNCTION("""COMPUTED_VALUE"""),"Publikasi")</f>
        <v>Publikasi</v>
      </c>
      <c r="E266" s="19" t="s">
        <v>1379</v>
      </c>
      <c r="F266" s="20" t="str">
        <f>IFERROR(__xludf.DUMMYFUNCTION("JOIN(""
"",FILTER($B266:$B1300,$A266:$A1300=E266))"),"Kabupaten Dairi Dalam Angka 2021")</f>
        <v>Kabupaten Dairi Dalam Angka 2021</v>
      </c>
    </row>
    <row r="267">
      <c r="A267" s="13" t="str">
        <f>IFERROR(__xludf.DUMMYFUNCTION("""COMPUTED_VALUE"""),"desysiregar1206@gmail:com")</f>
        <v>desysiregar1206@gmail:com</v>
      </c>
      <c r="B267" s="13" t="str">
        <f>IFERROR(__xludf.DUMMYFUNCTION("""COMPUTED_VALUE"""),"Kecamatan Silahisabungan Dalam Angka 2020")</f>
        <v>Kecamatan Silahisabungan Dalam Angka 2020</v>
      </c>
      <c r="C267" s="13" t="str">
        <f>IFERROR(__xludf.DUMMYFUNCTION("""COMPUTED_VALUE"""),"Publikasi")</f>
        <v>Publikasi</v>
      </c>
      <c r="E267" s="19" t="s">
        <v>1697</v>
      </c>
      <c r="F267" s="20" t="str">
        <f>IFERROR(__xludf.DUMMYFUNCTION("JOIN(""
"",FILTER($B267:$B1300,$A267:$A1300=E267))"),"Kecamatan Sidikalang Dalam Angka 2021")</f>
        <v>Kecamatan Sidikalang Dalam Angka 2021</v>
      </c>
    </row>
    <row r="268">
      <c r="A268" s="13" t="str">
        <f>IFERROR(__xludf.DUMMYFUNCTION("""COMPUTED_VALUE"""),"dev_srg@yahoo:com")</f>
        <v>dev_srg@yahoo:com</v>
      </c>
      <c r="B268" s="13" t="str">
        <f>IFERROR(__xludf.DUMMYFUNCTION("""COMPUTED_VALUE"""),"Kabupaten Dairi Dalam Angka 2024")</f>
        <v>Kabupaten Dairi Dalam Angka 2024</v>
      </c>
      <c r="C268" s="13" t="str">
        <f>IFERROR(__xludf.DUMMYFUNCTION("""COMPUTED_VALUE"""),"Publikasi")</f>
        <v>Publikasi</v>
      </c>
      <c r="E268" s="19" t="s">
        <v>1241</v>
      </c>
      <c r="F268" s="20" t="str">
        <f>IFERROR(__xludf.DUMMYFUNCTION("JOIN(""
"",FILTER($B268:$B1300,$A268:$A1300=E268))"),"Indikator Kesejahteraan Rakyat Kabupaten Dairi Tahun 2024
Statistik Kesejahteraan Rakyat Kabupaten Dairi 2024")</f>
        <v>Indikator Kesejahteraan Rakyat Kabupaten Dairi Tahun 2024
Statistik Kesejahteraan Rakyat Kabupaten Dairi 2024</v>
      </c>
    </row>
    <row r="269">
      <c r="A269" s="13" t="str">
        <f>IFERROR(__xludf.DUMMYFUNCTION("""COMPUTED_VALUE"""),"devikaro585@gmail:com")</f>
        <v>devikaro585@gmail:com</v>
      </c>
      <c r="B269" s="13" t="str">
        <f>IFERROR(__xludf.DUMMYFUNCTION("""COMPUTED_VALUE"""),"Produk Domestik Regional Bruto Menurut Pengeluaran Kabupaten Dairi  2016 - 2020")</f>
        <v>Produk Domestik Regional Bruto Menurut Pengeluaran Kabupaten Dairi  2016 - 2020</v>
      </c>
      <c r="C269" s="13" t="str">
        <f>IFERROR(__xludf.DUMMYFUNCTION("""COMPUTED_VALUE"""),"Publikasi")</f>
        <v>Publikasi</v>
      </c>
      <c r="E269" s="19" t="s">
        <v>1109</v>
      </c>
      <c r="F269" s="20" t="str">
        <f>IFERROR(__xludf.DUMMYFUNCTION("JOIN(""
"",FILTER($B269:$B1300,$A269:$A1300=E269))"),"Kabupaten Dairi Dalam Angka 2024")</f>
        <v>Kabupaten Dairi Dalam Angka 2024</v>
      </c>
    </row>
    <row r="270">
      <c r="A270" s="13" t="str">
        <f>IFERROR(__xludf.DUMMYFUNCTION("""COMPUTED_VALUE"""),"devista:purba@gmail:com")</f>
        <v>devista:purba@gmail:com</v>
      </c>
      <c r="B270" s="13" t="str">
        <f>IFERROR(__xludf.DUMMYFUNCTION("""COMPUTED_VALUE"""),"Indikator Kesejahteraan Rakyat Kabupaten Dairi Tahun 2022")</f>
        <v>Indikator Kesejahteraan Rakyat Kabupaten Dairi Tahun 2022</v>
      </c>
      <c r="C270" s="13" t="str">
        <f>IFERROR(__xludf.DUMMYFUNCTION("""COMPUTED_VALUE"""),"Publikasi")</f>
        <v>Publikasi</v>
      </c>
      <c r="E270" s="19" t="s">
        <v>1286</v>
      </c>
      <c r="F270" s="20" t="str">
        <f>IFERROR(__xludf.DUMMYFUNCTION("JOIN(""
"",FILTER($B270:$B1300,$A270:$A1300=E270))"),"Kabupaten Dairi Dalam Angka 2024")</f>
        <v>Kabupaten Dairi Dalam Angka 2024</v>
      </c>
    </row>
    <row r="271">
      <c r="A271" s="13" t="str">
        <f>IFERROR(__xludf.DUMMYFUNCTION("""COMPUTED_VALUE"""),"diansuriadiginting@gmail:com")</f>
        <v>diansuriadiginting@gmail:com</v>
      </c>
      <c r="B271" s="13" t="str">
        <f>IFERROR(__xludf.DUMMYFUNCTION("""COMPUTED_VALUE"""),"Kabupaten Dairi Dalam Angka 2019")</f>
        <v>Kabupaten Dairi Dalam Angka 2019</v>
      </c>
      <c r="C271" s="13" t="str">
        <f>IFERROR(__xludf.DUMMYFUNCTION("""COMPUTED_VALUE"""),"Publikasi")</f>
        <v>Publikasi</v>
      </c>
      <c r="E271" s="19" t="s">
        <v>1158</v>
      </c>
      <c r="F271" s="20" t="str">
        <f>IFERROR(__xludf.DUMMYFUNCTION("JOIN(""
"",FILTER($B271:$B1300,$A271:$A1300=E271))"),"Kabupaten Dairi Dalam Angka 2024")</f>
        <v>Kabupaten Dairi Dalam Angka 2024</v>
      </c>
    </row>
    <row r="272">
      <c r="A272" s="13" t="str">
        <f>IFERROR(__xludf.DUMMYFUNCTION("""COMPUTED_VALUE"""),"diansuriadiginting@gmail:com")</f>
        <v>diansuriadiginting@gmail:com</v>
      </c>
      <c r="B272" s="13" t="str">
        <f>IFERROR(__xludf.DUMMYFUNCTION("""COMPUTED_VALUE"""),"Kabupaten Dairi Dalam Angka 2022")</f>
        <v>Kabupaten Dairi Dalam Angka 2022</v>
      </c>
      <c r="C272" s="13" t="str">
        <f>IFERROR(__xludf.DUMMYFUNCTION("""COMPUTED_VALUE"""),"Publikasi")</f>
        <v>Publikasi</v>
      </c>
      <c r="E272" s="19" t="s">
        <v>1461</v>
      </c>
      <c r="F272" s="20" t="str">
        <f>IFERROR(__xludf.DUMMYFUNCTION("JOIN(""
"",FILTER($B272:$B1300,$A272:$A1300=E272))"),"Kabupaten Dairi Dalam Angka 2024
Kecamatan Parbuluan Dalam Angka 2020
Kecamatan Parbuluan Dalam Angka 2024")</f>
        <v>Kabupaten Dairi Dalam Angka 2024
Kecamatan Parbuluan Dalam Angka 2020
Kecamatan Parbuluan Dalam Angka 2024</v>
      </c>
    </row>
    <row r="273">
      <c r="A273" s="13" t="str">
        <f>IFERROR(__xludf.DUMMYFUNCTION("""COMPUTED_VALUE"""),"diansuriadiginting@gmail:com")</f>
        <v>diansuriadiginting@gmail:com</v>
      </c>
      <c r="B273" s="13" t="str">
        <f>IFERROR(__xludf.DUMMYFUNCTION("""COMPUTED_VALUE"""),"Kabupaten Dairi Dalam Angka 2024")</f>
        <v>Kabupaten Dairi Dalam Angka 2024</v>
      </c>
      <c r="C273" s="13" t="str">
        <f>IFERROR(__xludf.DUMMYFUNCTION("""COMPUTED_VALUE"""),"Publikasi")</f>
        <v>Publikasi</v>
      </c>
      <c r="E273" s="19" t="s">
        <v>1718</v>
      </c>
      <c r="F273" s="20" t="str">
        <f>IFERROR(__xludf.DUMMYFUNCTION("JOIN(""
"",FILTER($B273:$B1300,$A273:$A1300=E273))"),"Indeks Pembangunan Manusia Kabupaten Dairi 2021
Indikator Kesejahteraan Rakyat Kabupaten Dairi 2021
Indikator Kesejahteraan Rakyat Kabupaten Dairi Tahun 2022
Kabupaten Dairi Dalam Angka 2022
Statistik Daerah Kabupaten Dairi 2021")</f>
        <v>Indeks Pembangunan Manusia Kabupaten Dairi 2021
Indikator Kesejahteraan Rakyat Kabupaten Dairi 2021
Indikator Kesejahteraan Rakyat Kabupaten Dairi Tahun 2022
Kabupaten Dairi Dalam Angka 2022
Statistik Daerah Kabupaten Dairi 2021</v>
      </c>
    </row>
    <row r="274">
      <c r="A274" s="13" t="str">
        <f>IFERROR(__xludf.DUMMYFUNCTION("""COMPUTED_VALUE"""),"dinarotuasiagian@gmail:com")</f>
        <v>dinarotuasiagian@gmail:com</v>
      </c>
      <c r="B274" s="13" t="str">
        <f>IFERROR(__xludf.DUMMYFUNCTION("""COMPUTED_VALUE"""),"Statistik Hortikultura Kabupaten Dairi Tahun 2021")</f>
        <v>Statistik Hortikultura Kabupaten Dairi Tahun 2021</v>
      </c>
      <c r="C274" s="13" t="str">
        <f>IFERROR(__xludf.DUMMYFUNCTION("""COMPUTED_VALUE"""),"Publikasi")</f>
        <v>Publikasi</v>
      </c>
      <c r="E274" s="19" t="s">
        <v>1136</v>
      </c>
      <c r="F274" s="20" t="str">
        <f>IFERROR(__xludf.DUMMYFUNCTION("JOIN(""
"",FILTER($B274:$B1300,$A274:$A1300=E274))"),"Kecamatan Sidikalang Dalam Angka 2020")</f>
        <v>Kecamatan Sidikalang Dalam Angka 2020</v>
      </c>
    </row>
    <row r="275">
      <c r="A275" s="13" t="str">
        <f>IFERROR(__xludf.DUMMYFUNCTION("""COMPUTED_VALUE"""),"dinarpuspita22@yahoo:com")</f>
        <v>dinarpuspita22@yahoo:com</v>
      </c>
      <c r="B275" s="13" t="str">
        <f>IFERROR(__xludf.DUMMYFUNCTION("""COMPUTED_VALUE"""),"Kabupaten Dairi Dalam Angka 2021")</f>
        <v>Kabupaten Dairi Dalam Angka 2021</v>
      </c>
      <c r="C275" s="13" t="str">
        <f>IFERROR(__xludf.DUMMYFUNCTION("""COMPUTED_VALUE"""),"Publikasi")</f>
        <v>Publikasi</v>
      </c>
      <c r="E275" s="19" t="s">
        <v>1310</v>
      </c>
      <c r="F275" s="20" t="str">
        <f>IFERROR(__xludf.DUMMYFUNCTION("JOIN(""
"",FILTER($B275:$B1300,$A275:$A1300=E275))"),"Kabupaten Dairi Dalam Angka 2024")</f>
        <v>Kabupaten Dairi Dalam Angka 2024</v>
      </c>
    </row>
    <row r="276">
      <c r="A276" s="13" t="str">
        <f>IFERROR(__xludf.DUMMYFUNCTION("""COMPUTED_VALUE"""),"Dindatpsitumeang@gmail:com")</f>
        <v>Dindatpsitumeang@gmail:com</v>
      </c>
      <c r="B276" s="13" t="str">
        <f>IFERROR(__xludf.DUMMYFUNCTION("""COMPUTED_VALUE"""),"Kabupaten Dairi Dalam Angka 2024")</f>
        <v>Kabupaten Dairi Dalam Angka 2024</v>
      </c>
      <c r="C276" s="13" t="str">
        <f>IFERROR(__xludf.DUMMYFUNCTION("""COMPUTED_VALUE"""),"Publikasi")</f>
        <v>Publikasi</v>
      </c>
      <c r="E276" s="19" t="s">
        <v>1231</v>
      </c>
      <c r="F276" s="20" t="str">
        <f>IFERROR(__xludf.DUMMYFUNCTION("JOIN(""
"",FILTER($B276:$B1300,$A276:$A1300=E276))"),"Kecamatan Gunung Sitember Dalam Angka 2024")</f>
        <v>Kecamatan Gunung Sitember Dalam Angka 2024</v>
      </c>
    </row>
    <row r="277">
      <c r="A277" s="13" t="str">
        <f>IFERROR(__xludf.DUMMYFUNCTION("""COMPUTED_VALUE"""),"DJJAL@DADKJ:COM")</f>
        <v>DJJAL@DADKJ:COM</v>
      </c>
      <c r="B277" s="13" t="str">
        <f>IFERROR(__xludf.DUMMYFUNCTION("""COMPUTED_VALUE"""),"Kabupaten Dairi Dalam Angka 2024")</f>
        <v>Kabupaten Dairi Dalam Angka 2024</v>
      </c>
      <c r="C277" s="13" t="str">
        <f>IFERROR(__xludf.DUMMYFUNCTION("""COMPUTED_VALUE"""),"Publikasi")</f>
        <v>Publikasi</v>
      </c>
      <c r="E277" s="19" t="s">
        <v>1680</v>
      </c>
      <c r="F277" s="20" t="str">
        <f>IFERROR(__xludf.DUMMYFUNCTION("JOIN(""
"",FILTER($B277:$B1300,$A277:$A1300=E277))"),"Direktori Perusahaan Konstruksi Tahun 2021")</f>
        <v>Direktori Perusahaan Konstruksi Tahun 2021</v>
      </c>
    </row>
    <row r="278">
      <c r="A278" s="13" t="str">
        <f>IFERROR(__xludf.DUMMYFUNCTION("""COMPUTED_VALUE"""),"doninababan1299@gmail:com")</f>
        <v>doninababan1299@gmail:com</v>
      </c>
      <c r="B278" s="13" t="str">
        <f>IFERROR(__xludf.DUMMYFUNCTION("""COMPUTED_VALUE"""),"Kecamatan Sidikalang Dalam Angka 2024")</f>
        <v>Kecamatan Sidikalang Dalam Angka 2024</v>
      </c>
      <c r="C278" s="13" t="str">
        <f>IFERROR(__xludf.DUMMYFUNCTION("""COMPUTED_VALUE"""),"Publikasi")</f>
        <v>Publikasi</v>
      </c>
      <c r="E278" s="19" t="s">
        <v>1225</v>
      </c>
      <c r="F278" s="20" t="str">
        <f>IFERROR(__xludf.DUMMYFUNCTION("JOIN(""
"",FILTER($B278:$B1300,$A278:$A1300=E278))"),"Kabupaten Dairi Dalam Angka 2024
Statistik Daerah Kabupaten Dairi 2024
Statistik Hortikultura Kabupaten Dairi Tahun 2022")</f>
        <v>Kabupaten Dairi Dalam Angka 2024
Statistik Daerah Kabupaten Dairi 2024
Statistik Hortikultura Kabupaten Dairi Tahun 2022</v>
      </c>
    </row>
    <row r="279">
      <c r="A279" s="13" t="str">
        <f>IFERROR(__xludf.DUMMYFUNCTION("""COMPUTED_VALUE"""),"dortaulimarbun@gmail:com")</f>
        <v>dortaulimarbun@gmail:com</v>
      </c>
      <c r="B279" s="13" t="str">
        <f>IFERROR(__xludf.DUMMYFUNCTION("""COMPUTED_VALUE"""),"Kabupaten Dairi Dalam Angka 2024")</f>
        <v>Kabupaten Dairi Dalam Angka 2024</v>
      </c>
      <c r="C279" s="13" t="str">
        <f>IFERROR(__xludf.DUMMYFUNCTION("""COMPUTED_VALUE"""),"Publikasi")</f>
        <v>Publikasi</v>
      </c>
      <c r="E279" s="19" t="s">
        <v>1311</v>
      </c>
      <c r="F279" s="20" t="str">
        <f>IFERROR(__xludf.DUMMYFUNCTION("JOIN(""
"",FILTER($B279:$B1300,$A279:$A1300=E279))"),"Hasil Pencacahan Lengkap Sensus Pertanian 2024 - Tahap I Kabupaten Dairi
Indikator Kesejahteraan Rakyat Kabupaten Dairi Tahun 2024
Kabupaten Dairi Dalam Angka 2022
Kabupaten Dairi Dalam Angka 2024
Profil Kependudukan dan Ketenagakerjaan Kabupaten Dairi 20"&amp;"21
Profil Kependudukan dan Ketenagakerjaan Kabupaten Dairi 2022
Statistik Kesejahteraan Rakyat Kabupaten Dairi 2022
Statistik Kesejahteraan Rakyat Kabupaten Dairi 2024")</f>
        <v>Hasil Pencacahan Lengkap Sensus Pertanian 2024 - Tahap I Kabupaten Dairi
Indikator Kesejahteraan Rakyat Kabupaten Dairi Tahun 2024
Kabupaten Dairi Dalam Angka 2022
Kabupaten Dairi Dalam Angka 2024
Profil Kependudukan dan Ketenagakerjaan Kabupaten Dairi 2021
Profil Kependudukan dan Ketenagakerjaan Kabupaten Dairi 2022
Statistik Kesejahteraan Rakyat Kabupaten Dairi 2022
Statistik Kesejahteraan Rakyat Kabupaten Dairi 2024</v>
      </c>
    </row>
    <row r="280">
      <c r="A280" s="13" t="str">
        <f>IFERROR(__xludf.DUMMYFUNCTION("""COMPUTED_VALUE"""),"dortaulimarbun@gmail:com")</f>
        <v>dortaulimarbun@gmail:com</v>
      </c>
      <c r="B280" s="13" t="str">
        <f>IFERROR(__xludf.DUMMYFUNCTION("""COMPUTED_VALUE"""),"Statistik Tanaman Pangan (Padi dan Palawija) Kabupaten Dairi 2022")</f>
        <v>Statistik Tanaman Pangan (Padi dan Palawija) Kabupaten Dairi 2022</v>
      </c>
      <c r="C280" s="13" t="str">
        <f>IFERROR(__xludf.DUMMYFUNCTION("""COMPUTED_VALUE"""),"Publikasi")</f>
        <v>Publikasi</v>
      </c>
      <c r="E280" s="19" t="s">
        <v>1681</v>
      </c>
      <c r="F280" s="20" t="str">
        <f>IFERROR(__xludf.DUMMYFUNCTION("JOIN(""
"",FILTER($B280:$B1300,$A280:$A1300=E280))"),"Kabupaten Dairi Dalam Angka 2018
Kabupaten Dairi Dalam Angka 2019
Kabupaten Dairi Dalam Angka 2020
Kabupaten Dairi Dalam Angka 2021
Kabupaten Dairi Dalam Angka 2022")</f>
        <v>Kabupaten Dairi Dalam Angka 2018
Kabupaten Dairi Dalam Angka 2019
Kabupaten Dairi Dalam Angka 2020
Kabupaten Dairi Dalam Angka 2021
Kabupaten Dairi Dalam Angka 2022</v>
      </c>
    </row>
    <row r="281">
      <c r="A281" s="13" t="str">
        <f>IFERROR(__xludf.DUMMYFUNCTION("""COMPUTED_VALUE"""),"drbooz04@gmail:com")</f>
        <v>drbooz04@gmail:com</v>
      </c>
      <c r="B281" s="13" t="str">
        <f>IFERROR(__xludf.DUMMYFUNCTION("""COMPUTED_VALUE"""),"Kecamatan Silahisabungan Dalam Angka 2022")</f>
        <v>Kecamatan Silahisabungan Dalam Angka 2022</v>
      </c>
      <c r="C281" s="13" t="str">
        <f>IFERROR(__xludf.DUMMYFUNCTION("""COMPUTED_VALUE"""),"Publikasi")</f>
        <v>Publikasi</v>
      </c>
      <c r="E281" s="19" t="s">
        <v>1650</v>
      </c>
      <c r="F281" s="20" t="str">
        <f>IFERROR(__xludf.DUMMYFUNCTION("JOIN(""
"",FILTER($B281:$B1300,$A281:$A1300=E281))"),"Kabupaten Dairi Dalam Angka 2022")</f>
        <v>Kabupaten Dairi Dalam Angka 2022</v>
      </c>
    </row>
    <row r="282">
      <c r="A282" s="13" t="str">
        <f>IFERROR(__xludf.DUMMYFUNCTION("""COMPUTED_VALUE"""),"drbooz04@gmail:com")</f>
        <v>drbooz04@gmail:com</v>
      </c>
      <c r="B282" s="13" t="str">
        <f>IFERROR(__xludf.DUMMYFUNCTION("""COMPUTED_VALUE"""),"Kecamatan Silahisabungan Dalam Angka 2024")</f>
        <v>Kecamatan Silahisabungan Dalam Angka 2024</v>
      </c>
      <c r="C282" s="13" t="str">
        <f>IFERROR(__xludf.DUMMYFUNCTION("""COMPUTED_VALUE"""),"Publikasi")</f>
        <v>Publikasi</v>
      </c>
      <c r="E282" s="19" t="s">
        <v>1570</v>
      </c>
      <c r="F282" s="20" t="str">
        <f>IFERROR(__xludf.DUMMYFUNCTION("JOIN(""
"",FILTER($B282:$B1300,$A282:$A1300=E282))"),"Kecamatan Tigalingga Dalam Angka 2018")</f>
        <v>Kecamatan Tigalingga Dalam Angka 2018</v>
      </c>
    </row>
    <row r="283">
      <c r="A283" s="13" t="str">
        <f>IFERROR(__xludf.DUMMYFUNCTION("""COMPUTED_VALUE"""),"duduttanjung5@gmail:com")</f>
        <v>duduttanjung5@gmail:com</v>
      </c>
      <c r="B283" s="13" t="str">
        <f>IFERROR(__xludf.DUMMYFUNCTION("""COMPUTED_VALUE"""),"Kabupaten Dairi Dalam Angka 2022")</f>
        <v>Kabupaten Dairi Dalam Angka 2022</v>
      </c>
      <c r="C283" s="13" t="str">
        <f>IFERROR(__xludf.DUMMYFUNCTION("""COMPUTED_VALUE"""),"Publikasi")</f>
        <v>Publikasi</v>
      </c>
      <c r="E283" s="19" t="s">
        <v>1382</v>
      </c>
      <c r="F283" s="20" t="str">
        <f>IFERROR(__xludf.DUMMYFUNCTION("JOIN(""
"",FILTER($B283:$B1300,$A283:$A1300=E283))"),"Kabupaten Dairi Dalam Angka 2024
Statistik Daerah Kabupaten Dairi 2024")</f>
        <v>Kabupaten Dairi Dalam Angka 2024
Statistik Daerah Kabupaten Dairi 2024</v>
      </c>
    </row>
    <row r="284">
      <c r="A284" s="13" t="str">
        <f>IFERROR(__xludf.DUMMYFUNCTION("""COMPUTED_VALUE"""),"dumakristanti@gmail:com")</f>
        <v>dumakristanti@gmail:com</v>
      </c>
      <c r="B284" s="13" t="str">
        <f>IFERROR(__xludf.DUMMYFUNCTION("""COMPUTED_VALUE"""),"Kabupaten Dairi Dalam Angka 2024")</f>
        <v>Kabupaten Dairi Dalam Angka 2024</v>
      </c>
      <c r="C284" s="13" t="str">
        <f>IFERROR(__xludf.DUMMYFUNCTION("""COMPUTED_VALUE"""),"Publikasi")</f>
        <v>Publikasi</v>
      </c>
      <c r="E284" s="19" t="s">
        <v>1571</v>
      </c>
      <c r="F284" s="20" t="str">
        <f>IFERROR(__xludf.DUMMYFUNCTION("JOIN(""
"",FILTER($B284:$B1300,$A284:$A1300=E284))"),"Kecamatan Tiga Lingga Dalam Angka 2021")</f>
        <v>Kecamatan Tiga Lingga Dalam Angka 2021</v>
      </c>
    </row>
    <row r="285">
      <c r="A285" s="13" t="str">
        <f>IFERROR(__xludf.DUMMYFUNCTION("""COMPUTED_VALUE"""),"dwi030902@gmail:com")</f>
        <v>dwi030902@gmail:com</v>
      </c>
      <c r="B285" s="13" t="str">
        <f>IFERROR(__xludf.DUMMYFUNCTION("""COMPUTED_VALUE"""),"Kecamatan Parbuluan Dalam Angka 2024")</f>
        <v>Kecamatan Parbuluan Dalam Angka 2024</v>
      </c>
      <c r="C285" s="13" t="str">
        <f>IFERROR(__xludf.DUMMYFUNCTION("""COMPUTED_VALUE"""),"Publikasi")</f>
        <v>Publikasi</v>
      </c>
      <c r="E285" s="19" t="s">
        <v>1331</v>
      </c>
      <c r="F285" s="20" t="str">
        <f>IFERROR(__xludf.DUMMYFUNCTION("JOIN(""
"",FILTER($B285:$B1300,$A285:$A1300=E285))"),"Kabupaten Dairi Dalam Angka 2024")</f>
        <v>Kabupaten Dairi Dalam Angka 2024</v>
      </c>
    </row>
    <row r="286">
      <c r="A286" s="13" t="str">
        <f>IFERROR(__xludf.DUMMYFUNCTION("""COMPUTED_VALUE"""),"dwiaryani:da88@gmail:com")</f>
        <v>dwiaryani:da88@gmail:com</v>
      </c>
      <c r="B286" s="13" t="str">
        <f>IFERROR(__xludf.DUMMYFUNCTION("""COMPUTED_VALUE"""),"Kabupaten Dairi Dalam Angka 2017")</f>
        <v>Kabupaten Dairi Dalam Angka 2017</v>
      </c>
      <c r="C286" s="13" t="str">
        <f>IFERROR(__xludf.DUMMYFUNCTION("""COMPUTED_VALUE"""),"Publikasi")</f>
        <v>Publikasi</v>
      </c>
      <c r="E286" s="19" t="s">
        <v>1277</v>
      </c>
      <c r="F286" s="20" t="str">
        <f>IFERROR(__xludf.DUMMYFUNCTION("JOIN(""
"",FILTER($B286:$B1300,$A286:$A1300=E286))"),"Indikator Kesejahteraan Rakyat Kabupaten Dairi Tahun 2022
Kabupaten Dairi Dalam Angka 2022
Kabupaten Dairi Dalam Angka 2024")</f>
        <v>Indikator Kesejahteraan Rakyat Kabupaten Dairi Tahun 2022
Kabupaten Dairi Dalam Angka 2022
Kabupaten Dairi Dalam Angka 2024</v>
      </c>
    </row>
    <row r="287">
      <c r="A287" s="13" t="str">
        <f>IFERROR(__xludf.DUMMYFUNCTION("""COMPUTED_VALUE"""),"dwiputrayudhistira:DPY@gmail:com")</f>
        <v>dwiputrayudhistira:DPY@gmail:com</v>
      </c>
      <c r="B287" s="13" t="str">
        <f>IFERROR(__xludf.DUMMYFUNCTION("""COMPUTED_VALUE"""),"Kabupaten Dairi Dalam Angka 2022")</f>
        <v>Kabupaten Dairi Dalam Angka 2022</v>
      </c>
      <c r="C287" s="13" t="str">
        <f>IFERROR(__xludf.DUMMYFUNCTION("""COMPUTED_VALUE"""),"Publikasi")</f>
        <v>Publikasi</v>
      </c>
      <c r="E287" s="19" t="s">
        <v>1523</v>
      </c>
      <c r="F287" s="20" t="str">
        <f>IFERROR(__xludf.DUMMYFUNCTION("JOIN(""
"",FILTER($B287:$B1300,$A287:$A1300=E287))"),"Kabupaten Dairi Dalam Angka 2024")</f>
        <v>Kabupaten Dairi Dalam Angka 2024</v>
      </c>
    </row>
    <row r="288">
      <c r="A288" s="13" t="str">
        <f>IFERROR(__xludf.DUMMYFUNCTION("""COMPUTED_VALUE"""),"edyriwando04@gmail:com")</f>
        <v>edyriwando04@gmail:com</v>
      </c>
      <c r="B288" s="13" t="str">
        <f>IFERROR(__xludf.DUMMYFUNCTION("""COMPUTED_VALUE"""),"Buklet Hasil Pencacahan Lengkap Sensus Pertanian 2024 - Tahap I Kabupaten Dairi")</f>
        <v>Buklet Hasil Pencacahan Lengkap Sensus Pertanian 2024 - Tahap I Kabupaten Dairi</v>
      </c>
      <c r="C288" s="13" t="str">
        <f>IFERROR(__xludf.DUMMYFUNCTION("""COMPUTED_VALUE"""),"Publikasi")</f>
        <v>Publikasi</v>
      </c>
      <c r="E288" s="19" t="s">
        <v>1539</v>
      </c>
      <c r="F288" s="20" t="str">
        <f>IFERROR(__xludf.DUMMYFUNCTION("JOIN(""
"",FILTER($B288:$B1300,$A288:$A1300=E288))"),"Tingkat Penghunian Kamar Akomodasi Dairi 2022")</f>
        <v>Tingkat Penghunian Kamar Akomodasi Dairi 2022</v>
      </c>
    </row>
    <row r="289">
      <c r="A289" s="13" t="str">
        <f>IFERROR(__xludf.DUMMYFUNCTION("""COMPUTED_VALUE"""),"edyriwando04@gmail:com")</f>
        <v>edyriwando04@gmail:com</v>
      </c>
      <c r="B289" s="13" t="str">
        <f>IFERROR(__xludf.DUMMYFUNCTION("""COMPUTED_VALUE"""),"Indikator Kesejahteraan Rakyat Kabupaten Dairi Tahun 2024")</f>
        <v>Indikator Kesejahteraan Rakyat Kabupaten Dairi Tahun 2024</v>
      </c>
      <c r="C289" s="13" t="str">
        <f>IFERROR(__xludf.DUMMYFUNCTION("""COMPUTED_VALUE"""),"Publikasi")</f>
        <v>Publikasi</v>
      </c>
      <c r="E289" s="19" t="s">
        <v>1750</v>
      </c>
      <c r="F289" s="20" t="str">
        <f>IFERROR(__xludf.DUMMYFUNCTION("JOIN(""
"",FILTER($B289:$B1300,$A289:$A1300=E289))"),"Kecamatan Sumbul Dalam Angka 2021")</f>
        <v>Kecamatan Sumbul Dalam Angka 2021</v>
      </c>
    </row>
    <row r="290">
      <c r="A290" s="13" t="str">
        <f>IFERROR(__xludf.DUMMYFUNCTION("""COMPUTED_VALUE"""),"edyriwando04@gmail:com")</f>
        <v>edyriwando04@gmail:com</v>
      </c>
      <c r="B290" s="13" t="str">
        <f>IFERROR(__xludf.DUMMYFUNCTION("""COMPUTED_VALUE"""),"Kabupaten Dairi Dalam Angka 2024")</f>
        <v>Kabupaten Dairi Dalam Angka 2024</v>
      </c>
      <c r="C290" s="13" t="str">
        <f>IFERROR(__xludf.DUMMYFUNCTION("""COMPUTED_VALUE"""),"Publikasi")</f>
        <v>Publikasi</v>
      </c>
      <c r="E290" s="19" t="s">
        <v>1729</v>
      </c>
      <c r="F290" s="20" t="str">
        <f>IFERROR(__xludf.DUMMYFUNCTION("JOIN(""
"",FILTER($B290:$B1300,$A290:$A1300=E290))"),"Kabupaten Dairi Dalam Angka 2022")</f>
        <v>Kabupaten Dairi Dalam Angka 2022</v>
      </c>
    </row>
    <row r="291">
      <c r="A291" s="13" t="str">
        <f>IFERROR(__xludf.DUMMYFUNCTION("""COMPUTED_VALUE"""),"edyriwando04@gmail:com")</f>
        <v>edyriwando04@gmail:com</v>
      </c>
      <c r="B291" s="13" t="str">
        <f>IFERROR(__xludf.DUMMYFUNCTION("""COMPUTED_VALUE"""),"Kecamatan Berampu Dalam Angka 2024")</f>
        <v>Kecamatan Berampu Dalam Angka 2024</v>
      </c>
      <c r="C291" s="13" t="str">
        <f>IFERROR(__xludf.DUMMYFUNCTION("""COMPUTED_VALUE"""),"Publikasi")</f>
        <v>Publikasi</v>
      </c>
      <c r="E291" s="19" t="s">
        <v>1249</v>
      </c>
      <c r="F291" s="20" t="str">
        <f>IFERROR(__xludf.DUMMYFUNCTION("JOIN(""
"",FILTER($B291:$B1300,$A291:$A1300=E291))"),"Kabupaten Dairi Dalam Angka 2024")</f>
        <v>Kabupaten Dairi Dalam Angka 2024</v>
      </c>
    </row>
    <row r="292">
      <c r="A292" s="13" t="str">
        <f>IFERROR(__xludf.DUMMYFUNCTION("""COMPUTED_VALUE"""),"edyriwando04@gmail:com")</f>
        <v>edyriwando04@gmail:com</v>
      </c>
      <c r="B292" s="13" t="str">
        <f>IFERROR(__xludf.DUMMYFUNCTION("""COMPUTED_VALUE"""),"Kecamatan Gunung Sitember Dalam Angka 2024")</f>
        <v>Kecamatan Gunung Sitember Dalam Angka 2024</v>
      </c>
      <c r="C292" s="13" t="str">
        <f>IFERROR(__xludf.DUMMYFUNCTION("""COMPUTED_VALUE"""),"Publikasi")</f>
        <v>Publikasi</v>
      </c>
      <c r="E292" s="19" t="s">
        <v>1229</v>
      </c>
      <c r="F292" s="20" t="str">
        <f>IFERROR(__xludf.DUMMYFUNCTION("JOIN(""
"",FILTER($B292:$B1300,$A292:$A1300=E292))"),"Kabupaten Dairi Dalam Angka 2022")</f>
        <v>Kabupaten Dairi Dalam Angka 2022</v>
      </c>
    </row>
    <row r="293">
      <c r="A293" s="13" t="str">
        <f>IFERROR(__xludf.DUMMYFUNCTION("""COMPUTED_VALUE"""),"edyriwando04@gmail:com")</f>
        <v>edyriwando04@gmail:com</v>
      </c>
      <c r="B293" s="13" t="str">
        <f>IFERROR(__xludf.DUMMYFUNCTION("""COMPUTED_VALUE"""),"Kecamatan Lae Parira Dalam Angka 2024")</f>
        <v>Kecamatan Lae Parira Dalam Angka 2024</v>
      </c>
      <c r="C293" s="13" t="str">
        <f>IFERROR(__xludf.DUMMYFUNCTION("""COMPUTED_VALUE"""),"Publikasi")</f>
        <v>Publikasi</v>
      </c>
      <c r="E293" s="19" t="s">
        <v>1348</v>
      </c>
      <c r="F293" s="20" t="str">
        <f>IFERROR(__xludf.DUMMYFUNCTION("JOIN(""
"",FILTER($B293:$B1300,$A293:$A1300=E293))"),"Kabupaten Dairi Dalam Angka 2024")</f>
        <v>Kabupaten Dairi Dalam Angka 2024</v>
      </c>
    </row>
    <row r="294">
      <c r="A294" s="13" t="str">
        <f>IFERROR(__xludf.DUMMYFUNCTION("""COMPUTED_VALUE"""),"edyriwando04@gmail:com")</f>
        <v>edyriwando04@gmail:com</v>
      </c>
      <c r="B294" s="13" t="str">
        <f>IFERROR(__xludf.DUMMYFUNCTION("""COMPUTED_VALUE"""),"Kecamatan Parbuluan Dalam Angka 2024")</f>
        <v>Kecamatan Parbuluan Dalam Angka 2024</v>
      </c>
      <c r="C294" s="13" t="str">
        <f>IFERROR(__xludf.DUMMYFUNCTION("""COMPUTED_VALUE"""),"Publikasi")</f>
        <v>Publikasi</v>
      </c>
      <c r="E294" s="19" t="s">
        <v>1726</v>
      </c>
      <c r="F294" s="20" t="str">
        <f>IFERROR(__xludf.DUMMYFUNCTION("JOIN(""
"",FILTER($B294:$B1300,$A294:$A1300=E294))"),"Kabupaten Dairi Dalam Angka 2022")</f>
        <v>Kabupaten Dairi Dalam Angka 2022</v>
      </c>
    </row>
    <row r="295">
      <c r="A295" s="13" t="str">
        <f>IFERROR(__xludf.DUMMYFUNCTION("""COMPUTED_VALUE"""),"edyriwando04@gmail:com")</f>
        <v>edyriwando04@gmail:com</v>
      </c>
      <c r="B295" s="13" t="str">
        <f>IFERROR(__xludf.DUMMYFUNCTION("""COMPUTED_VALUE"""),"Kecamatan Pegagan Hilir Dalam Angka 2024")</f>
        <v>Kecamatan Pegagan Hilir Dalam Angka 2024</v>
      </c>
      <c r="C295" s="13" t="str">
        <f>IFERROR(__xludf.DUMMYFUNCTION("""COMPUTED_VALUE"""),"Publikasi")</f>
        <v>Publikasi</v>
      </c>
      <c r="E295" s="19" t="s">
        <v>1418</v>
      </c>
      <c r="F295" s="20" t="str">
        <f>IFERROR(__xludf.DUMMYFUNCTION("JOIN(""
"",FILTER($B295:$B1300,$A295:$A1300=E295))"),"Kecamatan Gunung Sitember Dalam Angka 2024
Kecamatan Tiga Lingga Dalam Angka 2024")</f>
        <v>Kecamatan Gunung Sitember Dalam Angka 2024
Kecamatan Tiga Lingga Dalam Angka 2024</v>
      </c>
    </row>
    <row r="296">
      <c r="A296" s="13" t="str">
        <f>IFERROR(__xludf.DUMMYFUNCTION("""COMPUTED_VALUE"""),"edyriwando04@gmail:com")</f>
        <v>edyriwando04@gmail:com</v>
      </c>
      <c r="B296" s="13" t="str">
        <f>IFERROR(__xludf.DUMMYFUNCTION("""COMPUTED_VALUE"""),"Kecamatan Sidikalang Dalam Angka 2024")</f>
        <v>Kecamatan Sidikalang Dalam Angka 2024</v>
      </c>
      <c r="C296" s="13" t="str">
        <f>IFERROR(__xludf.DUMMYFUNCTION("""COMPUTED_VALUE"""),"Publikasi")</f>
        <v>Publikasi</v>
      </c>
      <c r="E296" s="19" t="s">
        <v>1404</v>
      </c>
      <c r="F296" s="20" t="str">
        <f>IFERROR(__xludf.DUMMYFUNCTION("JOIN(""
"",FILTER($B296:$B1300,$A296:$A1300=E296))"),"Indikator Kesejahteraan Rakyat Kabupaten Dairi Tahun 2024
Tingkat Penghunian Kamar Akomodasi Dairi 2022")</f>
        <v>Indikator Kesejahteraan Rakyat Kabupaten Dairi Tahun 2024
Tingkat Penghunian Kamar Akomodasi Dairi 2022</v>
      </c>
    </row>
    <row r="297">
      <c r="A297" s="13" t="str">
        <f>IFERROR(__xludf.DUMMYFUNCTION("""COMPUTED_VALUE"""),"edyriwando04@gmail:com")</f>
        <v>edyriwando04@gmail:com</v>
      </c>
      <c r="B297" s="13" t="str">
        <f>IFERROR(__xludf.DUMMYFUNCTION("""COMPUTED_VALUE"""),"Kecamatan Siempat Nempu Dalam Angka 2024")</f>
        <v>Kecamatan Siempat Nempu Dalam Angka 2024</v>
      </c>
      <c r="C297" s="13" t="str">
        <f>IFERROR(__xludf.DUMMYFUNCTION("""COMPUTED_VALUE"""),"Publikasi")</f>
        <v>Publikasi</v>
      </c>
      <c r="E297" s="19" t="s">
        <v>1407</v>
      </c>
      <c r="F297" s="20" t="str">
        <f>IFERROR(__xludf.DUMMYFUNCTION("JOIN(""
"",FILTER($B297:$B1300,$A297:$A1300=E297))"),"Analisis Survei Kebutuhan Data Kabupaten Dairi 2022
Indeks Pembangunan Manusia Kabupaten Dairi 2021
Indikator Kesejahteraan Rakyat Kabupaten Dairi Tahun 2024
Kabupaten Dairi Dalam Angka 2022
Kecamatan Pegagan Hilir Dalam Angka 2022
Produk Domestik Regiona"&amp;"l Bruto Kabupaten Dairi Menurut Lapangan Usaha 2017 - 2021
Statistik Hortikultura Kabupaten Dairi Tahun 2021
Statistik Kesejahteraan Rakyat Kabupaten Dairi 2024
Statistik Tanaman Pangan (Padi dan Palawija) Kabupaten Dairi 2021")</f>
        <v>Analisis Survei Kebutuhan Data Kabupaten Dairi 2022
Indeks Pembangunan Manusia Kabupaten Dairi 2021
Indikator Kesejahteraan Rakyat Kabupaten Dairi Tahun 2024
Kabupaten Dairi Dalam Angka 2022
Kecamatan Pegagan Hilir Dalam Angka 2022
Produk Domestik Regional Bruto Kabupaten Dairi Menurut Lapangan Usaha 2017 - 2021
Statistik Hortikultura Kabupaten Dairi Tahun 2021
Statistik Kesejahteraan Rakyat Kabupaten Dairi 2024
Statistik Tanaman Pangan (Padi dan Palawija) Kabupaten Dairi 2021</v>
      </c>
    </row>
    <row r="298">
      <c r="A298" s="13" t="str">
        <f>IFERROR(__xludf.DUMMYFUNCTION("""COMPUTED_VALUE"""),"edyriwando04@gmail:com")</f>
        <v>edyriwando04@gmail:com</v>
      </c>
      <c r="B298" s="13" t="str">
        <f>IFERROR(__xludf.DUMMYFUNCTION("""COMPUTED_VALUE"""),"Kecamatan Siempat Nempu Hilir Dalam Angka 2024")</f>
        <v>Kecamatan Siempat Nempu Hilir Dalam Angka 2024</v>
      </c>
      <c r="C298" s="13" t="str">
        <f>IFERROR(__xludf.DUMMYFUNCTION("""COMPUTED_VALUE"""),"Publikasi")</f>
        <v>Publikasi</v>
      </c>
      <c r="E298" s="19" t="s">
        <v>1375</v>
      </c>
      <c r="F298" s="20" t="str">
        <f>IFERROR(__xludf.DUMMYFUNCTION("JOIN(""
"",FILTER($B298:$B1300,$A298:$A1300=E298))"),"Kabupaten Dairi Dalam Angka 2024")</f>
        <v>Kabupaten Dairi Dalam Angka 2024</v>
      </c>
    </row>
    <row r="299">
      <c r="A299" s="13" t="str">
        <f>IFERROR(__xludf.DUMMYFUNCTION("""COMPUTED_VALUE"""),"edyriwando04@gmail:com")</f>
        <v>edyriwando04@gmail:com</v>
      </c>
      <c r="B299" s="13" t="str">
        <f>IFERROR(__xludf.DUMMYFUNCTION("""COMPUTED_VALUE"""),"Kecamatan Siempat Nempu Hulu Dalam Angka 2024")</f>
        <v>Kecamatan Siempat Nempu Hulu Dalam Angka 2024</v>
      </c>
      <c r="C299" s="13" t="str">
        <f>IFERROR(__xludf.DUMMYFUNCTION("""COMPUTED_VALUE"""),"Publikasi")</f>
        <v>Publikasi</v>
      </c>
      <c r="E299" s="19" t="s">
        <v>1528</v>
      </c>
      <c r="F299" s="20" t="str">
        <f>IFERROR(__xludf.DUMMYFUNCTION("JOIN(""
"",FILTER($B299:$B1300,$A299:$A1300=E299))"),"Kabupaten Dairi Dalam Angka 2022
Statistik Hortikultura Kabupaten Dairi Tahun 2021")</f>
        <v>Kabupaten Dairi Dalam Angka 2022
Statistik Hortikultura Kabupaten Dairi Tahun 2021</v>
      </c>
    </row>
    <row r="300">
      <c r="A300" s="13" t="str">
        <f>IFERROR(__xludf.DUMMYFUNCTION("""COMPUTED_VALUE"""),"edyriwando04@gmail:com")</f>
        <v>edyriwando04@gmail:com</v>
      </c>
      <c r="B300" s="13" t="str">
        <f>IFERROR(__xludf.DUMMYFUNCTION("""COMPUTED_VALUE"""),"Kecamatan Silahisabungan Dalam Angka 2024")</f>
        <v>Kecamatan Silahisabungan Dalam Angka 2024</v>
      </c>
      <c r="C300" s="13" t="str">
        <f>IFERROR(__xludf.DUMMYFUNCTION("""COMPUTED_VALUE"""),"Publikasi")</f>
        <v>Publikasi</v>
      </c>
      <c r="E300" s="19" t="s">
        <v>1361</v>
      </c>
      <c r="F300" s="20" t="str">
        <f>IFERROR(__xludf.DUMMYFUNCTION("JOIN(""
"",FILTER($B300:$B1300,$A300:$A1300=E300))"),"Kabupaten Dairi Dalam Angka 2021
Kabupaten Dairi Dalam Angka 2022
Kabupaten Dairi Dalam Angka 2024")</f>
        <v>Kabupaten Dairi Dalam Angka 2021
Kabupaten Dairi Dalam Angka 2022
Kabupaten Dairi Dalam Angka 2024</v>
      </c>
    </row>
    <row r="301">
      <c r="A301" s="13" t="str">
        <f>IFERROR(__xludf.DUMMYFUNCTION("""COMPUTED_VALUE"""),"edyriwando04@gmail:com")</f>
        <v>edyriwando04@gmail:com</v>
      </c>
      <c r="B301" s="13" t="str">
        <f>IFERROR(__xludf.DUMMYFUNCTION("""COMPUTED_VALUE"""),"Kecamatan Silima Pungga-Pungga Dalam Angka 2024")</f>
        <v>Kecamatan Silima Pungga-Pungga Dalam Angka 2024</v>
      </c>
      <c r="C301" s="13" t="str">
        <f>IFERROR(__xludf.DUMMYFUNCTION("""COMPUTED_VALUE"""),"Publikasi")</f>
        <v>Publikasi</v>
      </c>
      <c r="E301" s="19" t="s">
        <v>1552</v>
      </c>
      <c r="F301" s="20" t="str">
        <f>IFERROR(__xludf.DUMMYFUNCTION("JOIN(""
"",FILTER($B301:$B1300,$A301:$A1300=E301))"),"Kabupaten Dairi Dalam Angka 2022")</f>
        <v>Kabupaten Dairi Dalam Angka 2022</v>
      </c>
    </row>
    <row r="302">
      <c r="A302" s="13" t="str">
        <f>IFERROR(__xludf.DUMMYFUNCTION("""COMPUTED_VALUE"""),"edyriwando04@gmail:com")</f>
        <v>edyriwando04@gmail:com</v>
      </c>
      <c r="B302" s="13" t="str">
        <f>IFERROR(__xludf.DUMMYFUNCTION("""COMPUTED_VALUE"""),"Kecamatan Sitinjo Dalam Angka 2024")</f>
        <v>Kecamatan Sitinjo Dalam Angka 2024</v>
      </c>
      <c r="C302" s="13" t="str">
        <f>IFERROR(__xludf.DUMMYFUNCTION("""COMPUTED_VALUE"""),"Publikasi")</f>
        <v>Publikasi</v>
      </c>
      <c r="E302" s="19" t="s">
        <v>1676</v>
      </c>
      <c r="F302" s="20" t="str">
        <f>IFERROR(__xludf.DUMMYFUNCTION("JOIN(""
"",FILTER($B302:$B1300,$A302:$A1300=E302))"),"Kecamatan Gunung Sitember Dalam Angka 2019")</f>
        <v>Kecamatan Gunung Sitember Dalam Angka 2019</v>
      </c>
    </row>
    <row r="303">
      <c r="A303" s="13" t="str">
        <f>IFERROR(__xludf.DUMMYFUNCTION("""COMPUTED_VALUE"""),"edyriwando04@gmail:com")</f>
        <v>edyriwando04@gmail:com</v>
      </c>
      <c r="B303" s="13" t="str">
        <f>IFERROR(__xludf.DUMMYFUNCTION("""COMPUTED_VALUE"""),"Kecamatan Sumbul Dalam Angka 2024")</f>
        <v>Kecamatan Sumbul Dalam Angka 2024</v>
      </c>
      <c r="C303" s="13" t="str">
        <f>IFERROR(__xludf.DUMMYFUNCTION("""COMPUTED_VALUE"""),"Publikasi")</f>
        <v>Publikasi</v>
      </c>
      <c r="E303" s="19" t="s">
        <v>1466</v>
      </c>
      <c r="F303" s="20" t="str">
        <f>IFERROR(__xludf.DUMMYFUNCTION("JOIN(""
"",FILTER($B303:$B1300,$A303:$A1300=E303))"),"Kecamatan Sumbul Dalam Angka 2021")</f>
        <v>Kecamatan Sumbul Dalam Angka 2021</v>
      </c>
    </row>
    <row r="304">
      <c r="A304" s="13" t="str">
        <f>IFERROR(__xludf.DUMMYFUNCTION("""COMPUTED_VALUE"""),"edyriwando04@gmail:com")</f>
        <v>edyriwando04@gmail:com</v>
      </c>
      <c r="B304" s="13" t="str">
        <f>IFERROR(__xludf.DUMMYFUNCTION("""COMPUTED_VALUE"""),"Kecamatan Tanah Pinem Dalam Angka 2024")</f>
        <v>Kecamatan Tanah Pinem Dalam Angka 2024</v>
      </c>
      <c r="C304" s="13" t="str">
        <f>IFERROR(__xludf.DUMMYFUNCTION("""COMPUTED_VALUE"""),"Publikasi")</f>
        <v>Publikasi</v>
      </c>
      <c r="E304" s="19" t="s">
        <v>1554</v>
      </c>
      <c r="F304" s="20" t="str">
        <f>IFERROR(__xludf.DUMMYFUNCTION("JOIN(""
"",FILTER($B304:$B1300,$A304:$A1300=E304))"),"Kecamatan Parbuluan Dalam Angka 2020")</f>
        <v>Kecamatan Parbuluan Dalam Angka 2020</v>
      </c>
    </row>
    <row r="305">
      <c r="A305" s="13" t="str">
        <f>IFERROR(__xludf.DUMMYFUNCTION("""COMPUTED_VALUE"""),"edyriwando04@gmail:com")</f>
        <v>edyriwando04@gmail:com</v>
      </c>
      <c r="B305" s="13" t="str">
        <f>IFERROR(__xludf.DUMMYFUNCTION("""COMPUTED_VALUE"""),"Kecamatan Tiga Lingga Dalam Angka 2024")</f>
        <v>Kecamatan Tiga Lingga Dalam Angka 2024</v>
      </c>
      <c r="C305" s="13" t="str">
        <f>IFERROR(__xludf.DUMMYFUNCTION("""COMPUTED_VALUE"""),"Publikasi")</f>
        <v>Publikasi</v>
      </c>
      <c r="E305" s="19" t="s">
        <v>1210</v>
      </c>
      <c r="F305" s="20" t="str">
        <f>IFERROR(__xludf.DUMMYFUNCTION("JOIN(""
"",FILTER($B305:$B1300,$A305:$A1300=E305))"),"Kabupaten Dairi Dalam Angka 2022
Kabupaten Dairi Dalam Angka 2024")</f>
        <v>Kabupaten Dairi Dalam Angka 2022
Kabupaten Dairi Dalam Angka 2024</v>
      </c>
    </row>
    <row r="306">
      <c r="A306" s="13" t="str">
        <f>IFERROR(__xludf.DUMMYFUNCTION("""COMPUTED_VALUE"""),"edyriwando04@gmail:com")</f>
        <v>edyriwando04@gmail:com</v>
      </c>
      <c r="B306" s="13" t="str">
        <f>IFERROR(__xludf.DUMMYFUNCTION("""COMPUTED_VALUE"""),"Statistik Daerah Kabupaten Dairi 2024")</f>
        <v>Statistik Daerah Kabupaten Dairi 2024</v>
      </c>
      <c r="C306" s="13" t="str">
        <f>IFERROR(__xludf.DUMMYFUNCTION("""COMPUTED_VALUE"""),"Publikasi")</f>
        <v>Publikasi</v>
      </c>
      <c r="E306" s="19" t="s">
        <v>1450</v>
      </c>
      <c r="F306" s="20" t="str">
        <f>IFERROR(__xludf.DUMMYFUNCTION("JOIN(""
"",FILTER($B306:$B1300,$A306:$A1300=E306))"),"Kabupaten Dairi Dalam Angka 2021
Kabupaten Dairi Dalam Angka 2022
Kabupaten Dairi Dalam Angka 2024")</f>
        <v>Kabupaten Dairi Dalam Angka 2021
Kabupaten Dairi Dalam Angka 2022
Kabupaten Dairi Dalam Angka 2024</v>
      </c>
    </row>
    <row r="307">
      <c r="A307" s="13" t="str">
        <f>IFERROR(__xludf.DUMMYFUNCTION("""COMPUTED_VALUE"""),"eicemyr@gmail:com")</f>
        <v>eicemyr@gmail:com</v>
      </c>
      <c r="B307" s="13" t="str">
        <f>IFERROR(__xludf.DUMMYFUNCTION("""COMPUTED_VALUE"""),"Hasil Pencacahan Lengkap Sensus Pertanian 2024 - Tahap I Kabupaten Dairi")</f>
        <v>Hasil Pencacahan Lengkap Sensus Pertanian 2024 - Tahap I Kabupaten Dairi</v>
      </c>
      <c r="C307" s="13" t="str">
        <f>IFERROR(__xludf.DUMMYFUNCTION("""COMPUTED_VALUE"""),"Publikasi")</f>
        <v>Publikasi</v>
      </c>
      <c r="E307" s="19" t="s">
        <v>1583</v>
      </c>
      <c r="F307" s="20" t="str">
        <f>IFERROR(__xludf.DUMMYFUNCTION("JOIN(""
"",FILTER($B307:$B1300,$A307:$A1300=E307))"),"Kabupaten Dairi Dalam Angka 2021")</f>
        <v>Kabupaten Dairi Dalam Angka 2021</v>
      </c>
    </row>
    <row r="308">
      <c r="A308" s="13" t="str">
        <f>IFERROR(__xludf.DUMMYFUNCTION("""COMPUTED_VALUE"""),"eicemyr@gmail:com")</f>
        <v>eicemyr@gmail:com</v>
      </c>
      <c r="B308" s="13" t="str">
        <f>IFERROR(__xludf.DUMMYFUNCTION("""COMPUTED_VALUE"""),"Indikator Kesejahteraan Rakyat Kabupaten Dairi Tahun 2024")</f>
        <v>Indikator Kesejahteraan Rakyat Kabupaten Dairi Tahun 2024</v>
      </c>
      <c r="C308" s="13" t="str">
        <f>IFERROR(__xludf.DUMMYFUNCTION("""COMPUTED_VALUE"""),"Publikasi")</f>
        <v>Publikasi</v>
      </c>
      <c r="E308" s="19" t="s">
        <v>1301</v>
      </c>
      <c r="F308" s="20" t="str">
        <f>IFERROR(__xludf.DUMMYFUNCTION("JOIN(""
"",FILTER($B308:$B1300,$A308:$A1300=E308))"),"Statistik Hortikultura Kabupaten Dairi Tahun 2021
Statistik Hortikultura Kabupaten Dairi Tahun 2022
Tingkat Penghunian Kamar Akomodasi Dairi 2022")</f>
        <v>Statistik Hortikultura Kabupaten Dairi Tahun 2021
Statistik Hortikultura Kabupaten Dairi Tahun 2022
Tingkat Penghunian Kamar Akomodasi Dairi 2022</v>
      </c>
    </row>
    <row r="309">
      <c r="A309" s="13" t="str">
        <f>IFERROR(__xludf.DUMMYFUNCTION("""COMPUTED_VALUE"""),"eicemyr@gmail:com")</f>
        <v>eicemyr@gmail:com</v>
      </c>
      <c r="B309" s="13" t="str">
        <f>IFERROR(__xludf.DUMMYFUNCTION("""COMPUTED_VALUE"""),"Statistik Kesejahteraan Rakyat Kabupaten Dairi 2024")</f>
        <v>Statistik Kesejahteraan Rakyat Kabupaten Dairi 2024</v>
      </c>
      <c r="C309" s="13" t="str">
        <f>IFERROR(__xludf.DUMMYFUNCTION("""COMPUTED_VALUE"""),"Publikasi")</f>
        <v>Publikasi</v>
      </c>
      <c r="E309" s="19" t="s">
        <v>1678</v>
      </c>
      <c r="F309" s="20" t="str">
        <f>IFERROR(__xludf.DUMMYFUNCTION("JOIN(""
"",FILTER($B309:$B1300,$A309:$A1300=E309))"),"Kecamatan Gunung Sitember Dalam Angka 2022
Kecamatan Siempat Nempu Hulu Dalam Angka 2022
Kecamatan Tanah Pinem Dalam Angka 2022
Kecamatan Tiga Lingga Dalam Angka 2022")</f>
        <v>Kecamatan Gunung Sitember Dalam Angka 2022
Kecamatan Siempat Nempu Hulu Dalam Angka 2022
Kecamatan Tanah Pinem Dalam Angka 2022
Kecamatan Tiga Lingga Dalam Angka 2022</v>
      </c>
    </row>
    <row r="310">
      <c r="A310" s="13" t="str">
        <f>IFERROR(__xludf.DUMMYFUNCTION("""COMPUTED_VALUE"""),"ekaborutarigan@gmail:com")</f>
        <v>ekaborutarigan@gmail:com</v>
      </c>
      <c r="B310" s="13" t="str">
        <f>IFERROR(__xludf.DUMMYFUNCTION("""COMPUTED_VALUE"""),"Kecamatan Berampu Dalam Angka 2022")</f>
        <v>Kecamatan Berampu Dalam Angka 2022</v>
      </c>
      <c r="C310" s="13" t="str">
        <f>IFERROR(__xludf.DUMMYFUNCTION("""COMPUTED_VALUE"""),"Publikasi")</f>
        <v>Publikasi</v>
      </c>
      <c r="E310" s="19" t="s">
        <v>1114</v>
      </c>
      <c r="F310" s="20" t="str">
        <f>IFERROR(__xludf.DUMMYFUNCTION("JOIN(""
"",FILTER($B310:$B1300,$A310:$A1300=E310))"),"Kecamatan Sidikalang Dalam Angka 2020
Kecamatan Sidikalang Dalam Angka 2021
Kecamatan Sidikalang Dalam Angka 2022
Kecamatan Sidikalang Dalam Angka 2024")</f>
        <v>Kecamatan Sidikalang Dalam Angka 2020
Kecamatan Sidikalang Dalam Angka 2021
Kecamatan Sidikalang Dalam Angka 2022
Kecamatan Sidikalang Dalam Angka 2024</v>
      </c>
    </row>
    <row r="311">
      <c r="A311" s="13" t="str">
        <f>IFERROR(__xludf.DUMMYFUNCTION("""COMPUTED_VALUE"""),"ekondairi@gmail:com")</f>
        <v>ekondairi@gmail:com</v>
      </c>
      <c r="B311" s="13" t="str">
        <f>IFERROR(__xludf.DUMMYFUNCTION("""COMPUTED_VALUE"""),"Kabupaten Dairi Dalam Angka 2024")</f>
        <v>Kabupaten Dairi Dalam Angka 2024</v>
      </c>
      <c r="C311" s="13" t="str">
        <f>IFERROR(__xludf.DUMMYFUNCTION("""COMPUTED_VALUE"""),"Publikasi")</f>
        <v>Publikasi</v>
      </c>
      <c r="E311" s="19" t="s">
        <v>1367</v>
      </c>
      <c r="F311" s="20" t="str">
        <f>IFERROR(__xludf.DUMMYFUNCTION("JOIN(""
"",FILTER($B311:$B1300,$A311:$A1300=E311))"),"Kabupaten Dairi Dalam Angka 2018
Kabupaten Dairi Dalam Angka 2019
Kabupaten Dairi Dalam Angka 2020
Kabupaten Dairi Dalam Angka 2021
Kabupaten Dairi Dalam Angka 2022
Kabupaten Dairi Dalam Angka 2024
Kecamatan Siempat Nempu Dalam Angka 2024")</f>
        <v>Kabupaten Dairi Dalam Angka 2018
Kabupaten Dairi Dalam Angka 2019
Kabupaten Dairi Dalam Angka 2020
Kabupaten Dairi Dalam Angka 2021
Kabupaten Dairi Dalam Angka 2022
Kabupaten Dairi Dalam Angka 2024
Kecamatan Siempat Nempu Dalam Angka 2024</v>
      </c>
    </row>
    <row r="312">
      <c r="A312" s="13" t="str">
        <f>IFERROR(__xludf.DUMMYFUNCTION("""COMPUTED_VALUE"""),"elfridasimarmata550@gmail:com")</f>
        <v>elfridasimarmata550@gmail:com</v>
      </c>
      <c r="B312" s="13" t="str">
        <f>IFERROR(__xludf.DUMMYFUNCTION("""COMPUTED_VALUE"""),"Kabupaten Dairi Dalam Angka 2024")</f>
        <v>Kabupaten Dairi Dalam Angka 2024</v>
      </c>
      <c r="C312" s="13" t="str">
        <f>IFERROR(__xludf.DUMMYFUNCTION("""COMPUTED_VALUE"""),"Publikasi")</f>
        <v>Publikasi</v>
      </c>
      <c r="E312" s="19" t="s">
        <v>1581</v>
      </c>
      <c r="F312" s="20" t="str">
        <f>IFERROR(__xludf.DUMMYFUNCTION("JOIN(""
"",FILTER($B312:$B1300,$A312:$A1300=E312))"),"Indikator Kesejahteraan Rakyat Kabupaten Dairi 2021
Indikator Kesejahteraan Rakyat Kabupaten Dairi Tahun 2022
Statistik Kesejahteraan Rakyat Kabupaten Dairi 2021")</f>
        <v>Indikator Kesejahteraan Rakyat Kabupaten Dairi 2021
Indikator Kesejahteraan Rakyat Kabupaten Dairi Tahun 2022
Statistik Kesejahteraan Rakyat Kabupaten Dairi 2021</v>
      </c>
    </row>
    <row r="313">
      <c r="A313" s="13" t="str">
        <f>IFERROR(__xludf.DUMMYFUNCTION("""COMPUTED_VALUE"""),"elfridasimarmata550@gmail:com")</f>
        <v>elfridasimarmata550@gmail:com</v>
      </c>
      <c r="B313" s="13" t="str">
        <f>IFERROR(__xludf.DUMMYFUNCTION("""COMPUTED_VALUE"""),"Kecamatan Sumbul Dalam Angka 2018")</f>
        <v>Kecamatan Sumbul Dalam Angka 2018</v>
      </c>
      <c r="C313" s="13" t="str">
        <f>IFERROR(__xludf.DUMMYFUNCTION("""COMPUTED_VALUE"""),"Publikasi")</f>
        <v>Publikasi</v>
      </c>
      <c r="E313" s="19" t="s">
        <v>1475</v>
      </c>
      <c r="F313" s="20" t="str">
        <f>IFERROR(__xludf.DUMMYFUNCTION("JOIN(""
"",FILTER($B313:$B1300,$A313:$A1300=E313))"),"Statistik Hortikultura Kabupaten Dairi Tahun 2022")</f>
        <v>Statistik Hortikultura Kabupaten Dairi Tahun 2022</v>
      </c>
    </row>
    <row r="314">
      <c r="A314" s="13" t="str">
        <f>IFERROR(__xludf.DUMMYFUNCTION("""COMPUTED_VALUE"""),"elfridasimarmata550@gmail:com")</f>
        <v>elfridasimarmata550@gmail:com</v>
      </c>
      <c r="B314" s="13" t="str">
        <f>IFERROR(__xludf.DUMMYFUNCTION("""COMPUTED_VALUE"""),"Kecamatan Sumbul Dalam Angka 2019")</f>
        <v>Kecamatan Sumbul Dalam Angka 2019</v>
      </c>
      <c r="C314" s="13" t="str">
        <f>IFERROR(__xludf.DUMMYFUNCTION("""COMPUTED_VALUE"""),"Publikasi")</f>
        <v>Publikasi</v>
      </c>
      <c r="E314" s="19" t="s">
        <v>1547</v>
      </c>
      <c r="F314" s="20" t="str">
        <f>IFERROR(__xludf.DUMMYFUNCTION("JOIN(""
"",FILTER($B314:$B1300,$A314:$A1300=E314))"),"Kecamatan Tiga Lingga Dalam Angka 2022")</f>
        <v>Kecamatan Tiga Lingga Dalam Angka 2022</v>
      </c>
    </row>
    <row r="315">
      <c r="A315" s="13" t="str">
        <f>IFERROR(__xludf.DUMMYFUNCTION("""COMPUTED_VALUE"""),"elfridasimarmata550@gmail:com")</f>
        <v>elfridasimarmata550@gmail:com</v>
      </c>
      <c r="B315" s="13" t="str">
        <f>IFERROR(__xludf.DUMMYFUNCTION("""COMPUTED_VALUE"""),"Kecamatan Sumbul Dalam Angka 2020")</f>
        <v>Kecamatan Sumbul Dalam Angka 2020</v>
      </c>
      <c r="C315" s="13" t="str">
        <f>IFERROR(__xludf.DUMMYFUNCTION("""COMPUTED_VALUE"""),"Publikasi")</f>
        <v>Publikasi</v>
      </c>
      <c r="E315" s="19" t="s">
        <v>1607</v>
      </c>
      <c r="F315" s="20" t="str">
        <f>IFERROR(__xludf.DUMMYFUNCTION("JOIN(""
"",FILTER($B315:$B1300,$A315:$A1300=E315))"),"Kecamatan Berampu Dalam Angka 2022
Kecamatan Parbuluan Dalam Angka 2022
Kecamatan Sidikalang Dalam Angka 2022
Kecamatan Silahisabungan Dalam Angka 2022
Kecamatan Sitinjo Dalam Angka 2022
Kecamatan Sumbul Dalam Angka 2022")</f>
        <v>Kecamatan Berampu Dalam Angka 2022
Kecamatan Parbuluan Dalam Angka 2022
Kecamatan Sidikalang Dalam Angka 2022
Kecamatan Silahisabungan Dalam Angka 2022
Kecamatan Sitinjo Dalam Angka 2022
Kecamatan Sumbul Dalam Angka 2022</v>
      </c>
    </row>
    <row r="316">
      <c r="A316" s="13" t="str">
        <f>IFERROR(__xludf.DUMMYFUNCTION("""COMPUTED_VALUE"""),"elfridasimarmata550@gmail:com")</f>
        <v>elfridasimarmata550@gmail:com</v>
      </c>
      <c r="B316" s="13" t="str">
        <f>IFERROR(__xludf.DUMMYFUNCTION("""COMPUTED_VALUE"""),"Kecamatan Sumbul Dalam Angka 2021")</f>
        <v>Kecamatan Sumbul Dalam Angka 2021</v>
      </c>
      <c r="C316" s="13" t="str">
        <f>IFERROR(__xludf.DUMMYFUNCTION("""COMPUTED_VALUE"""),"Publikasi")</f>
        <v>Publikasi</v>
      </c>
      <c r="E316" s="19" t="s">
        <v>1742</v>
      </c>
      <c r="F316" s="20" t="str">
        <f>IFERROR(__xludf.DUMMYFUNCTION("JOIN(""
"",FILTER($B316:$B1300,$A316:$A1300=E316))"),"Kecamatan Tigalingga Dalam Angka 2018")</f>
        <v>Kecamatan Tigalingga Dalam Angka 2018</v>
      </c>
    </row>
    <row r="317">
      <c r="A317" s="13" t="str">
        <f>IFERROR(__xludf.DUMMYFUNCTION("""COMPUTED_VALUE"""),"elfridasimarmata550@gmail:com")</f>
        <v>elfridasimarmata550@gmail:com</v>
      </c>
      <c r="B317" s="13" t="str">
        <f>IFERROR(__xludf.DUMMYFUNCTION("""COMPUTED_VALUE"""),"Kecamatan Sumbul Dalam Angka 2024")</f>
        <v>Kecamatan Sumbul Dalam Angka 2024</v>
      </c>
      <c r="C317" s="13" t="str">
        <f>IFERROR(__xludf.DUMMYFUNCTION("""COMPUTED_VALUE"""),"Publikasi")</f>
        <v>Publikasi</v>
      </c>
      <c r="E317" s="19" t="s">
        <v>1219</v>
      </c>
      <c r="F317" s="20" t="str">
        <f>IFERROR(__xludf.DUMMYFUNCTION("JOIN(""
"",FILTER($B317:$B1300,$A317:$A1300=E317))"),"Statistik Hortikultura Kabupaten Dairi Tahun 2021
Statistik Hortikultura Kabupaten Dairi Tahun 2022
Tingkat Penghunian Kamar Akomodasi Dairi 2022")</f>
        <v>Statistik Hortikultura Kabupaten Dairi Tahun 2021
Statistik Hortikultura Kabupaten Dairi Tahun 2022
Tingkat Penghunian Kamar Akomodasi Dairi 2022</v>
      </c>
    </row>
    <row r="318">
      <c r="A318" s="13" t="str">
        <f>IFERROR(__xludf.DUMMYFUNCTION("""COMPUTED_VALUE"""),"elsalagii@gmail:com")</f>
        <v>elsalagii@gmail:com</v>
      </c>
      <c r="B318" s="13" t="str">
        <f>IFERROR(__xludf.DUMMYFUNCTION("""COMPUTED_VALUE"""),"Kabupaten Dairi Dalam Angka 2024")</f>
        <v>Kabupaten Dairi Dalam Angka 2024</v>
      </c>
      <c r="C318" s="13" t="str">
        <f>IFERROR(__xludf.DUMMYFUNCTION("""COMPUTED_VALUE"""),"Publikasi")</f>
        <v>Publikasi</v>
      </c>
      <c r="E318" s="19" t="s">
        <v>1567</v>
      </c>
      <c r="F318" s="20" t="str">
        <f>IFERROR(__xludf.DUMMYFUNCTION("JOIN(""
"",FILTER($B318:$B1300,$A318:$A1300=E318))"),"Kabupaten Dairi Dalam Angka 2021")</f>
        <v>Kabupaten Dairi Dalam Angka 2021</v>
      </c>
    </row>
    <row r="319">
      <c r="A319" s="13" t="str">
        <f>IFERROR(__xludf.DUMMYFUNCTION("""COMPUTED_VALUE"""),"elsasihombing2002@gmail:com")</f>
        <v>elsasihombing2002@gmail:com</v>
      </c>
      <c r="B319" s="13" t="str">
        <f>IFERROR(__xludf.DUMMYFUNCTION("""COMPUTED_VALUE"""),"Kabupaten Dairi Dalam Angka 2024")</f>
        <v>Kabupaten Dairi Dalam Angka 2024</v>
      </c>
      <c r="C319" s="13" t="str">
        <f>IFERROR(__xludf.DUMMYFUNCTION("""COMPUTED_VALUE"""),"Publikasi")</f>
        <v>Publikasi</v>
      </c>
      <c r="E319" s="19" t="s">
        <v>1192</v>
      </c>
      <c r="F319" s="20" t="str">
        <f>IFERROR(__xludf.DUMMYFUNCTION("JOIN(""
"",FILTER($B319:$B1300,$A319:$A1300=E319))"),"Kabupaten Dairi Dalam Angka 2014
Kabupaten Dairi Dalam Angka 2015
Kabupaten Dairi Dalam Angka 2016
Kabupaten Dairi Dalam Angka 2017
Kabupaten Dairi Dalam Angka 2018")</f>
        <v>Kabupaten Dairi Dalam Angka 2014
Kabupaten Dairi Dalam Angka 2015
Kabupaten Dairi Dalam Angka 2016
Kabupaten Dairi Dalam Angka 2017
Kabupaten Dairi Dalam Angka 2018</v>
      </c>
    </row>
    <row r="320">
      <c r="A320" s="13" t="str">
        <f>IFERROR(__xludf.DUMMYFUNCTION("""COMPUTED_VALUE"""),"elsasihombing2002@gmail:com")</f>
        <v>elsasihombing2002@gmail:com</v>
      </c>
      <c r="B320" s="13" t="str">
        <f>IFERROR(__xludf.DUMMYFUNCTION("""COMPUTED_VALUE"""),"Kecamatan Tiga Lingga Dalam Angka 2021")</f>
        <v>Kecamatan Tiga Lingga Dalam Angka 2021</v>
      </c>
      <c r="C320" s="13" t="str">
        <f>IFERROR(__xludf.DUMMYFUNCTION("""COMPUTED_VALUE"""),"Publikasi")</f>
        <v>Publikasi</v>
      </c>
      <c r="E320" s="19" t="s">
        <v>1341</v>
      </c>
      <c r="F320" s="20" t="str">
        <f>IFERROR(__xludf.DUMMYFUNCTION("JOIN(""
"",FILTER($B320:$B1300,$A320:$A1300=E320))"),"Kabupaten Dairi Dalam Angka 2022
Kabupaten Dairi Dalam Angka 2024")</f>
        <v>Kabupaten Dairi Dalam Angka 2022
Kabupaten Dairi Dalam Angka 2024</v>
      </c>
    </row>
    <row r="321">
      <c r="A321" s="13" t="str">
        <f>IFERROR(__xludf.DUMMYFUNCTION("""COMPUTED_VALUE"""),"elsasihombing2002@gmail:com")</f>
        <v>elsasihombing2002@gmail:com</v>
      </c>
      <c r="B321" s="13" t="str">
        <f>IFERROR(__xludf.DUMMYFUNCTION("""COMPUTED_VALUE"""),"Kecamatan Tiga Lingga Dalam Angka 2024")</f>
        <v>Kecamatan Tiga Lingga Dalam Angka 2024</v>
      </c>
      <c r="C321" s="13" t="str">
        <f>IFERROR(__xludf.DUMMYFUNCTION("""COMPUTED_VALUE"""),"Publikasi")</f>
        <v>Publikasi</v>
      </c>
      <c r="E321" s="19" t="s">
        <v>1734</v>
      </c>
      <c r="F321" s="20" t="str">
        <f>IFERROR(__xludf.DUMMYFUNCTION("JOIN(""
"",FILTER($B321:$B1300,$A321:$A1300=E321))"),"Kabupaten Dairi Dalam Angka 2021
Kecamatan Sitinjo Dalam Angka 2019")</f>
        <v>Kabupaten Dairi Dalam Angka 2021
Kecamatan Sitinjo Dalam Angka 2019</v>
      </c>
    </row>
    <row r="322">
      <c r="A322" s="13" t="str">
        <f>IFERROR(__xludf.DUMMYFUNCTION("""COMPUTED_VALUE"""),"emisinaga97@gmail:com")</f>
        <v>emisinaga97@gmail:com</v>
      </c>
      <c r="B322" s="13" t="str">
        <f>IFERROR(__xludf.DUMMYFUNCTION("""COMPUTED_VALUE"""),"Kabupaten Dairi Dalam Angka 2024")</f>
        <v>Kabupaten Dairi Dalam Angka 2024</v>
      </c>
      <c r="C322" s="13" t="str">
        <f>IFERROR(__xludf.DUMMYFUNCTION("""COMPUTED_VALUE"""),"Publikasi")</f>
        <v>Publikasi</v>
      </c>
      <c r="E322" s="19" t="s">
        <v>1735</v>
      </c>
      <c r="F322" s="20" t="str">
        <f>IFERROR(__xludf.DUMMYFUNCTION("JOIN(""
"",FILTER($B322:$B1300,$A322:$A1300=E322))"),"Profil Kependudukan dan Ketenagakerjaan Kabupaten Dairi 2021")</f>
        <v>Profil Kependudukan dan Ketenagakerjaan Kabupaten Dairi 2021</v>
      </c>
    </row>
    <row r="323">
      <c r="A323" s="13" t="str">
        <f>IFERROR(__xludf.DUMMYFUNCTION("""COMPUTED_VALUE"""),"emisinaga97@gmail:com")</f>
        <v>emisinaga97@gmail:com</v>
      </c>
      <c r="B323" s="13" t="str">
        <f>IFERROR(__xludf.DUMMYFUNCTION("""COMPUTED_VALUE"""),"Statistik Daerah Kabupaten Dairi 2024")</f>
        <v>Statistik Daerah Kabupaten Dairi 2024</v>
      </c>
      <c r="C323" s="13" t="str">
        <f>IFERROR(__xludf.DUMMYFUNCTION("""COMPUTED_VALUE"""),"Publikasi")</f>
        <v>Publikasi</v>
      </c>
      <c r="E323" s="19" t="s">
        <v>1408</v>
      </c>
      <c r="F323" s="20" t="str">
        <f>IFERROR(__xludf.DUMMYFUNCTION("JOIN(""
"",FILTER($B323:$B1300,$A323:$A1300=E323))"),"Kecamatan Pegagan Hilir Dalam Angka 2016
Kecamatan Sumbul Dalam Angka 2016")</f>
        <v>Kecamatan Pegagan Hilir Dalam Angka 2016
Kecamatan Sumbul Dalam Angka 2016</v>
      </c>
    </row>
    <row r="324">
      <c r="A324" s="13" t="str">
        <f>IFERROR(__xludf.DUMMYFUNCTION("""COMPUTED_VALUE"""),"emmimanurung@bps:go:id")</f>
        <v>emmimanurung@bps:go:id</v>
      </c>
      <c r="B324" s="13" t="str">
        <f>IFERROR(__xludf.DUMMYFUNCTION("""COMPUTED_VALUE"""),"Indeks Pembangunan Manusia Kabupaten Dairi 2024")</f>
        <v>Indeks Pembangunan Manusia Kabupaten Dairi 2024</v>
      </c>
      <c r="C324" s="13" t="str">
        <f>IFERROR(__xludf.DUMMYFUNCTION("""COMPUTED_VALUE"""),"Publikasi")</f>
        <v>Publikasi</v>
      </c>
      <c r="E324" s="19" t="s">
        <v>1214</v>
      </c>
      <c r="F324" s="20" t="str">
        <f>IFERROR(__xludf.DUMMYFUNCTION("JOIN(""
"",FILTER($B324:$B1300,$A324:$A1300=E324))"),"Kabupaten Dairi Dalam Angka 2024
Kecamatan Siempat Nempu Dalam Angka 2024")</f>
        <v>Kabupaten Dairi Dalam Angka 2024
Kecamatan Siempat Nempu Dalam Angka 2024</v>
      </c>
    </row>
    <row r="325">
      <c r="A325" s="13" t="str">
        <f>IFERROR(__xludf.DUMMYFUNCTION("""COMPUTED_VALUE"""),"emmimanurung@bps:go:id")</f>
        <v>emmimanurung@bps:go:id</v>
      </c>
      <c r="B325" s="13" t="str">
        <f>IFERROR(__xludf.DUMMYFUNCTION("""COMPUTED_VALUE"""),"Indikator Kesejahteraan Rakyat Kabupaten Dairi Tahun 2024")</f>
        <v>Indikator Kesejahteraan Rakyat Kabupaten Dairi Tahun 2024</v>
      </c>
      <c r="C325" s="13" t="str">
        <f>IFERROR(__xludf.DUMMYFUNCTION("""COMPUTED_VALUE"""),"Publikasi")</f>
        <v>Publikasi</v>
      </c>
      <c r="E325" s="19" t="s">
        <v>1753</v>
      </c>
      <c r="F325" s="20" t="str">
        <f>IFERROR(__xludf.DUMMYFUNCTION("JOIN(""
"",FILTER($B325:$B1300,$A325:$A1300=E325))"),"Direktori Perusahaan Konstruksi Tahun 2021
Indikator Kesejahteraan Rakyat Kabupaten Dairi Tahun 2022
Statistik Hortikultura Kabupaten Dairi Tahun 2021
Statistik Kesejahteraan Rakyat Kabupaten Dairi 2022
Statistik Tanaman Pangan (Padi dan Palawija) Kabupat"&amp;"en Dairi 2021")</f>
        <v>Direktori Perusahaan Konstruksi Tahun 2021
Indikator Kesejahteraan Rakyat Kabupaten Dairi Tahun 2022
Statistik Hortikultura Kabupaten Dairi Tahun 2021
Statistik Kesejahteraan Rakyat Kabupaten Dairi 2022
Statistik Tanaman Pangan (Padi dan Palawija) Kabupaten Dairi 2021</v>
      </c>
    </row>
    <row r="326">
      <c r="A326" s="13" t="str">
        <f>IFERROR(__xludf.DUMMYFUNCTION("""COMPUTED_VALUE"""),"emmimanurung@bps:go:id")</f>
        <v>emmimanurung@bps:go:id</v>
      </c>
      <c r="B326" s="13" t="str">
        <f>IFERROR(__xludf.DUMMYFUNCTION("""COMPUTED_VALUE"""),"Statistik Kesejahteraan Rakyat Kabupaten Dairi 2024")</f>
        <v>Statistik Kesejahteraan Rakyat Kabupaten Dairi 2024</v>
      </c>
      <c r="C326" s="13" t="str">
        <f>IFERROR(__xludf.DUMMYFUNCTION("""COMPUTED_VALUE"""),"Publikasi")</f>
        <v>Publikasi</v>
      </c>
      <c r="E326" s="19" t="s">
        <v>1566</v>
      </c>
      <c r="F326" s="20" t="str">
        <f>IFERROR(__xludf.DUMMYFUNCTION("JOIN(""
"",FILTER($B326:$B1300,$A326:$A1300=E326))"),"Kabupaten Dairi Dalam Angka 2016
Kabupaten Dairi Dalam Angka 2017
Kabupaten Dairi Dalam Angka 2018
Kabupaten Dairi Dalam Angka 2019
Kabupaten Dairi Dalam Angka 2020
Kabupaten Dairi Dalam Angka 2021
Kecamatan Sumbul Dalam Angka 2016
Kecamatan Sumbul Dalam "&amp;"Angka 2017
Kecamatan Sumbul Dalam Angka 2018
Kecamatan Sumbul Dalam Angka 2019
Kecamatan Sumbul Dalam Angka 2021
Kecamatan Tiga Lingga Dalam Angka 2016
Statistik Daerah Kecamatan Sumbul 2016")</f>
        <v>Kabupaten Dairi Dalam Angka 2016
Kabupaten Dairi Dalam Angka 2017
Kabupaten Dairi Dalam Angka 2018
Kabupaten Dairi Dalam Angka 2019
Kabupaten Dairi Dalam Angka 2020
Kabupaten Dairi Dalam Angka 2021
Kecamatan Sumbul Dalam Angka 2016
Kecamatan Sumbul Dalam Angka 2017
Kecamatan Sumbul Dalam Angka 2018
Kecamatan Sumbul Dalam Angka 2019
Kecamatan Sumbul Dalam Angka 2021
Kecamatan Tiga Lingga Dalam Angka 2016
Statistik Daerah Kecamatan Sumbul 2016</v>
      </c>
    </row>
    <row r="327">
      <c r="A327" s="13" t="str">
        <f>IFERROR(__xludf.DUMMYFUNCTION("""COMPUTED_VALUE"""),"emmimanurung@bps:go:id")</f>
        <v>emmimanurung@bps:go:id</v>
      </c>
      <c r="B327" s="13" t="str">
        <f>IFERROR(__xludf.DUMMYFUNCTION("""COMPUTED_VALUE"""),"Statistik Tanaman Pangan (Padi dan Palawija) Kabupaten Dairi 2022")</f>
        <v>Statistik Tanaman Pangan (Padi dan Palawija) Kabupaten Dairi 2022</v>
      </c>
      <c r="C327" s="13" t="str">
        <f>IFERROR(__xludf.DUMMYFUNCTION("""COMPUTED_VALUE"""),"Publikasi")</f>
        <v>Publikasi</v>
      </c>
      <c r="E327" s="19" t="s">
        <v>1498</v>
      </c>
      <c r="F327" s="20" t="str">
        <f>IFERROR(__xludf.DUMMYFUNCTION("JOIN(""
"",FILTER($B327:$B1300,$A327:$A1300=E327))"),"Kabupaten Dairi Dalam Angka 2020
Kabupaten Dairi Dalam Angka 2021
Statistik Daerah Kabupaten Dairi 2021
Statistik Daerah Kabupaten Dairi 2024")</f>
        <v>Kabupaten Dairi Dalam Angka 2020
Kabupaten Dairi Dalam Angka 2021
Statistik Daerah Kabupaten Dairi 2021
Statistik Daerah Kabupaten Dairi 2024</v>
      </c>
    </row>
    <row r="328">
      <c r="A328" s="13" t="str">
        <f>IFERROR(__xludf.DUMMYFUNCTION("""COMPUTED_VALUE"""),"enjelnadya9@gmail:com")</f>
        <v>enjelnadya9@gmail:com</v>
      </c>
      <c r="B328" s="13" t="str">
        <f>IFERROR(__xludf.DUMMYFUNCTION("""COMPUTED_VALUE"""),"Indikator Kesejahteraan Rakyat Kabupaten Dairi Tahun 2024")</f>
        <v>Indikator Kesejahteraan Rakyat Kabupaten Dairi Tahun 2024</v>
      </c>
      <c r="C328" s="13" t="str">
        <f>IFERROR(__xludf.DUMMYFUNCTION("""COMPUTED_VALUE"""),"Publikasi")</f>
        <v>Publikasi</v>
      </c>
      <c r="E328" s="19" t="s">
        <v>1664</v>
      </c>
      <c r="F328" s="20" t="str">
        <f>IFERROR(__xludf.DUMMYFUNCTION("JOIN(""
"",FILTER($B328:$B1300,$A328:$A1300=E328))"),"Indikator Kesejahteraan Rakyat Kabupaten Dairi Tahun 2022
Kabupaten Dairi Dalam Angka 2022
Kecamatan Berampu Dalam Angka 2022
Kecamatan Gunung Sitember Dalam Angka 2022
Kecamatan Lae Parira Dalam Angka 2022
Kecamatan Parbuluan Dalam Angka 2022
Kecamatan P"&amp;"egagan Hilir Dalam Angka 2022
Kecamatan Sidikalang Dalam Angka 2022
Kecamatan Siempat Nempu Dalam Angka 2022
Kecamatan Siempat Nempu Hilir Dalam Angka 2022
Kecamatan Siempat Nempu Hulu Dalam Angka 2022
Kecamatan Silahisabungan Dalam Angka 2022
Kecamatan S"&amp;"ilima Pungga-Pungga Dalam Angka 2022
Kecamatan Sitinjo Dalam Angka 2022
Kecamatan Sumbul Dalam Angka 2022
Kecamatan Tanah Pinem Dalam Angka 2022
Kecamatan Tiga Lingga Dalam Angka 2022
Statistik Daerah Kabupaten Dairi 2022")</f>
        <v>Indikator Kesejahteraan Rakyat Kabupaten Dairi Tahun 2022
Kabupaten Dairi Dalam Angka 2022
Kecamatan Berampu Dalam Angka 2022
Kecamatan Gunung Sitember Dalam Angka 2022
Kecamatan Lae Parira Dalam Angka 2022
Kecamatan Parbuluan Dalam Angka 2022
Kecamatan Pegagan Hilir Dalam Angka 2022
Kecamatan Sidikalang Dalam Angka 2022
Kecamatan Siempat Nempu Dalam Angka 2022
Kecamatan Siempat Nempu Hilir Dalam Angka 2022
Kecamatan Siempat Nempu Hulu Dalam Angka 2022
Kecamatan Silahisabungan Dalam Angka 2022
Kecamatan Silima Pungga-Pungga Dalam Angka 2022
Kecamatan Sitinjo Dalam Angka 2022
Kecamatan Sumbul Dalam Angka 2022
Kecamatan Tanah Pinem Dalam Angka 2022
Kecamatan Tiga Lingga Dalam Angka 2022
Statistik Daerah Kabupaten Dairi 2022</v>
      </c>
    </row>
    <row r="329">
      <c r="A329" s="13" t="str">
        <f>IFERROR(__xludf.DUMMYFUNCTION("""COMPUTED_VALUE"""),"erasari518@gmail:com")</f>
        <v>erasari518@gmail:com</v>
      </c>
      <c r="B329" s="13" t="str">
        <f>IFERROR(__xludf.DUMMYFUNCTION("""COMPUTED_VALUE"""),"Kabupaten Dairi Dalam Angka 2022")</f>
        <v>Kabupaten Dairi Dalam Angka 2022</v>
      </c>
      <c r="C329" s="13" t="str">
        <f>IFERROR(__xludf.DUMMYFUNCTION("""COMPUTED_VALUE"""),"Publikasi")</f>
        <v>Publikasi</v>
      </c>
      <c r="E329" s="19" t="s">
        <v>1359</v>
      </c>
      <c r="F329" s="20" t="str">
        <f>IFERROR(__xludf.DUMMYFUNCTION("JOIN(""
"",FILTER($B329:$B1300,$A329:$A1300=E329))"),"Profil Kependudukan dan Ketenagakerjaan Kabupaten Dairi 2022")</f>
        <v>Profil Kependudukan dan Ketenagakerjaan Kabupaten Dairi 2022</v>
      </c>
    </row>
    <row r="330">
      <c r="A330" s="13" t="str">
        <f>IFERROR(__xludf.DUMMYFUNCTION("""COMPUTED_VALUE"""),"erasari518@gmail:com")</f>
        <v>erasari518@gmail:com</v>
      </c>
      <c r="B330" s="13" t="str">
        <f>IFERROR(__xludf.DUMMYFUNCTION("""COMPUTED_VALUE"""),"Kecamatan Parbuluan Dalam Angka 2020")</f>
        <v>Kecamatan Parbuluan Dalam Angka 2020</v>
      </c>
      <c r="C330" s="13" t="str">
        <f>IFERROR(__xludf.DUMMYFUNCTION("""COMPUTED_VALUE"""),"Publikasi")</f>
        <v>Publikasi</v>
      </c>
      <c r="E330" s="19" t="s">
        <v>1440</v>
      </c>
      <c r="F330" s="20" t="str">
        <f>IFERROR(__xludf.DUMMYFUNCTION("JOIN(""
"",FILTER($B330:$B1300,$A330:$A1300=E330))"),"Kabupaten Dairi Dalam Angka 2024
Kecamatan Sumbul Dalam Angka 2018")</f>
        <v>Kabupaten Dairi Dalam Angka 2024
Kecamatan Sumbul Dalam Angka 2018</v>
      </c>
    </row>
    <row r="331">
      <c r="A331" s="13" t="str">
        <f>IFERROR(__xludf.DUMMYFUNCTION("""COMPUTED_VALUE"""),"eriskamurnisimamora@yahoo:co:id")</f>
        <v>eriskamurnisimamora@yahoo:co:id</v>
      </c>
      <c r="B331" s="13" t="str">
        <f>IFERROR(__xludf.DUMMYFUNCTION("""COMPUTED_VALUE"""),"Produk Domestik Regional Bruto Kabupaten Dairi Menurut Lapangan Usaha 2018 - 2022")</f>
        <v>Produk Domestik Regional Bruto Kabupaten Dairi Menurut Lapangan Usaha 2018 - 2022</v>
      </c>
      <c r="C331" s="13" t="str">
        <f>IFERROR(__xludf.DUMMYFUNCTION("""COMPUTED_VALUE"""),"Publikasi")</f>
        <v>Publikasi</v>
      </c>
      <c r="E331" s="19" t="s">
        <v>1212</v>
      </c>
      <c r="F331" s="20" t="str">
        <f>IFERROR(__xludf.DUMMYFUNCTION("JOIN(""
"",FILTER($B331:$B1300,$A331:$A1300=E331))"),"Kabupaten Dairi Dalam Angka 2024")</f>
        <v>Kabupaten Dairi Dalam Angka 2024</v>
      </c>
    </row>
    <row r="332">
      <c r="A332" s="13" t="str">
        <f>IFERROR(__xludf.DUMMYFUNCTION("""COMPUTED_VALUE"""),"ernawatipadang9@gmail:com")</f>
        <v>ernawatipadang9@gmail:com</v>
      </c>
      <c r="B332" s="13" t="str">
        <f>IFERROR(__xludf.DUMMYFUNCTION("""COMPUTED_VALUE"""),"Hasil Pencacahan Lengkap Sensus Pertanian 2024 - Tahap I Kabupaten Dairi")</f>
        <v>Hasil Pencacahan Lengkap Sensus Pertanian 2024 - Tahap I Kabupaten Dairi</v>
      </c>
      <c r="C332" s="13" t="str">
        <f>IFERROR(__xludf.DUMMYFUNCTION("""COMPUTED_VALUE"""),"Publikasi")</f>
        <v>Publikasi</v>
      </c>
      <c r="E332" s="19" t="s">
        <v>1572</v>
      </c>
      <c r="F332" s="20" t="str">
        <f>IFERROR(__xludf.DUMMYFUNCTION("JOIN(""
"",FILTER($B332:$B1300,$A332:$A1300=E332))"),"Kabupaten Dairi Dalam Angka 2015
Kabupaten Dairi Dalam Angka 2016
Kabupaten Dairi Dalam Angka 2017
Kabupaten Dairi Dalam Angka 2018
Kabupaten Dairi Dalam Angka 2019
Kabupaten Dairi Dalam Angka 2020
Kabupaten Dairi Dalam Angka 2021
Kabupaten Dairi Dalam An"&amp;"gka 2022")</f>
        <v>Kabupaten Dairi Dalam Angka 2015
Kabupaten Dairi Dalam Angka 2016
Kabupaten Dairi Dalam Angka 2017
Kabupaten Dairi Dalam Angka 2018
Kabupaten Dairi Dalam Angka 2019
Kabupaten Dairi Dalam Angka 2020
Kabupaten Dairi Dalam Angka 2021
Kabupaten Dairi Dalam Angka 2022</v>
      </c>
    </row>
    <row r="333">
      <c r="A333" s="13" t="str">
        <f>IFERROR(__xludf.DUMMYFUNCTION("""COMPUTED_VALUE"""),"ernawatipadang9@gmail:com")</f>
        <v>ernawatipadang9@gmail:com</v>
      </c>
      <c r="B333" s="13" t="str">
        <f>IFERROR(__xludf.DUMMYFUNCTION("""COMPUTED_VALUE"""),"Indikator Kesejahteraan Rakyat Kabupaten Dairi Tahun 2024")</f>
        <v>Indikator Kesejahteraan Rakyat Kabupaten Dairi Tahun 2024</v>
      </c>
      <c r="C333" s="13" t="str">
        <f>IFERROR(__xludf.DUMMYFUNCTION("""COMPUTED_VALUE"""),"Publikasi")</f>
        <v>Publikasi</v>
      </c>
      <c r="E333" s="19" t="s">
        <v>1300</v>
      </c>
      <c r="F333" s="20" t="str">
        <f>IFERROR(__xludf.DUMMYFUNCTION("JOIN(""
"",FILTER($B333:$B1300,$A333:$A1300=E333))"),"Kabupaten Dairi Dalam Angka 2022
Kecamatan Tiga Lingga Dalam Angka 2021
Kecamatan Tiga Lingga Dalam Angka 2024
Kecamatan Tigalingga Dalam Angka 2018")</f>
        <v>Kabupaten Dairi Dalam Angka 2022
Kecamatan Tiga Lingga Dalam Angka 2021
Kecamatan Tiga Lingga Dalam Angka 2024
Kecamatan Tigalingga Dalam Angka 2018</v>
      </c>
    </row>
    <row r="334">
      <c r="A334" s="13" t="str">
        <f>IFERROR(__xludf.DUMMYFUNCTION("""COMPUTED_VALUE"""),"ernawatipadang9@gmail:com")</f>
        <v>ernawatipadang9@gmail:com</v>
      </c>
      <c r="B334" s="13" t="str">
        <f>IFERROR(__xludf.DUMMYFUNCTION("""COMPUTED_VALUE"""),"Statistik Kesejahteraan Rakyat Kabupaten Dairi 2024")</f>
        <v>Statistik Kesejahteraan Rakyat Kabupaten Dairi 2024</v>
      </c>
      <c r="C334" s="13" t="str">
        <f>IFERROR(__xludf.DUMMYFUNCTION("""COMPUTED_VALUE"""),"Publikasi")</f>
        <v>Publikasi</v>
      </c>
      <c r="E334" s="19" t="s">
        <v>1157</v>
      </c>
      <c r="F334" s="20" t="str">
        <f>IFERROR(__xludf.DUMMYFUNCTION("JOIN(""
"",FILTER($B334:$B1300,$A334:$A1300=E334))"),"Kabupaten Dairi Dalam Angka 2024")</f>
        <v>Kabupaten Dairi Dalam Angka 2024</v>
      </c>
    </row>
    <row r="335">
      <c r="A335" s="13" t="str">
        <f>IFERROR(__xludf.DUMMYFUNCTION("""COMPUTED_VALUE"""),"erpina:herawati@gmail:com")</f>
        <v>erpina:herawati@gmail:com</v>
      </c>
      <c r="B335" s="13" t="str">
        <f>IFERROR(__xludf.DUMMYFUNCTION("""COMPUTED_VALUE"""),"Kabupaten Dairi Dalam Angka 2022")</f>
        <v>Kabupaten Dairi Dalam Angka 2022</v>
      </c>
      <c r="C335" s="13" t="str">
        <f>IFERROR(__xludf.DUMMYFUNCTION("""COMPUTED_VALUE"""),"Publikasi")</f>
        <v>Publikasi</v>
      </c>
      <c r="E335" s="19" t="s">
        <v>1336</v>
      </c>
      <c r="F335" s="20" t="str">
        <f>IFERROR(__xludf.DUMMYFUNCTION("JOIN(""
"",FILTER($B335:$B1300,$A335:$A1300=E335))"),"Kabupaten Dairi Dalam Angka 2024")</f>
        <v>Kabupaten Dairi Dalam Angka 2024</v>
      </c>
    </row>
    <row r="336">
      <c r="A336" s="13" t="str">
        <f>IFERROR(__xludf.DUMMYFUNCTION("""COMPUTED_VALUE"""),"esenmicrosoft@gmail:com")</f>
        <v>esenmicrosoft@gmail:com</v>
      </c>
      <c r="B336" s="13" t="str">
        <f>IFERROR(__xludf.DUMMYFUNCTION("""COMPUTED_VALUE"""),"Kabupaten Dairi Dalam Angka 2024")</f>
        <v>Kabupaten Dairi Dalam Angka 2024</v>
      </c>
      <c r="C336" s="13" t="str">
        <f>IFERROR(__xludf.DUMMYFUNCTION("""COMPUTED_VALUE"""),"Publikasi")</f>
        <v>Publikasi</v>
      </c>
      <c r="E336" s="19" t="s">
        <v>1746</v>
      </c>
      <c r="F336" s="20" t="str">
        <f>IFERROR(__xludf.DUMMYFUNCTION("JOIN(""
"",FILTER($B336:$B1300,$A336:$A1300=E336))"),"Kabupaten Dairi Dalam Angka 2021")</f>
        <v>Kabupaten Dairi Dalam Angka 2021</v>
      </c>
    </row>
    <row r="337">
      <c r="A337" s="13" t="str">
        <f>IFERROR(__xludf.DUMMYFUNCTION("""COMPUTED_VALUE"""),"esraaritonang7@gmail:com")</f>
        <v>esraaritonang7@gmail:com</v>
      </c>
      <c r="B337" s="13" t="str">
        <f>IFERROR(__xludf.DUMMYFUNCTION("""COMPUTED_VALUE"""),"Kabupaten Dairi Dalam Angka 2024")</f>
        <v>Kabupaten Dairi Dalam Angka 2024</v>
      </c>
      <c r="C337" s="13" t="str">
        <f>IFERROR(__xludf.DUMMYFUNCTION("""COMPUTED_VALUE"""),"Publikasi")</f>
        <v>Publikasi</v>
      </c>
      <c r="E337" s="19" t="s">
        <v>1272</v>
      </c>
      <c r="F337" s="20" t="str">
        <f>IFERROR(__xludf.DUMMYFUNCTION("JOIN(""
"",FILTER($B337:$B1300,$A337:$A1300=E337))"),"Statistik Daerah Kabupaten Dairi 2021")</f>
        <v>Statistik Daerah Kabupaten Dairi 2021</v>
      </c>
    </row>
    <row r="338">
      <c r="A338" s="13" t="str">
        <f>IFERROR(__xludf.DUMMYFUNCTION("""COMPUTED_VALUE"""),"esraaritonang7@gmail:com")</f>
        <v>esraaritonang7@gmail:com</v>
      </c>
      <c r="B338" s="13" t="str">
        <f>IFERROR(__xludf.DUMMYFUNCTION("""COMPUTED_VALUE"""),"Statistik Daerah Kabupaten Dairi 2024")</f>
        <v>Statistik Daerah Kabupaten Dairi 2024</v>
      </c>
      <c r="C338" s="13" t="str">
        <f>IFERROR(__xludf.DUMMYFUNCTION("""COMPUTED_VALUE"""),"Publikasi")</f>
        <v>Publikasi</v>
      </c>
      <c r="E338" s="19" t="s">
        <v>1172</v>
      </c>
      <c r="F338" s="20" t="str">
        <f>IFERROR(__xludf.DUMMYFUNCTION("JOIN(""
"",FILTER($B338:$B1300,$A338:$A1300=E338))"),"Kabupaten Dairi Dalam Angka 2024")</f>
        <v>Kabupaten Dairi Dalam Angka 2024</v>
      </c>
    </row>
    <row r="339">
      <c r="A339" s="13" t="str">
        <f>IFERROR(__xludf.DUMMYFUNCTION("""COMPUTED_VALUE"""),"esrinsimbolon18@gmail:com")</f>
        <v>esrinsimbolon18@gmail:com</v>
      </c>
      <c r="B339" s="13" t="str">
        <f>IFERROR(__xludf.DUMMYFUNCTION("""COMPUTED_VALUE"""),"Statistik Kesejahteraan Rakyat Kabupaten Dairi 2024")</f>
        <v>Statistik Kesejahteraan Rakyat Kabupaten Dairi 2024</v>
      </c>
      <c r="C339" s="13" t="str">
        <f>IFERROR(__xludf.DUMMYFUNCTION("""COMPUTED_VALUE"""),"Publikasi")</f>
        <v>Publikasi</v>
      </c>
      <c r="E339" s="19" t="s">
        <v>1683</v>
      </c>
      <c r="F339" s="20" t="str">
        <f>IFERROR(__xludf.DUMMYFUNCTION("JOIN(""
"",FILTER($B339:$B1300,$A339:$A1300=E339))"),"Kecamatan Sidikalang Dalam Angka 2022")</f>
        <v>Kecamatan Sidikalang Dalam Angka 2022</v>
      </c>
    </row>
    <row r="340">
      <c r="A340" s="13" t="str">
        <f>IFERROR(__xludf.DUMMYFUNCTION("""COMPUTED_VALUE"""),"esrisimbolon@gmail:com")</f>
        <v>esrisimbolon@gmail:com</v>
      </c>
      <c r="B340" s="13" t="str">
        <f>IFERROR(__xludf.DUMMYFUNCTION("""COMPUTED_VALUE"""),"Statistik Kesejahteraan Rakyat Kabupaten Dairi 2024")</f>
        <v>Statistik Kesejahteraan Rakyat Kabupaten Dairi 2024</v>
      </c>
      <c r="C340" s="13" t="str">
        <f>IFERROR(__xludf.DUMMYFUNCTION("""COMPUTED_VALUE"""),"Publikasi")</f>
        <v>Publikasi</v>
      </c>
      <c r="E340" s="19" t="s">
        <v>1399</v>
      </c>
      <c r="F340" s="20" t="str">
        <f>IFERROR(__xludf.DUMMYFUNCTION("JOIN(""
"",FILTER($B340:$B1300,$A340:$A1300=E340))"),"Hasil Pencacahan Lengkap Sensus Pertanian 2024 - Tahap I Kabupaten Dairi
Indeks Pembangunan Manusia Kabupaten Dairi 2024
Indikator Kesejahteraan Rakyat Kabupaten Dairi Tahun 2024
Statistik Kesejahteraan Rakyat Kabupaten Dairi 2024")</f>
        <v>Hasil Pencacahan Lengkap Sensus Pertanian 2024 - Tahap I Kabupaten Dairi
Indeks Pembangunan Manusia Kabupaten Dairi 2024
Indikator Kesejahteraan Rakyat Kabupaten Dairi Tahun 2024
Statistik Kesejahteraan Rakyat Kabupaten Dairi 2024</v>
      </c>
    </row>
    <row r="341">
      <c r="A341" s="13" t="str">
        <f>IFERROR(__xludf.DUMMYFUNCTION("""COMPUTED_VALUE"""),"estersinaga768@gmail:com")</f>
        <v>estersinaga768@gmail:com</v>
      </c>
      <c r="B341" s="13" t="str">
        <f>IFERROR(__xludf.DUMMYFUNCTION("""COMPUTED_VALUE"""),"Hasil Pencacahan Lengkap Sensus Pertanian 2024 - Tahap I Kabupaten Dairi")</f>
        <v>Hasil Pencacahan Lengkap Sensus Pertanian 2024 - Tahap I Kabupaten Dairi</v>
      </c>
      <c r="C341" s="13" t="str">
        <f>IFERROR(__xludf.DUMMYFUNCTION("""COMPUTED_VALUE"""),"Publikasi")</f>
        <v>Publikasi</v>
      </c>
      <c r="E341" s="19" t="s">
        <v>1248</v>
      </c>
      <c r="F341" s="20" t="str">
        <f>IFERROR(__xludf.DUMMYFUNCTION("JOIN(""
"",FILTER($B341:$B1300,$A341:$A1300=E341))"),"Kabupaten Dairi Dalam Angka 2024")</f>
        <v>Kabupaten Dairi Dalam Angka 2024</v>
      </c>
    </row>
    <row r="342">
      <c r="A342" s="13" t="str">
        <f>IFERROR(__xludf.DUMMYFUNCTION("""COMPUTED_VALUE"""),"estersinaga768@gmail:com")</f>
        <v>estersinaga768@gmail:com</v>
      </c>
      <c r="B342" s="13" t="str">
        <f>IFERROR(__xludf.DUMMYFUNCTION("""COMPUTED_VALUE"""),"Indikator Kesejahteraan Rakyat Kabupaten Dairi Tahun 2024")</f>
        <v>Indikator Kesejahteraan Rakyat Kabupaten Dairi Tahun 2024</v>
      </c>
      <c r="C342" s="13" t="str">
        <f>IFERROR(__xludf.DUMMYFUNCTION("""COMPUTED_VALUE"""),"Publikasi")</f>
        <v>Publikasi</v>
      </c>
      <c r="E342" s="19" t="s">
        <v>1710</v>
      </c>
      <c r="F342" s="20" t="str">
        <f>IFERROR(__xludf.DUMMYFUNCTION("JOIN(""
"",FILTER($B342:$B1300,$A342:$A1300=E342))"),"Kecamatan Siempat Nempu Dalam Angka 2021")</f>
        <v>Kecamatan Siempat Nempu Dalam Angka 2021</v>
      </c>
    </row>
    <row r="343">
      <c r="A343" s="13" t="str">
        <f>IFERROR(__xludf.DUMMYFUNCTION("""COMPUTED_VALUE"""),"estersinaga768@gmail:com")</f>
        <v>estersinaga768@gmail:com</v>
      </c>
      <c r="B343" s="13" t="str">
        <f>IFERROR(__xludf.DUMMYFUNCTION("""COMPUTED_VALUE"""),"Statistik Kesejahteraan Rakyat Kabupaten Dairi 2024")</f>
        <v>Statistik Kesejahteraan Rakyat Kabupaten Dairi 2024</v>
      </c>
      <c r="C343" s="13" t="str">
        <f>IFERROR(__xludf.DUMMYFUNCTION("""COMPUTED_VALUE"""),"Publikasi")</f>
        <v>Publikasi</v>
      </c>
      <c r="E343" s="19" t="s">
        <v>1133</v>
      </c>
      <c r="F343" s="20" t="str">
        <f>IFERROR(__xludf.DUMMYFUNCTION("JOIN(""
"",FILTER($B343:$B1300,$A343:$A1300=E343))"),"Analisis Hasil Survei Kebutuhan Data BPS Kabupaten Dairi 2024
Booklet Hasil Long Form Sensus Penduduk 2020 Kabupaten Dairi
Buklet Hasil Pencacahan Lengkap Sensus Pertanian 2024 - Tahap I Kabupaten Dairi
Direktori Perusahaan Konstruksi Kabupaten Dairi 2022"&amp;"
Hasil Pencacahan Lengkap Sensus Pertanian 2024 - Tahap I Kabupaten Dairi
Indeks Pembangunan Manusia Kabupaten Dairi 2022
Indeks Pembangunan Manusia Kabupaten Dairi 2024
Indikator Kesejahteraan Rakyat Kabupaten Dairi Tahun 2022
Indikator Kesejahteraan Rak"&amp;"yat Kabupaten Dairi Tahun 2024
Kabupaten Dairi Dalam Angka 2024
Kecamatan Sumbul Dalam Angka 2024
Produk Domestik Regional Bruto Kabupaten Dairi Menurut Lapangan Usaha 2018 - 2022
Produk Domestik Regional Bruto Kabupaten Dairi Menurut Pengeluaran 2018 - 2"&amp;"022
Profil Kependudukan dan Ketenagakerjaan Kabupaten Dairi 2022
Statistik Daerah Kabupaten Dairi 2024
Statistik Hortikultura Kabupaten Dairi Tahun 2022
Statistik Kesejahteraan Rakyat Kabupaten Dairi 2024
Statistik Tanaman Pangan (Padi dan Palawija) Kabup"&amp;"aten Dairi 2022
Tingkat Penghunian Kamar Akomodasi Dairi 2022")</f>
        <v>Analisis Hasil Survei Kebutuhan Data BPS Kabupaten Dairi 2024
Booklet Hasil Long Form Sensus Penduduk 2020 Kabupaten Dairi
Buklet Hasil Pencacahan Lengkap Sensus Pertanian 2024 - Tahap I Kabupaten Dairi
Direktori Perusahaan Konstruksi Kabupaten Dairi 2022
Hasil Pencacahan Lengkap Sensus Pertanian 2024 - Tahap I Kabupaten Dairi
Indeks Pembangunan Manusia Kabupaten Dairi 2022
Indeks Pembangunan Manusia Kabupaten Dairi 2024
Indikator Kesejahteraan Rakyat Kabupaten Dairi Tahun 2022
Indikator Kesejahteraan Rakyat Kabupaten Dairi Tahun 2024
Kabupaten Dairi Dalam Angka 2024
Kecamatan Sumbul Dalam Angka 2024
Produk Domestik Regional Bruto Kabupaten Dairi Menurut Lapangan Usaha 2018 - 2022
Produk Domestik Regional Bruto Kabupaten Dairi Menurut Pengeluaran 2018 - 2022
Profil Kependudukan dan Ketenagakerjaan Kabupaten Dairi 2022
Statistik Daerah Kabupaten Dairi 2024
Statistik Hortikultura Kabupaten Dairi Tahun 2022
Statistik Kesejahteraan Rakyat Kabupaten Dairi 2024
Statistik Tanaman Pangan (Padi dan Palawija) Kabupaten Dairi 2022
Tingkat Penghunian Kamar Akomodasi Dairi 2022</v>
      </c>
    </row>
    <row r="344">
      <c r="A344" s="13" t="str">
        <f>IFERROR(__xludf.DUMMYFUNCTION("""COMPUTED_VALUE"""),"evelinngln123@gmail:com")</f>
        <v>evelinngln123@gmail:com</v>
      </c>
      <c r="B344" s="13" t="str">
        <f>IFERROR(__xludf.DUMMYFUNCTION("""COMPUTED_VALUE"""),"Hasil Pencacahan Lengkap Sensus Pertanian 2024 - Tahap I Kabupaten Dairi")</f>
        <v>Hasil Pencacahan Lengkap Sensus Pertanian 2024 - Tahap I Kabupaten Dairi</v>
      </c>
      <c r="C344" s="13" t="str">
        <f>IFERROR(__xludf.DUMMYFUNCTION("""COMPUTED_VALUE"""),"Publikasi")</f>
        <v>Publikasi</v>
      </c>
      <c r="E344" s="19" t="s">
        <v>1244</v>
      </c>
      <c r="F344" s="20" t="str">
        <f>IFERROR(__xludf.DUMMYFUNCTION("JOIN(""
"",FILTER($B344:$B1300,$A344:$A1300=E344))"),"Kabupaten Dairi Dalam Angka 2022")</f>
        <v>Kabupaten Dairi Dalam Angka 2022</v>
      </c>
    </row>
    <row r="345">
      <c r="A345" s="13" t="str">
        <f>IFERROR(__xludf.DUMMYFUNCTION("""COMPUTED_VALUE"""),"evelyshatumanggor@gmail:com")</f>
        <v>evelyshatumanggor@gmail:com</v>
      </c>
      <c r="B345" s="13" t="str">
        <f>IFERROR(__xludf.DUMMYFUNCTION("""COMPUTED_VALUE"""),"Indikator Kesejahteraan Rakyat Kabupaten Dairi Tahun 2024")</f>
        <v>Indikator Kesejahteraan Rakyat Kabupaten Dairi Tahun 2024</v>
      </c>
      <c r="C345" s="13" t="str">
        <f>IFERROR(__xludf.DUMMYFUNCTION("""COMPUTED_VALUE"""),"Publikasi")</f>
        <v>Publikasi</v>
      </c>
      <c r="E345" s="19" t="s">
        <v>1756</v>
      </c>
      <c r="F345" s="20" t="str">
        <f>IFERROR(__xludf.DUMMYFUNCTION("JOIN(""
"",FILTER($B345:$B1300,$A345:$A1300=E345))"),"Kabupaten Dairi Dalam Angka 2021")</f>
        <v>Kabupaten Dairi Dalam Angka 2021</v>
      </c>
    </row>
    <row r="346">
      <c r="A346" s="13" t="str">
        <f>IFERROR(__xludf.DUMMYFUNCTION("""COMPUTED_VALUE"""),"faizakhrns@gmail:com")</f>
        <v>faizakhrns@gmail:com</v>
      </c>
      <c r="B346" s="13" t="str">
        <f>IFERROR(__xludf.DUMMYFUNCTION("""COMPUTED_VALUE"""),"Kabupaten Dairi Dalam Angka 2020")</f>
        <v>Kabupaten Dairi Dalam Angka 2020</v>
      </c>
      <c r="C346" s="13" t="str">
        <f>IFERROR(__xludf.DUMMYFUNCTION("""COMPUTED_VALUE"""),"Publikasi")</f>
        <v>Publikasi</v>
      </c>
      <c r="E346" s="19" t="s">
        <v>1659</v>
      </c>
      <c r="F346" s="20" t="str">
        <f>IFERROR(__xludf.DUMMYFUNCTION("JOIN(""
"",FILTER($B346:$B1300,$A346:$A1300=E346))"),"Direktori Perusahaan Konstruksi Tahun 2021")</f>
        <v>Direktori Perusahaan Konstruksi Tahun 2021</v>
      </c>
    </row>
    <row r="347">
      <c r="A347" s="13" t="str">
        <f>IFERROR(__xludf.DUMMYFUNCTION("""COMPUTED_VALUE"""),"faizakhrns@gmail:com")</f>
        <v>faizakhrns@gmail:com</v>
      </c>
      <c r="B347" s="13" t="str">
        <f>IFERROR(__xludf.DUMMYFUNCTION("""COMPUTED_VALUE"""),"Produk Domestik Regional Bruto Kabupaten Dairi Menurut Lapangan Usaha 2018 - 2022")</f>
        <v>Produk Domestik Regional Bruto Kabupaten Dairi Menurut Lapangan Usaha 2018 - 2022</v>
      </c>
      <c r="C347" s="13" t="str">
        <f>IFERROR(__xludf.DUMMYFUNCTION("""COMPUTED_VALUE"""),"Publikasi")</f>
        <v>Publikasi</v>
      </c>
      <c r="E347" s="19" t="s">
        <v>1156</v>
      </c>
      <c r="F347" s="20" t="str">
        <f>IFERROR(__xludf.DUMMYFUNCTION("JOIN(""
"",FILTER($B347:$B1300,$A347:$A1300=E347))"),"Kabupaten Dairi Dalam Angka 2024")</f>
        <v>Kabupaten Dairi Dalam Angka 2024</v>
      </c>
    </row>
    <row r="348">
      <c r="A348" s="13" t="str">
        <f>IFERROR(__xludf.DUMMYFUNCTION("""COMPUTED_VALUE"""),"faridawatipardede5@gmail:com")</f>
        <v>faridawatipardede5@gmail:com</v>
      </c>
      <c r="B348" s="13" t="str">
        <f>IFERROR(__xludf.DUMMYFUNCTION("""COMPUTED_VALUE"""),"Statistik Daerah Kabupaten Dairi 2021")</f>
        <v>Statistik Daerah Kabupaten Dairi 2021</v>
      </c>
      <c r="C348" s="13" t="str">
        <f>IFERROR(__xludf.DUMMYFUNCTION("""COMPUTED_VALUE"""),"Publikasi")</f>
        <v>Publikasi</v>
      </c>
      <c r="E348" s="19" t="s">
        <v>1573</v>
      </c>
      <c r="F348" s="20" t="str">
        <f>IFERROR(__xludf.DUMMYFUNCTION("JOIN(""
"",FILTER($B348:$B1300,$A348:$A1300=E348))"),"Kecamatan Berampu Dalam Angka 2022
Kecamatan Gunung Sitember Dalam Angka 2022
Kecamatan Lae Parira Dalam Angka 2022
Kecamatan Parbuluan Dalam Angka 2022
Kecamatan Pegagan Hilir Dalam Angka 2022
Kecamatan Sidikalang Dalam Angka 2022
Kecamatan Siempat Nempu"&amp;" Dalam Angka 2022
Kecamatan Siempat Nempu Hilir Dalam Angka 2022
Kecamatan Siempat Nempu Hulu Dalam Angka 2022
Kecamatan Silahisabungan Dalam Angka 2022
Kecamatan Silima Pungga-Pungga Dalam Angka 2022
Kecamatan Sitinjo Dalam Angka 2022
Kecamatan Sumbul Da"&amp;"lam Angka 2022
Kecamatan Tanah Pinem Dalam Angka 2022
Kecamatan Tiga Lingga Dalam Angka 2022")</f>
        <v>Kecamatan Berampu Dalam Angka 2022
Kecamatan Gunung Sitember Dalam Angka 2022
Kecamatan Lae Parira Dalam Angka 2022
Kecamatan Parbuluan Dalam Angka 2022
Kecamatan Pegagan Hilir Dalam Angka 2022
Kecamatan Sidikalang Dalam Angka 2022
Kecamatan Siempat Nempu Dalam Angka 2022
Kecamatan Siempat Nempu Hilir Dalam Angka 2022
Kecamatan Siempat Nempu Hulu Dalam Angka 2022
Kecamatan Silahisabungan Dalam Angka 2022
Kecamatan Silima Pungga-Pungga Dalam Angka 2022
Kecamatan Sitinjo Dalam Angka 2022
Kecamatan Sumbul Dalam Angka 2022
Kecamatan Tanah Pinem Dalam Angka 2022
Kecamatan Tiga Lingga Dalam Angka 2022</v>
      </c>
    </row>
    <row r="349">
      <c r="A349" s="13" t="str">
        <f>IFERROR(__xludf.DUMMYFUNCTION("""COMPUTED_VALUE"""),"fathimah571@gmail:com")</f>
        <v>fathimah571@gmail:com</v>
      </c>
      <c r="B349" s="13" t="str">
        <f>IFERROR(__xludf.DUMMYFUNCTION("""COMPUTED_VALUE"""),"Hasil Pencacahan Lengkap Sensus Pertanian 2024 - Tahap I Kabupaten Dairi")</f>
        <v>Hasil Pencacahan Lengkap Sensus Pertanian 2024 - Tahap I Kabupaten Dairi</v>
      </c>
      <c r="C349" s="13" t="str">
        <f>IFERROR(__xludf.DUMMYFUNCTION("""COMPUTED_VALUE"""),"Publikasi")</f>
        <v>Publikasi</v>
      </c>
      <c r="E349" s="19" t="s">
        <v>1254</v>
      </c>
      <c r="F349" s="20" t="str">
        <f>IFERROR(__xludf.DUMMYFUNCTION("JOIN(""
"",FILTER($B349:$B1300,$A349:$A1300=E349))"),"Kecamatan Sidikalang Dalam Angka 2024
Kecamatan Silahisabungan Dalam Angka 2024
Kecamatan Sitinjo Dalam Angka 2024
Kecamatan Sumbul Dalam Angka 2024
Kecamatan Tiga Lingga Dalam Angka 2024")</f>
        <v>Kecamatan Sidikalang Dalam Angka 2024
Kecamatan Silahisabungan Dalam Angka 2024
Kecamatan Sitinjo Dalam Angka 2024
Kecamatan Sumbul Dalam Angka 2024
Kecamatan Tiga Lingga Dalam Angka 2024</v>
      </c>
    </row>
    <row r="350">
      <c r="A350" s="13" t="str">
        <f>IFERROR(__xludf.DUMMYFUNCTION("""COMPUTED_VALUE"""),"faturohman:taufik18@gmail:com")</f>
        <v>faturohman:taufik18@gmail:com</v>
      </c>
      <c r="B350" s="13" t="str">
        <f>IFERROR(__xludf.DUMMYFUNCTION("""COMPUTED_VALUE"""),"Kabupaten Dairi Dalam Angka 2022")</f>
        <v>Kabupaten Dairi Dalam Angka 2022</v>
      </c>
      <c r="C350" s="13" t="str">
        <f>IFERROR(__xludf.DUMMYFUNCTION("""COMPUTED_VALUE"""),"Publikasi")</f>
        <v>Publikasi</v>
      </c>
      <c r="E350" s="19" t="s">
        <v>1593</v>
      </c>
      <c r="F350" s="20" t="str">
        <f>IFERROR(__xludf.DUMMYFUNCTION("JOIN(""
"",FILTER($B350:$B1300,$A350:$A1300=E350))"),"Kabupaten Dairi Dalam Angka 2022")</f>
        <v>Kabupaten Dairi Dalam Angka 2022</v>
      </c>
    </row>
    <row r="351">
      <c r="A351" s="13" t="str">
        <f>IFERROR(__xludf.DUMMYFUNCTION("""COMPUTED_VALUE"""),"faucouldnahampun@gmail:com")</f>
        <v>faucouldnahampun@gmail:com</v>
      </c>
      <c r="B351" s="13" t="str">
        <f>IFERROR(__xludf.DUMMYFUNCTION("""COMPUTED_VALUE"""),"Kabupaten Dairi Dalam Angka 2024")</f>
        <v>Kabupaten Dairi Dalam Angka 2024</v>
      </c>
      <c r="C351" s="13" t="str">
        <f>IFERROR(__xludf.DUMMYFUNCTION("""COMPUTED_VALUE"""),"Publikasi")</f>
        <v>Publikasi</v>
      </c>
      <c r="E351" s="19" t="s">
        <v>1752</v>
      </c>
      <c r="F351" s="20" t="str">
        <f>IFERROR(__xludf.DUMMYFUNCTION("JOIN(""
"",FILTER($B351:$B1300,$A351:$A1300=E351))"),"Analisis Hasil Survei Kebutuhan Data BPS Kabupaten Dairi 2021
Kecamatan Silahisabungan Dalam Angka 2020
Kecamatan Silahisabungan Dalam Angka 2021
Kecamatan Tanah Pinem Dalam Angka 2020
Kecamatan Tanah Pinem Dalam Angka 2021
Statistik Daerah Kabupaten Dair"&amp;"i 2021
Statistik Tanaman Pangan (Padi dan Palawija) Kabupaten Dairi 2020")</f>
        <v>Analisis Hasil Survei Kebutuhan Data BPS Kabupaten Dairi 2021
Kecamatan Silahisabungan Dalam Angka 2020
Kecamatan Silahisabungan Dalam Angka 2021
Kecamatan Tanah Pinem Dalam Angka 2020
Kecamatan Tanah Pinem Dalam Angka 2021
Statistik Daerah Kabupaten Dairi 2021
Statistik Tanaman Pangan (Padi dan Palawija) Kabupaten Dairi 2020</v>
      </c>
    </row>
    <row r="352">
      <c r="A352" s="13" t="str">
        <f>IFERROR(__xludf.DUMMYFUNCTION("""COMPUTED_VALUE"""),"faucouldnahampun@gmail:com")</f>
        <v>faucouldnahampun@gmail:com</v>
      </c>
      <c r="B352" s="13" t="str">
        <f>IFERROR(__xludf.DUMMYFUNCTION("""COMPUTED_VALUE"""),"Kecamatan Sidikalang Dalam Angka 2020")</f>
        <v>Kecamatan Sidikalang Dalam Angka 2020</v>
      </c>
      <c r="C352" s="13" t="str">
        <f>IFERROR(__xludf.DUMMYFUNCTION("""COMPUTED_VALUE"""),"Publikasi")</f>
        <v>Publikasi</v>
      </c>
      <c r="E352" s="19" t="s">
        <v>1551</v>
      </c>
      <c r="F352" s="20" t="str">
        <f>IFERROR(__xludf.DUMMYFUNCTION("JOIN(""
"",FILTER($B352:$B1300,$A352:$A1300=E352))"),"Kabupaten Dairi Dalam Angka 2018
Kabupaten Dairi Dalam Angka 2019
Kecamatan Sumbul Dalam Angka 2016
Kecamatan Sumbul Dalam Angka 2017
Kecamatan Sumbul Dalam Angka 2018
Kecamatan Sumbul Dalam Angka 2019
Kecamatan Sumbul Dalam Angka 2020
Kecamatan Sumbul Da"&amp;"lam Angka 2021
Kecamatan Sumbul Dalam Angka 2022
Statistik Hortikultura Kabupaten Dairi Tahun 2021
Sumbul Dalam Angka 2015")</f>
        <v>Kabupaten Dairi Dalam Angka 2018
Kabupaten Dairi Dalam Angka 2019
Kecamatan Sumbul Dalam Angka 2016
Kecamatan Sumbul Dalam Angka 2017
Kecamatan Sumbul Dalam Angka 2018
Kecamatan Sumbul Dalam Angka 2019
Kecamatan Sumbul Dalam Angka 2020
Kecamatan Sumbul Dalam Angka 2021
Kecamatan Sumbul Dalam Angka 2022
Statistik Hortikultura Kabupaten Dairi Tahun 2021
Sumbul Dalam Angka 2015</v>
      </c>
    </row>
    <row r="353">
      <c r="A353" s="13" t="str">
        <f>IFERROR(__xludf.DUMMYFUNCTION("""COMPUTED_VALUE"""),"faucouldnahampun@gmail:com")</f>
        <v>faucouldnahampun@gmail:com</v>
      </c>
      <c r="B353" s="13" t="str">
        <f>IFERROR(__xludf.DUMMYFUNCTION("""COMPUTED_VALUE"""),"Kecamatan Sidikalang Dalam Angka 2021")</f>
        <v>Kecamatan Sidikalang Dalam Angka 2021</v>
      </c>
      <c r="C353" s="13" t="str">
        <f>IFERROR(__xludf.DUMMYFUNCTION("""COMPUTED_VALUE"""),"Publikasi")</f>
        <v>Publikasi</v>
      </c>
      <c r="E353" s="19" t="s">
        <v>1358</v>
      </c>
      <c r="F353" s="20" t="str">
        <f>IFERROR(__xludf.DUMMYFUNCTION("JOIN(""
"",FILTER($B353:$B1300,$A353:$A1300=E353))"),"Kabupaten Dairi Dalam Angka 2024
Kecamatan Siempat Nempu Dalam Angka 2024
Kecamatan Silahisabungan Dalam Angka 2021")</f>
        <v>Kabupaten Dairi Dalam Angka 2024
Kecamatan Siempat Nempu Dalam Angka 2024
Kecamatan Silahisabungan Dalam Angka 2021</v>
      </c>
    </row>
    <row r="354">
      <c r="A354" s="13" t="str">
        <f>IFERROR(__xludf.DUMMYFUNCTION("""COMPUTED_VALUE"""),"faucouldnahampun@gmail:com")</f>
        <v>faucouldnahampun@gmail:com</v>
      </c>
      <c r="B354" s="13" t="str">
        <f>IFERROR(__xludf.DUMMYFUNCTION("""COMPUTED_VALUE"""),"Kecamatan Sidikalang Dalam Angka 2022")</f>
        <v>Kecamatan Sidikalang Dalam Angka 2022</v>
      </c>
      <c r="C354" s="13" t="str">
        <f>IFERROR(__xludf.DUMMYFUNCTION("""COMPUTED_VALUE"""),"Publikasi")</f>
        <v>Publikasi</v>
      </c>
      <c r="E354" s="19" t="s">
        <v>112</v>
      </c>
      <c r="F354" s="20" t="str">
        <f>IFERROR(__xludf.DUMMYFUNCTION("JOIN(""
"",FILTER($B354:$B1300,$A354:$A1300=E354))"),"Hasil Pencacahan Lengkap Sensus Pertanian 2024 - Tahap I Kabupaten Dairi
Indikator Kesejahteraan Rakyat Kabupaten Dairi Tahun 2024
Statistik Kesejahteraan Rakyat Kabupaten Dairi 2024")</f>
        <v>Hasil Pencacahan Lengkap Sensus Pertanian 2024 - Tahap I Kabupaten Dairi
Indikator Kesejahteraan Rakyat Kabupaten Dairi Tahun 2024
Statistik Kesejahteraan Rakyat Kabupaten Dairi 2024</v>
      </c>
    </row>
    <row r="355">
      <c r="A355" s="13" t="str">
        <f>IFERROR(__xludf.DUMMYFUNCTION("""COMPUTED_VALUE"""),"fauzifahriyan@gmail:com")</f>
        <v>fauzifahriyan@gmail:com</v>
      </c>
      <c r="B355" s="13" t="str">
        <f>IFERROR(__xludf.DUMMYFUNCTION("""COMPUTED_VALUE"""),"Kabupaten Dairi Dalam Angka 2024")</f>
        <v>Kabupaten Dairi Dalam Angka 2024</v>
      </c>
      <c r="C355" s="13" t="str">
        <f>IFERROR(__xludf.DUMMYFUNCTION("""COMPUTED_VALUE"""),"Publikasi")</f>
        <v>Publikasi</v>
      </c>
      <c r="E355" s="19" t="s">
        <v>1439</v>
      </c>
      <c r="F355" s="20" t="str">
        <f>IFERROR(__xludf.DUMMYFUNCTION("JOIN(""
"",FILTER($B355:$B1300,$A355:$A1300=E355))"),"Kabupaten Dairi Dalam Angka 2024")</f>
        <v>Kabupaten Dairi Dalam Angka 2024</v>
      </c>
    </row>
    <row r="356">
      <c r="A356" s="13" t="str">
        <f>IFERROR(__xludf.DUMMYFUNCTION("""COMPUTED_VALUE"""),"febiolapardede13@gmail:com")</f>
        <v>febiolapardede13@gmail:com</v>
      </c>
      <c r="B356" s="13" t="str">
        <f>IFERROR(__xludf.DUMMYFUNCTION("""COMPUTED_VALUE"""),"Kabupaten Dairi Dalam Angka 2022")</f>
        <v>Kabupaten Dairi Dalam Angka 2022</v>
      </c>
      <c r="C356" s="13" t="str">
        <f>IFERROR(__xludf.DUMMYFUNCTION("""COMPUTED_VALUE"""),"Publikasi")</f>
        <v>Publikasi</v>
      </c>
      <c r="E356" s="19" t="s">
        <v>1460</v>
      </c>
      <c r="F356" s="20" t="str">
        <f>IFERROR(__xludf.DUMMYFUNCTION("JOIN(""
"",FILTER($B356:$B1300,$A356:$A1300=E356))"),"Kecamatan Berampu Dalam Angka 2021")</f>
        <v>Kecamatan Berampu Dalam Angka 2021</v>
      </c>
    </row>
    <row r="357">
      <c r="A357" s="13" t="str">
        <f>IFERROR(__xludf.DUMMYFUNCTION("""COMPUTED_VALUE"""),"felixthaginting@gmail:com")</f>
        <v>felixthaginting@gmail:com</v>
      </c>
      <c r="B357" s="13" t="str">
        <f>IFERROR(__xludf.DUMMYFUNCTION("""COMPUTED_VALUE"""),"Kecamatan Berampu Dalam Angka 2022")</f>
        <v>Kecamatan Berampu Dalam Angka 2022</v>
      </c>
      <c r="C357" s="13" t="str">
        <f>IFERROR(__xludf.DUMMYFUNCTION("""COMPUTED_VALUE"""),"Publikasi")</f>
        <v>Publikasi</v>
      </c>
      <c r="E357" s="19" t="s">
        <v>1385</v>
      </c>
      <c r="F357" s="20" t="str">
        <f>IFERROR(__xludf.DUMMYFUNCTION("JOIN(""
"",FILTER($B357:$B1300,$A357:$A1300=E357))"),"Kecamatan Parbuluan Dalam Angka 2024
Kecamatan Silahisabungan Dalam Angka 2024
Kecamatan Sumbul Dalam Angka 2024")</f>
        <v>Kecamatan Parbuluan Dalam Angka 2024
Kecamatan Silahisabungan Dalam Angka 2024
Kecamatan Sumbul Dalam Angka 2024</v>
      </c>
    </row>
    <row r="358">
      <c r="A358" s="13" t="str">
        <f>IFERROR(__xludf.DUMMYFUNCTION("""COMPUTED_VALUE"""),"felixthaginting@gmail:com")</f>
        <v>felixthaginting@gmail:com</v>
      </c>
      <c r="B358" s="13" t="str">
        <f>IFERROR(__xludf.DUMMYFUNCTION("""COMPUTED_VALUE"""),"Kecamatan Gunung Sitember Dalam Angka 2022")</f>
        <v>Kecamatan Gunung Sitember Dalam Angka 2022</v>
      </c>
      <c r="C358" s="13" t="str">
        <f>IFERROR(__xludf.DUMMYFUNCTION("""COMPUTED_VALUE"""),"Publikasi")</f>
        <v>Publikasi</v>
      </c>
      <c r="E358" s="19" t="s">
        <v>1202</v>
      </c>
      <c r="F358" s="20" t="str">
        <f>IFERROR(__xludf.DUMMYFUNCTION("JOIN(""
"",FILTER($B358:$B1300,$A358:$A1300=E358))"),"Kecamatan Tiga Lingga Dalam Angka 2024")</f>
        <v>Kecamatan Tiga Lingga Dalam Angka 2024</v>
      </c>
    </row>
    <row r="359">
      <c r="A359" s="13" t="str">
        <f>IFERROR(__xludf.DUMMYFUNCTION("""COMPUTED_VALUE"""),"felixthaginting@gmail:com")</f>
        <v>felixthaginting@gmail:com</v>
      </c>
      <c r="B359" s="13" t="str">
        <f>IFERROR(__xludf.DUMMYFUNCTION("""COMPUTED_VALUE"""),"Kecamatan Lae Parira Dalam Angka 2022")</f>
        <v>Kecamatan Lae Parira Dalam Angka 2022</v>
      </c>
      <c r="C359" s="13" t="str">
        <f>IFERROR(__xludf.DUMMYFUNCTION("""COMPUTED_VALUE"""),"Publikasi")</f>
        <v>Publikasi</v>
      </c>
      <c r="E359" s="19" t="s">
        <v>1649</v>
      </c>
      <c r="F359" s="20" t="str">
        <f>IFERROR(__xludf.DUMMYFUNCTION("JOIN(""
"",FILTER($B359:$B1300,$A359:$A1300=E359))"),"Kabupaten Dairi Dalam Angka 2022")</f>
        <v>Kabupaten Dairi Dalam Angka 2022</v>
      </c>
    </row>
    <row r="360">
      <c r="A360" s="13" t="str">
        <f>IFERROR(__xludf.DUMMYFUNCTION("""COMPUTED_VALUE"""),"felixthaginting@gmail:com")</f>
        <v>felixthaginting@gmail:com</v>
      </c>
      <c r="B360" s="13" t="str">
        <f>IFERROR(__xludf.DUMMYFUNCTION("""COMPUTED_VALUE"""),"Kecamatan Parbuluan Dalam Angka 2022")</f>
        <v>Kecamatan Parbuluan Dalam Angka 2022</v>
      </c>
      <c r="C360" s="13" t="str">
        <f>IFERROR(__xludf.DUMMYFUNCTION("""COMPUTED_VALUE"""),"Publikasi")</f>
        <v>Publikasi</v>
      </c>
      <c r="E360" s="19" t="s">
        <v>1448</v>
      </c>
      <c r="F360" s="20" t="str">
        <f>IFERROR(__xludf.DUMMYFUNCTION("JOIN(""
"",FILTER($B360:$B1300,$A360:$A1300=E360))"),"Kabupaten Dairi Dalam Angka 2020
Kabupaten Dairi Dalam Angka 2024
Statistik Kesejahteraan Rakyat Kabupaten Dairi 2022")</f>
        <v>Kabupaten Dairi Dalam Angka 2020
Kabupaten Dairi Dalam Angka 2024
Statistik Kesejahteraan Rakyat Kabupaten Dairi 2022</v>
      </c>
    </row>
    <row r="361">
      <c r="A361" s="13" t="str">
        <f>IFERROR(__xludf.DUMMYFUNCTION("""COMPUTED_VALUE"""),"felixthaginting@gmail:com")</f>
        <v>felixthaginting@gmail:com</v>
      </c>
      <c r="B361" s="13" t="str">
        <f>IFERROR(__xludf.DUMMYFUNCTION("""COMPUTED_VALUE"""),"Kecamatan Pegagan Hilir Dalam Angka 2022")</f>
        <v>Kecamatan Pegagan Hilir Dalam Angka 2022</v>
      </c>
      <c r="C361" s="13" t="str">
        <f>IFERROR(__xludf.DUMMYFUNCTION("""COMPUTED_VALUE"""),"Publikasi")</f>
        <v>Publikasi</v>
      </c>
      <c r="E361" s="19" t="s">
        <v>1497</v>
      </c>
      <c r="F361" s="20" t="str">
        <f>IFERROR(__xludf.DUMMYFUNCTION("JOIN(""
"",FILTER($B361:$B1300,$A361:$A1300=E361))"),"Buklet Hasil Pencacahan Lengkap Sensus Pertanian 2024 - Tahap I Kabupaten Dairi")</f>
        <v>Buklet Hasil Pencacahan Lengkap Sensus Pertanian 2024 - Tahap I Kabupaten Dairi</v>
      </c>
    </row>
    <row r="362">
      <c r="A362" s="13" t="str">
        <f>IFERROR(__xludf.DUMMYFUNCTION("""COMPUTED_VALUE"""),"felixthaginting@gmail:com")</f>
        <v>felixthaginting@gmail:com</v>
      </c>
      <c r="B362" s="13" t="str">
        <f>IFERROR(__xludf.DUMMYFUNCTION("""COMPUTED_VALUE"""),"Kecamatan Sidikalang Dalam Angka 2022")</f>
        <v>Kecamatan Sidikalang Dalam Angka 2022</v>
      </c>
      <c r="C362" s="13" t="str">
        <f>IFERROR(__xludf.DUMMYFUNCTION("""COMPUTED_VALUE"""),"Publikasi")</f>
        <v>Publikasi</v>
      </c>
      <c r="E362" s="19" t="s">
        <v>1689</v>
      </c>
      <c r="F362" s="20" t="str">
        <f>IFERROR(__xludf.DUMMYFUNCTION("JOIN(""
"",FILTER($B362:$B1300,$A362:$A1300=E362))"),"Analisis Survei Kebutuhan Data Kabupaten Dairi 2022")</f>
        <v>Analisis Survei Kebutuhan Data Kabupaten Dairi 2022</v>
      </c>
    </row>
    <row r="363">
      <c r="A363" s="13" t="str">
        <f>IFERROR(__xludf.DUMMYFUNCTION("""COMPUTED_VALUE"""),"felixthaginting@gmail:com")</f>
        <v>felixthaginting@gmail:com</v>
      </c>
      <c r="B363" s="13" t="str">
        <f>IFERROR(__xludf.DUMMYFUNCTION("""COMPUTED_VALUE"""),"Kecamatan Siempat Nempu Dalam Angka 2022")</f>
        <v>Kecamatan Siempat Nempu Dalam Angka 2022</v>
      </c>
      <c r="C363" s="13" t="str">
        <f>IFERROR(__xludf.DUMMYFUNCTION("""COMPUTED_VALUE"""),"Publikasi")</f>
        <v>Publikasi</v>
      </c>
      <c r="E363" s="19" t="s">
        <v>1483</v>
      </c>
      <c r="F363" s="20" t="str">
        <f>IFERROR(__xludf.DUMMYFUNCTION("JOIN(""
"",FILTER($B363:$B1300,$A363:$A1300=E363))"),"Kecamatan Parbuluan Dalam Angka 2020")</f>
        <v>Kecamatan Parbuluan Dalam Angka 2020</v>
      </c>
    </row>
    <row r="364">
      <c r="A364" s="13" t="str">
        <f>IFERROR(__xludf.DUMMYFUNCTION("""COMPUTED_VALUE"""),"felixthaginting@gmail:com")</f>
        <v>felixthaginting@gmail:com</v>
      </c>
      <c r="B364" s="13" t="str">
        <f>IFERROR(__xludf.DUMMYFUNCTION("""COMPUTED_VALUE"""),"Kecamatan Siempat Nempu Hilir Dalam Angka 2022")</f>
        <v>Kecamatan Siempat Nempu Hilir Dalam Angka 2022</v>
      </c>
      <c r="C364" s="13" t="str">
        <f>IFERROR(__xludf.DUMMYFUNCTION("""COMPUTED_VALUE"""),"Publikasi")</f>
        <v>Publikasi</v>
      </c>
      <c r="E364" s="19" t="s">
        <v>1696</v>
      </c>
      <c r="F364" s="20" t="str">
        <f>IFERROR(__xludf.DUMMYFUNCTION("JOIN(""
"",FILTER($B364:$B1300,$A364:$A1300=E364))"),"Kecamatan Berampu Dalam Angka 2022")</f>
        <v>Kecamatan Berampu Dalam Angka 2022</v>
      </c>
    </row>
    <row r="365">
      <c r="A365" s="13" t="str">
        <f>IFERROR(__xludf.DUMMYFUNCTION("""COMPUTED_VALUE"""),"felixthaginting@gmail:com")</f>
        <v>felixthaginting@gmail:com</v>
      </c>
      <c r="B365" s="13" t="str">
        <f>IFERROR(__xludf.DUMMYFUNCTION("""COMPUTED_VALUE"""),"Kecamatan Siempat Nempu Hulu Dalam Angka 2022")</f>
        <v>Kecamatan Siempat Nempu Hulu Dalam Angka 2022</v>
      </c>
      <c r="C365" s="13" t="str">
        <f>IFERROR(__xludf.DUMMYFUNCTION("""COMPUTED_VALUE"""),"Publikasi")</f>
        <v>Publikasi</v>
      </c>
      <c r="E365" s="19" t="s">
        <v>1103</v>
      </c>
      <c r="F365" s="20" t="str">
        <f>IFERROR(__xludf.DUMMYFUNCTION("JOIN(""
"",FILTER($B365:$B1300,$A365:$A1300=E365))"),"Buklet Hasil Pencacahan Lengkap Sensus Pertanian 2024 - Tahap I Kabupaten Dairi
Indikator Kesejahteraan Rakyat Kabupaten Dairi Tahun 2024
Kabupaten Dairi Dalam Angka 2024
Statistik Kesejahteraan Rakyat Kabupaten Dairi 2024")</f>
        <v>Buklet Hasil Pencacahan Lengkap Sensus Pertanian 2024 - Tahap I Kabupaten Dairi
Indikator Kesejahteraan Rakyat Kabupaten Dairi Tahun 2024
Kabupaten Dairi Dalam Angka 2024
Statistik Kesejahteraan Rakyat Kabupaten Dairi 2024</v>
      </c>
    </row>
    <row r="366">
      <c r="A366" s="13" t="str">
        <f>IFERROR(__xludf.DUMMYFUNCTION("""COMPUTED_VALUE"""),"felixthaginting@gmail:com")</f>
        <v>felixthaginting@gmail:com</v>
      </c>
      <c r="B366" s="13" t="str">
        <f>IFERROR(__xludf.DUMMYFUNCTION("""COMPUTED_VALUE"""),"Kecamatan Silahisabungan Dalam Angka 2022")</f>
        <v>Kecamatan Silahisabungan Dalam Angka 2022</v>
      </c>
      <c r="C366" s="13" t="str">
        <f>IFERROR(__xludf.DUMMYFUNCTION("""COMPUTED_VALUE"""),"Publikasi")</f>
        <v>Publikasi</v>
      </c>
      <c r="E366" s="19" t="s">
        <v>1324</v>
      </c>
      <c r="F366" s="20" t="str">
        <f>IFERROR(__xludf.DUMMYFUNCTION("JOIN(""
"",FILTER($B366:$B1300,$A366:$A1300=E366))"),"Buklet Hasil Pencacahan Lengkap Sensus Pertanian 2024 - Tahap I Kabupaten Dairi
Hasil Pencacahan Lengkap Sensus Pertanian 2024 - Tahap I Kabupaten Dairi
Indeks Pembangunan Manusia Kabupaten Dairi 2024
Produk Domestik Regional Bruto Kabupaten Dairi Menurut"&amp;" Lapangan Usaha 2018 - 2022
Statistik Tanaman Pangan (Padi dan Palawija) Kabupaten Dairi 2021")</f>
        <v>Buklet Hasil Pencacahan Lengkap Sensus Pertanian 2024 - Tahap I Kabupaten Dairi
Hasil Pencacahan Lengkap Sensus Pertanian 2024 - Tahap I Kabupaten Dairi
Indeks Pembangunan Manusia Kabupaten Dairi 2024
Produk Domestik Regional Bruto Kabupaten Dairi Menurut Lapangan Usaha 2018 - 2022
Statistik Tanaman Pangan (Padi dan Palawija) Kabupaten Dairi 2021</v>
      </c>
    </row>
    <row r="367">
      <c r="A367" s="13" t="str">
        <f>IFERROR(__xludf.DUMMYFUNCTION("""COMPUTED_VALUE"""),"felixthaginting@gmail:com")</f>
        <v>felixthaginting@gmail:com</v>
      </c>
      <c r="B367" s="13" t="str">
        <f>IFERROR(__xludf.DUMMYFUNCTION("""COMPUTED_VALUE"""),"Kecamatan Silima Pungga-Pungga Dalam Angka 2022")</f>
        <v>Kecamatan Silima Pungga-Pungga Dalam Angka 2022</v>
      </c>
      <c r="C367" s="13" t="str">
        <f>IFERROR(__xludf.DUMMYFUNCTION("""COMPUTED_VALUE"""),"Publikasi")</f>
        <v>Publikasi</v>
      </c>
      <c r="E367" s="19" t="s">
        <v>1400</v>
      </c>
      <c r="F367" s="20" t="str">
        <f>IFERROR(__xludf.DUMMYFUNCTION("JOIN(""
"",FILTER($B367:$B1300,$A367:$A1300=E367))"),"Hasil Pencacahan Lengkap Sensus Pertanian 2024 - Tahap I Kabupaten Dairi
Indikator Kesejahteraan Rakyat Kabupaten Dairi Tahun 2024
Statistik Kesejahteraan Rakyat Kabupaten Dairi 2024")</f>
        <v>Hasil Pencacahan Lengkap Sensus Pertanian 2024 - Tahap I Kabupaten Dairi
Indikator Kesejahteraan Rakyat Kabupaten Dairi Tahun 2024
Statistik Kesejahteraan Rakyat Kabupaten Dairi 2024</v>
      </c>
    </row>
    <row r="368">
      <c r="A368" s="13" t="str">
        <f>IFERROR(__xludf.DUMMYFUNCTION("""COMPUTED_VALUE"""),"felixthaginting@gmail:com")</f>
        <v>felixthaginting@gmail:com</v>
      </c>
      <c r="B368" s="13" t="str">
        <f>IFERROR(__xludf.DUMMYFUNCTION("""COMPUTED_VALUE"""),"Kecamatan Sitinjo Dalam Angka 2022")</f>
        <v>Kecamatan Sitinjo Dalam Angka 2022</v>
      </c>
      <c r="C368" s="13" t="str">
        <f>IFERROR(__xludf.DUMMYFUNCTION("""COMPUTED_VALUE"""),"Publikasi")</f>
        <v>Publikasi</v>
      </c>
      <c r="E368" s="19" t="s">
        <v>1550</v>
      </c>
      <c r="F368" s="20" t="str">
        <f>IFERROR(__xludf.DUMMYFUNCTION("JOIN(""
"",FILTER($B368:$B1300,$A368:$A1300=E368))"),"Kabupaten Dairi Dalam Angka 2020
Kabupaten Dairi Dalam Angka 2024")</f>
        <v>Kabupaten Dairi Dalam Angka 2020
Kabupaten Dairi Dalam Angka 2024</v>
      </c>
    </row>
    <row r="369">
      <c r="A369" s="13" t="str">
        <f>IFERROR(__xludf.DUMMYFUNCTION("""COMPUTED_VALUE"""),"felixthaginting@gmail:com")</f>
        <v>felixthaginting@gmail:com</v>
      </c>
      <c r="B369" s="13" t="str">
        <f>IFERROR(__xludf.DUMMYFUNCTION("""COMPUTED_VALUE"""),"Kecamatan Sumbul Dalam Angka 2022")</f>
        <v>Kecamatan Sumbul Dalam Angka 2022</v>
      </c>
      <c r="C369" s="13" t="str">
        <f>IFERROR(__xludf.DUMMYFUNCTION("""COMPUTED_VALUE"""),"Publikasi")</f>
        <v>Publikasi</v>
      </c>
      <c r="E369" s="19" t="s">
        <v>1410</v>
      </c>
      <c r="F369" s="20" t="str">
        <f>IFERROR(__xludf.DUMMYFUNCTION("JOIN(""
"",FILTER($B369:$B1300,$A369:$A1300=E369))"),"Kabupaten Dairi Dalam Angka 2021
Kecamatan Sitinjo Dalam Angka 2021")</f>
        <v>Kabupaten Dairi Dalam Angka 2021
Kecamatan Sitinjo Dalam Angka 2021</v>
      </c>
    </row>
    <row r="370">
      <c r="A370" s="13" t="str">
        <f>IFERROR(__xludf.DUMMYFUNCTION("""COMPUTED_VALUE"""),"felixthaginting@gmail:com")</f>
        <v>felixthaginting@gmail:com</v>
      </c>
      <c r="B370" s="13" t="str">
        <f>IFERROR(__xludf.DUMMYFUNCTION("""COMPUTED_VALUE"""),"Kecamatan Tanah Pinem Dalam Angka 2022")</f>
        <v>Kecamatan Tanah Pinem Dalam Angka 2022</v>
      </c>
      <c r="C370" s="13" t="str">
        <f>IFERROR(__xludf.DUMMYFUNCTION("""COMPUTED_VALUE"""),"Publikasi")</f>
        <v>Publikasi</v>
      </c>
      <c r="E370" s="19" t="s">
        <v>1715</v>
      </c>
      <c r="F370" s="20" t="str">
        <f>IFERROR(__xludf.DUMMYFUNCTION("JOIN(""
"",FILTER($B370:$B1300,$A370:$A1300=E370))"),"Kecamatan Silahisabungan Dalam Angka 2020")</f>
        <v>Kecamatan Silahisabungan Dalam Angka 2020</v>
      </c>
    </row>
    <row r="371">
      <c r="A371" s="13" t="str">
        <f>IFERROR(__xludf.DUMMYFUNCTION("""COMPUTED_VALUE"""),"felixthaginting@gmail:com")</f>
        <v>felixthaginting@gmail:com</v>
      </c>
      <c r="B371" s="13" t="str">
        <f>IFERROR(__xludf.DUMMYFUNCTION("""COMPUTED_VALUE"""),"Kecamatan Tigalingga Dalam Angka 2018")</f>
        <v>Kecamatan Tigalingga Dalam Angka 2018</v>
      </c>
      <c r="C371" s="13" t="str">
        <f>IFERROR(__xludf.DUMMYFUNCTION("""COMPUTED_VALUE"""),"Publikasi")</f>
        <v>Publikasi</v>
      </c>
      <c r="E371" s="19" t="s">
        <v>1562</v>
      </c>
      <c r="F371" s="20" t="str">
        <f>IFERROR(__xludf.DUMMYFUNCTION("JOIN(""
"",FILTER($B371:$B1300,$A371:$A1300=E371))"),"Statistik Daerah Kabupaten Dairi 2019")</f>
        <v>Statistik Daerah Kabupaten Dairi 2019</v>
      </c>
    </row>
    <row r="372">
      <c r="A372" s="13" t="str">
        <f>IFERROR(__xludf.DUMMYFUNCTION("""COMPUTED_VALUE"""),"fenisianturi363@gmail:com")</f>
        <v>fenisianturi363@gmail:com</v>
      </c>
      <c r="B372" s="13" t="str">
        <f>IFERROR(__xludf.DUMMYFUNCTION("""COMPUTED_VALUE"""),"Kecamatan Parbuluan Dalam Angka 2017")</f>
        <v>Kecamatan Parbuluan Dalam Angka 2017</v>
      </c>
      <c r="C372" s="13" t="str">
        <f>IFERROR(__xludf.DUMMYFUNCTION("""COMPUTED_VALUE"""),"Publikasi")</f>
        <v>Publikasi</v>
      </c>
      <c r="E372" s="19" t="s">
        <v>1569</v>
      </c>
      <c r="F372" s="20" t="str">
        <f>IFERROR(__xludf.DUMMYFUNCTION("JOIN(""
"",FILTER($B372:$B1300,$A372:$A1300=E372))"),"Kabupaten Dairi Dalam Angka 2022
Statistik Hortikultura Kabupaten Dairi Tahun 2021
Statistik Tanaman Pangan (Padi dan Palawija) Kabupaten Dairi 2021")</f>
        <v>Kabupaten Dairi Dalam Angka 2022
Statistik Hortikultura Kabupaten Dairi Tahun 2021
Statistik Tanaman Pangan (Padi dan Palawija) Kabupaten Dairi 2021</v>
      </c>
    </row>
    <row r="373">
      <c r="A373" s="13" t="str">
        <f>IFERROR(__xludf.DUMMYFUNCTION("""COMPUTED_VALUE"""),"fenisianturi363@gmail:com")</f>
        <v>fenisianturi363@gmail:com</v>
      </c>
      <c r="B373" s="13" t="str">
        <f>IFERROR(__xludf.DUMMYFUNCTION("""COMPUTED_VALUE"""),"Kecamatan Sidikalang Dalam Angka 2017")</f>
        <v>Kecamatan Sidikalang Dalam Angka 2017</v>
      </c>
      <c r="C373" s="13" t="str">
        <f>IFERROR(__xludf.DUMMYFUNCTION("""COMPUTED_VALUE"""),"Publikasi")</f>
        <v>Publikasi</v>
      </c>
      <c r="E373" s="19" t="s">
        <v>1553</v>
      </c>
      <c r="F373" s="20" t="str">
        <f>IFERROR(__xludf.DUMMYFUNCTION("JOIN(""
"",FILTER($B373:$B1300,$A373:$A1300=E373))"),"Kabupaten Dairi Dalam Angka 2020
Kabupaten Dairi Dalam Angka 2022
Statistik Padi dan Palawija Kabupaten Dairi 2015
Statistik Tanaman Pangan (Padi dan Palawija) Kabupaten Dairi 2020
Statistik Tanaman Pangan (Padi dan Palawija) Kabupaten Dairi 2021")</f>
        <v>Kabupaten Dairi Dalam Angka 2020
Kabupaten Dairi Dalam Angka 2022
Statistik Padi dan Palawija Kabupaten Dairi 2015
Statistik Tanaman Pangan (Padi dan Palawija) Kabupaten Dairi 2020
Statistik Tanaman Pangan (Padi dan Palawija) Kabupaten Dairi 2021</v>
      </c>
    </row>
    <row r="374">
      <c r="A374" s="13" t="str">
        <f>IFERROR(__xludf.DUMMYFUNCTION("""COMPUTED_VALUE"""),"fenisianturi363@gmail:com")</f>
        <v>fenisianturi363@gmail:com</v>
      </c>
      <c r="B374" s="13" t="str">
        <f>IFERROR(__xludf.DUMMYFUNCTION("""COMPUTED_VALUE"""),"Produk Domestik Regional Bruto Kabupaten Dairi Menurut Pengeluaran 2017 - 2021")</f>
        <v>Produk Domestik Regional Bruto Kabupaten Dairi Menurut Pengeluaran 2017 - 2021</v>
      </c>
      <c r="C374" s="13" t="str">
        <f>IFERROR(__xludf.DUMMYFUNCTION("""COMPUTED_VALUE"""),"Publikasi")</f>
        <v>Publikasi</v>
      </c>
      <c r="E374" s="19" t="s">
        <v>1748</v>
      </c>
      <c r="F374" s="20" t="str">
        <f>IFERROR(__xludf.DUMMYFUNCTION("JOIN(""
"",FILTER($B374:$B1300,$A374:$A1300=E374))"),"Kabupaten Dairi Dalam Angka 2022")</f>
        <v>Kabupaten Dairi Dalam Angka 2022</v>
      </c>
    </row>
    <row r="375">
      <c r="A375" s="13" t="str">
        <f>IFERROR(__xludf.DUMMYFUNCTION("""COMPUTED_VALUE"""),"ferlan:kakashi@yahoo:com")</f>
        <v>ferlan:kakashi@yahoo:com</v>
      </c>
      <c r="B375" s="13" t="str">
        <f>IFERROR(__xludf.DUMMYFUNCTION("""COMPUTED_VALUE"""),"Kabupaten Dairi Dalam Angka 2022")</f>
        <v>Kabupaten Dairi Dalam Angka 2022</v>
      </c>
      <c r="C375" s="13" t="str">
        <f>IFERROR(__xludf.DUMMYFUNCTION("""COMPUTED_VALUE"""),"Publikasi")</f>
        <v>Publikasi</v>
      </c>
      <c r="E375" s="19" t="s">
        <v>1267</v>
      </c>
      <c r="F375" s="20" t="str">
        <f>IFERROR(__xludf.DUMMYFUNCTION("JOIN(""
"",FILTER($B375:$B1300,$A375:$A1300=E375))"),"Analisis Hasil Survei Kebutuhan Data BPS Kabupaten Dairi 2024
Analisis Survei Kebutuhan Data Kabupaten Dairi 2022
Indikator Kesejahteraan Rakyat Kabupaten Dairi Tahun 2022
Kabupaten Dairi Dalam Angka 2022
Kabupaten Dairi Dalam Angka 2024
Profil Kependuduk"&amp;"an dan Ketenagakerjaan Kabupaten Dairi 2021
Statistik Kesejahteraan Rakyat Kabupaten Dairi 2022")</f>
        <v>Analisis Hasil Survei Kebutuhan Data BPS Kabupaten Dairi 2024
Analisis Survei Kebutuhan Data Kabupaten Dairi 2022
Indikator Kesejahteraan Rakyat Kabupaten Dairi Tahun 2022
Kabupaten Dairi Dalam Angka 2022
Kabupaten Dairi Dalam Angka 2024
Profil Kependudukan dan Ketenagakerjaan Kabupaten Dairi 2021
Statistik Kesejahteraan Rakyat Kabupaten Dairi 2022</v>
      </c>
    </row>
    <row r="376">
      <c r="A376" s="13" t="str">
        <f>IFERROR(__xludf.DUMMYFUNCTION("""COMPUTED_VALUE"""),"franciscawenny@gmail:com")</f>
        <v>franciscawenny@gmail:com</v>
      </c>
      <c r="B376" s="13" t="str">
        <f>IFERROR(__xludf.DUMMYFUNCTION("""COMPUTED_VALUE"""),"Kabupaten Dairi Dalam Angka 2024")</f>
        <v>Kabupaten Dairi Dalam Angka 2024</v>
      </c>
      <c r="C376" s="13" t="str">
        <f>IFERROR(__xludf.DUMMYFUNCTION("""COMPUTED_VALUE"""),"Publikasi")</f>
        <v>Publikasi</v>
      </c>
      <c r="E376" s="19" t="s">
        <v>1518</v>
      </c>
      <c r="F376" s="20" t="str">
        <f>IFERROR(__xludf.DUMMYFUNCTION("JOIN(""
"",FILTER($B376:$B1300,$A376:$A1300=E376))"),"Statistik Tanaman Pangan (Padi dan Palawija) Kabupaten Dairi 2022")</f>
        <v>Statistik Tanaman Pangan (Padi dan Palawija) Kabupaten Dairi 2022</v>
      </c>
    </row>
    <row r="377">
      <c r="A377" s="13" t="str">
        <f>IFERROR(__xludf.DUMMYFUNCTION("""COMPUTED_VALUE"""),"fransmbakkara@gmail:com")</f>
        <v>fransmbakkara@gmail:com</v>
      </c>
      <c r="B377" s="13" t="str">
        <f>IFERROR(__xludf.DUMMYFUNCTION("""COMPUTED_VALUE"""),"Hasil Pencacahan Lengkap Sensus Pertanian 2024 - Tahap I Kabupaten Dairi")</f>
        <v>Hasil Pencacahan Lengkap Sensus Pertanian 2024 - Tahap I Kabupaten Dairi</v>
      </c>
      <c r="C377" s="13" t="str">
        <f>IFERROR(__xludf.DUMMYFUNCTION("""COMPUTED_VALUE"""),"Publikasi")</f>
        <v>Publikasi</v>
      </c>
      <c r="E377" s="19" t="s">
        <v>1381</v>
      </c>
      <c r="F377" s="20" t="str">
        <f>IFERROR(__xludf.DUMMYFUNCTION("JOIN(""
"",FILTER($B377:$B1300,$A377:$A1300=E377))"),"Kabupaten Dairi Dalam Angka 2024")</f>
        <v>Kabupaten Dairi Dalam Angka 2024</v>
      </c>
    </row>
    <row r="378">
      <c r="A378" s="13" t="str">
        <f>IFERROR(__xludf.DUMMYFUNCTION("""COMPUTED_VALUE"""),"fransmbakkara@gmail:com")</f>
        <v>fransmbakkara@gmail:com</v>
      </c>
      <c r="B378" s="13" t="str">
        <f>IFERROR(__xludf.DUMMYFUNCTION("""COMPUTED_VALUE"""),"Indeks Pembangunan Manusia Kabupaten Dairi 2024")</f>
        <v>Indeks Pembangunan Manusia Kabupaten Dairi 2024</v>
      </c>
      <c r="C378" s="13" t="str">
        <f>IFERROR(__xludf.DUMMYFUNCTION("""COMPUTED_VALUE"""),"Publikasi")</f>
        <v>Publikasi</v>
      </c>
      <c r="E378" s="19" t="s">
        <v>1104</v>
      </c>
      <c r="F378" s="20" t="str">
        <f>IFERROR(__xludf.DUMMYFUNCTION("JOIN(""
"",FILTER($B378:$B1300,$A378:$A1300=E378))"),"Kabupaten Dairi Dalam Angka 2024")</f>
        <v>Kabupaten Dairi Dalam Angka 2024</v>
      </c>
    </row>
    <row r="379">
      <c r="A379" s="13" t="str">
        <f>IFERROR(__xludf.DUMMYFUNCTION("""COMPUTED_VALUE"""),"fransmbakkara@gmail:com")</f>
        <v>fransmbakkara@gmail:com</v>
      </c>
      <c r="B379" s="13" t="str">
        <f>IFERROR(__xludf.DUMMYFUNCTION("""COMPUTED_VALUE"""),"Kabupaten Dairi Dalam Angka 2024")</f>
        <v>Kabupaten Dairi Dalam Angka 2024</v>
      </c>
      <c r="C379" s="13" t="str">
        <f>IFERROR(__xludf.DUMMYFUNCTION("""COMPUTED_VALUE"""),"Publikasi")</f>
        <v>Publikasi</v>
      </c>
      <c r="E379" s="19" t="s">
        <v>1227</v>
      </c>
      <c r="F379" s="20" t="str">
        <f>IFERROR(__xludf.DUMMYFUNCTION("JOIN(""
"",FILTER($B379:$B1300,$A379:$A1300=E379))"),"Hasil Pencacahan Lengkap Sensus Pertanian 2024 - Tahap I Kabupaten Dairi
Kabupaten Dairi Dalam Angka 2019
Kabupaten Dairi Dalam Angka 2020
Kabupaten Dairi Dalam Angka 2021
Kabupaten Dairi Dalam Angka 2022")</f>
        <v>Hasil Pencacahan Lengkap Sensus Pertanian 2024 - Tahap I Kabupaten Dairi
Kabupaten Dairi Dalam Angka 2019
Kabupaten Dairi Dalam Angka 2020
Kabupaten Dairi Dalam Angka 2021
Kabupaten Dairi Dalam Angka 2022</v>
      </c>
    </row>
    <row r="380">
      <c r="A380" s="13" t="str">
        <f>IFERROR(__xludf.DUMMYFUNCTION("""COMPUTED_VALUE"""),"fransujung92@gmail:com")</f>
        <v>fransujung92@gmail:com</v>
      </c>
      <c r="B380" s="13" t="str">
        <f>IFERROR(__xludf.DUMMYFUNCTION("""COMPUTED_VALUE"""),"Kabupaten Dairi Dalam Angka 2020")</f>
        <v>Kabupaten Dairi Dalam Angka 2020</v>
      </c>
      <c r="C380" s="13" t="str">
        <f>IFERROR(__xludf.DUMMYFUNCTION("""COMPUTED_VALUE"""),"Publikasi")</f>
        <v>Publikasi</v>
      </c>
      <c r="E380" s="19" t="s">
        <v>1403</v>
      </c>
      <c r="F380" s="20" t="str">
        <f>IFERROR(__xludf.DUMMYFUNCTION("JOIN(""
"",FILTER($B380:$B1300,$A380:$A1300=E380))"),"Indikator Kesejahteraan Rakyat Kabupaten Dairi Tahun 2024
Statistik Kesejahteraan Rakyat Kabupaten Dairi 2022
Statistik Tanaman Pangan (Padi dan Palawija) Kabupaten Dairi 2022")</f>
        <v>Indikator Kesejahteraan Rakyat Kabupaten Dairi Tahun 2024
Statistik Kesejahteraan Rakyat Kabupaten Dairi 2022
Statistik Tanaman Pangan (Padi dan Palawija) Kabupaten Dairi 2022</v>
      </c>
    </row>
    <row r="381">
      <c r="A381" s="13" t="str">
        <f>IFERROR(__xludf.DUMMYFUNCTION("""COMPUTED_VALUE"""),"fransujung92@gmail:com")</f>
        <v>fransujung92@gmail:com</v>
      </c>
      <c r="B381" s="13" t="str">
        <f>IFERROR(__xludf.DUMMYFUNCTION("""COMPUTED_VALUE"""),"Kabupaten Dairi Dalam Angka 2022")</f>
        <v>Kabupaten Dairi Dalam Angka 2022</v>
      </c>
      <c r="C381" s="13" t="str">
        <f>IFERROR(__xludf.DUMMYFUNCTION("""COMPUTED_VALUE"""),"Publikasi")</f>
        <v>Publikasi</v>
      </c>
      <c r="E381" s="19" t="s">
        <v>1691</v>
      </c>
      <c r="F381" s="20" t="str">
        <f>IFERROR(__xludf.DUMMYFUNCTION("JOIN(""
"",FILTER($B381:$B1300,$A381:$A1300=E381))"),"Kabupaten Dairi Dalam Angka 2022")</f>
        <v>Kabupaten Dairi Dalam Angka 2022</v>
      </c>
    </row>
    <row r="382">
      <c r="A382" s="13" t="str">
        <f>IFERROR(__xludf.DUMMYFUNCTION("""COMPUTED_VALUE"""),"fransujung92@gmail:com")</f>
        <v>fransujung92@gmail:com</v>
      </c>
      <c r="B382" s="13" t="str">
        <f>IFERROR(__xludf.DUMMYFUNCTION("""COMPUTED_VALUE"""),"Kabupaten Dairi Dalam Angka 2024")</f>
        <v>Kabupaten Dairi Dalam Angka 2024</v>
      </c>
      <c r="C382" s="13" t="str">
        <f>IFERROR(__xludf.DUMMYFUNCTION("""COMPUTED_VALUE"""),"Publikasi")</f>
        <v>Publikasi</v>
      </c>
      <c r="E382" s="19" t="s">
        <v>1519</v>
      </c>
      <c r="F382" s="20" t="str">
        <f>IFERROR(__xludf.DUMMYFUNCTION("JOIN(""
"",FILTER($B382:$B1300,$A382:$A1300=E382))"),"Analisis Survei Kebutuhan Data Kabupaten Dairi 2022
Indikator Kesejahteraan Rakyat Kabupaten Dairi Tahun 2022
Kabupaten Dairi Dalam Angka 2021
Kabupaten Dairi Dalam Angka 2022
Profil Kependudukan dan Ketenagakerjaan Kabupaten Dairi 2021
Statistik Tanaman "&amp;"Pangan (Padi dan Palawija) Kabupaten Dairi 2022")</f>
        <v>Analisis Survei Kebutuhan Data Kabupaten Dairi 2022
Indikator Kesejahteraan Rakyat Kabupaten Dairi Tahun 2022
Kabupaten Dairi Dalam Angka 2021
Kabupaten Dairi Dalam Angka 2022
Profil Kependudukan dan Ketenagakerjaan Kabupaten Dairi 2021
Statistik Tanaman Pangan (Padi dan Palawija) Kabupaten Dairi 2022</v>
      </c>
    </row>
    <row r="383">
      <c r="A383" s="13" t="str">
        <f>IFERROR(__xludf.DUMMYFUNCTION("""COMPUTED_VALUE"""),"freddimanikraja15@gmail:com")</f>
        <v>freddimanikraja15@gmail:com</v>
      </c>
      <c r="B383" s="13" t="str">
        <f>IFERROR(__xludf.DUMMYFUNCTION("""COMPUTED_VALUE"""),"Hasil Pencacahan Lengkap Sensus Pertanian 2024 - Tahap I Kabupaten Dairi")</f>
        <v>Hasil Pencacahan Lengkap Sensus Pertanian 2024 - Tahap I Kabupaten Dairi</v>
      </c>
      <c r="C383" s="13" t="str">
        <f>IFERROR(__xludf.DUMMYFUNCTION("""COMPUTED_VALUE"""),"Publikasi")</f>
        <v>Publikasi</v>
      </c>
      <c r="E383" s="19" t="s">
        <v>1389</v>
      </c>
      <c r="F383" s="20" t="str">
        <f>IFERROR(__xludf.DUMMYFUNCTION("JOIN(""
"",FILTER($B383:$B1300,$A383:$A1300=E383))"),"Kabupaten Dairi Dalam Angka 2024
Statistik Hortikultura Kabupaten Dairi Tahun 2022
Statistik Tanaman Pangan (Padi dan Palawija) Kabupaten Dairi 2022")</f>
        <v>Kabupaten Dairi Dalam Angka 2024
Statistik Hortikultura Kabupaten Dairi Tahun 2022
Statistik Tanaman Pangan (Padi dan Palawija) Kabupaten Dairi 2022</v>
      </c>
    </row>
    <row r="384">
      <c r="A384" s="13" t="str">
        <f>IFERROR(__xludf.DUMMYFUNCTION("""COMPUTED_VALUE"""),"free4nto@yahoo:co:id")</f>
        <v>free4nto@yahoo:co:id</v>
      </c>
      <c r="B384" s="13" t="str">
        <f>IFERROR(__xludf.DUMMYFUNCTION("""COMPUTED_VALUE"""),"Kabupaten Dairi Dalam Angka 2024")</f>
        <v>Kabupaten Dairi Dalam Angka 2024</v>
      </c>
      <c r="C384" s="13" t="str">
        <f>IFERROR(__xludf.DUMMYFUNCTION("""COMPUTED_VALUE"""),"Publikasi")</f>
        <v>Publikasi</v>
      </c>
      <c r="E384" s="19" t="s">
        <v>1247</v>
      </c>
      <c r="F384" s="20" t="str">
        <f>IFERROR(__xludf.DUMMYFUNCTION("JOIN(""
"",FILTER($B384:$B1300,$A384:$A1300=E384))"),"Kabupaten Dairi Dalam Angka 2024")</f>
        <v>Kabupaten Dairi Dalam Angka 2024</v>
      </c>
    </row>
    <row r="385">
      <c r="A385" s="13" t="str">
        <f>IFERROR(__xludf.DUMMYFUNCTION("""COMPUTED_VALUE"""),"frengkimunte780@gmail:com")</f>
        <v>frengkimunte780@gmail:com</v>
      </c>
      <c r="B385" s="13" t="str">
        <f>IFERROR(__xludf.DUMMYFUNCTION("""COMPUTED_VALUE"""),"Kabupaten Dairi Dalam Angka 2021")</f>
        <v>Kabupaten Dairi Dalam Angka 2021</v>
      </c>
      <c r="C385" s="13" t="str">
        <f>IFERROR(__xludf.DUMMYFUNCTION("""COMPUTED_VALUE"""),"Publikasi")</f>
        <v>Publikasi</v>
      </c>
      <c r="E385" s="19" t="s">
        <v>1146</v>
      </c>
      <c r="F385" s="20" t="str">
        <f>IFERROR(__xludf.DUMMYFUNCTION("JOIN(""
"",FILTER($B385:$B1300,$A385:$A1300=E385))"),"Analisis Hasil Survei Kebutuhan Data BPS Kabupaten Dairi 2024
Indikator Kesejahteraan Rakyat Kabupaten Dairi Tahun 2024
Kabupaten Dairi Dalam Angka 2024
Statistik Kesejahteraan Rakyat Kabupaten Dairi 2024")</f>
        <v>Analisis Hasil Survei Kebutuhan Data BPS Kabupaten Dairi 2024
Indikator Kesejahteraan Rakyat Kabupaten Dairi Tahun 2024
Kabupaten Dairi Dalam Angka 2024
Statistik Kesejahteraan Rakyat Kabupaten Dairi 2024</v>
      </c>
    </row>
    <row r="386">
      <c r="A386" s="13" t="str">
        <f>IFERROR(__xludf.DUMMYFUNCTION("""COMPUTED_VALUE"""),"frianto:nbh@gmail:com")</f>
        <v>frianto:nbh@gmail:com</v>
      </c>
      <c r="B386" s="13" t="str">
        <f>IFERROR(__xludf.DUMMYFUNCTION("""COMPUTED_VALUE"""),"Kabupaten Dairi Dalam Angka 2022")</f>
        <v>Kabupaten Dairi Dalam Angka 2022</v>
      </c>
      <c r="C386" s="13" t="str">
        <f>IFERROR(__xludf.DUMMYFUNCTION("""COMPUTED_VALUE"""),"Publikasi")</f>
        <v>Publikasi</v>
      </c>
      <c r="E386" s="19" t="s">
        <v>1345</v>
      </c>
      <c r="F386" s="20" t="str">
        <f>IFERROR(__xludf.DUMMYFUNCTION("JOIN(""
"",FILTER($B386:$B1300,$A386:$A1300=E386))"),"Booklet Hasil Long Form Sensus Penduduk 2020 Kabupaten Dairi")</f>
        <v>Booklet Hasil Long Form Sensus Penduduk 2020 Kabupaten Dairi</v>
      </c>
    </row>
    <row r="387">
      <c r="A387" s="13" t="str">
        <f>IFERROR(__xludf.DUMMYFUNCTION("""COMPUTED_VALUE"""),"frianto:nbh@gmail:com")</f>
        <v>frianto:nbh@gmail:com</v>
      </c>
      <c r="B387" s="13" t="str">
        <f>IFERROR(__xludf.DUMMYFUNCTION("""COMPUTED_VALUE"""),"Kabupaten Dairi Dalam Angka 2024")</f>
        <v>Kabupaten Dairi Dalam Angka 2024</v>
      </c>
      <c r="C387" s="13" t="str">
        <f>IFERROR(__xludf.DUMMYFUNCTION("""COMPUTED_VALUE"""),"Publikasi")</f>
        <v>Publikasi</v>
      </c>
      <c r="E387" s="19" t="s">
        <v>1383</v>
      </c>
      <c r="F387" s="20" t="str">
        <f>IFERROR(__xludf.DUMMYFUNCTION("JOIN(""
"",FILTER($B387:$B1300,$A387:$A1300=E387))"),"Kabupaten Dairi Dalam Angka 2024")</f>
        <v>Kabupaten Dairi Dalam Angka 2024</v>
      </c>
    </row>
    <row r="388">
      <c r="A388" s="13" t="str">
        <f>IFERROR(__xludf.DUMMYFUNCTION("""COMPUTED_VALUE"""),"Gabrielabednego04@gmail:com")</f>
        <v>Gabrielabednego04@gmail:com</v>
      </c>
      <c r="B388" s="13" t="str">
        <f>IFERROR(__xludf.DUMMYFUNCTION("""COMPUTED_VALUE"""),"Kecamatan Silahisabungan Dalam Angka 2021")</f>
        <v>Kecamatan Silahisabungan Dalam Angka 2021</v>
      </c>
      <c r="C388" s="13" t="str">
        <f>IFERROR(__xludf.DUMMYFUNCTION("""COMPUTED_VALUE"""),"Publikasi")</f>
        <v>Publikasi</v>
      </c>
      <c r="E388" s="19" t="s">
        <v>1487</v>
      </c>
      <c r="F388" s="20" t="str">
        <f>IFERROR(__xludf.DUMMYFUNCTION("JOIN(""
"",FILTER($B388:$B1300,$A388:$A1300=E388))"),"Kabupaten Dairi Dalam Angka 2018
Kabupaten Dairi Dalam Angka 2019")</f>
        <v>Kabupaten Dairi Dalam Angka 2018
Kabupaten Dairi Dalam Angka 2019</v>
      </c>
    </row>
    <row r="389">
      <c r="A389" s="13" t="str">
        <f>IFERROR(__xludf.DUMMYFUNCTION("""COMPUTED_VALUE"""),"gapadityapratama@gmail:com")</f>
        <v>gapadityapratama@gmail:com</v>
      </c>
      <c r="B389" s="13" t="str">
        <f>IFERROR(__xludf.DUMMYFUNCTION("""COMPUTED_VALUE"""),"Kabupaten Dairi Dalam Angka 2022")</f>
        <v>Kabupaten Dairi Dalam Angka 2022</v>
      </c>
      <c r="C389" s="13" t="str">
        <f>IFERROR(__xludf.DUMMYFUNCTION("""COMPUTED_VALUE"""),"Publikasi")</f>
        <v>Publikasi</v>
      </c>
      <c r="E389" s="19" t="s">
        <v>1674</v>
      </c>
      <c r="F389" s="20" t="str">
        <f>IFERROR(__xludf.DUMMYFUNCTION("JOIN(""
"",FILTER($B389:$B1300,$A389:$A1300=E389))"),"Kabupaten Dairi Dalam Angka 2022
Kecamatan Berampu Dalam Angka 2022
Kecamatan Gunung Sitember Dalam Angka 2022
Kecamatan Lae Parira Dalam Angka 2022
Kecamatan Parbuluan Dalam Angka 2022
Kecamatan Pegagan Hilir Dalam Angka 2022
Kecamatan Sidikalang Dalam A"&amp;"ngka 2022
Kecamatan Siempat Nempu Dalam Angka 2022
Kecamatan Siempat Nempu Hilir Dalam Angka 2022
Kecamatan Siempat Nempu Hulu Dalam Angka 2022
Kecamatan Silahisabungan Dalam Angka 2022
Kecamatan Silima Pungga-Pungga Dalam Angka 2022
Kecamatan Sitinjo Dal"&amp;"am Angka 2022
Kecamatan Sumbul Dalam Angka 2022
Kecamatan Tanah Pinem Dalam Angka 2022
Kecamatan Tiga Lingga Dalam Angka 2022")</f>
        <v>Kabupaten Dairi Dalam Angka 2022
Kecamatan Berampu Dalam Angka 2022
Kecamatan Gunung Sitember Dalam Angka 2022
Kecamatan Lae Parira Dalam Angka 2022
Kecamatan Parbuluan Dalam Angka 2022
Kecamatan Pegagan Hilir Dalam Angka 2022
Kecamatan Sidikalang Dalam Angka 2022
Kecamatan Siempat Nempu Dalam Angka 2022
Kecamatan Siempat Nempu Hilir Dalam Angka 2022
Kecamatan Siempat Nempu Hulu Dalam Angka 2022
Kecamatan Silahisabungan Dalam Angka 2022
Kecamatan Silima Pungga-Pungga Dalam Angka 2022
Kecamatan Sitinjo Dalam Angka 2022
Kecamatan Sumbul Dalam Angka 2022
Kecamatan Tanah Pinem Dalam Angka 2022
Kecamatan Tiga Lingga Dalam Angka 2022</v>
      </c>
    </row>
    <row r="390">
      <c r="A390" s="13" t="str">
        <f>IFERROR(__xludf.DUMMYFUNCTION("""COMPUTED_VALUE"""),"ghozali:ibnubadri@gmail:com")</f>
        <v>ghozali:ibnubadri@gmail:com</v>
      </c>
      <c r="B390" s="13" t="str">
        <f>IFERROR(__xludf.DUMMYFUNCTION("""COMPUTED_VALUE"""),"Kabupaten Dairi Dalam Angka 2022")</f>
        <v>Kabupaten Dairi Dalam Angka 2022</v>
      </c>
      <c r="C390" s="13" t="str">
        <f>IFERROR(__xludf.DUMMYFUNCTION("""COMPUTED_VALUE"""),"Publikasi")</f>
        <v>Publikasi</v>
      </c>
      <c r="E390" s="19" t="s">
        <v>1332</v>
      </c>
      <c r="F390" s="20" t="str">
        <f>IFERROR(__xludf.DUMMYFUNCTION("JOIN(""
"",FILTER($B390:$B1300,$A390:$A1300=E390))"),"Kecamatan Lae Parira Dalam Angka 2021")</f>
        <v>Kecamatan Lae Parira Dalam Angka 2021</v>
      </c>
    </row>
    <row r="391">
      <c r="A391" s="13" t="str">
        <f>IFERROR(__xludf.DUMMYFUNCTION("""COMPUTED_VALUE"""),"gigihdharmaperbawa@gmail:com")</f>
        <v>gigihdharmaperbawa@gmail:com</v>
      </c>
      <c r="B391" s="13" t="str">
        <f>IFERROR(__xludf.DUMMYFUNCTION("""COMPUTED_VALUE"""),"Kabupaten Dairi Dalam Angka 2020")</f>
        <v>Kabupaten Dairi Dalam Angka 2020</v>
      </c>
      <c r="C391" s="13" t="str">
        <f>IFERROR(__xludf.DUMMYFUNCTION("""COMPUTED_VALUE"""),"Publikasi")</f>
        <v>Publikasi</v>
      </c>
      <c r="E391" s="19" t="s">
        <v>1425</v>
      </c>
      <c r="F391" s="20" t="str">
        <f>IFERROR(__xludf.DUMMYFUNCTION("JOIN(""
"",FILTER($B391:$B1300,$A391:$A1300=E391))"),"Kecamatan Silahisabungan Dalam Angka 2020
Kecamatan Silahisabungan Dalam Angka 2021")</f>
        <v>Kecamatan Silahisabungan Dalam Angka 2020
Kecamatan Silahisabungan Dalam Angka 2021</v>
      </c>
    </row>
    <row r="392">
      <c r="A392" s="13" t="str">
        <f>IFERROR(__xludf.DUMMYFUNCTION("""COMPUTED_VALUE"""),"gigihdharmaperbawa@gmail:com")</f>
        <v>gigihdharmaperbawa@gmail:com</v>
      </c>
      <c r="B392" s="13" t="str">
        <f>IFERROR(__xludf.DUMMYFUNCTION("""COMPUTED_VALUE"""),"Kabupaten Dairi Dalam Angka 2021")</f>
        <v>Kabupaten Dairi Dalam Angka 2021</v>
      </c>
      <c r="C392" s="13" t="str">
        <f>IFERROR(__xludf.DUMMYFUNCTION("""COMPUTED_VALUE"""),"Publikasi")</f>
        <v>Publikasi</v>
      </c>
      <c r="E392" s="19" t="s">
        <v>251</v>
      </c>
      <c r="F392" s="20" t="str">
        <f>IFERROR(__xludf.DUMMYFUNCTION("JOIN(""
"",FILTER($B392:$B1300,$A392:$A1300=E392))"),"Kabupaten Dairi Dalam Angka 2024")</f>
        <v>Kabupaten Dairi Dalam Angka 2024</v>
      </c>
    </row>
    <row r="393">
      <c r="A393" s="13" t="str">
        <f>IFERROR(__xludf.DUMMYFUNCTION("""COMPUTED_VALUE"""),"gigihdharmaperbawa@gmail:com")</f>
        <v>gigihdharmaperbawa@gmail:com</v>
      </c>
      <c r="B393" s="13" t="str">
        <f>IFERROR(__xludf.DUMMYFUNCTION("""COMPUTED_VALUE"""),"Kabupaten Dairi Dalam Angka 2022")</f>
        <v>Kabupaten Dairi Dalam Angka 2022</v>
      </c>
      <c r="C393" s="13" t="str">
        <f>IFERROR(__xludf.DUMMYFUNCTION("""COMPUTED_VALUE"""),"Publikasi")</f>
        <v>Publikasi</v>
      </c>
      <c r="E393" s="19" t="s">
        <v>1656</v>
      </c>
      <c r="F393" s="20" t="str">
        <f>IFERROR(__xludf.DUMMYFUNCTION("JOIN(""
"",FILTER($B393:$B1300,$A393:$A1300=E393))"),"Kabupaten Dairi Dalam Angka 2022")</f>
        <v>Kabupaten Dairi Dalam Angka 2022</v>
      </c>
    </row>
    <row r="394">
      <c r="A394" s="13" t="str">
        <f>IFERROR(__xludf.DUMMYFUNCTION("""COMPUTED_VALUE"""),"gilangabizaifa15@gmail:com")</f>
        <v>gilangabizaifa15@gmail:com</v>
      </c>
      <c r="B394" s="13" t="str">
        <f>IFERROR(__xludf.DUMMYFUNCTION("""COMPUTED_VALUE"""),"Kabupaten Dairi Dalam Angka 2022")</f>
        <v>Kabupaten Dairi Dalam Angka 2022</v>
      </c>
      <c r="C394" s="13" t="str">
        <f>IFERROR(__xludf.DUMMYFUNCTION("""COMPUTED_VALUE"""),"Publikasi")</f>
        <v>Publikasi</v>
      </c>
      <c r="E394" s="19" t="s">
        <v>1747</v>
      </c>
      <c r="F394" s="20" t="str">
        <f>IFERROR(__xludf.DUMMYFUNCTION("JOIN(""
"",FILTER($B394:$B1300,$A394:$A1300=E394))"),"Kabupaten Dairi Dalam Angka 2022
Statistik Daerah Kabupaten Dairi 2022")</f>
        <v>Kabupaten Dairi Dalam Angka 2022
Statistik Daerah Kabupaten Dairi 2022</v>
      </c>
    </row>
    <row r="395">
      <c r="A395" s="13" t="str">
        <f>IFERROR(__xludf.DUMMYFUNCTION("""COMPUTED_VALUE"""),"ginsuflora1269@gmail:com")</f>
        <v>ginsuflora1269@gmail:com</v>
      </c>
      <c r="B395" s="13" t="str">
        <f>IFERROR(__xludf.DUMMYFUNCTION("""COMPUTED_VALUE"""),"Indikator Kesejahteraan Rakyat Kabupaten Dairi 2021")</f>
        <v>Indikator Kesejahteraan Rakyat Kabupaten Dairi 2021</v>
      </c>
      <c r="C395" s="13" t="str">
        <f>IFERROR(__xludf.DUMMYFUNCTION("""COMPUTED_VALUE"""),"Publikasi")</f>
        <v>Publikasi</v>
      </c>
      <c r="E395" s="19" t="s">
        <v>1751</v>
      </c>
      <c r="F395" s="20" t="str">
        <f>IFERROR(__xludf.DUMMYFUNCTION("JOIN(""
"",FILTER($B395:$B1300,$A395:$A1300=E395))"),"Profil Kependudukan dan Ketenagakerjaan Kabupaten Dairi 2021")</f>
        <v>Profil Kependudukan dan Ketenagakerjaan Kabupaten Dairi 2021</v>
      </c>
    </row>
    <row r="396">
      <c r="A396" s="13" t="str">
        <f>IFERROR(__xludf.DUMMYFUNCTION("""COMPUTED_VALUE"""),"gloriajesikajesika268@gmail:com")</f>
        <v>gloriajesikajesika268@gmail:com</v>
      </c>
      <c r="B396" s="13" t="str">
        <f>IFERROR(__xludf.DUMMYFUNCTION("""COMPUTED_VALUE"""),"Kabupaten Dairi Dalam Angka 2020")</f>
        <v>Kabupaten Dairi Dalam Angka 2020</v>
      </c>
      <c r="C396" s="13" t="str">
        <f>IFERROR(__xludf.DUMMYFUNCTION("""COMPUTED_VALUE"""),"Publikasi")</f>
        <v>Publikasi</v>
      </c>
      <c r="E396" s="19" t="s">
        <v>82</v>
      </c>
      <c r="F396" s="20" t="str">
        <f>IFERROR(__xludf.DUMMYFUNCTION("JOIN(""
"",FILTER($B396:$B1300,$A396:$A1300=E396))"),"Hasil Pencacahan Lengkap Sensus Pertanian 2024 - Tahap I Kabupaten Dairi
Indikator Kesejahteraan Rakyat Kabupaten Dairi Tahun 2024
Statistik Kesejahteraan Rakyat Kabupaten Dairi 2024")</f>
        <v>Hasil Pencacahan Lengkap Sensus Pertanian 2024 - Tahap I Kabupaten Dairi
Indikator Kesejahteraan Rakyat Kabupaten Dairi Tahun 2024
Statistik Kesejahteraan Rakyat Kabupaten Dairi 2024</v>
      </c>
    </row>
    <row r="397">
      <c r="A397" s="13" t="str">
        <f>IFERROR(__xludf.DUMMYFUNCTION("""COMPUTED_VALUE"""),"gloriamanurung536@gmail:com")</f>
        <v>gloriamanurung536@gmail:com</v>
      </c>
      <c r="B397" s="13" t="str">
        <f>IFERROR(__xludf.DUMMYFUNCTION("""COMPUTED_VALUE"""),"Kecamatan Sumbul Dalam Angka 2021")</f>
        <v>Kecamatan Sumbul Dalam Angka 2021</v>
      </c>
      <c r="C397" s="13" t="str">
        <f>IFERROR(__xludf.DUMMYFUNCTION("""COMPUTED_VALUE"""),"Publikasi")</f>
        <v>Publikasi</v>
      </c>
      <c r="E397" s="19" t="s">
        <v>1481</v>
      </c>
      <c r="F397" s="20" t="str">
        <f>IFERROR(__xludf.DUMMYFUNCTION("JOIN(""
"",FILTER($B397:$B1300,$A397:$A1300=E397))"),"Kabupaten Dairi Dalam Angka 2019
Kabupaten Dairi Dalam Angka 2020
Kabupaten Dairi Dalam Angka 2022")</f>
        <v>Kabupaten Dairi Dalam Angka 2019
Kabupaten Dairi Dalam Angka 2020
Kabupaten Dairi Dalam Angka 2022</v>
      </c>
    </row>
    <row r="398">
      <c r="A398" s="13" t="str">
        <f>IFERROR(__xludf.DUMMYFUNCTION("""COMPUTED_VALUE"""),"gloriamanurung536@gmail:com")</f>
        <v>gloriamanurung536@gmail:com</v>
      </c>
      <c r="B398" s="13" t="str">
        <f>IFERROR(__xludf.DUMMYFUNCTION("""COMPUTED_VALUE"""),"Kecamatan Sumbul Dalam Angka 2024")</f>
        <v>Kecamatan Sumbul Dalam Angka 2024</v>
      </c>
      <c r="C398" s="13" t="str">
        <f>IFERROR(__xludf.DUMMYFUNCTION("""COMPUTED_VALUE"""),"Publikasi")</f>
        <v>Publikasi</v>
      </c>
      <c r="E398" s="19" t="s">
        <v>1276</v>
      </c>
      <c r="F398" s="20" t="str">
        <f>IFERROR(__xludf.DUMMYFUNCTION("JOIN(""
"",FILTER($B398:$B1300,$A398:$A1300=E398))"),"Kabupaten Dairi Dalam Angka 2016
Kabupaten Dairi Dalam Angka 2017
Kabupaten Dairi Dalam Angka 2018
Kabupaten Dairi Dalam Angka 2019")</f>
        <v>Kabupaten Dairi Dalam Angka 2016
Kabupaten Dairi Dalam Angka 2017
Kabupaten Dairi Dalam Angka 2018
Kabupaten Dairi Dalam Angka 2019</v>
      </c>
    </row>
    <row r="399">
      <c r="A399" s="13" t="str">
        <f>IFERROR(__xludf.DUMMYFUNCTION("""COMPUTED_VALUE"""),"gloriamanurung536@students:usu:ac:id")</f>
        <v>gloriamanurung536@students:usu:ac:id</v>
      </c>
      <c r="B399" s="13" t="str">
        <f>IFERROR(__xludf.DUMMYFUNCTION("""COMPUTED_VALUE"""),"Kabupaten Dairi Dalam Angka 2024")</f>
        <v>Kabupaten Dairi Dalam Angka 2024</v>
      </c>
      <c r="C399" s="13" t="str">
        <f>IFERROR(__xludf.DUMMYFUNCTION("""COMPUTED_VALUE"""),"Publikasi")</f>
        <v>Publikasi</v>
      </c>
      <c r="E399" s="19" t="s">
        <v>1432</v>
      </c>
      <c r="F399" s="20" t="str">
        <f>IFERROR(__xludf.DUMMYFUNCTION("JOIN(""
"",FILTER($B399:$B1300,$A399:$A1300=E399))"),"Kabupaten Dairi Dalam Angka 2022
Kecamatan Siempat Nempu Dalam Angka 2024
Kecamatan Siempat Nempu Hilir Dalam Angka 2019
Kecamatan Siempat Nempu Hilir Dalam Angka 2021")</f>
        <v>Kabupaten Dairi Dalam Angka 2022
Kecamatan Siempat Nempu Dalam Angka 2024
Kecamatan Siempat Nempu Hilir Dalam Angka 2019
Kecamatan Siempat Nempu Hilir Dalam Angka 2021</v>
      </c>
    </row>
    <row r="400">
      <c r="A400" s="13" t="str">
        <f>IFERROR(__xludf.DUMMYFUNCTION("""COMPUTED_VALUE"""),"gloriamanurung536@students:usu:ac:id")</f>
        <v>gloriamanurung536@students:usu:ac:id</v>
      </c>
      <c r="B400" s="13" t="str">
        <f>IFERROR(__xludf.DUMMYFUNCTION("""COMPUTED_VALUE"""),"Kecamatan Sumbul Dalam Angka 2024")</f>
        <v>Kecamatan Sumbul Dalam Angka 2024</v>
      </c>
      <c r="C400" s="13" t="str">
        <f>IFERROR(__xludf.DUMMYFUNCTION("""COMPUTED_VALUE"""),"Publikasi")</f>
        <v>Publikasi</v>
      </c>
      <c r="E400" s="19" t="s">
        <v>1175</v>
      </c>
      <c r="F400" s="20" t="str">
        <f>IFERROR(__xludf.DUMMYFUNCTION("JOIN(""
"",FILTER($B400:$B1300,$A400:$A1300=E400))"),"Kabupaten Dairi Dalam Angka 2024")</f>
        <v>Kabupaten Dairi Dalam Angka 2024</v>
      </c>
    </row>
    <row r="401">
      <c r="A401" s="13" t="str">
        <f>IFERROR(__xludf.DUMMYFUNCTION("""COMPUTED_VALUE"""),"gloriasoeur12veous@gmail:com")</f>
        <v>gloriasoeur12veous@gmail:com</v>
      </c>
      <c r="B401" s="13" t="str">
        <f>IFERROR(__xludf.DUMMYFUNCTION("""COMPUTED_VALUE"""),"Kecamatan Sumbul Dalam Angka 2024")</f>
        <v>Kecamatan Sumbul Dalam Angka 2024</v>
      </c>
      <c r="C401" s="13" t="str">
        <f>IFERROR(__xludf.DUMMYFUNCTION("""COMPUTED_VALUE"""),"Publikasi")</f>
        <v>Publikasi</v>
      </c>
      <c r="E401" s="19" t="s">
        <v>1634</v>
      </c>
      <c r="F401" s="20" t="str">
        <f>IFERROR(__xludf.DUMMYFUNCTION("JOIN(""
"",FILTER($B401:$B1300,$A401:$A1300=E401))"),"Kecamatan Lae Parira Dalam Angka 2022
Kecamatan Parbuluan Dalam Angka 2020
Kecamatan Pegagan Hilir Dalam Angka 2022
Kecamatan Siempat Nempu Dalam Angka 2022
Kecamatan Siempat Nempu Hilir Dalam Angka 2022
Kecamatan Silahisabungan Dalam Angka 2022
Kecamatan"&amp;" Silima Pungga-Pungga Dalam Angka 2022
Kecamatan Sumbul Dalam Angka 2021
Kecamatan Tanah Pinem Dalam Angka 2022")</f>
        <v>Kecamatan Lae Parira Dalam Angka 2022
Kecamatan Parbuluan Dalam Angka 2020
Kecamatan Pegagan Hilir Dalam Angka 2022
Kecamatan Siempat Nempu Dalam Angka 2022
Kecamatan Siempat Nempu Hilir Dalam Angka 2022
Kecamatan Silahisabungan Dalam Angka 2022
Kecamatan Silima Pungga-Pungga Dalam Angka 2022
Kecamatan Sumbul Dalam Angka 2021
Kecamatan Tanah Pinem Dalam Angka 2022</v>
      </c>
    </row>
    <row r="402">
      <c r="A402" s="13" t="str">
        <f>IFERROR(__xludf.DUMMYFUNCTION("""COMPUTED_VALUE"""),"golda_patricia@student:ub:ac:id")</f>
        <v>golda_patricia@student:ub:ac:id</v>
      </c>
      <c r="B402" s="13" t="str">
        <f>IFERROR(__xludf.DUMMYFUNCTION("""COMPUTED_VALUE"""),"Kecamatan Parbuluan Dalam Angka 2021")</f>
        <v>Kecamatan Parbuluan Dalam Angka 2021</v>
      </c>
      <c r="C402" s="13" t="str">
        <f>IFERROR(__xludf.DUMMYFUNCTION("""COMPUTED_VALUE"""),"Publikasi")</f>
        <v>Publikasi</v>
      </c>
      <c r="E402" s="19" t="s">
        <v>1206</v>
      </c>
      <c r="F402" s="20" t="str">
        <f>IFERROR(__xludf.DUMMYFUNCTION("JOIN(""
"",FILTER($B402:$B1300,$A402:$A1300=E402))"),"Indikator Kesejahteraan Rakyat Kabupaten Dairi Tahun 2022
Indikator Kesejahteraan Rakyat Kabupaten Dairi Tahun 2024
Statistik Kesejahteraan Rakyat Kabupaten Dairi 2024")</f>
        <v>Indikator Kesejahteraan Rakyat Kabupaten Dairi Tahun 2022
Indikator Kesejahteraan Rakyat Kabupaten Dairi Tahun 2024
Statistik Kesejahteraan Rakyat Kabupaten Dairi 2024</v>
      </c>
      <c r="G402" s="4" t="s">
        <v>1767</v>
      </c>
    </row>
    <row r="403">
      <c r="A403" s="13" t="str">
        <f>IFERROR(__xludf.DUMMYFUNCTION("""COMPUTED_VALUE"""),"golda_patricia@student:ub:ac:id")</f>
        <v>golda_patricia@student:ub:ac:id</v>
      </c>
      <c r="B403" s="13" t="str">
        <f>IFERROR(__xludf.DUMMYFUNCTION("""COMPUTED_VALUE"""),"Statistik Hortikultura Kabupaten Dairi Tahun 2021")</f>
        <v>Statistik Hortikultura Kabupaten Dairi Tahun 2021</v>
      </c>
      <c r="C403" s="13" t="str">
        <f>IFERROR(__xludf.DUMMYFUNCTION("""COMPUTED_VALUE"""),"Publikasi")</f>
        <v>Publikasi</v>
      </c>
      <c r="E403" s="19" t="s">
        <v>1208</v>
      </c>
      <c r="F403" s="20" t="str">
        <f>IFERROR(__xludf.DUMMYFUNCTION("JOIN(""
"",FILTER($B403:$B1300,$A403:$A1300=E403))"),"Indikator Kesejahteraan Rakyat Kabupaten Dairi Tahun 2022
Kabupaten Dairi Dalam Angka 2024
Statistik Kesejahteraan Rakyat Kabupaten Dairi 2024")</f>
        <v>Indikator Kesejahteraan Rakyat Kabupaten Dairi Tahun 2022
Kabupaten Dairi Dalam Angka 2024
Statistik Kesejahteraan Rakyat Kabupaten Dairi 2024</v>
      </c>
    </row>
    <row r="404">
      <c r="A404" s="13" t="str">
        <f>IFERROR(__xludf.DUMMYFUNCTION("""COMPUTED_VALUE"""),"gracelusyanasigalingging@gmail:com")</f>
        <v>gracelusyanasigalingging@gmail:com</v>
      </c>
      <c r="B404" s="13" t="str">
        <f>IFERROR(__xludf.DUMMYFUNCTION("""COMPUTED_VALUE"""),"Indikator Kesejahteraan Rakyat Kabupaten Dairi Tahun 2024")</f>
        <v>Indikator Kesejahteraan Rakyat Kabupaten Dairi Tahun 2024</v>
      </c>
      <c r="C404" s="13" t="str">
        <f>IFERROR(__xludf.DUMMYFUNCTION("""COMPUTED_VALUE"""),"Publikasi")</f>
        <v>Publikasi</v>
      </c>
      <c r="E404" s="19" t="s">
        <v>780</v>
      </c>
      <c r="F404" s="20" t="str">
        <f>IFERROR(__xludf.DUMMYFUNCTION("JOIN(""
"",FILTER($B404:$B1300,$A404:$A1300=E404))"),"Kabupaten Dairi Dalam Angka 2022")</f>
        <v>Kabupaten Dairi Dalam Angka 2022</v>
      </c>
    </row>
    <row r="405">
      <c r="A405" s="13" t="str">
        <f>IFERROR(__xludf.DUMMYFUNCTION("""COMPUTED_VALUE"""),"gracesigalingging822@gmail:com")</f>
        <v>gracesigalingging822@gmail:com</v>
      </c>
      <c r="B405" s="13" t="str">
        <f>IFERROR(__xludf.DUMMYFUNCTION("""COMPUTED_VALUE"""),"Indikator Kesejahteraan Rakyat Kabupaten Dairi Tahun 2024")</f>
        <v>Indikator Kesejahteraan Rakyat Kabupaten Dairi Tahun 2024</v>
      </c>
      <c r="C405" s="13" t="str">
        <f>IFERROR(__xludf.DUMMYFUNCTION("""COMPUTED_VALUE"""),"Publikasi")</f>
        <v>Publikasi</v>
      </c>
      <c r="E405" s="19" t="s">
        <v>1512</v>
      </c>
      <c r="F405" s="20" t="str">
        <f>IFERROR(__xludf.DUMMYFUNCTION("JOIN(""
"",FILTER($B405:$B1300,$A405:$A1300=E405))"),"Indikator Kesejahteraan Rakyat Kabupaten Dairi Tahun 2022
Kabupaten Dairi Dalam Angka 2022
Kabupaten Dairi Dalam Angka 2024
Kecamatan Sitinjo Dalam Angka 2022
Profil Kependudukan dan Ketenagakerjaan Kabupaten Dairi 2021
Statistik Daerah Kabupaten Dairi 20"&amp;"21")</f>
        <v>Indikator Kesejahteraan Rakyat Kabupaten Dairi Tahun 2022
Kabupaten Dairi Dalam Angka 2022
Kabupaten Dairi Dalam Angka 2024
Kecamatan Sitinjo Dalam Angka 2022
Profil Kependudukan dan Ketenagakerjaan Kabupaten Dairi 2021
Statistik Daerah Kabupaten Dairi 2021</v>
      </c>
    </row>
    <row r="406">
      <c r="A406" s="13" t="str">
        <f>IFERROR(__xludf.DUMMYFUNCTION("""COMPUTED_VALUE"""),"gracesigalingging822@gmail:con")</f>
        <v>gracesigalingging822@gmail:con</v>
      </c>
      <c r="B406" s="13" t="str">
        <f>IFERROR(__xludf.DUMMYFUNCTION("""COMPUTED_VALUE"""),"Indikator Kesejahteraan Rakyat Kabupaten Dairi Tahun 2024")</f>
        <v>Indikator Kesejahteraan Rakyat Kabupaten Dairi Tahun 2024</v>
      </c>
      <c r="C406" s="13" t="str">
        <f>IFERROR(__xludf.DUMMYFUNCTION("""COMPUTED_VALUE"""),"Publikasi")</f>
        <v>Publikasi</v>
      </c>
      <c r="E406" s="19" t="s">
        <v>1619</v>
      </c>
      <c r="F406" s="20" t="str">
        <f>IFERROR(__xludf.DUMMYFUNCTION("JOIN(""
"",FILTER($B406:$B1300,$A406:$A1300=E406))"),"Kecamatan Sidikalang Dalam Angka 2021")</f>
        <v>Kecamatan Sidikalang Dalam Angka 2021</v>
      </c>
    </row>
    <row r="407">
      <c r="A407" s="13" t="str">
        <f>IFERROR(__xludf.DUMMYFUNCTION("""COMPUTED_VALUE"""),"gracesigalingging922@gmail:com")</f>
        <v>gracesigalingging922@gmail:com</v>
      </c>
      <c r="B407" s="13" t="str">
        <f>IFERROR(__xludf.DUMMYFUNCTION("""COMPUTED_VALUE"""),"Indikator Kesejahteraan Rakyat Kabupaten Dairi Tahun 2024")</f>
        <v>Indikator Kesejahteraan Rakyat Kabupaten Dairi Tahun 2024</v>
      </c>
      <c r="C407" s="13" t="str">
        <f>IFERROR(__xludf.DUMMYFUNCTION("""COMPUTED_VALUE"""),"Publikasi")</f>
        <v>Publikasi</v>
      </c>
      <c r="E407" s="19" t="s">
        <v>1647</v>
      </c>
      <c r="F407" s="20" t="str">
        <f>IFERROR(__xludf.DUMMYFUNCTION("JOIN(""
"",FILTER($B407:$B1300,$A407:$A1300=E407))"),"Analisis Survei Kebutuhan Data Kabupaten Dairi 2022
Indikator Kesejahteraan Rakyat Kabupaten Dairi 2021
Kabupaten Dairi Dalam Angka 2022
Kecamatan Sidikalang Dalam Angka 2022
Kecamatan Silahisabungan Dalam Angka 2022
Kecamatan Sitinjo Dalam Angka 2022
Pro"&amp;"fil Kependudukan dan Ketenagakerjaan Kabupaten Dairi 2021
Statistik Kesejahteraan Rakyat Kabupaten Dairi 2022")</f>
        <v>Analisis Survei Kebutuhan Data Kabupaten Dairi 2022
Indikator Kesejahteraan Rakyat Kabupaten Dairi 2021
Kabupaten Dairi Dalam Angka 2022
Kecamatan Sidikalang Dalam Angka 2022
Kecamatan Silahisabungan Dalam Angka 2022
Kecamatan Sitinjo Dalam Angka 2022
Profil Kependudukan dan Ketenagakerjaan Kabupaten Dairi 2021
Statistik Kesejahteraan Rakyat Kabupaten Dairi 2022</v>
      </c>
    </row>
    <row r="408">
      <c r="A408" s="13" t="str">
        <f>IFERROR(__xludf.DUMMYFUNCTION("""COMPUTED_VALUE"""),"gunawanheri534@gmail:com")</f>
        <v>gunawanheri534@gmail:com</v>
      </c>
      <c r="B408" s="13" t="str">
        <f>IFERROR(__xludf.DUMMYFUNCTION("""COMPUTED_VALUE"""),"Kecamatan Parbuluan Dalam Angka 2019")</f>
        <v>Kecamatan Parbuluan Dalam Angka 2019</v>
      </c>
      <c r="C408" s="13" t="str">
        <f>IFERROR(__xludf.DUMMYFUNCTION("""COMPUTED_VALUE"""),"Publikasi")</f>
        <v>Publikasi</v>
      </c>
      <c r="E408" s="19" t="s">
        <v>1474</v>
      </c>
      <c r="F408" s="20" t="str">
        <f>IFERROR(__xludf.DUMMYFUNCTION("JOIN(""
"",FILTER($B408:$B1300,$A408:$A1300=E408))"),"Kecamatan Sidikalang Dalam Angka 2024")</f>
        <v>Kecamatan Sidikalang Dalam Angka 2024</v>
      </c>
    </row>
    <row r="409">
      <c r="A409" s="13" t="str">
        <f>IFERROR(__xludf.DUMMYFUNCTION("""COMPUTED_VALUE"""),"gunawanheri534@gmail:com")</f>
        <v>gunawanheri534@gmail:com</v>
      </c>
      <c r="B409" s="13" t="str">
        <f>IFERROR(__xludf.DUMMYFUNCTION("""COMPUTED_VALUE"""),"Kecamatan Sumbul Dalam Angka 2024")</f>
        <v>Kecamatan Sumbul Dalam Angka 2024</v>
      </c>
      <c r="C409" s="13" t="str">
        <f>IFERROR(__xludf.DUMMYFUNCTION("""COMPUTED_VALUE"""),"Publikasi")</f>
        <v>Publikasi</v>
      </c>
      <c r="E409" s="19" t="s">
        <v>983</v>
      </c>
      <c r="F409" s="20" t="str">
        <f>IFERROR(__xludf.DUMMYFUNCTION("JOIN(""
"",FILTER($B409:$B1300,$A409:$A1300=E409))"),"Indikator Kesejahteraan Rakyat Kabupaten Dairi Tahun 2024
Statistik Kesejahteraan Rakyat Kabupaten Dairi 2024")</f>
        <v>Indikator Kesejahteraan Rakyat Kabupaten Dairi Tahun 2024
Statistik Kesejahteraan Rakyat Kabupaten Dairi 2024</v>
      </c>
      <c r="G409" s="4" t="s">
        <v>1768</v>
      </c>
    </row>
    <row r="410">
      <c r="A410" s="13" t="str">
        <f>IFERROR(__xludf.DUMMYFUNCTION("""COMPUTED_VALUE"""),"gunawanheri534@gmail:com")</f>
        <v>gunawanheri534@gmail:com</v>
      </c>
      <c r="B410" s="13" t="str">
        <f>IFERROR(__xludf.DUMMYFUNCTION("""COMPUTED_VALUE"""),"Statistik Lahan Bukan Sawah Kabupaten Dairi 2017")</f>
        <v>Statistik Lahan Bukan Sawah Kabupaten Dairi 2017</v>
      </c>
      <c r="C410" s="13" t="str">
        <f>IFERROR(__xludf.DUMMYFUNCTION("""COMPUTED_VALUE"""),"Publikasi")</f>
        <v>Publikasi</v>
      </c>
      <c r="E410" s="19" t="s">
        <v>1144</v>
      </c>
      <c r="F410" s="20" t="str">
        <f>IFERROR(__xludf.DUMMYFUNCTION("JOIN(""
"",FILTER($B410:$B1300,$A410:$A1300=E410))"),"Kabupaten Dairi Dalam Angka 2024")</f>
        <v>Kabupaten Dairi Dalam Angka 2024</v>
      </c>
    </row>
    <row r="411">
      <c r="A411" s="13" t="str">
        <f>IFERROR(__xludf.DUMMYFUNCTION("""COMPUTED_VALUE"""),"handokosidabutar18@gmail:com")</f>
        <v>handokosidabutar18@gmail:com</v>
      </c>
      <c r="B411" s="13" t="str">
        <f>IFERROR(__xludf.DUMMYFUNCTION("""COMPUTED_VALUE"""),"Kabupaten Dairi Dalam Angka 2024")</f>
        <v>Kabupaten Dairi Dalam Angka 2024</v>
      </c>
      <c r="C411" s="13" t="str">
        <f>IFERROR(__xludf.DUMMYFUNCTION("""COMPUTED_VALUE"""),"Publikasi")</f>
        <v>Publikasi</v>
      </c>
      <c r="E411" s="19" t="s">
        <v>393</v>
      </c>
      <c r="F411" s="20" t="str">
        <f>IFERROR(__xludf.DUMMYFUNCTION("JOIN(""
"",FILTER($B411:$B1300,$A411:$A1300=E411))"),"Hasil Pencacahan Lengkap Sensus Pertanian 2024 - Tahap I Kabupaten Dairi
Indeks Pembangunan Manusia Kabupaten Dairi 2024
Indikator Kesejahteraan Rakyat Kabupaten Dairi Tahun 2024
Statistik Kesejahteraan Rakyat Kabupaten Dairi 2024")</f>
        <v>Hasil Pencacahan Lengkap Sensus Pertanian 2024 - Tahap I Kabupaten Dairi
Indeks Pembangunan Manusia Kabupaten Dairi 2024
Indikator Kesejahteraan Rakyat Kabupaten Dairi Tahun 2024
Statistik Kesejahteraan Rakyat Kabupaten Dairi 2024</v>
      </c>
      <c r="G411" s="4" t="s">
        <v>1767</v>
      </c>
    </row>
    <row r="412">
      <c r="A412" s="13" t="str">
        <f>IFERROR(__xludf.DUMMYFUNCTION("""COMPUTED_VALUE"""),"haramjadahscatter@gmail:com")</f>
        <v>haramjadahscatter@gmail:com</v>
      </c>
      <c r="B412" s="13" t="str">
        <f>IFERROR(__xludf.DUMMYFUNCTION("""COMPUTED_VALUE"""),"Kecamatan Sidikalang Dalam Angka 2019")</f>
        <v>Kecamatan Sidikalang Dalam Angka 2019</v>
      </c>
      <c r="C412" s="13" t="str">
        <f>IFERROR(__xludf.DUMMYFUNCTION("""COMPUTED_VALUE"""),"Publikasi")</f>
        <v>Publikasi</v>
      </c>
      <c r="E412" s="19" t="s">
        <v>1517</v>
      </c>
      <c r="F412" s="20" t="str">
        <f>IFERROR(__xludf.DUMMYFUNCTION("JOIN(""
"",FILTER($B412:$B1300,$A412:$A1300=E412))"),"Statistik Kesejahteraan Rakyat Kabupaten Dairi 2022")</f>
        <v>Statistik Kesejahteraan Rakyat Kabupaten Dairi 2022</v>
      </c>
    </row>
    <row r="413">
      <c r="A413" s="13" t="str">
        <f>IFERROR(__xludf.DUMMYFUNCTION("""COMPUTED_VALUE"""),"harrison:stmr@gmail:com")</f>
        <v>harrison:stmr@gmail:com</v>
      </c>
      <c r="B413" s="13" t="str">
        <f>IFERROR(__xludf.DUMMYFUNCTION("""COMPUTED_VALUE"""),"Analisis Hasil Survei Kebutuhan Data BPS Kabupaten Dairi 2024")</f>
        <v>Analisis Hasil Survei Kebutuhan Data BPS Kabupaten Dairi 2024</v>
      </c>
      <c r="C413" s="13" t="str">
        <f>IFERROR(__xludf.DUMMYFUNCTION("""COMPUTED_VALUE"""),"Publikasi")</f>
        <v>Publikasi</v>
      </c>
      <c r="E413" s="19" t="s">
        <v>633</v>
      </c>
      <c r="F413" s="20" t="str">
        <f>IFERROR(__xludf.DUMMYFUNCTION("JOIN(""
"",FILTER($B413:$B1300,$A413:$A1300=E413))"),"Hasil Pencacahan Lengkap Sensus Pertanian 2024 - Tahap I Kabupaten Dairi
Indeks Pembangunan Manusia Kabupaten Dairi 2024
Indikator Kesejahteraan Rakyat Kabupaten Dairi Tahun 2024
Statistik Kesejahteraan Rakyat Kabupaten Dairi 2024
Statistik Tanaman Pangan"&amp;" (Padi dan Palawija) Kabupaten Dairi 2022")</f>
        <v>Hasil Pencacahan Lengkap Sensus Pertanian 2024 - Tahap I Kabupaten Dairi
Indeks Pembangunan Manusia Kabupaten Dairi 2024
Indikator Kesejahteraan Rakyat Kabupaten Dairi Tahun 2024
Statistik Kesejahteraan Rakyat Kabupaten Dairi 2024
Statistik Tanaman Pangan (Padi dan Palawija) Kabupaten Dairi 2022</v>
      </c>
    </row>
    <row r="414">
      <c r="A414" s="13" t="str">
        <f>IFERROR(__xludf.DUMMYFUNCTION("""COMPUTED_VALUE"""),"harrison:stmr@gmail:com")</f>
        <v>harrison:stmr@gmail:com</v>
      </c>
      <c r="B414" s="13" t="str">
        <f>IFERROR(__xludf.DUMMYFUNCTION("""COMPUTED_VALUE"""),"Buklet Hasil Pencacahan Lengkap Sensus Pertanian 2024 - Tahap I Kabupaten Dairi")</f>
        <v>Buklet Hasil Pencacahan Lengkap Sensus Pertanian 2024 - Tahap I Kabupaten Dairi</v>
      </c>
      <c r="C414" s="13" t="str">
        <f>IFERROR(__xludf.DUMMYFUNCTION("""COMPUTED_VALUE"""),"Publikasi")</f>
        <v>Publikasi</v>
      </c>
      <c r="E414" s="19" t="s">
        <v>1223</v>
      </c>
      <c r="F414" s="20" t="str">
        <f>IFERROR(__xludf.DUMMYFUNCTION("JOIN(""
"",FILTER($B414:$B1300,$A414:$A1300=E414))"),"Hasil Pencacahan Lengkap Sensus Pertanian 2024 - Tahap I Kabupaten Dairi
Statistik Hortikultura Kabupaten Dairi Tahun 2022")</f>
        <v>Hasil Pencacahan Lengkap Sensus Pertanian 2024 - Tahap I Kabupaten Dairi
Statistik Hortikultura Kabupaten Dairi Tahun 2022</v>
      </c>
    </row>
    <row r="415">
      <c r="A415" s="13" t="str">
        <f>IFERROR(__xludf.DUMMYFUNCTION("""COMPUTED_VALUE"""),"harrison:stmr@gmail:com")</f>
        <v>harrison:stmr@gmail:com</v>
      </c>
      <c r="B415" s="13" t="str">
        <f>IFERROR(__xludf.DUMMYFUNCTION("""COMPUTED_VALUE"""),"Direktori Perusahaan Konstruksi Kabupaten Dairi 2022")</f>
        <v>Direktori Perusahaan Konstruksi Kabupaten Dairi 2022</v>
      </c>
      <c r="C415" s="13" t="str">
        <f>IFERROR(__xludf.DUMMYFUNCTION("""COMPUTED_VALUE"""),"Publikasi")</f>
        <v>Publikasi</v>
      </c>
      <c r="E415" s="19" t="s">
        <v>1431</v>
      </c>
      <c r="F415" s="20" t="str">
        <f>IFERROR(__xludf.DUMMYFUNCTION("JOIN(""
"",FILTER($B415:$B1300,$A415:$A1300=E415))"),"Kabupaten Dairi Dalam Angka 2024")</f>
        <v>Kabupaten Dairi Dalam Angka 2024</v>
      </c>
    </row>
    <row r="416">
      <c r="A416" s="13" t="str">
        <f>IFERROR(__xludf.DUMMYFUNCTION("""COMPUTED_VALUE"""),"harrison:stmr@gmail:com")</f>
        <v>harrison:stmr@gmail:com</v>
      </c>
      <c r="B416" s="13" t="str">
        <f>IFERROR(__xludf.DUMMYFUNCTION("""COMPUTED_VALUE"""),"Hasil Pencacahan Lengkap Sensus Pertanian 2024 - Tahap I Kabupaten Dairi")</f>
        <v>Hasil Pencacahan Lengkap Sensus Pertanian 2024 - Tahap I Kabupaten Dairi</v>
      </c>
      <c r="C416" s="13" t="str">
        <f>IFERROR(__xludf.DUMMYFUNCTION("""COMPUTED_VALUE"""),"Publikasi")</f>
        <v>Publikasi</v>
      </c>
      <c r="E416" s="19" t="s">
        <v>1170</v>
      </c>
      <c r="F416" s="20" t="str">
        <f>IFERROR(__xludf.DUMMYFUNCTION("JOIN(""
"",FILTER($B416:$B1300,$A416:$A1300=E416))"),"Kabupaten Dairi Dalam Angka 2024")</f>
        <v>Kabupaten Dairi Dalam Angka 2024</v>
      </c>
    </row>
    <row r="417">
      <c r="A417" s="13" t="str">
        <f>IFERROR(__xludf.DUMMYFUNCTION("""COMPUTED_VALUE"""),"harrison:stmr@gmail:com")</f>
        <v>harrison:stmr@gmail:com</v>
      </c>
      <c r="B417" s="13" t="str">
        <f>IFERROR(__xludf.DUMMYFUNCTION("""COMPUTED_VALUE"""),"Indeks Pembangunan Manusia Kabupaten Dairi 2024")</f>
        <v>Indeks Pembangunan Manusia Kabupaten Dairi 2024</v>
      </c>
      <c r="C417" s="13" t="str">
        <f>IFERROR(__xludf.DUMMYFUNCTION("""COMPUTED_VALUE"""),"Publikasi")</f>
        <v>Publikasi</v>
      </c>
      <c r="E417" s="19" t="s">
        <v>1002</v>
      </c>
      <c r="F417" s="20" t="str">
        <f>IFERROR(__xludf.DUMMYFUNCTION("JOIN(""
"",FILTER($B417:$B1300,$A417:$A1300=E417))"),"Kabupaten Dairi Dalam Angka 2018")</f>
        <v>Kabupaten Dairi Dalam Angka 2018</v>
      </c>
    </row>
    <row r="418">
      <c r="A418" s="13" t="str">
        <f>IFERROR(__xludf.DUMMYFUNCTION("""COMPUTED_VALUE"""),"harrison:stmr@gmail:com")</f>
        <v>harrison:stmr@gmail:com</v>
      </c>
      <c r="B418" s="13" t="str">
        <f>IFERROR(__xludf.DUMMYFUNCTION("""COMPUTED_VALUE"""),"Indikator Kesejahteraan Rakyat Kabupaten Dairi Tahun 2024")</f>
        <v>Indikator Kesejahteraan Rakyat Kabupaten Dairi Tahun 2024</v>
      </c>
      <c r="C418" s="13" t="str">
        <f>IFERROR(__xludf.DUMMYFUNCTION("""COMPUTED_VALUE"""),"Publikasi")</f>
        <v>Publikasi</v>
      </c>
      <c r="E418" s="19" t="s">
        <v>1723</v>
      </c>
      <c r="F418" s="20" t="str">
        <f>IFERROR(__xludf.DUMMYFUNCTION("JOIN(""
"",FILTER($B418:$B1300,$A418:$A1300=E418))"),"Kabupaten Dairi Dalam Angka 2022")</f>
        <v>Kabupaten Dairi Dalam Angka 2022</v>
      </c>
    </row>
    <row r="419">
      <c r="A419" s="13" t="str">
        <f>IFERROR(__xludf.DUMMYFUNCTION("""COMPUTED_VALUE"""),"harrison:stmr@gmail:com")</f>
        <v>harrison:stmr@gmail:com</v>
      </c>
      <c r="B419" s="13" t="str">
        <f>IFERROR(__xludf.DUMMYFUNCTION("""COMPUTED_VALUE"""),"Kecamatan Berampu Dalam Angka 2024")</f>
        <v>Kecamatan Berampu Dalam Angka 2024</v>
      </c>
      <c r="C419" s="13" t="str">
        <f>IFERROR(__xludf.DUMMYFUNCTION("""COMPUTED_VALUE"""),"Publikasi")</f>
        <v>Publikasi</v>
      </c>
      <c r="E419" s="19" t="s">
        <v>1106</v>
      </c>
      <c r="F419" s="20" t="str">
        <f>IFERROR(__xludf.DUMMYFUNCTION("JOIN(""
"",FILTER($B419:$B1300,$A419:$A1300=E419))"),"Kabupaten Dairi Dalam Angka 2024")</f>
        <v>Kabupaten Dairi Dalam Angka 2024</v>
      </c>
    </row>
    <row r="420">
      <c r="A420" s="13" t="str">
        <f>IFERROR(__xludf.DUMMYFUNCTION("""COMPUTED_VALUE"""),"harrison:stmr@gmail:com")</f>
        <v>harrison:stmr@gmail:com</v>
      </c>
      <c r="B420" s="13" t="str">
        <f>IFERROR(__xludf.DUMMYFUNCTION("""COMPUTED_VALUE"""),"Kecamatan Gunung Sitember Dalam Angka 2024")</f>
        <v>Kecamatan Gunung Sitember Dalam Angka 2024</v>
      </c>
      <c r="C420" s="13" t="str">
        <f>IFERROR(__xludf.DUMMYFUNCTION("""COMPUTED_VALUE"""),"Publikasi")</f>
        <v>Publikasi</v>
      </c>
      <c r="E420" s="19" t="s">
        <v>1598</v>
      </c>
      <c r="F420" s="20" t="str">
        <f>IFERROR(__xludf.DUMMYFUNCTION("JOIN(""
"",FILTER($B420:$B1300,$A420:$A1300=E420))"),"Kabupaten Dairi Dalam Angka 2021")</f>
        <v>Kabupaten Dairi Dalam Angka 2021</v>
      </c>
    </row>
    <row r="421">
      <c r="A421" s="13" t="str">
        <f>IFERROR(__xludf.DUMMYFUNCTION("""COMPUTED_VALUE"""),"harrison:stmr@gmail:com")</f>
        <v>harrison:stmr@gmail:com</v>
      </c>
      <c r="B421" s="13" t="str">
        <f>IFERROR(__xludf.DUMMYFUNCTION("""COMPUTED_VALUE"""),"Kecamatan Lae Parira Dalam Angka 2024")</f>
        <v>Kecamatan Lae Parira Dalam Angka 2024</v>
      </c>
      <c r="C421" s="13" t="str">
        <f>IFERROR(__xludf.DUMMYFUNCTION("""COMPUTED_VALUE"""),"Publikasi")</f>
        <v>Publikasi</v>
      </c>
      <c r="E421" s="19" t="s">
        <v>1235</v>
      </c>
      <c r="F421" s="20" t="str">
        <f>IFERROR(__xludf.DUMMYFUNCTION("JOIN(""
"",FILTER($B421:$B1300,$A421:$A1300=E421))"),"Kecamatan Parbuluan Dalam Angka 2024")</f>
        <v>Kecamatan Parbuluan Dalam Angka 2024</v>
      </c>
    </row>
    <row r="422">
      <c r="A422" s="13" t="str">
        <f>IFERROR(__xludf.DUMMYFUNCTION("""COMPUTED_VALUE"""),"harrison:stmr@gmail:com")</f>
        <v>harrison:stmr@gmail:com</v>
      </c>
      <c r="B422" s="13" t="str">
        <f>IFERROR(__xludf.DUMMYFUNCTION("""COMPUTED_VALUE"""),"Kecamatan Parbuluan Dalam Angka 2024")</f>
        <v>Kecamatan Parbuluan Dalam Angka 2024</v>
      </c>
      <c r="C422" s="13" t="str">
        <f>IFERROR(__xludf.DUMMYFUNCTION("""COMPUTED_VALUE"""),"Publikasi")</f>
        <v>Publikasi</v>
      </c>
      <c r="E422" s="19" t="s">
        <v>1542</v>
      </c>
      <c r="F422" s="20" t="str">
        <f>IFERROR(__xludf.DUMMYFUNCTION("JOIN(""
"",FILTER($B422:$B1300,$A422:$A1300=E422))"),"Kabupaten Dairi Dalam Angka 2024")</f>
        <v>Kabupaten Dairi Dalam Angka 2024</v>
      </c>
    </row>
    <row r="423">
      <c r="A423" s="13" t="str">
        <f>IFERROR(__xludf.DUMMYFUNCTION("""COMPUTED_VALUE"""),"harrison:stmr@gmail:com")</f>
        <v>harrison:stmr@gmail:com</v>
      </c>
      <c r="B423" s="13" t="str">
        <f>IFERROR(__xludf.DUMMYFUNCTION("""COMPUTED_VALUE"""),"Kecamatan Pegagan Hilir Dalam Angka 2024")</f>
        <v>Kecamatan Pegagan Hilir Dalam Angka 2024</v>
      </c>
      <c r="C423" s="13" t="str">
        <f>IFERROR(__xludf.DUMMYFUNCTION("""COMPUTED_VALUE"""),"Publikasi")</f>
        <v>Publikasi</v>
      </c>
      <c r="E423" s="19" t="s">
        <v>1507</v>
      </c>
      <c r="F423" s="20" t="str">
        <f>IFERROR(__xludf.DUMMYFUNCTION("JOIN(""
"",FILTER($B423:$B1300,$A423:$A1300=E423))"),"Statistik Hortikultura Kabupaten Dairi Tahun 2021
Statistik Tanaman Pangan (Padi dan Palawija) Kabupaten Dairi 2020
Statistik Tanaman Pangan (Padi dan Palawija) Kabupaten Dairi 2021")</f>
        <v>Statistik Hortikultura Kabupaten Dairi Tahun 2021
Statistik Tanaman Pangan (Padi dan Palawija) Kabupaten Dairi 2020
Statistik Tanaman Pangan (Padi dan Palawija) Kabupaten Dairi 2021</v>
      </c>
    </row>
    <row r="424">
      <c r="A424" s="13" t="str">
        <f>IFERROR(__xludf.DUMMYFUNCTION("""COMPUTED_VALUE"""),"harrison:stmr@gmail:com")</f>
        <v>harrison:stmr@gmail:com</v>
      </c>
      <c r="B424" s="13" t="str">
        <f>IFERROR(__xludf.DUMMYFUNCTION("""COMPUTED_VALUE"""),"Kecamatan Sidikalang Dalam Angka 2024")</f>
        <v>Kecamatan Sidikalang Dalam Angka 2024</v>
      </c>
      <c r="C424" s="13" t="str">
        <f>IFERROR(__xludf.DUMMYFUNCTION("""COMPUTED_VALUE"""),"Publikasi")</f>
        <v>Publikasi</v>
      </c>
      <c r="E424" s="19" t="s">
        <v>1591</v>
      </c>
      <c r="F424" s="20" t="str">
        <f>IFERROR(__xludf.DUMMYFUNCTION("JOIN(""
"",FILTER($B424:$B1300,$A424:$A1300=E424))"),"Statistik Kesejahteraan Rakyat Kabupaten Dairi 2022")</f>
        <v>Statistik Kesejahteraan Rakyat Kabupaten Dairi 2022</v>
      </c>
    </row>
    <row r="425">
      <c r="A425" s="13" t="str">
        <f>IFERROR(__xludf.DUMMYFUNCTION("""COMPUTED_VALUE"""),"harrison:stmr@gmail:com")</f>
        <v>harrison:stmr@gmail:com</v>
      </c>
      <c r="B425" s="13" t="str">
        <f>IFERROR(__xludf.DUMMYFUNCTION("""COMPUTED_VALUE"""),"Kecamatan Siempat Nempu Dalam Angka 2024")</f>
        <v>Kecamatan Siempat Nempu Dalam Angka 2024</v>
      </c>
      <c r="C425" s="13" t="str">
        <f>IFERROR(__xludf.DUMMYFUNCTION("""COMPUTED_VALUE"""),"Publikasi")</f>
        <v>Publikasi</v>
      </c>
      <c r="E425" s="19" t="s">
        <v>1414</v>
      </c>
      <c r="F425" s="20" t="str">
        <f>IFERROR(__xludf.DUMMYFUNCTION("JOIN(""
"",FILTER($B425:$B1300,$A425:$A1300=E425))"),"Indikator Kesejahteraan Rakyat Kabupaten Dairi Tahun 2024")</f>
        <v>Indikator Kesejahteraan Rakyat Kabupaten Dairi Tahun 2024</v>
      </c>
    </row>
    <row r="426">
      <c r="A426" s="13" t="str">
        <f>IFERROR(__xludf.DUMMYFUNCTION("""COMPUTED_VALUE"""),"harrison:stmr@gmail:com")</f>
        <v>harrison:stmr@gmail:com</v>
      </c>
      <c r="B426" s="13" t="str">
        <f>IFERROR(__xludf.DUMMYFUNCTION("""COMPUTED_VALUE"""),"Kecamatan Siempat Nempu Hilir Dalam Angka 2024")</f>
        <v>Kecamatan Siempat Nempu Hilir Dalam Angka 2024</v>
      </c>
      <c r="C426" s="13" t="str">
        <f>IFERROR(__xludf.DUMMYFUNCTION("""COMPUTED_VALUE"""),"Publikasi")</f>
        <v>Publikasi</v>
      </c>
      <c r="E426" s="19" t="s">
        <v>1312</v>
      </c>
      <c r="F426" s="20" t="str">
        <f>IFERROR(__xludf.DUMMYFUNCTION("JOIN(""
"",FILTER($B426:$B1300,$A426:$A1300=E426))"),"Kabupaten Dairi Dalam Angka 2024
Kecamatan Sidikalang Dalam Angka 2024")</f>
        <v>Kabupaten Dairi Dalam Angka 2024
Kecamatan Sidikalang Dalam Angka 2024</v>
      </c>
    </row>
    <row r="427">
      <c r="A427" s="13" t="str">
        <f>IFERROR(__xludf.DUMMYFUNCTION("""COMPUTED_VALUE"""),"harrison:stmr@gmail:com")</f>
        <v>harrison:stmr@gmail:com</v>
      </c>
      <c r="B427" s="13" t="str">
        <f>IFERROR(__xludf.DUMMYFUNCTION("""COMPUTED_VALUE"""),"Kecamatan Siempat Nempu Hulu Dalam Angka 2024")</f>
        <v>Kecamatan Siempat Nempu Hulu Dalam Angka 2024</v>
      </c>
      <c r="C427" s="13" t="str">
        <f>IFERROR(__xludf.DUMMYFUNCTION("""COMPUTED_VALUE"""),"Publikasi")</f>
        <v>Publikasi</v>
      </c>
      <c r="E427" s="19" t="s">
        <v>1181</v>
      </c>
      <c r="F427" s="20" t="str">
        <f>IFERROR(__xludf.DUMMYFUNCTION("JOIN(""
"",FILTER($B427:$B1300,$A427:$A1300=E427))"),"Kabupaten Dairi Dalam Angka 2024")</f>
        <v>Kabupaten Dairi Dalam Angka 2024</v>
      </c>
    </row>
    <row r="428">
      <c r="A428" s="13" t="str">
        <f>IFERROR(__xludf.DUMMYFUNCTION("""COMPUTED_VALUE"""),"harrison:stmr@gmail:com")</f>
        <v>harrison:stmr@gmail:com</v>
      </c>
      <c r="B428" s="13" t="str">
        <f>IFERROR(__xludf.DUMMYFUNCTION("""COMPUTED_VALUE"""),"Kecamatan Silahisabungan Dalam Angka 2024")</f>
        <v>Kecamatan Silahisabungan Dalam Angka 2024</v>
      </c>
      <c r="C428" s="13" t="str">
        <f>IFERROR(__xludf.DUMMYFUNCTION("""COMPUTED_VALUE"""),"Publikasi")</f>
        <v>Publikasi</v>
      </c>
      <c r="E428" s="19" t="s">
        <v>1743</v>
      </c>
      <c r="F428" s="20" t="str">
        <f>IFERROR(__xludf.DUMMYFUNCTION("JOIN(""
"",FILTER($B428:$B1300,$A428:$A1300=E428))"),"Kabupaten Dairi Dalam Angka 2020
Kabupaten Dairi Dalam Angka 2022
Kecamatan Lae Parira Dalam Angka 2021")</f>
        <v>Kabupaten Dairi Dalam Angka 2020
Kabupaten Dairi Dalam Angka 2022
Kecamatan Lae Parira Dalam Angka 2021</v>
      </c>
    </row>
    <row r="429">
      <c r="A429" s="13" t="str">
        <f>IFERROR(__xludf.DUMMYFUNCTION("""COMPUTED_VALUE"""),"harrison:stmr@gmail:com")</f>
        <v>harrison:stmr@gmail:com</v>
      </c>
      <c r="B429" s="13" t="str">
        <f>IFERROR(__xludf.DUMMYFUNCTION("""COMPUTED_VALUE"""),"Kecamatan Silima Pungga-Pungga Dalam Angka 2024")</f>
        <v>Kecamatan Silima Pungga-Pungga Dalam Angka 2024</v>
      </c>
      <c r="C429" s="13" t="str">
        <f>IFERROR(__xludf.DUMMYFUNCTION("""COMPUTED_VALUE"""),"Publikasi")</f>
        <v>Publikasi</v>
      </c>
      <c r="E429" s="19" t="s">
        <v>1129</v>
      </c>
      <c r="F429" s="20" t="str">
        <f>IFERROR(__xludf.DUMMYFUNCTION("JOIN(""
"",FILTER($B429:$B1300,$A429:$A1300=E429))"),"Kecamatan Parbuluan Dalam Angka 2024")</f>
        <v>Kecamatan Parbuluan Dalam Angka 2024</v>
      </c>
    </row>
    <row r="430">
      <c r="A430" s="13" t="str">
        <f>IFERROR(__xludf.DUMMYFUNCTION("""COMPUTED_VALUE"""),"harrison:stmr@gmail:com")</f>
        <v>harrison:stmr@gmail:com</v>
      </c>
      <c r="B430" s="13" t="str">
        <f>IFERROR(__xludf.DUMMYFUNCTION("""COMPUTED_VALUE"""),"Kecamatan Sitinjo Dalam Angka 2024")</f>
        <v>Kecamatan Sitinjo Dalam Angka 2024</v>
      </c>
      <c r="C430" s="13" t="str">
        <f>IFERROR(__xludf.DUMMYFUNCTION("""COMPUTED_VALUE"""),"Publikasi")</f>
        <v>Publikasi</v>
      </c>
      <c r="E430" s="19" t="s">
        <v>1224</v>
      </c>
      <c r="F430" s="20" t="str">
        <f>IFERROR(__xludf.DUMMYFUNCTION("JOIN(""
"",FILTER($B430:$B1300,$A430:$A1300=E430))"),"Kecamatan Sumbul Dalam Angka 2024")</f>
        <v>Kecamatan Sumbul Dalam Angka 2024</v>
      </c>
    </row>
    <row r="431">
      <c r="A431" s="13" t="str">
        <f>IFERROR(__xludf.DUMMYFUNCTION("""COMPUTED_VALUE"""),"harrison:stmr@gmail:com")</f>
        <v>harrison:stmr@gmail:com</v>
      </c>
      <c r="B431" s="13" t="str">
        <f>IFERROR(__xludf.DUMMYFUNCTION("""COMPUTED_VALUE"""),"Kecamatan Sumbul Dalam Angka 2024")</f>
        <v>Kecamatan Sumbul Dalam Angka 2024</v>
      </c>
      <c r="C431" s="13" t="str">
        <f>IFERROR(__xludf.DUMMYFUNCTION("""COMPUTED_VALUE"""),"Publikasi")</f>
        <v>Publikasi</v>
      </c>
      <c r="E431" s="19" t="s">
        <v>1732</v>
      </c>
      <c r="F431" s="20" t="str">
        <f>IFERROR(__xludf.DUMMYFUNCTION("JOIN(""
"",FILTER($B431:$B1300,$A431:$A1300=E431))"),"Kecamatan Sitinjo Dalam Angka 2021")</f>
        <v>Kecamatan Sitinjo Dalam Angka 2021</v>
      </c>
    </row>
    <row r="432">
      <c r="A432" s="13" t="str">
        <f>IFERROR(__xludf.DUMMYFUNCTION("""COMPUTED_VALUE"""),"harrison:stmr@gmail:com")</f>
        <v>harrison:stmr@gmail:com</v>
      </c>
      <c r="B432" s="13" t="str">
        <f>IFERROR(__xludf.DUMMYFUNCTION("""COMPUTED_VALUE"""),"Kecamatan Tanah Pinem Dalam Angka 2024")</f>
        <v>Kecamatan Tanah Pinem Dalam Angka 2024</v>
      </c>
      <c r="C432" s="13" t="str">
        <f>IFERROR(__xludf.DUMMYFUNCTION("""COMPUTED_VALUE"""),"Publikasi")</f>
        <v>Publikasi</v>
      </c>
      <c r="E432" s="19" t="s">
        <v>1492</v>
      </c>
      <c r="F432" s="20" t="str">
        <f>IFERROR(__xludf.DUMMYFUNCTION("JOIN(""
"",FILTER($B432:$B1300,$A432:$A1300=E432))"),"Indikator Kesejahteraan Rakyat Kabupaten Dairi Tahun 2022
Kabupaten Dairi Dalam Angka 2024
Statistik Kesejahteraan Rakyat Kabupaten Dairi 2022")</f>
        <v>Indikator Kesejahteraan Rakyat Kabupaten Dairi Tahun 2022
Kabupaten Dairi Dalam Angka 2024
Statistik Kesejahteraan Rakyat Kabupaten Dairi 2022</v>
      </c>
    </row>
    <row r="433">
      <c r="A433" s="13" t="str">
        <f>IFERROR(__xludf.DUMMYFUNCTION("""COMPUTED_VALUE"""),"harrison:stmr@gmail:com")</f>
        <v>harrison:stmr@gmail:com</v>
      </c>
      <c r="B433" s="13" t="str">
        <f>IFERROR(__xludf.DUMMYFUNCTION("""COMPUTED_VALUE"""),"Kecamatan Tiga Lingga Dalam Angka 2024")</f>
        <v>Kecamatan Tiga Lingga Dalam Angka 2024</v>
      </c>
      <c r="C433" s="13" t="str">
        <f>IFERROR(__xludf.DUMMYFUNCTION("""COMPUTED_VALUE"""),"Publikasi")</f>
        <v>Publikasi</v>
      </c>
      <c r="E433" s="19" t="s">
        <v>1545</v>
      </c>
      <c r="F433" s="20" t="str">
        <f>IFERROR(__xludf.DUMMYFUNCTION("JOIN(""
"",FILTER($B433:$B1300,$A433:$A1300=E433))"),"Kabupaten Dairi Dalam Angka 2022")</f>
        <v>Kabupaten Dairi Dalam Angka 2022</v>
      </c>
    </row>
    <row r="434">
      <c r="A434" s="13" t="str">
        <f>IFERROR(__xludf.DUMMYFUNCTION("""COMPUTED_VALUE"""),"harrison:stmr@gmail:com")</f>
        <v>harrison:stmr@gmail:com</v>
      </c>
      <c r="B434" s="13" t="str">
        <f>IFERROR(__xludf.DUMMYFUNCTION("""COMPUTED_VALUE"""),"Profil Kependudukan dan Ketenagakerjaan Kabupaten Dairi 2022")</f>
        <v>Profil Kependudukan dan Ketenagakerjaan Kabupaten Dairi 2022</v>
      </c>
      <c r="C434" s="13" t="str">
        <f>IFERROR(__xludf.DUMMYFUNCTION("""COMPUTED_VALUE"""),"Publikasi")</f>
        <v>Publikasi</v>
      </c>
      <c r="E434" s="19" t="s">
        <v>1171</v>
      </c>
      <c r="F434" s="20" t="str">
        <f>IFERROR(__xludf.DUMMYFUNCTION("JOIN(""
"",FILTER($B434:$B1300,$A434:$A1300=E434))"),"Kabupaten Dairi Dalam Angka 2024")</f>
        <v>Kabupaten Dairi Dalam Angka 2024</v>
      </c>
    </row>
    <row r="435">
      <c r="A435" s="13" t="str">
        <f>IFERROR(__xludf.DUMMYFUNCTION("""COMPUTED_VALUE"""),"harrison:stmr@gmail:com")</f>
        <v>harrison:stmr@gmail:com</v>
      </c>
      <c r="B435" s="13" t="str">
        <f>IFERROR(__xludf.DUMMYFUNCTION("""COMPUTED_VALUE"""),"Statistik Daerah Kabupaten Dairi 2024")</f>
        <v>Statistik Daerah Kabupaten Dairi 2024</v>
      </c>
      <c r="C435" s="13" t="str">
        <f>IFERROR(__xludf.DUMMYFUNCTION("""COMPUTED_VALUE"""),"Publikasi")</f>
        <v>Publikasi</v>
      </c>
      <c r="E435" s="19" t="s">
        <v>1489</v>
      </c>
      <c r="F435" s="20" t="str">
        <f>IFERROR(__xludf.DUMMYFUNCTION("JOIN(""
"",FILTER($B435:$B1300,$A435:$A1300=E435))"),"Kabupaten Dairi Dalam Angka 2024")</f>
        <v>Kabupaten Dairi Dalam Angka 2024</v>
      </c>
    </row>
    <row r="436">
      <c r="A436" s="13" t="str">
        <f>IFERROR(__xludf.DUMMYFUNCTION("""COMPUTED_VALUE"""),"harrison:stmr@gmail:com")</f>
        <v>harrison:stmr@gmail:com</v>
      </c>
      <c r="B436" s="13" t="str">
        <f>IFERROR(__xludf.DUMMYFUNCTION("""COMPUTED_VALUE"""),"Statistik Hortikultura Kabupaten Dairi Tahun 2022")</f>
        <v>Statistik Hortikultura Kabupaten Dairi Tahun 2022</v>
      </c>
      <c r="C436" s="13" t="str">
        <f>IFERROR(__xludf.DUMMYFUNCTION("""COMPUTED_VALUE"""),"Publikasi")</f>
        <v>Publikasi</v>
      </c>
      <c r="E436" s="19" t="s">
        <v>1105</v>
      </c>
      <c r="F436" s="20" t="str">
        <f>IFERROR(__xludf.DUMMYFUNCTION("JOIN(""
"",FILTER($B436:$B1300,$A436:$A1300=E436))"),"Analisis Hasil Survei Kebutuhan Data BPS Kabupaten Dairi 2024
Indikator Kesejahteraan Rakyat Kabupaten Dairi Tahun 2022
Kabupaten Dairi Dalam Angka 2024")</f>
        <v>Analisis Hasil Survei Kebutuhan Data BPS Kabupaten Dairi 2024
Indikator Kesejahteraan Rakyat Kabupaten Dairi Tahun 2022
Kabupaten Dairi Dalam Angka 2024</v>
      </c>
    </row>
    <row r="437">
      <c r="A437" s="13" t="str">
        <f>IFERROR(__xludf.DUMMYFUNCTION("""COMPUTED_VALUE"""),"harrison:stmr@gmail:com")</f>
        <v>harrison:stmr@gmail:com</v>
      </c>
      <c r="B437" s="13" t="str">
        <f>IFERROR(__xludf.DUMMYFUNCTION("""COMPUTED_VALUE"""),"Statistik Kesejahteraan Rakyat Kabupaten Dairi 2024")</f>
        <v>Statistik Kesejahteraan Rakyat Kabupaten Dairi 2024</v>
      </c>
      <c r="C437" s="13" t="str">
        <f>IFERROR(__xludf.DUMMYFUNCTION("""COMPUTED_VALUE"""),"Publikasi")</f>
        <v>Publikasi</v>
      </c>
      <c r="E437" s="19" t="s">
        <v>1535</v>
      </c>
      <c r="F437" s="20" t="str">
        <f>IFERROR(__xludf.DUMMYFUNCTION("JOIN(""
"",FILTER($B437:$B1300,$A437:$A1300=E437))"),"Kabupaten Dairi Dalam Angka 2024")</f>
        <v>Kabupaten Dairi Dalam Angka 2024</v>
      </c>
    </row>
    <row r="438">
      <c r="A438" s="13" t="str">
        <f>IFERROR(__xludf.DUMMYFUNCTION("""COMPUTED_VALUE"""),"hartami:kautsar@kubika:id")</f>
        <v>hartami:kautsar@kubika:id</v>
      </c>
      <c r="B438" s="13" t="str">
        <f>IFERROR(__xludf.DUMMYFUNCTION("""COMPUTED_VALUE"""),"Kabupaten Dairi Dalam Angka 2024")</f>
        <v>Kabupaten Dairi Dalam Angka 2024</v>
      </c>
      <c r="C438" s="13" t="str">
        <f>IFERROR(__xludf.DUMMYFUNCTION("""COMPUTED_VALUE"""),"Publikasi")</f>
        <v>Publikasi</v>
      </c>
      <c r="E438" s="19" t="s">
        <v>1456</v>
      </c>
      <c r="F438" s="20" t="str">
        <f>IFERROR(__xludf.DUMMYFUNCTION("JOIN(""
"",FILTER($B438:$B1300,$A438:$A1300=E438))"),"Kabupaten Dairi Dalam Angka 2020")</f>
        <v>Kabupaten Dairi Dalam Angka 2020</v>
      </c>
    </row>
    <row r="439">
      <c r="A439" s="13" t="str">
        <f>IFERROR(__xludf.DUMMYFUNCTION("""COMPUTED_VALUE"""),"hendraputranta00@gmail:com")</f>
        <v>hendraputranta00@gmail:com</v>
      </c>
      <c r="B439" s="13" t="str">
        <f>IFERROR(__xludf.DUMMYFUNCTION("""COMPUTED_VALUE"""),"Statistik Tanaman Pangan (Padi dan Palawija) Kabupaten Dairi 2022")</f>
        <v>Statistik Tanaman Pangan (Padi dan Palawija) Kabupaten Dairi 2022</v>
      </c>
      <c r="C439" s="13" t="str">
        <f>IFERROR(__xludf.DUMMYFUNCTION("""COMPUTED_VALUE"""),"Publikasi")</f>
        <v>Publikasi</v>
      </c>
      <c r="E439" s="19" t="s">
        <v>1725</v>
      </c>
      <c r="F439" s="20" t="str">
        <f>IFERROR(__xludf.DUMMYFUNCTION("JOIN(""
"",FILTER($B439:$B1300,$A439:$A1300=E439))"),"Kabupaten Dairi Dalam Angka 2022")</f>
        <v>Kabupaten Dairi Dalam Angka 2022</v>
      </c>
    </row>
    <row r="440">
      <c r="A440" s="13" t="str">
        <f>IFERROR(__xludf.DUMMYFUNCTION("""COMPUTED_VALUE"""),"hendrialfa97@gmail:com")</f>
        <v>hendrialfa97@gmail:com</v>
      </c>
      <c r="B440" s="13" t="str">
        <f>IFERROR(__xludf.DUMMYFUNCTION("""COMPUTED_VALUE"""),"Kabupaten Dairi Dalam Angka 2024")</f>
        <v>Kabupaten Dairi Dalam Angka 2024</v>
      </c>
      <c r="C440" s="13" t="str">
        <f>IFERROR(__xludf.DUMMYFUNCTION("""COMPUTED_VALUE"""),"Publikasi")</f>
        <v>Publikasi</v>
      </c>
      <c r="E440" s="19" t="s">
        <v>1719</v>
      </c>
      <c r="F440" s="20" t="str">
        <f>IFERROR(__xludf.DUMMYFUNCTION("JOIN(""
"",FILTER($B440:$B1300,$A440:$A1300=E440))"),"Kabupaten Dairi Dalam Angka 2022")</f>
        <v>Kabupaten Dairi Dalam Angka 2022</v>
      </c>
    </row>
    <row r="441">
      <c r="A441" s="13" t="str">
        <f>IFERROR(__xludf.DUMMYFUNCTION("""COMPUTED_VALUE"""),"hennitumangger55@gmail:com")</f>
        <v>hennitumangger55@gmail:com</v>
      </c>
      <c r="B441" s="13" t="str">
        <f>IFERROR(__xludf.DUMMYFUNCTION("""COMPUTED_VALUE"""),"Kabupaten Dairi Dalam Angka 2024")</f>
        <v>Kabupaten Dairi Dalam Angka 2024</v>
      </c>
      <c r="C441" s="13" t="str">
        <f>IFERROR(__xludf.DUMMYFUNCTION("""COMPUTED_VALUE"""),"Publikasi")</f>
        <v>Publikasi</v>
      </c>
      <c r="E441" s="19" t="s">
        <v>1716</v>
      </c>
      <c r="F441" s="20" t="str">
        <f>IFERROR(__xludf.DUMMYFUNCTION("JOIN(""
"",FILTER($B441:$B1300,$A441:$A1300=E441))"),"Kecamatan Parbuluan Dalam Angka 2022
Kecamatan Sitinjo Dalam Angka 2021
Kecamatan Sitinjo Dalam Angka 2022")</f>
        <v>Kecamatan Parbuluan Dalam Angka 2022
Kecamatan Sitinjo Dalam Angka 2021
Kecamatan Sitinjo Dalam Angka 2022</v>
      </c>
    </row>
    <row r="442">
      <c r="A442" s="13" t="str">
        <f>IFERROR(__xludf.DUMMYFUNCTION("""COMPUTED_VALUE"""),"hennytumangger@gmail:com")</f>
        <v>hennytumangger@gmail:com</v>
      </c>
      <c r="B442" s="13" t="str">
        <f>IFERROR(__xludf.DUMMYFUNCTION("""COMPUTED_VALUE"""),"Kabupaten Dairi Dalam Angka 2022")</f>
        <v>Kabupaten Dairi Dalam Angka 2022</v>
      </c>
      <c r="C442" s="13" t="str">
        <f>IFERROR(__xludf.DUMMYFUNCTION("""COMPUTED_VALUE"""),"Publikasi")</f>
        <v>Publikasi</v>
      </c>
      <c r="E442" s="19" t="s">
        <v>1606</v>
      </c>
      <c r="F442" s="20" t="str">
        <f>IFERROR(__xludf.DUMMYFUNCTION("JOIN(""
"",FILTER($B442:$B1300,$A442:$A1300=E442))"),"Kabupaten Dairi Dalam Angka 2022")</f>
        <v>Kabupaten Dairi Dalam Angka 2022</v>
      </c>
    </row>
    <row r="443">
      <c r="A443" s="13" t="str">
        <f>IFERROR(__xludf.DUMMYFUNCTION("""COMPUTED_VALUE"""),"hennytumangger@gmail:com")</f>
        <v>hennytumangger@gmail:com</v>
      </c>
      <c r="B443" s="13" t="str">
        <f>IFERROR(__xludf.DUMMYFUNCTION("""COMPUTED_VALUE"""),"Kabupaten Dairi Dalam Angka 2024")</f>
        <v>Kabupaten Dairi Dalam Angka 2024</v>
      </c>
      <c r="C443" s="13" t="str">
        <f>IFERROR(__xludf.DUMMYFUNCTION("""COMPUTED_VALUE"""),"Publikasi")</f>
        <v>Publikasi</v>
      </c>
      <c r="E443" s="19" t="s">
        <v>1442</v>
      </c>
      <c r="F443" s="20" t="str">
        <f>IFERROR(__xludf.DUMMYFUNCTION("JOIN(""
"",FILTER($B443:$B1300,$A443:$A1300=E443))"),"Kabupaten Dairi Dalam Angka 2024")</f>
        <v>Kabupaten Dairi Dalam Angka 2024</v>
      </c>
    </row>
    <row r="444">
      <c r="A444" s="13" t="str">
        <f>IFERROR(__xludf.DUMMYFUNCTION("""COMPUTED_VALUE"""),"herdianpurba2018@gmail:com")</f>
        <v>herdianpurba2018@gmail:com</v>
      </c>
      <c r="B444" s="13" t="str">
        <f>IFERROR(__xludf.DUMMYFUNCTION("""COMPUTED_VALUE"""),"Kabupaten Dairi Dalam Angka 2024")</f>
        <v>Kabupaten Dairi Dalam Angka 2024</v>
      </c>
      <c r="C444" s="13" t="str">
        <f>IFERROR(__xludf.DUMMYFUNCTION("""COMPUTED_VALUE"""),"Publikasi")</f>
        <v>Publikasi</v>
      </c>
      <c r="E444" s="19" t="s">
        <v>1478</v>
      </c>
      <c r="F444" s="20" t="str">
        <f>IFERROR(__xludf.DUMMYFUNCTION("JOIN(""
"",FILTER($B444:$B1300,$A444:$A1300=E444))"),"Kecamatan Parbuluan Dalam Angka 2016
Kecamatan Pegagan Hilir Dalam Angka 2021
Kecamatan Sitinjo Dalam Angka 2016
Kecamatan Sitinjo Dalam Angka 2019
Kecamatan Sumbul Dalam Angka 2016")</f>
        <v>Kecamatan Parbuluan Dalam Angka 2016
Kecamatan Pegagan Hilir Dalam Angka 2021
Kecamatan Sitinjo Dalam Angka 2016
Kecamatan Sitinjo Dalam Angka 2019
Kecamatan Sumbul Dalam Angka 2016</v>
      </c>
    </row>
    <row r="445">
      <c r="A445" s="13" t="str">
        <f>IFERROR(__xludf.DUMMYFUNCTION("""COMPUTED_VALUE"""),"hkun774@gmail:com")</f>
        <v>hkun774@gmail:com</v>
      </c>
      <c r="B445" s="13" t="str">
        <f>IFERROR(__xludf.DUMMYFUNCTION("""COMPUTED_VALUE"""),"Indikator Kesejahteraan Rakyat Kabupaten Dairi Tahun 2024")</f>
        <v>Indikator Kesejahteraan Rakyat Kabupaten Dairi Tahun 2024</v>
      </c>
      <c r="C445" s="13" t="str">
        <f>IFERROR(__xludf.DUMMYFUNCTION("""COMPUTED_VALUE"""),"Publikasi")</f>
        <v>Publikasi</v>
      </c>
      <c r="E445" s="19" t="s">
        <v>1758</v>
      </c>
      <c r="F445" s="20" t="str">
        <f>IFERROR(__xludf.DUMMYFUNCTION("JOIN(""
"",FILTER($B445:$B1300,$A445:$A1300=E445))"),"Kecamatan Sidikalang Dalam Angka 2022")</f>
        <v>Kecamatan Sidikalang Dalam Angka 2022</v>
      </c>
    </row>
    <row r="446">
      <c r="A446" s="13" t="str">
        <f>IFERROR(__xludf.DUMMYFUNCTION("""COMPUTED_VALUE"""),"hoirul188220139@gmail:com")</f>
        <v>hoirul188220139@gmail:com</v>
      </c>
      <c r="B446" s="13" t="str">
        <f>IFERROR(__xludf.DUMMYFUNCTION("""COMPUTED_VALUE"""),"Kecamatan Pegagan Hilir Dalam Angka 2021")</f>
        <v>Kecamatan Pegagan Hilir Dalam Angka 2021</v>
      </c>
      <c r="C446" s="13" t="str">
        <f>IFERROR(__xludf.DUMMYFUNCTION("""COMPUTED_VALUE"""),"Publikasi")</f>
        <v>Publikasi</v>
      </c>
      <c r="E446" s="19" t="s">
        <v>1658</v>
      </c>
      <c r="F446" s="20" t="str">
        <f>IFERROR(__xludf.DUMMYFUNCTION("JOIN(""
"",FILTER($B446:$B1300,$A446:$A1300=E446))"),"Kabupaten Dairi Dalam Angka 2015
Kabupaten Dairi Dalam Angka 2017")</f>
        <v>Kabupaten Dairi Dalam Angka 2015
Kabupaten Dairi Dalam Angka 2017</v>
      </c>
    </row>
    <row r="447">
      <c r="A447" s="13" t="str">
        <f>IFERROR(__xludf.DUMMYFUNCTION("""COMPUTED_VALUE"""),"hot64gul@gmail:com")</f>
        <v>hot64gul@gmail:com</v>
      </c>
      <c r="B447" s="13" t="str">
        <f>IFERROR(__xludf.DUMMYFUNCTION("""COMPUTED_VALUE"""),"Hasil Pencacahan Lengkap Sensus Pertanian 2024 - Tahap I Kabupaten Dairi")</f>
        <v>Hasil Pencacahan Lengkap Sensus Pertanian 2024 - Tahap I Kabupaten Dairi</v>
      </c>
      <c r="C447" s="13" t="str">
        <f>IFERROR(__xludf.DUMMYFUNCTION("""COMPUTED_VALUE"""),"Publikasi")</f>
        <v>Publikasi</v>
      </c>
      <c r="E447" s="19" t="s">
        <v>1167</v>
      </c>
      <c r="F447" s="20" t="str">
        <f>IFERROR(__xludf.DUMMYFUNCTION("JOIN(""
"",FILTER($B447:$B1300,$A447:$A1300=E447))"),"Kabupaten Dairi Dalam Angka 2019
Kabupaten Dairi Dalam Angka 2020
Kabupaten Dairi Dalam Angka 2021
Kabupaten Dairi Dalam Angka 2022
Kabupaten Dairi Dalam Angka 2024")</f>
        <v>Kabupaten Dairi Dalam Angka 2019
Kabupaten Dairi Dalam Angka 2020
Kabupaten Dairi Dalam Angka 2021
Kabupaten Dairi Dalam Angka 2022
Kabupaten Dairi Dalam Angka 2024</v>
      </c>
    </row>
    <row r="448">
      <c r="A448" s="13" t="str">
        <f>IFERROR(__xludf.DUMMYFUNCTION("""COMPUTED_VALUE"""),"hot64gul@gmail:com")</f>
        <v>hot64gul@gmail:com</v>
      </c>
      <c r="B448" s="13" t="str">
        <f>IFERROR(__xludf.DUMMYFUNCTION("""COMPUTED_VALUE"""),"Indikator Kesejahteraan Rakyat Kabupaten Dairi Tahun 2024")</f>
        <v>Indikator Kesejahteraan Rakyat Kabupaten Dairi Tahun 2024</v>
      </c>
      <c r="C448" s="13" t="str">
        <f>IFERROR(__xludf.DUMMYFUNCTION("""COMPUTED_VALUE"""),"Publikasi")</f>
        <v>Publikasi</v>
      </c>
      <c r="E448" s="19" t="s">
        <v>1736</v>
      </c>
      <c r="F448" s="20" t="str">
        <f>IFERROR(__xludf.DUMMYFUNCTION("JOIN(""
"",FILTER($B448:$B1300,$A448:$A1300=E448))"),"Statistik Daerah Kabupaten Dairi 2021
Statistik Hortikultura Kabupaten Dairi Tahun 2021")</f>
        <v>Statistik Daerah Kabupaten Dairi 2021
Statistik Hortikultura Kabupaten Dairi Tahun 2021</v>
      </c>
    </row>
    <row r="449">
      <c r="A449" s="13" t="str">
        <f>IFERROR(__xludf.DUMMYFUNCTION("""COMPUTED_VALUE"""),"hot64gul@gmail:com")</f>
        <v>hot64gul@gmail:com</v>
      </c>
      <c r="B449" s="13" t="str">
        <f>IFERROR(__xludf.DUMMYFUNCTION("""COMPUTED_VALUE"""),"Statistik Kesejahteraan Rakyat Kabupaten Dairi 2024")</f>
        <v>Statistik Kesejahteraan Rakyat Kabupaten Dairi 2024</v>
      </c>
      <c r="C449" s="13" t="str">
        <f>IFERROR(__xludf.DUMMYFUNCTION("""COMPUTED_VALUE"""),"Publikasi")</f>
        <v>Publikasi</v>
      </c>
      <c r="E449" s="19" t="s">
        <v>1500</v>
      </c>
      <c r="F449" s="20" t="str">
        <f>IFERROR(__xludf.DUMMYFUNCTION("JOIN(""
"",FILTER($B449:$B1300,$A449:$A1300=E449))"),"Kabupaten Dairi Dalam Angka 2018")</f>
        <v>Kabupaten Dairi Dalam Angka 2018</v>
      </c>
    </row>
    <row r="450">
      <c r="A450" s="13" t="str">
        <f>IFERROR(__xludf.DUMMYFUNCTION("""COMPUTED_VALUE"""),"hotliana:lumbanbatu@student:uhn:ac:id")</f>
        <v>hotliana:lumbanbatu@student:uhn:ac:id</v>
      </c>
      <c r="B450" s="13" t="str">
        <f>IFERROR(__xludf.DUMMYFUNCTION("""COMPUTED_VALUE"""),"Produk Domestik Regional Bruto Kabupaten Dairi Menurut Lapangan Usaha 2018 - 2022")</f>
        <v>Produk Domestik Regional Bruto Kabupaten Dairi Menurut Lapangan Usaha 2018 - 2022</v>
      </c>
      <c r="C450" s="13" t="str">
        <f>IFERROR(__xludf.DUMMYFUNCTION("""COMPUTED_VALUE"""),"Publikasi")</f>
        <v>Publikasi</v>
      </c>
      <c r="E450" s="19" t="s">
        <v>1480</v>
      </c>
      <c r="F450" s="20" t="str">
        <f>IFERROR(__xludf.DUMMYFUNCTION("JOIN(""
"",FILTER($B450:$B1300,$A450:$A1300=E450))"),"Profil Kependudukan dan Ketenagakerjaan Kabupaten Dairi 2022")</f>
        <v>Profil Kependudukan dan Ketenagakerjaan Kabupaten Dairi 2022</v>
      </c>
    </row>
    <row r="451">
      <c r="A451" s="13" t="str">
        <f>IFERROR(__xludf.DUMMYFUNCTION("""COMPUTED_VALUE"""),"hotliana:lumbanbatu@student:uhn:ac:id")</f>
        <v>hotliana:lumbanbatu@student:uhn:ac:id</v>
      </c>
      <c r="B451" s="13" t="str">
        <f>IFERROR(__xludf.DUMMYFUNCTION("""COMPUTED_VALUE"""),"Statistik Kesejahteraan Rakyat Kabupaten Dairi 2024")</f>
        <v>Statistik Kesejahteraan Rakyat Kabupaten Dairi 2024</v>
      </c>
      <c r="C451" s="13" t="str">
        <f>IFERROR(__xludf.DUMMYFUNCTION("""COMPUTED_VALUE"""),"Publikasi")</f>
        <v>Publikasi</v>
      </c>
      <c r="E451" s="19" t="s">
        <v>384</v>
      </c>
      <c r="F451" s="20" t="str">
        <f>IFERROR(__xludf.DUMMYFUNCTION("JOIN(""
"",FILTER($B451:$B1300,$A451:$A1300=E451))"),"Produk Domestik Regional Bruto Kabupaten Dairi Menurut Lapangan Usaha 2014 - 2018")</f>
        <v>Produk Domestik Regional Bruto Kabupaten Dairi Menurut Lapangan Usaha 2014 - 2018</v>
      </c>
    </row>
    <row r="452">
      <c r="A452" s="13" t="str">
        <f>IFERROR(__xludf.DUMMYFUNCTION("""COMPUTED_VALUE"""),"Hrcjie@gmail:com")</f>
        <v>Hrcjie@gmail:com</v>
      </c>
      <c r="B452" s="13" t="str">
        <f>IFERROR(__xludf.DUMMYFUNCTION("""COMPUTED_VALUE"""),"Kecamatan Tanah Pinem Dalam Angka 2021")</f>
        <v>Kecamatan Tanah Pinem Dalam Angka 2021</v>
      </c>
      <c r="C452" s="13" t="str">
        <f>IFERROR(__xludf.DUMMYFUNCTION("""COMPUTED_VALUE"""),"Publikasi")</f>
        <v>Publikasi</v>
      </c>
      <c r="E452" s="19" t="s">
        <v>1289</v>
      </c>
      <c r="F452" s="20" t="str">
        <f>IFERROR(__xludf.DUMMYFUNCTION("JOIN(""
"",FILTER($B452:$B1300,$A452:$A1300=E452))"),"Kecamatan Silima Pungga-Pungga Dalam Angka 2024")</f>
        <v>Kecamatan Silima Pungga-Pungga Dalam Angka 2024</v>
      </c>
    </row>
    <row r="453">
      <c r="A453" s="13" t="str">
        <f>IFERROR(__xludf.DUMMYFUNCTION("""COMPUTED_VALUE"""),"husinibrahim03@gmail:com")</f>
        <v>husinibrahim03@gmail:com</v>
      </c>
      <c r="B453" s="13" t="str">
        <f>IFERROR(__xludf.DUMMYFUNCTION("""COMPUTED_VALUE"""),"Kabupaten Dairi Dalam Angka 2022")</f>
        <v>Kabupaten Dairi Dalam Angka 2022</v>
      </c>
      <c r="C453" s="13" t="str">
        <f>IFERROR(__xludf.DUMMYFUNCTION("""COMPUTED_VALUE"""),"Publikasi")</f>
        <v>Publikasi</v>
      </c>
      <c r="E453" s="19" t="s">
        <v>1291</v>
      </c>
      <c r="F453" s="20" t="str">
        <f>IFERROR(__xludf.DUMMYFUNCTION("JOIN(""
"",FILTER($B453:$B1300,$A453:$A1300=E453))"),"Kecamatan Silima Pungga-Pungga Dalam Angka 2024")</f>
        <v>Kecamatan Silima Pungga-Pungga Dalam Angka 2024</v>
      </c>
    </row>
    <row r="454">
      <c r="A454" s="13" t="str">
        <f>IFERROR(__xludf.DUMMYFUNCTION("""COMPUTED_VALUE"""),"husinibrahim03@gmail:com")</f>
        <v>husinibrahim03@gmail:com</v>
      </c>
      <c r="B454" s="13" t="str">
        <f>IFERROR(__xludf.DUMMYFUNCTION("""COMPUTED_VALUE"""),"Kecamatan Berampu Dalam Angka 2021")</f>
        <v>Kecamatan Berampu Dalam Angka 2021</v>
      </c>
      <c r="C454" s="13" t="str">
        <f>IFERROR(__xludf.DUMMYFUNCTION("""COMPUTED_VALUE"""),"Publikasi")</f>
        <v>Publikasi</v>
      </c>
      <c r="E454" s="19" t="s">
        <v>1541</v>
      </c>
      <c r="F454" s="20" t="str">
        <f>IFERROR(__xludf.DUMMYFUNCTION("JOIN(""
"",FILTER($B454:$B1300,$A454:$A1300=E454))"),"Buklet Hasil Pencacahan Lengkap Sensus Pertanian 2024 - Tahap I Kabupaten Dairi")</f>
        <v>Buklet Hasil Pencacahan Lengkap Sensus Pertanian 2024 - Tahap I Kabupaten Dairi</v>
      </c>
    </row>
    <row r="455">
      <c r="A455" s="13" t="str">
        <f>IFERROR(__xludf.DUMMYFUNCTION("""COMPUTED_VALUE"""),"husinibrahim03@gmail:com")</f>
        <v>husinibrahim03@gmail:com</v>
      </c>
      <c r="B455" s="13" t="str">
        <f>IFERROR(__xludf.DUMMYFUNCTION("""COMPUTED_VALUE"""),"Statistik Daerah Kabupaten Dairi 2021")</f>
        <v>Statistik Daerah Kabupaten Dairi 2021</v>
      </c>
      <c r="C455" s="13" t="str">
        <f>IFERROR(__xludf.DUMMYFUNCTION("""COMPUTED_VALUE"""),"Publikasi")</f>
        <v>Publikasi</v>
      </c>
      <c r="E455" s="19" t="s">
        <v>1661</v>
      </c>
      <c r="F455" s="20" t="str">
        <f>IFERROR(__xludf.DUMMYFUNCTION("JOIN(""
"",FILTER($B455:$B1300,$A455:$A1300=E455))"),"Kabupaten Dairi Dalam Angka 2021
Kabupaten Dairi Dalam Angka 2022")</f>
        <v>Kabupaten Dairi Dalam Angka 2021
Kabupaten Dairi Dalam Angka 2022</v>
      </c>
    </row>
    <row r="456">
      <c r="A456" s="13" t="str">
        <f>IFERROR(__xludf.DUMMYFUNCTION("""COMPUTED_VALUE"""),"iccongl04@gmail:com")</f>
        <v>iccongl04@gmail:com</v>
      </c>
      <c r="B456" s="13" t="str">
        <f>IFERROR(__xludf.DUMMYFUNCTION("""COMPUTED_VALUE"""),"Kabupaten Dairi Dalam Angka 2024")</f>
        <v>Kabupaten Dairi Dalam Angka 2024</v>
      </c>
      <c r="C456" s="13" t="str">
        <f>IFERROR(__xludf.DUMMYFUNCTION("""COMPUTED_VALUE"""),"Publikasi")</f>
        <v>Publikasi</v>
      </c>
      <c r="E456" s="19" t="s">
        <v>1279</v>
      </c>
      <c r="F456" s="20" t="str">
        <f>IFERROR(__xludf.DUMMYFUNCTION("JOIN(""
"",FILTER($B456:$B1300,$A456:$A1300=E456))"),"Analisis Hasil Survei Kebutuhan Data BPS Kabupaten Dairi 2024
Indeks Pembangunan Manusia Kabupaten Dairi 2024
Kabupaten Dairi Dalam Angka 2024")</f>
        <v>Analisis Hasil Survei Kebutuhan Data BPS Kabupaten Dairi 2024
Indeks Pembangunan Manusia Kabupaten Dairi 2024
Kabupaten Dairi Dalam Angka 2024</v>
      </c>
    </row>
    <row r="457">
      <c r="A457" s="13" t="str">
        <f>IFERROR(__xludf.DUMMYFUNCTION("""COMPUTED_VALUE"""),"iccongl04@gmail:com")</f>
        <v>iccongl04@gmail:com</v>
      </c>
      <c r="B457" s="13" t="str">
        <f>IFERROR(__xludf.DUMMYFUNCTION("""COMPUTED_VALUE"""),"Kecamatan Sidikalang Dalam Angka 2024")</f>
        <v>Kecamatan Sidikalang Dalam Angka 2024</v>
      </c>
      <c r="C457" s="13" t="str">
        <f>IFERROR(__xludf.DUMMYFUNCTION("""COMPUTED_VALUE"""),"Publikasi")</f>
        <v>Publikasi</v>
      </c>
      <c r="E457" s="19" t="s">
        <v>1338</v>
      </c>
      <c r="F457" s="20" t="str">
        <f>IFERROR(__xludf.DUMMYFUNCTION("JOIN(""
"",FILTER($B457:$B1300,$A457:$A1300=E457))"),"Kabupaten Dairi Dalam Angka 2024
Kecamatan Sidikalang Dalam Angka 2024")</f>
        <v>Kabupaten Dairi Dalam Angka 2024
Kecamatan Sidikalang Dalam Angka 2024</v>
      </c>
    </row>
    <row r="458">
      <c r="A458" s="13" t="str">
        <f>IFERROR(__xludf.DUMMYFUNCTION("""COMPUTED_VALUE"""),"igosullivan142@gmail:com")</f>
        <v>igosullivan142@gmail:com</v>
      </c>
      <c r="B458" s="13" t="str">
        <f>IFERROR(__xludf.DUMMYFUNCTION("""COMPUTED_VALUE"""),"Indeks Pembangunan Manusia Kabupaten Dairi 2024")</f>
        <v>Indeks Pembangunan Manusia Kabupaten Dairi 2024</v>
      </c>
      <c r="C458" s="13" t="str">
        <f>IFERROR(__xludf.DUMMYFUNCTION("""COMPUTED_VALUE"""),"Publikasi")</f>
        <v>Publikasi</v>
      </c>
      <c r="E458" s="19" t="s">
        <v>1546</v>
      </c>
      <c r="F458" s="20" t="str">
        <f>IFERROR(__xludf.DUMMYFUNCTION("JOIN(""
"",FILTER($B458:$B1300,$A458:$A1300=E458))"),"Kabupaten Dairi Dalam Angka 2024")</f>
        <v>Kabupaten Dairi Dalam Angka 2024</v>
      </c>
    </row>
    <row r="459">
      <c r="A459" s="13" t="str">
        <f>IFERROR(__xludf.DUMMYFUNCTION("""COMPUTED_VALUE"""),"igosullivan142@gmail:com")</f>
        <v>igosullivan142@gmail:com</v>
      </c>
      <c r="B459" s="13" t="str">
        <f>IFERROR(__xludf.DUMMYFUNCTION("""COMPUTED_VALUE"""),"Kabupaten Dairi Dalam Angka 2024")</f>
        <v>Kabupaten Dairi Dalam Angka 2024</v>
      </c>
      <c r="C459" s="13" t="str">
        <f>IFERROR(__xludf.DUMMYFUNCTION("""COMPUTED_VALUE"""),"Publikasi")</f>
        <v>Publikasi</v>
      </c>
      <c r="E459" s="19" t="s">
        <v>1692</v>
      </c>
      <c r="F459" s="20" t="str">
        <f>IFERROR(__xludf.DUMMYFUNCTION("JOIN(""
"",FILTER($B459:$B1300,$A459:$A1300=E459))"),"Kabupaten Dairi Dalam Angka 2022")</f>
        <v>Kabupaten Dairi Dalam Angka 2022</v>
      </c>
    </row>
    <row r="460">
      <c r="A460" s="13" t="str">
        <f>IFERROR(__xludf.DUMMYFUNCTION("""COMPUTED_VALUE"""),"imaasadiah@gmail:com")</f>
        <v>imaasadiah@gmail:com</v>
      </c>
      <c r="B460" s="13" t="str">
        <f>IFERROR(__xludf.DUMMYFUNCTION("""COMPUTED_VALUE"""),"Statistik Kesejahteraan Rakyat Kabupaten Dairi 2024")</f>
        <v>Statistik Kesejahteraan Rakyat Kabupaten Dairi 2024</v>
      </c>
      <c r="C460" s="13" t="str">
        <f>IFERROR(__xludf.DUMMYFUNCTION("""COMPUTED_VALUE"""),"Publikasi")</f>
        <v>Publikasi</v>
      </c>
      <c r="E460" s="19" t="s">
        <v>1282</v>
      </c>
      <c r="F460" s="20" t="str">
        <f>IFERROR(__xludf.DUMMYFUNCTION("JOIN(""
"",FILTER($B460:$B1300,$A460:$A1300=E460))"),"Kecamatan Sumbul Dalam Angka 2024")</f>
        <v>Kecamatan Sumbul Dalam Angka 2024</v>
      </c>
    </row>
    <row r="461">
      <c r="A461" s="13" t="str">
        <f>IFERROR(__xludf.DUMMYFUNCTION("""COMPUTED_VALUE"""),"inboxjkt@gmail:com")</f>
        <v>inboxjkt@gmail:com</v>
      </c>
      <c r="B461" s="13" t="str">
        <f>IFERROR(__xludf.DUMMYFUNCTION("""COMPUTED_VALUE"""),"Indikator Kesejahteraan Rakyat Kabupaten Dairi Tahun 2022")</f>
        <v>Indikator Kesejahteraan Rakyat Kabupaten Dairi Tahun 2022</v>
      </c>
      <c r="C461" s="13" t="str">
        <f>IFERROR(__xludf.DUMMYFUNCTION("""COMPUTED_VALUE"""),"Publikasi")</f>
        <v>Publikasi</v>
      </c>
      <c r="E461" s="19" t="s">
        <v>1230</v>
      </c>
      <c r="F461" s="20" t="str">
        <f>IFERROR(__xludf.DUMMYFUNCTION("JOIN(""
"",FILTER($B461:$B1300,$A461:$A1300=E461))"),"Kabupaten Dairi Dalam Angka 2024
Statistik Kesejahteraan Rakyat Kabupaten Dairi 2024")</f>
        <v>Kabupaten Dairi Dalam Angka 2024
Statistik Kesejahteraan Rakyat Kabupaten Dairi 2024</v>
      </c>
    </row>
    <row r="462">
      <c r="A462" s="13" t="str">
        <f>IFERROR(__xludf.DUMMYFUNCTION("""COMPUTED_VALUE"""),"inboxjkt@gmail:com")</f>
        <v>inboxjkt@gmail:com</v>
      </c>
      <c r="B462" s="13" t="str">
        <f>IFERROR(__xludf.DUMMYFUNCTION("""COMPUTED_VALUE"""),"Statistik Kesejahteraan Rakyat Kabupaten Dairi 2022")</f>
        <v>Statistik Kesejahteraan Rakyat Kabupaten Dairi 2022</v>
      </c>
      <c r="C462" s="13" t="str">
        <f>IFERROR(__xludf.DUMMYFUNCTION("""COMPUTED_VALUE"""),"Publikasi")</f>
        <v>Publikasi</v>
      </c>
      <c r="E462" s="19" t="s">
        <v>1443</v>
      </c>
      <c r="F462" s="20" t="str">
        <f>IFERROR(__xludf.DUMMYFUNCTION("JOIN(""
"",FILTER($B462:$B1300,$A462:$A1300=E462))"),"Kabupaten Dairi Dalam Angka 2024")</f>
        <v>Kabupaten Dairi Dalam Angka 2024</v>
      </c>
    </row>
    <row r="463">
      <c r="A463" s="13" t="str">
        <f>IFERROR(__xludf.DUMMYFUNCTION("""COMPUTED_VALUE"""),"indahmanaluuuu@gmail:com")</f>
        <v>indahmanaluuuu@gmail:com</v>
      </c>
      <c r="B463" s="13" t="str">
        <f>IFERROR(__xludf.DUMMYFUNCTION("""COMPUTED_VALUE"""),"Statistik Daerah Kabupaten Dairi 2024")</f>
        <v>Statistik Daerah Kabupaten Dairi 2024</v>
      </c>
      <c r="C463" s="13" t="str">
        <f>IFERROR(__xludf.DUMMYFUNCTION("""COMPUTED_VALUE"""),"Publikasi")</f>
        <v>Publikasi</v>
      </c>
      <c r="E463" s="19" t="s">
        <v>1108</v>
      </c>
      <c r="F463" s="20" t="str">
        <f>IFERROR(__xludf.DUMMYFUNCTION("JOIN(""
"",FILTER($B463:$B1300,$A463:$A1300=E463))"),"Kabupaten Dairi Dalam Angka 2022
Kabupaten Dairi Dalam Angka 2024")</f>
        <v>Kabupaten Dairi Dalam Angka 2022
Kabupaten Dairi Dalam Angka 2024</v>
      </c>
    </row>
    <row r="464">
      <c r="A464" s="13" t="str">
        <f>IFERROR(__xludf.DUMMYFUNCTION("""COMPUTED_VALUE"""),"indraagusriyanto@unmaha:ac:id")</f>
        <v>indraagusriyanto@unmaha:ac:id</v>
      </c>
      <c r="B464" s="13" t="str">
        <f>IFERROR(__xludf.DUMMYFUNCTION("""COMPUTED_VALUE"""),"Kabupaten Dairi Dalam Angka 2024")</f>
        <v>Kabupaten Dairi Dalam Angka 2024</v>
      </c>
      <c r="C464" s="13" t="str">
        <f>IFERROR(__xludf.DUMMYFUNCTION("""COMPUTED_VALUE"""),"Publikasi")</f>
        <v>Publikasi</v>
      </c>
      <c r="E464" s="19" t="s">
        <v>1549</v>
      </c>
      <c r="F464" s="20" t="str">
        <f>IFERROR(__xludf.DUMMYFUNCTION("JOIN(""
"",FILTER($B464:$B1300,$A464:$A1300=E464))"),"Kecamatan Tiga Lingga Dalam Angka 2024")</f>
        <v>Kecamatan Tiga Lingga Dalam Angka 2024</v>
      </c>
    </row>
    <row r="465">
      <c r="A465" s="13" t="str">
        <f>IFERROR(__xludf.DUMMYFUNCTION("""COMPUTED_VALUE"""),"indrasitepu260788@gmail:com")</f>
        <v>indrasitepu260788@gmail:com</v>
      </c>
      <c r="B465" s="13" t="str">
        <f>IFERROR(__xludf.DUMMYFUNCTION("""COMPUTED_VALUE"""),"Kabupaten Dairi Dalam Angka 2024")</f>
        <v>Kabupaten Dairi Dalam Angka 2024</v>
      </c>
      <c r="C465" s="13" t="str">
        <f>IFERROR(__xludf.DUMMYFUNCTION("""COMPUTED_VALUE"""),"Publikasi")</f>
        <v>Publikasi</v>
      </c>
      <c r="E465" s="19" t="s">
        <v>1322</v>
      </c>
      <c r="F465" s="20" t="str">
        <f>IFERROR(__xludf.DUMMYFUNCTION("JOIN(""
"",FILTER($B465:$B1300,$A465:$A1300=E465))"),"Kecamatan Sumbul Dalam Angka 2021")</f>
        <v>Kecamatan Sumbul Dalam Angka 2021</v>
      </c>
    </row>
    <row r="466">
      <c r="A466" s="13" t="str">
        <f>IFERROR(__xludf.DUMMYFUNCTION("""COMPUTED_VALUE"""),"intanlumbangaol944@gmail:com")</f>
        <v>intanlumbangaol944@gmail:com</v>
      </c>
      <c r="B466" s="13" t="str">
        <f>IFERROR(__xludf.DUMMYFUNCTION("""COMPUTED_VALUE"""),"Kabupaten Dairi Dalam Angka 2011")</f>
        <v>Kabupaten Dairi Dalam Angka 2011</v>
      </c>
      <c r="C466" s="13" t="str">
        <f>IFERROR(__xludf.DUMMYFUNCTION("""COMPUTED_VALUE"""),"Publikasi")</f>
        <v>Publikasi</v>
      </c>
      <c r="E466" s="19" t="s">
        <v>1495</v>
      </c>
      <c r="F466" s="20" t="str">
        <f>IFERROR(__xludf.DUMMYFUNCTION("JOIN(""
"",FILTER($B466:$B1300,$A466:$A1300=E466))"),"Produk Domestik Regional Bruto Kabupaten Dairi Menurut Lapangan Usaha 2018 - 2022")</f>
        <v>Produk Domestik Regional Bruto Kabupaten Dairi Menurut Lapangan Usaha 2018 - 2022</v>
      </c>
    </row>
    <row r="467">
      <c r="A467" s="13" t="str">
        <f>IFERROR(__xludf.DUMMYFUNCTION("""COMPUTED_VALUE"""),"intanlumbangaol944@gmail:com")</f>
        <v>intanlumbangaol944@gmail:com</v>
      </c>
      <c r="B467" s="13" t="str">
        <f>IFERROR(__xludf.DUMMYFUNCTION("""COMPUTED_VALUE"""),"Kabupaten Dairi Dalam Angka 2014")</f>
        <v>Kabupaten Dairi Dalam Angka 2014</v>
      </c>
      <c r="C467" s="13" t="str">
        <f>IFERROR(__xludf.DUMMYFUNCTION("""COMPUTED_VALUE"""),"Publikasi")</f>
        <v>Publikasi</v>
      </c>
      <c r="E467" s="19" t="s">
        <v>1488</v>
      </c>
      <c r="F467" s="20" t="str">
        <f>IFERROR(__xludf.DUMMYFUNCTION("JOIN(""
"",FILTER($B467:$B1300,$A467:$A1300=E467))"),"Kabupaten Dairi Dalam Angka 2022
Kabupaten Dairi Dalam Angka 2024")</f>
        <v>Kabupaten Dairi Dalam Angka 2022
Kabupaten Dairi Dalam Angka 2024</v>
      </c>
    </row>
    <row r="468">
      <c r="A468" s="13" t="str">
        <f>IFERROR(__xludf.DUMMYFUNCTION("""COMPUTED_VALUE"""),"intanlumbangaol944@gmail:com")</f>
        <v>intanlumbangaol944@gmail:com</v>
      </c>
      <c r="B468" s="13" t="str">
        <f>IFERROR(__xludf.DUMMYFUNCTION("""COMPUTED_VALUE"""),"Kabupaten Dairi Dalam Angka 2015")</f>
        <v>Kabupaten Dairi Dalam Angka 2015</v>
      </c>
      <c r="C468" s="13" t="str">
        <f>IFERROR(__xludf.DUMMYFUNCTION("""COMPUTED_VALUE"""),"Publikasi")</f>
        <v>Publikasi</v>
      </c>
      <c r="E468" s="19" t="s">
        <v>1262</v>
      </c>
      <c r="F468" s="20" t="str">
        <f>IFERROR(__xludf.DUMMYFUNCTION("JOIN(""
"",FILTER($B468:$B1300,$A468:$A1300=E468))"),"Indikator Kesejahteraan Rakyat Kabupaten Dairi Tahun 2024
Kabupaten Dairi Dalam Angka 2024
Tingkat Penghunian Kamar Akomodasi Dairi 2022")</f>
        <v>Indikator Kesejahteraan Rakyat Kabupaten Dairi Tahun 2024
Kabupaten Dairi Dalam Angka 2024
Tingkat Penghunian Kamar Akomodasi Dairi 2022</v>
      </c>
    </row>
    <row r="469">
      <c r="A469" s="13" t="str">
        <f>IFERROR(__xludf.DUMMYFUNCTION("""COMPUTED_VALUE"""),"intanlumbangaol944@gmail:com")</f>
        <v>intanlumbangaol944@gmail:com</v>
      </c>
      <c r="B469" s="13" t="str">
        <f>IFERROR(__xludf.DUMMYFUNCTION("""COMPUTED_VALUE"""),"Kabupaten Dairi Dalam Angka 2020")</f>
        <v>Kabupaten Dairi Dalam Angka 2020</v>
      </c>
      <c r="C469" s="13" t="str">
        <f>IFERROR(__xludf.DUMMYFUNCTION("""COMPUTED_VALUE"""),"Publikasi")</f>
        <v>Publikasi</v>
      </c>
      <c r="E469" s="19" t="s">
        <v>1672</v>
      </c>
      <c r="F469" s="20" t="str">
        <f>IFERROR(__xludf.DUMMYFUNCTION("JOIN(""
"",FILTER($B469:$B1300,$A469:$A1300=E469))"),"Kabupaten Dairi Dalam Angka 2016
Kabupaten Dairi Dalam Angka 2017
Kabupaten Dairi Dalam Angka 2018
Kabupaten Dairi Dalam Angka 2019
Kabupaten Dairi Dalam Angka 2020
Produk Domestik Regional Bruto Menurut Pengeluaran Kabupaten Dairi  2016 - 2020
Statistik "&amp;"Daerah Kabupaten Dairi 2016
Statistik Hortikultura Kabupaten Dairi Tahun 2021")</f>
        <v>Kabupaten Dairi Dalam Angka 2016
Kabupaten Dairi Dalam Angka 2017
Kabupaten Dairi Dalam Angka 2018
Kabupaten Dairi Dalam Angka 2019
Kabupaten Dairi Dalam Angka 2020
Produk Domestik Regional Bruto Menurut Pengeluaran Kabupaten Dairi  2016 - 2020
Statistik Daerah Kabupaten Dairi 2016
Statistik Hortikultura Kabupaten Dairi Tahun 2021</v>
      </c>
    </row>
    <row r="470">
      <c r="A470" s="13" t="str">
        <f>IFERROR(__xludf.DUMMYFUNCTION("""COMPUTED_VALUE"""),"intanlumbangaol944@gmail:com")</f>
        <v>intanlumbangaol944@gmail:com</v>
      </c>
      <c r="B470" s="13" t="str">
        <f>IFERROR(__xludf.DUMMYFUNCTION("""COMPUTED_VALUE"""),"Kabupaten Dairi Dalam Angka 2022")</f>
        <v>Kabupaten Dairi Dalam Angka 2022</v>
      </c>
      <c r="C470" s="13" t="str">
        <f>IFERROR(__xludf.DUMMYFUNCTION("""COMPUTED_VALUE"""),"Publikasi")</f>
        <v>Publikasi</v>
      </c>
      <c r="E470" s="19" t="s">
        <v>1600</v>
      </c>
      <c r="F470" s="20" t="str">
        <f>IFERROR(__xludf.DUMMYFUNCTION("JOIN(""
"",FILTER($B470:$B1300,$A470:$A1300=E470))"),"Kabupaten Dairi Dalam Angka 2010
Kabupaten Dairi Dalam Angka 2021
Kabupaten Dairi Dalam Angka 2022")</f>
        <v>Kabupaten Dairi Dalam Angka 2010
Kabupaten Dairi Dalam Angka 2021
Kabupaten Dairi Dalam Angka 2022</v>
      </c>
    </row>
    <row r="471">
      <c r="A471" s="13" t="str">
        <f>IFERROR(__xludf.DUMMYFUNCTION("""COMPUTED_VALUE"""),"intanlumbangaol944@gmail:com")</f>
        <v>intanlumbangaol944@gmail:com</v>
      </c>
      <c r="B471" s="13" t="str">
        <f>IFERROR(__xludf.DUMMYFUNCTION("""COMPUTED_VALUE"""),"Kecamatan Sidikalang Dalam Angka 2016")</f>
        <v>Kecamatan Sidikalang Dalam Angka 2016</v>
      </c>
      <c r="C471" s="13" t="str">
        <f>IFERROR(__xludf.DUMMYFUNCTION("""COMPUTED_VALUE"""),"Publikasi")</f>
        <v>Publikasi</v>
      </c>
      <c r="E471" s="19" t="s">
        <v>1258</v>
      </c>
      <c r="F471" s="20" t="str">
        <f>IFERROR(__xludf.DUMMYFUNCTION("JOIN(""
"",FILTER($B471:$B1300,$A471:$A1300=E471))"),"Profil Kependudukan dan Ketenagakerjaan Kabupaten Dairi 2022")</f>
        <v>Profil Kependudukan dan Ketenagakerjaan Kabupaten Dairi 2022</v>
      </c>
    </row>
    <row r="472">
      <c r="A472" s="13" t="str">
        <f>IFERROR(__xludf.DUMMYFUNCTION("""COMPUTED_VALUE"""),"intanlumbangaol944@gmail:com")</f>
        <v>intanlumbangaol944@gmail:com</v>
      </c>
      <c r="B472" s="13" t="str">
        <f>IFERROR(__xludf.DUMMYFUNCTION("""COMPUTED_VALUE"""),"Kecamatan Sidikalang Dalam Angka 2021")</f>
        <v>Kecamatan Sidikalang Dalam Angka 2021</v>
      </c>
      <c r="C472" s="13" t="str">
        <f>IFERROR(__xludf.DUMMYFUNCTION("""COMPUTED_VALUE"""),"Publikasi")</f>
        <v>Publikasi</v>
      </c>
      <c r="E472" s="19" t="s">
        <v>1427</v>
      </c>
      <c r="F472" s="20" t="str">
        <f>IFERROR(__xludf.DUMMYFUNCTION("JOIN(""
"",FILTER($B472:$B1300,$A472:$A1300=E472))"),"Kabupaten Dairi Dalam Angka 2024")</f>
        <v>Kabupaten Dairi Dalam Angka 2024</v>
      </c>
    </row>
    <row r="473">
      <c r="A473" s="13" t="str">
        <f>IFERROR(__xludf.DUMMYFUNCTION("""COMPUTED_VALUE"""),"intanlumbangaol944@gmail:com")</f>
        <v>intanlumbangaol944@gmail:com</v>
      </c>
      <c r="B473" s="13" t="str">
        <f>IFERROR(__xludf.DUMMYFUNCTION("""COMPUTED_VALUE"""),"Profil Kependudukan dan Ketenagakerjaan Kabupaten Dairi 2020")</f>
        <v>Profil Kependudukan dan Ketenagakerjaan Kabupaten Dairi 2020</v>
      </c>
      <c r="C473" s="13" t="str">
        <f>IFERROR(__xludf.DUMMYFUNCTION("""COMPUTED_VALUE"""),"Publikasi")</f>
        <v>Publikasi</v>
      </c>
      <c r="E473" s="19" t="s">
        <v>1534</v>
      </c>
      <c r="F473" s="20" t="str">
        <f>IFERROR(__xludf.DUMMYFUNCTION("JOIN(""
"",FILTER($B473:$B1300,$A473:$A1300=E473))"),"Booklet Hasil Long Form Sensus Penduduk 2020 Kabupaten Dairi")</f>
        <v>Booklet Hasil Long Form Sensus Penduduk 2020 Kabupaten Dairi</v>
      </c>
    </row>
    <row r="474">
      <c r="A474" s="13" t="str">
        <f>IFERROR(__xludf.DUMMYFUNCTION("""COMPUTED_VALUE"""),"intanlumbangaol944@gmail:com")</f>
        <v>intanlumbangaol944@gmail:com</v>
      </c>
      <c r="B474" s="13" t="str">
        <f>IFERROR(__xludf.DUMMYFUNCTION("""COMPUTED_VALUE"""),"Profil Kependudukan dan Ketenagakerjaan Kabupaten Dairi 2021")</f>
        <v>Profil Kependudukan dan Ketenagakerjaan Kabupaten Dairi 2021</v>
      </c>
      <c r="C474" s="13" t="str">
        <f>IFERROR(__xludf.DUMMYFUNCTION("""COMPUTED_VALUE"""),"Publikasi")</f>
        <v>Publikasi</v>
      </c>
      <c r="E474" s="19" t="s">
        <v>1706</v>
      </c>
      <c r="F474" s="20" t="str">
        <f>IFERROR(__xludf.DUMMYFUNCTION("JOIN(""
"",FILTER($B474:$B1300,$A474:$A1300=E474))"),"Kecamatan Sidikalang Dalam Angka 2022")</f>
        <v>Kecamatan Sidikalang Dalam Angka 2022</v>
      </c>
    </row>
    <row r="475">
      <c r="A475" s="13" t="str">
        <f>IFERROR(__xludf.DUMMYFUNCTION("""COMPUTED_VALUE"""),"intanlumbangaol944@gmail:com")</f>
        <v>intanlumbangaol944@gmail:com</v>
      </c>
      <c r="B475" s="13" t="str">
        <f>IFERROR(__xludf.DUMMYFUNCTION("""COMPUTED_VALUE"""),"Profil Penduduk dan Ketenagakerjaan Kabupaten Dairi 2019")</f>
        <v>Profil Penduduk dan Ketenagakerjaan Kabupaten Dairi 2019</v>
      </c>
      <c r="C475" s="13" t="str">
        <f>IFERROR(__xludf.DUMMYFUNCTION("""COMPUTED_VALUE"""),"Publikasi")</f>
        <v>Publikasi</v>
      </c>
      <c r="E475" s="19" t="s">
        <v>1704</v>
      </c>
      <c r="F475" s="20" t="str">
        <f>IFERROR(__xludf.DUMMYFUNCTION("JOIN(""
"",FILTER($B475:$B1300,$A475:$A1300=E475))"),"Kabupaten Dairi Dalam Angka 2022")</f>
        <v>Kabupaten Dairi Dalam Angka 2022</v>
      </c>
    </row>
    <row r="476">
      <c r="A476" s="13" t="str">
        <f>IFERROR(__xludf.DUMMYFUNCTION("""COMPUTED_VALUE"""),"intanlumbangaol944@gmail:com")</f>
        <v>intanlumbangaol944@gmail:com</v>
      </c>
      <c r="B476" s="13" t="str">
        <f>IFERROR(__xludf.DUMMYFUNCTION("""COMPUTED_VALUE"""),"Statistik Daerah Kabupaten Dairi 2011")</f>
        <v>Statistik Daerah Kabupaten Dairi 2011</v>
      </c>
      <c r="C476" s="13" t="str">
        <f>IFERROR(__xludf.DUMMYFUNCTION("""COMPUTED_VALUE"""),"Publikasi")</f>
        <v>Publikasi</v>
      </c>
      <c r="E476" s="19" t="s">
        <v>1366</v>
      </c>
      <c r="F476" s="20" t="str">
        <f>IFERROR(__xludf.DUMMYFUNCTION("JOIN(""
"",FILTER($B476:$B1300,$A476:$A1300=E476))"),"Kabupaten Dairi Dalam Angka 2024")</f>
        <v>Kabupaten Dairi Dalam Angka 2024</v>
      </c>
    </row>
    <row r="477">
      <c r="A477" s="13" t="str">
        <f>IFERROR(__xludf.DUMMYFUNCTION("""COMPUTED_VALUE"""),"intanlumbangaol944@gmail:com")</f>
        <v>intanlumbangaol944@gmail:com</v>
      </c>
      <c r="B477" s="13" t="str">
        <f>IFERROR(__xludf.DUMMYFUNCTION("""COMPUTED_VALUE"""),"Statistik Daerah Kabupaten Dairi 2016")</f>
        <v>Statistik Daerah Kabupaten Dairi 2016</v>
      </c>
      <c r="C477" s="13" t="str">
        <f>IFERROR(__xludf.DUMMYFUNCTION("""COMPUTED_VALUE"""),"Publikasi")</f>
        <v>Publikasi</v>
      </c>
      <c r="E477" s="19" t="s">
        <v>1568</v>
      </c>
      <c r="F477" s="20" t="str">
        <f>IFERROR(__xludf.DUMMYFUNCTION("JOIN(""
"",FILTER($B477:$B1300,$A477:$A1300=E477))"),"Kabupaten Dairi Dalam Angka 2022")</f>
        <v>Kabupaten Dairi Dalam Angka 2022</v>
      </c>
    </row>
    <row r="478">
      <c r="A478" s="13" t="str">
        <f>IFERROR(__xludf.DUMMYFUNCTION("""COMPUTED_VALUE"""),"intanlumbangaol944@gmail:com")</f>
        <v>intanlumbangaol944@gmail:com</v>
      </c>
      <c r="B478" s="13" t="str">
        <f>IFERROR(__xludf.DUMMYFUNCTION("""COMPUTED_VALUE"""),"Statistik Daerah Kecamatan Sidikalang 2011")</f>
        <v>Statistik Daerah Kecamatan Sidikalang 2011</v>
      </c>
      <c r="C478" s="13" t="str">
        <f>IFERROR(__xludf.DUMMYFUNCTION("""COMPUTED_VALUE"""),"Publikasi")</f>
        <v>Publikasi</v>
      </c>
      <c r="E478" s="19" t="s">
        <v>1684</v>
      </c>
      <c r="F478" s="20" t="str">
        <f>IFERROR(__xludf.DUMMYFUNCTION("JOIN(""
"",FILTER($B478:$B1300,$A478:$A1300=E478))"),"Analisis Survei Kebutuhan Data Kabupaten Dairi 2022")</f>
        <v>Analisis Survei Kebutuhan Data Kabupaten Dairi 2022</v>
      </c>
    </row>
    <row r="479">
      <c r="A479" s="13" t="str">
        <f>IFERROR(__xludf.DUMMYFUNCTION("""COMPUTED_VALUE"""),"intanzuhra15@gmail:com")</f>
        <v>intanzuhra15@gmail:com</v>
      </c>
      <c r="B479" s="13" t="str">
        <f>IFERROR(__xludf.DUMMYFUNCTION("""COMPUTED_VALUE"""),"Kecamatan Sidikalang Dalam Angka 2024")</f>
        <v>Kecamatan Sidikalang Dalam Angka 2024</v>
      </c>
      <c r="C479" s="13" t="str">
        <f>IFERROR(__xludf.DUMMYFUNCTION("""COMPUTED_VALUE"""),"Publikasi")</f>
        <v>Publikasi</v>
      </c>
      <c r="E479" s="19" t="s">
        <v>1335</v>
      </c>
      <c r="F479" s="20" t="str">
        <f>IFERROR(__xludf.DUMMYFUNCTION("JOIN(""
"",FILTER($B479:$B1300,$A479:$A1300=E479))"),"Kabupaten Dairi Dalam Angka 2022")</f>
        <v>Kabupaten Dairi Dalam Angka 2022</v>
      </c>
    </row>
    <row r="480">
      <c r="A480" s="13" t="str">
        <f>IFERROR(__xludf.DUMMYFUNCTION("""COMPUTED_VALUE"""),"ipdsdairikab@gmail:com")</f>
        <v>ipdsdairikab@gmail:com</v>
      </c>
      <c r="B480" s="13" t="str">
        <f>IFERROR(__xludf.DUMMYFUNCTION("""COMPUTED_VALUE"""),"Analisis Hasil Survei Kebutuhan Data BPS Kabupaten Dairi 2021")</f>
        <v>Analisis Hasil Survei Kebutuhan Data BPS Kabupaten Dairi 2021</v>
      </c>
      <c r="C480" s="13" t="str">
        <f>IFERROR(__xludf.DUMMYFUNCTION("""COMPUTED_VALUE"""),"Publikasi")</f>
        <v>Publikasi</v>
      </c>
      <c r="E480" s="19" t="s">
        <v>207</v>
      </c>
      <c r="F480" s="20" t="str">
        <f>IFERROR(__xludf.DUMMYFUNCTION("JOIN(""
"",FILTER($B480:$B1300,$A480:$A1300=E480))"),"Kabupaten Dairi Dalam Angka 2024")</f>
        <v>Kabupaten Dairi Dalam Angka 2024</v>
      </c>
    </row>
    <row r="481">
      <c r="A481" s="13" t="str">
        <f>IFERROR(__xludf.DUMMYFUNCTION("""COMPUTED_VALUE"""),"ipdsdairikab@gmail:com")</f>
        <v>ipdsdairikab@gmail:com</v>
      </c>
      <c r="B481" s="13" t="str">
        <f>IFERROR(__xludf.DUMMYFUNCTION("""COMPUTED_VALUE"""),"Analisis Hasil Survei Kebutuhan Data BPS Kabupaten Dairi 2024")</f>
        <v>Analisis Hasil Survei Kebutuhan Data BPS Kabupaten Dairi 2024</v>
      </c>
      <c r="C481" s="13" t="str">
        <f>IFERROR(__xludf.DUMMYFUNCTION("""COMPUTED_VALUE"""),"Publikasi")</f>
        <v>Publikasi</v>
      </c>
      <c r="E481" s="19" t="s">
        <v>1668</v>
      </c>
      <c r="F481" s="20" t="str">
        <f>IFERROR(__xludf.DUMMYFUNCTION("JOIN(""
"",FILTER($B481:$B1300,$A481:$A1300=E481))"),"Kecamatan Tanah Pinem Dalam Angka 2020
Kecamatan Tiga Lingga Dalam Angka 2020")</f>
        <v>Kecamatan Tanah Pinem Dalam Angka 2020
Kecamatan Tiga Lingga Dalam Angka 2020</v>
      </c>
    </row>
    <row r="482">
      <c r="A482" s="13" t="str">
        <f>IFERROR(__xludf.DUMMYFUNCTION("""COMPUTED_VALUE"""),"ipdsdairikab@gmail:com")</f>
        <v>ipdsdairikab@gmail:com</v>
      </c>
      <c r="B482" s="13" t="str">
        <f>IFERROR(__xludf.DUMMYFUNCTION("""COMPUTED_VALUE"""),"Analisis Survei Kebutuhan Data Kabupaten Dairi 2022")</f>
        <v>Analisis Survei Kebutuhan Data Kabupaten Dairi 2022</v>
      </c>
      <c r="C482" s="13" t="str">
        <f>IFERROR(__xludf.DUMMYFUNCTION("""COMPUTED_VALUE"""),"Publikasi")</f>
        <v>Publikasi</v>
      </c>
      <c r="E482" s="19" t="s">
        <v>1642</v>
      </c>
      <c r="F482" s="20" t="str">
        <f>IFERROR(__xludf.DUMMYFUNCTION("JOIN(""
"",FILTER($B482:$B1300,$A482:$A1300=E482))"),"Indikator Kesejahteraan Rakyat Kabupaten Dairi Tahun 2022")</f>
        <v>Indikator Kesejahteraan Rakyat Kabupaten Dairi Tahun 2022</v>
      </c>
    </row>
    <row r="483">
      <c r="A483" s="13" t="str">
        <f>IFERROR(__xludf.DUMMYFUNCTION("""COMPUTED_VALUE"""),"ipdsdairikab@gmail:com")</f>
        <v>ipdsdairikab@gmail:com</v>
      </c>
      <c r="B483" s="13" t="str">
        <f>IFERROR(__xludf.DUMMYFUNCTION("""COMPUTED_VALUE"""),"Indikator Kesejahteraan Rakyat Kabupaten Dairi Tahun 2022")</f>
        <v>Indikator Kesejahteraan Rakyat Kabupaten Dairi Tahun 2022</v>
      </c>
      <c r="C483" s="13" t="str">
        <f>IFERROR(__xludf.DUMMYFUNCTION("""COMPUTED_VALUE"""),"Publikasi")</f>
        <v>Publikasi</v>
      </c>
      <c r="E483" s="19" t="s">
        <v>1107</v>
      </c>
      <c r="F483" s="20" t="str">
        <f>IFERROR(__xludf.DUMMYFUNCTION("JOIN(""
"",FILTER($B483:$B1300,$A483:$A1300=E483))"),"Kabupaten Dairi Dalam Angka 2024")</f>
        <v>Kabupaten Dairi Dalam Angka 2024</v>
      </c>
    </row>
    <row r="484">
      <c r="A484" s="13" t="str">
        <f>IFERROR(__xludf.DUMMYFUNCTION("""COMPUTED_VALUE"""),"ipdsdairikab@gmail:com")</f>
        <v>ipdsdairikab@gmail:com</v>
      </c>
      <c r="B484" s="13" t="str">
        <f>IFERROR(__xludf.DUMMYFUNCTION("""COMPUTED_VALUE"""),"Kabupaten Dairi Dalam Angka 2012")</f>
        <v>Kabupaten Dairi Dalam Angka 2012</v>
      </c>
      <c r="C484" s="13" t="str">
        <f>IFERROR(__xludf.DUMMYFUNCTION("""COMPUTED_VALUE"""),"Publikasi")</f>
        <v>Publikasi</v>
      </c>
      <c r="E484" s="19" t="s">
        <v>1613</v>
      </c>
      <c r="F484" s="20" t="str">
        <f>IFERROR(__xludf.DUMMYFUNCTION("JOIN(""
"",FILTER($B484:$B1300,$A484:$A1300=E484))"),"Indikator Kesejahteraan Rakyat Kabupaten Dairi 2019
Profil Kependudukan dan Ketenagakerjaan Kabupaten Dairi 2020")</f>
        <v>Indikator Kesejahteraan Rakyat Kabupaten Dairi 2019
Profil Kependudukan dan Ketenagakerjaan Kabupaten Dairi 2020</v>
      </c>
    </row>
    <row r="485">
      <c r="A485" s="13" t="str">
        <f>IFERROR(__xludf.DUMMYFUNCTION("""COMPUTED_VALUE"""),"ipdsdairikab@gmail:com")</f>
        <v>ipdsdairikab@gmail:com</v>
      </c>
      <c r="B485" s="13" t="str">
        <f>IFERROR(__xludf.DUMMYFUNCTION("""COMPUTED_VALUE"""),"Kabupaten Dairi Dalam Angka 2014")</f>
        <v>Kabupaten Dairi Dalam Angka 2014</v>
      </c>
      <c r="C485" s="13" t="str">
        <f>IFERROR(__xludf.DUMMYFUNCTION("""COMPUTED_VALUE"""),"Publikasi")</f>
        <v>Publikasi</v>
      </c>
      <c r="E485" s="19" t="s">
        <v>1398</v>
      </c>
      <c r="F485" s="20" t="str">
        <f>IFERROR(__xludf.DUMMYFUNCTION("JOIN(""
"",FILTER($B485:$B1300,$A485:$A1300=E485))"),"Hasil Pencacahan Lengkap Sensus Pertanian 2024 - Tahap I Kabupaten Dairi
Indikator Kesejahteraan Rakyat Kabupaten Dairi Tahun 2024
Statistik Kesejahteraan Rakyat Kabupaten Dairi 2024")</f>
        <v>Hasil Pencacahan Lengkap Sensus Pertanian 2024 - Tahap I Kabupaten Dairi
Indikator Kesejahteraan Rakyat Kabupaten Dairi Tahun 2024
Statistik Kesejahteraan Rakyat Kabupaten Dairi 2024</v>
      </c>
    </row>
    <row r="486">
      <c r="A486" s="13" t="str">
        <f>IFERROR(__xludf.DUMMYFUNCTION("""COMPUTED_VALUE"""),"ipdsdairikab@gmail:com")</f>
        <v>ipdsdairikab@gmail:com</v>
      </c>
      <c r="B486" s="13" t="str">
        <f>IFERROR(__xludf.DUMMYFUNCTION("""COMPUTED_VALUE"""),"Kabupaten Dairi Dalam Angka 2022")</f>
        <v>Kabupaten Dairi Dalam Angka 2022</v>
      </c>
      <c r="C486" s="13" t="str">
        <f>IFERROR(__xludf.DUMMYFUNCTION("""COMPUTED_VALUE"""),"Publikasi")</f>
        <v>Publikasi</v>
      </c>
      <c r="E486" s="19" t="s">
        <v>1308</v>
      </c>
      <c r="F486" s="20" t="str">
        <f>IFERROR(__xludf.DUMMYFUNCTION("JOIN(""
"",FILTER($B486:$B1300,$A486:$A1300=E486))"),"Kabupaten Dairi Dalam Angka 2022
Kabupaten Dairi Dalam Angka 2024
Kecamatan Pegagan Hilir Dalam Angka 2022
Statistik Daerah Kabupaten Dairi 2024")</f>
        <v>Kabupaten Dairi Dalam Angka 2022
Kabupaten Dairi Dalam Angka 2024
Kecamatan Pegagan Hilir Dalam Angka 2022
Statistik Daerah Kabupaten Dairi 2024</v>
      </c>
    </row>
    <row r="487">
      <c r="A487" s="13" t="str">
        <f>IFERROR(__xludf.DUMMYFUNCTION("""COMPUTED_VALUE"""),"ipdsdairikab@gmail:com")</f>
        <v>ipdsdairikab@gmail:com</v>
      </c>
      <c r="B487" s="13" t="str">
        <f>IFERROR(__xludf.DUMMYFUNCTION("""COMPUTED_VALUE"""),"Kabupaten Dairi Dalam Angka 2024")</f>
        <v>Kabupaten Dairi Dalam Angka 2024</v>
      </c>
      <c r="C487" s="13" t="str">
        <f>IFERROR(__xludf.DUMMYFUNCTION("""COMPUTED_VALUE"""),"Publikasi")</f>
        <v>Publikasi</v>
      </c>
      <c r="E487" s="19" t="s">
        <v>1564</v>
      </c>
      <c r="F487" s="20" t="str">
        <f>IFERROR(__xludf.DUMMYFUNCTION("JOIN(""
"",FILTER($B487:$B1300,$A487:$A1300=E487))"),"Direktori Perusahaan Konstruksi Tahun 2021")</f>
        <v>Direktori Perusahaan Konstruksi Tahun 2021</v>
      </c>
    </row>
    <row r="488">
      <c r="A488" s="13" t="str">
        <f>IFERROR(__xludf.DUMMYFUNCTION("""COMPUTED_VALUE"""),"Iralolosaragih16@gmail:com")</f>
        <v>Iralolosaragih16@gmail:com</v>
      </c>
      <c r="B488" s="13" t="str">
        <f>IFERROR(__xludf.DUMMYFUNCTION("""COMPUTED_VALUE"""),"Hasil Pencacahan Lengkap Sensus Pertanian 2024 - Tahap I Kabupaten Dairi")</f>
        <v>Hasil Pencacahan Lengkap Sensus Pertanian 2024 - Tahap I Kabupaten Dairi</v>
      </c>
      <c r="C488" s="13" t="str">
        <f>IFERROR(__xludf.DUMMYFUNCTION("""COMPUTED_VALUE"""),"Publikasi")</f>
        <v>Publikasi</v>
      </c>
      <c r="E488" s="19" t="s">
        <v>1200</v>
      </c>
      <c r="F488" s="20" t="str">
        <f>IFERROR(__xludf.DUMMYFUNCTION("JOIN(""
"",FILTER($B488:$B1300,$A488:$A1300=E488))"),"Kecamatan Parbuluan Dalam Angka 2024")</f>
        <v>Kecamatan Parbuluan Dalam Angka 2024</v>
      </c>
    </row>
    <row r="489">
      <c r="A489" s="13" t="str">
        <f>IFERROR(__xludf.DUMMYFUNCTION("""COMPUTED_VALUE"""),"Iralolosaragih16@gmail:com")</f>
        <v>Iralolosaragih16@gmail:com</v>
      </c>
      <c r="B489" s="13" t="str">
        <f>IFERROR(__xludf.DUMMYFUNCTION("""COMPUTED_VALUE"""),"Indikator Kesejahteraan Rakyat Kabupaten Dairi Tahun 2024")</f>
        <v>Indikator Kesejahteraan Rakyat Kabupaten Dairi Tahun 2024</v>
      </c>
      <c r="C489" s="13" t="str">
        <f>IFERROR(__xludf.DUMMYFUNCTION("""COMPUTED_VALUE"""),"Publikasi")</f>
        <v>Publikasi</v>
      </c>
      <c r="E489" s="19" t="s">
        <v>1314</v>
      </c>
      <c r="F489" s="20" t="str">
        <f>IFERROR(__xludf.DUMMYFUNCTION("JOIN(""
"",FILTER($B489:$B1300,$A489:$A1300=E489))"),"Kabupaten Dairi Dalam Angka 2024
Kecamatan Sidikalang Dalam Angka 2024")</f>
        <v>Kabupaten Dairi Dalam Angka 2024
Kecamatan Sidikalang Dalam Angka 2024</v>
      </c>
    </row>
    <row r="490">
      <c r="A490" s="13" t="str">
        <f>IFERROR(__xludf.DUMMYFUNCTION("""COMPUTED_VALUE"""),"Iralolosaragih16@gmail:com")</f>
        <v>Iralolosaragih16@gmail:com</v>
      </c>
      <c r="B490" s="13" t="str">
        <f>IFERROR(__xludf.DUMMYFUNCTION("""COMPUTED_VALUE"""),"Statistik Kesejahteraan Rakyat Kabupaten Dairi 2024")</f>
        <v>Statistik Kesejahteraan Rakyat Kabupaten Dairi 2024</v>
      </c>
      <c r="C490" s="13" t="str">
        <f>IFERROR(__xludf.DUMMYFUNCTION("""COMPUTED_VALUE"""),"Publikasi")</f>
        <v>Publikasi</v>
      </c>
      <c r="E490" s="19" t="s">
        <v>1657</v>
      </c>
      <c r="F490" s="20" t="str">
        <f>IFERROR(__xludf.DUMMYFUNCTION("JOIN(""
"",FILTER($B490:$B1300,$A490:$A1300=E490))"),"Kecamatan Silahisabungan Dalam Angka 2021")</f>
        <v>Kecamatan Silahisabungan Dalam Angka 2021</v>
      </c>
    </row>
    <row r="491">
      <c r="A491" s="13" t="str">
        <f>IFERROR(__xludf.DUMMYFUNCTION("""COMPUTED_VALUE"""),"irma:lidia@amartha:com")</f>
        <v>irma:lidia@amartha:com</v>
      </c>
      <c r="B491" s="13" t="str">
        <f>IFERROR(__xludf.DUMMYFUNCTION("""COMPUTED_VALUE"""),"Kecamatan Sitinjo Dalam Angka 2021")</f>
        <v>Kecamatan Sitinjo Dalam Angka 2021</v>
      </c>
      <c r="C491" s="13" t="str">
        <f>IFERROR(__xludf.DUMMYFUNCTION("""COMPUTED_VALUE"""),"Publikasi")</f>
        <v>Publikasi</v>
      </c>
      <c r="E491" s="19" t="s">
        <v>1363</v>
      </c>
      <c r="F491" s="20" t="str">
        <f>IFERROR(__xludf.DUMMYFUNCTION("JOIN(""
"",FILTER($B491:$B1300,$A491:$A1300=E491))"),"Kabupaten Dairi Dalam Angka 2024")</f>
        <v>Kabupaten Dairi Dalam Angka 2024</v>
      </c>
    </row>
    <row r="492">
      <c r="A492" s="13" t="str">
        <f>IFERROR(__xludf.DUMMYFUNCTION("""COMPUTED_VALUE"""),"irmaajalah76@gmail:com")</f>
        <v>irmaajalah76@gmail:com</v>
      </c>
      <c r="B492" s="13" t="str">
        <f>IFERROR(__xludf.DUMMYFUNCTION("""COMPUTED_VALUE"""),"Kecamatan Sitinjo Dalam Angka 2021")</f>
        <v>Kecamatan Sitinjo Dalam Angka 2021</v>
      </c>
      <c r="C492" s="13" t="str">
        <f>IFERROR(__xludf.DUMMYFUNCTION("""COMPUTED_VALUE"""),"Publikasi")</f>
        <v>Publikasi</v>
      </c>
      <c r="E492" s="19" t="s">
        <v>1530</v>
      </c>
      <c r="F492" s="20" t="str">
        <f>IFERROR(__xludf.DUMMYFUNCTION("JOIN(""
"",FILTER($B492:$B1300,$A492:$A1300=E492))"),"Indeks Pembangunan Manusia Kabupaten Dairi 2024
Indikator Kesejahteraan Rakyat Kabupaten Dairi Tahun 2022
Indikator Kesejahteraan Rakyat Kabupaten Dairi Tahun 2024")</f>
        <v>Indeks Pembangunan Manusia Kabupaten Dairi 2024
Indikator Kesejahteraan Rakyat Kabupaten Dairi Tahun 2022
Indikator Kesejahteraan Rakyat Kabupaten Dairi Tahun 2024</v>
      </c>
    </row>
    <row r="493">
      <c r="A493" s="13" t="str">
        <f>IFERROR(__xludf.DUMMYFUNCTION("""COMPUTED_VALUE"""),"irne:bintang@gmail:com")</f>
        <v>irne:bintang@gmail:com</v>
      </c>
      <c r="B493" s="13" t="str">
        <f>IFERROR(__xludf.DUMMYFUNCTION("""COMPUTED_VALUE"""),"Indikator Kesejahteraan Rakyat Kabupaten Dairi Tahun 2024")</f>
        <v>Indikator Kesejahteraan Rakyat Kabupaten Dairi Tahun 2024</v>
      </c>
      <c r="C493" s="13" t="str">
        <f>IFERROR(__xludf.DUMMYFUNCTION("""COMPUTED_VALUE"""),"Publikasi")</f>
        <v>Publikasi</v>
      </c>
      <c r="E493" s="19" t="s">
        <v>1391</v>
      </c>
      <c r="F493" s="20" t="str">
        <f>IFERROR(__xludf.DUMMYFUNCTION("JOIN(""
"",FILTER($B493:$B1300,$A493:$A1300=E493))"),"Hasil Pencacahan Lengkap Sensus Pertanian 2024 - Tahap I Kabupaten Dairi
Indikator Kesejahteraan Rakyat Kabupaten Dairi Tahun 2024
Kecamatan Sumbul Dalam Angka 2022
Statistik Kesejahteraan Rakyat Kabupaten Dairi 2024")</f>
        <v>Hasil Pencacahan Lengkap Sensus Pertanian 2024 - Tahap I Kabupaten Dairi
Indikator Kesejahteraan Rakyat Kabupaten Dairi Tahun 2024
Kecamatan Sumbul Dalam Angka 2022
Statistik Kesejahteraan Rakyat Kabupaten Dairi 2024</v>
      </c>
    </row>
    <row r="494">
      <c r="A494" s="13" t="str">
        <f>IFERROR(__xludf.DUMMYFUNCTION("""COMPUTED_VALUE"""),"irvanbintang1978@gmail:com")</f>
        <v>irvanbintang1978@gmail:com</v>
      </c>
      <c r="B494" s="13" t="str">
        <f>IFERROR(__xludf.DUMMYFUNCTION("""COMPUTED_VALUE"""),"Hasil Pencacahan Lengkap Sensus Pertanian 2024 - Tahap I Kabupaten Dairi")</f>
        <v>Hasil Pencacahan Lengkap Sensus Pertanian 2024 - Tahap I Kabupaten Dairi</v>
      </c>
      <c r="C494" s="13" t="str">
        <f>IFERROR(__xludf.DUMMYFUNCTION("""COMPUTED_VALUE"""),"Publikasi")</f>
        <v>Publikasi</v>
      </c>
      <c r="E494" s="19"/>
      <c r="F494" s="20" t="str">
        <f>IFERROR(__xludf.DUMMYFUNCTION("JOIN(""
"",FILTER($B494:$B1300,$A494:$A1300=E494))"),"
")</f>
        <v>
</v>
      </c>
    </row>
    <row r="495">
      <c r="A495" s="13" t="str">
        <f>IFERROR(__xludf.DUMMYFUNCTION("""COMPUTED_VALUE"""),"irvanbintang1978@gmail:com")</f>
        <v>irvanbintang1978@gmail:com</v>
      </c>
      <c r="B495" s="13" t="str">
        <f>IFERROR(__xludf.DUMMYFUNCTION("""COMPUTED_VALUE"""),"Indeks Pembangunan Manusia Kabupaten Dairi 2024")</f>
        <v>Indeks Pembangunan Manusia Kabupaten Dairi 2024</v>
      </c>
      <c r="C495" s="13" t="str">
        <f>IFERROR(__xludf.DUMMYFUNCTION("""COMPUTED_VALUE"""),"Publikasi")</f>
        <v>Publikasi</v>
      </c>
      <c r="E495" s="19"/>
      <c r="F495" s="20" t="str">
        <f>IFERROR(__xludf.DUMMYFUNCTION("JOIN(""
"",FILTER($B495:$B1300,$A495:$A1300=E495))"),"
")</f>
        <v>
</v>
      </c>
    </row>
    <row r="496">
      <c r="A496" s="13" t="str">
        <f>IFERROR(__xludf.DUMMYFUNCTION("""COMPUTED_VALUE"""),"irvanbintang1978@gmail:com")</f>
        <v>irvanbintang1978@gmail:com</v>
      </c>
      <c r="B496" s="13" t="str">
        <f>IFERROR(__xludf.DUMMYFUNCTION("""COMPUTED_VALUE"""),"Indikator Kesejahteraan Rakyat Kabupaten Dairi Tahun 2024")</f>
        <v>Indikator Kesejahteraan Rakyat Kabupaten Dairi Tahun 2024</v>
      </c>
      <c r="C496" s="13" t="str">
        <f>IFERROR(__xludf.DUMMYFUNCTION("""COMPUTED_VALUE"""),"Publikasi")</f>
        <v>Publikasi</v>
      </c>
      <c r="E496" s="19"/>
      <c r="F496" s="20" t="str">
        <f>IFERROR(__xludf.DUMMYFUNCTION("JOIN(""
"",FILTER($B496:$B1300,$A496:$A1300=E496))"),"
")</f>
        <v>
</v>
      </c>
    </row>
    <row r="497">
      <c r="A497" s="13" t="str">
        <f>IFERROR(__xludf.DUMMYFUNCTION("""COMPUTED_VALUE"""),"irvanbintang1978@gmail:com")</f>
        <v>irvanbintang1978@gmail:com</v>
      </c>
      <c r="B497" s="13" t="str">
        <f>IFERROR(__xludf.DUMMYFUNCTION("""COMPUTED_VALUE"""),"Statistik Kesejahteraan Rakyat Kabupaten Dairi 2024")</f>
        <v>Statistik Kesejahteraan Rakyat Kabupaten Dairi 2024</v>
      </c>
      <c r="C497" s="13" t="str">
        <f>IFERROR(__xludf.DUMMYFUNCTION("""COMPUTED_VALUE"""),"Publikasi")</f>
        <v>Publikasi</v>
      </c>
      <c r="E497" s="19"/>
      <c r="F497" s="20" t="str">
        <f>IFERROR(__xludf.DUMMYFUNCTION("JOIN(""
"",FILTER($B497:$B1300,$A497:$A1300=E497))"),"
")</f>
        <v>
</v>
      </c>
    </row>
    <row r="498">
      <c r="A498" s="13" t="str">
        <f>IFERROR(__xludf.DUMMYFUNCTION("""COMPUTED_VALUE"""),"j:panggabean:10@gmail:com")</f>
        <v>j:panggabean:10@gmail:com</v>
      </c>
      <c r="B498" s="13" t="str">
        <f>IFERROR(__xludf.DUMMYFUNCTION("""COMPUTED_VALUE"""),"Booklet Hasil Long Form Sensus Penduduk 2020 Kabupaten Dairi")</f>
        <v>Booklet Hasil Long Form Sensus Penduduk 2020 Kabupaten Dairi</v>
      </c>
      <c r="C498" s="13" t="str">
        <f>IFERROR(__xludf.DUMMYFUNCTION("""COMPUTED_VALUE"""),"Publikasi")</f>
        <v>Publikasi</v>
      </c>
      <c r="E498" s="19"/>
      <c r="F498" s="20" t="str">
        <f>IFERROR(__xludf.DUMMYFUNCTION("JOIN(""
"",FILTER($B498:$B1300,$A498:$A1300=E498))"),"
")</f>
        <v>
</v>
      </c>
    </row>
    <row r="499">
      <c r="A499" s="13" t="str">
        <f>IFERROR(__xludf.DUMMYFUNCTION("""COMPUTED_VALUE"""),"j:panggabean:10@gmail:com")</f>
        <v>j:panggabean:10@gmail:com</v>
      </c>
      <c r="B499" s="13" t="str">
        <f>IFERROR(__xludf.DUMMYFUNCTION("""COMPUTED_VALUE"""),"Kabupaten Dairi Dalam Angka 2024")</f>
        <v>Kabupaten Dairi Dalam Angka 2024</v>
      </c>
      <c r="C499" s="13" t="str">
        <f>IFERROR(__xludf.DUMMYFUNCTION("""COMPUTED_VALUE"""),"Publikasi")</f>
        <v>Publikasi</v>
      </c>
      <c r="E499" s="19"/>
      <c r="F499" s="20" t="str">
        <f>IFERROR(__xludf.DUMMYFUNCTION("JOIN(""
"",FILTER($B499:$B1300,$A499:$A1300=E499))"),"
")</f>
        <v>
</v>
      </c>
    </row>
    <row r="500">
      <c r="A500" s="13" t="str">
        <f>IFERROR(__xludf.DUMMYFUNCTION("""COMPUTED_VALUE"""),"j:panggabean:10@gmail:com")</f>
        <v>j:panggabean:10@gmail:com</v>
      </c>
      <c r="B500" s="13" t="str">
        <f>IFERROR(__xludf.DUMMYFUNCTION("""COMPUTED_VALUE"""),"Kecamatan Berampu Dalam Angka 2024")</f>
        <v>Kecamatan Berampu Dalam Angka 2024</v>
      </c>
      <c r="C500" s="13" t="str">
        <f>IFERROR(__xludf.DUMMYFUNCTION("""COMPUTED_VALUE"""),"Publikasi")</f>
        <v>Publikasi</v>
      </c>
      <c r="E500" s="19"/>
      <c r="F500" s="20" t="str">
        <f>IFERROR(__xludf.DUMMYFUNCTION("JOIN(""
"",FILTER($B500:$B1300,$A500:$A1300=E500))"),"
")</f>
        <v>
</v>
      </c>
    </row>
    <row r="501">
      <c r="A501" s="13" t="str">
        <f>IFERROR(__xludf.DUMMYFUNCTION("""COMPUTED_VALUE"""),"j:panggabean:10@gmail:com")</f>
        <v>j:panggabean:10@gmail:com</v>
      </c>
      <c r="B501" s="13" t="str">
        <f>IFERROR(__xludf.DUMMYFUNCTION("""COMPUTED_VALUE"""),"Kecamatan Parbuluan Dalam Angka 2024")</f>
        <v>Kecamatan Parbuluan Dalam Angka 2024</v>
      </c>
      <c r="C501" s="13" t="str">
        <f>IFERROR(__xludf.DUMMYFUNCTION("""COMPUTED_VALUE"""),"Publikasi")</f>
        <v>Publikasi</v>
      </c>
      <c r="E501" s="19"/>
      <c r="F501" s="20" t="str">
        <f>IFERROR(__xludf.DUMMYFUNCTION("JOIN(""
"",FILTER($B501:$B1300,$A501:$A1300=E501))"),"
")</f>
        <v>
</v>
      </c>
    </row>
    <row r="502">
      <c r="A502" s="13" t="str">
        <f>IFERROR(__xludf.DUMMYFUNCTION("""COMPUTED_VALUE"""),"j:panggabean:10@gmail:com")</f>
        <v>j:panggabean:10@gmail:com</v>
      </c>
      <c r="B502" s="13" t="str">
        <f>IFERROR(__xludf.DUMMYFUNCTION("""COMPUTED_VALUE"""),"Kecamatan Pegagan Hilir Dalam Angka 2024")</f>
        <v>Kecamatan Pegagan Hilir Dalam Angka 2024</v>
      </c>
      <c r="C502" s="13" t="str">
        <f>IFERROR(__xludf.DUMMYFUNCTION("""COMPUTED_VALUE"""),"Publikasi")</f>
        <v>Publikasi</v>
      </c>
      <c r="E502" s="19"/>
      <c r="F502" s="20" t="str">
        <f>IFERROR(__xludf.DUMMYFUNCTION("JOIN(""
"",FILTER($B502:$B1300,$A502:$A1300=E502))"),"
")</f>
        <v>
</v>
      </c>
    </row>
    <row r="503">
      <c r="A503" s="13" t="str">
        <f>IFERROR(__xludf.DUMMYFUNCTION("""COMPUTED_VALUE"""),"j:panggabean:10@gmail:com")</f>
        <v>j:panggabean:10@gmail:com</v>
      </c>
      <c r="B503" s="13" t="str">
        <f>IFERROR(__xludf.DUMMYFUNCTION("""COMPUTED_VALUE"""),"Kecamatan Sidikalang Dalam Angka 2024")</f>
        <v>Kecamatan Sidikalang Dalam Angka 2024</v>
      </c>
      <c r="C503" s="13" t="str">
        <f>IFERROR(__xludf.DUMMYFUNCTION("""COMPUTED_VALUE"""),"Publikasi")</f>
        <v>Publikasi</v>
      </c>
      <c r="E503" s="19"/>
      <c r="F503" s="20" t="str">
        <f>IFERROR(__xludf.DUMMYFUNCTION("JOIN(""
"",FILTER($B503:$B1300,$A503:$A1300=E503))"),"
")</f>
        <v>
</v>
      </c>
    </row>
    <row r="504">
      <c r="A504" s="13" t="str">
        <f>IFERROR(__xludf.DUMMYFUNCTION("""COMPUTED_VALUE"""),"j:panggabean:10@gmail:com")</f>
        <v>j:panggabean:10@gmail:com</v>
      </c>
      <c r="B504" s="13" t="str">
        <f>IFERROR(__xludf.DUMMYFUNCTION("""COMPUTED_VALUE"""),"Kecamatan Silahisabungan Dalam Angka 2024")</f>
        <v>Kecamatan Silahisabungan Dalam Angka 2024</v>
      </c>
      <c r="C504" s="13" t="str">
        <f>IFERROR(__xludf.DUMMYFUNCTION("""COMPUTED_VALUE"""),"Publikasi")</f>
        <v>Publikasi</v>
      </c>
      <c r="E504" s="19"/>
      <c r="F504" s="20" t="str">
        <f>IFERROR(__xludf.DUMMYFUNCTION("JOIN(""
"",FILTER($B504:$B1300,$A504:$A1300=E504))"),"
")</f>
        <v>
</v>
      </c>
    </row>
    <row r="505">
      <c r="A505" s="13" t="str">
        <f>IFERROR(__xludf.DUMMYFUNCTION("""COMPUTED_VALUE"""),"j:panggabean:10@gmail:com")</f>
        <v>j:panggabean:10@gmail:com</v>
      </c>
      <c r="B505" s="13" t="str">
        <f>IFERROR(__xludf.DUMMYFUNCTION("""COMPUTED_VALUE"""),"Kecamatan Sitinjo Dalam Angka 2024")</f>
        <v>Kecamatan Sitinjo Dalam Angka 2024</v>
      </c>
      <c r="C505" s="13" t="str">
        <f>IFERROR(__xludf.DUMMYFUNCTION("""COMPUTED_VALUE"""),"Publikasi")</f>
        <v>Publikasi</v>
      </c>
      <c r="E505" s="19"/>
      <c r="F505" s="20" t="str">
        <f>IFERROR(__xludf.DUMMYFUNCTION("JOIN(""
"",FILTER($B505:$B1300,$A505:$A1300=E505))"),"
")</f>
        <v>
</v>
      </c>
    </row>
    <row r="506">
      <c r="A506" s="13" t="str">
        <f>IFERROR(__xludf.DUMMYFUNCTION("""COMPUTED_VALUE"""),"j:panggabean:10@gmail:com")</f>
        <v>j:panggabean:10@gmail:com</v>
      </c>
      <c r="B506" s="13" t="str">
        <f>IFERROR(__xludf.DUMMYFUNCTION("""COMPUTED_VALUE"""),"Kecamatan Sumbul Dalam Angka 2024")</f>
        <v>Kecamatan Sumbul Dalam Angka 2024</v>
      </c>
      <c r="C506" s="13" t="str">
        <f>IFERROR(__xludf.DUMMYFUNCTION("""COMPUTED_VALUE"""),"Publikasi")</f>
        <v>Publikasi</v>
      </c>
      <c r="E506" s="19"/>
      <c r="F506" s="20" t="str">
        <f>IFERROR(__xludf.DUMMYFUNCTION("JOIN(""
"",FILTER($B506:$B1300,$A506:$A1300=E506))"),"
")</f>
        <v>
</v>
      </c>
    </row>
    <row r="507">
      <c r="A507" s="13" t="str">
        <f>IFERROR(__xludf.DUMMYFUNCTION("""COMPUTED_VALUE"""),"j:panggabean:10@gmail:com")</f>
        <v>j:panggabean:10@gmail:com</v>
      </c>
      <c r="B507" s="13" t="str">
        <f>IFERROR(__xludf.DUMMYFUNCTION("""COMPUTED_VALUE"""),"Kecamatan Tanah Pinem Dalam Angka 2024")</f>
        <v>Kecamatan Tanah Pinem Dalam Angka 2024</v>
      </c>
      <c r="C507" s="13" t="str">
        <f>IFERROR(__xludf.DUMMYFUNCTION("""COMPUTED_VALUE"""),"Publikasi")</f>
        <v>Publikasi</v>
      </c>
      <c r="E507" s="19"/>
      <c r="F507" s="20" t="str">
        <f>IFERROR(__xludf.DUMMYFUNCTION("JOIN(""
"",FILTER($B507:$B1300,$A507:$A1300=E507))"),"
")</f>
        <v>
</v>
      </c>
    </row>
    <row r="508">
      <c r="A508" s="13" t="str">
        <f>IFERROR(__xludf.DUMMYFUNCTION("""COMPUTED_VALUE"""),"j:panggabean:10@gmail:com")</f>
        <v>j:panggabean:10@gmail:com</v>
      </c>
      <c r="B508" s="13" t="str">
        <f>IFERROR(__xludf.DUMMYFUNCTION("""COMPUTED_VALUE"""),"Kecamatan Tiga Lingga Dalam Angka 2024")</f>
        <v>Kecamatan Tiga Lingga Dalam Angka 2024</v>
      </c>
      <c r="C508" s="13" t="str">
        <f>IFERROR(__xludf.DUMMYFUNCTION("""COMPUTED_VALUE"""),"Publikasi")</f>
        <v>Publikasi</v>
      </c>
      <c r="E508" s="19"/>
      <c r="F508" s="20" t="str">
        <f>IFERROR(__xludf.DUMMYFUNCTION("JOIN(""
"",FILTER($B508:$B1300,$A508:$A1300=E508))"),"
")</f>
        <v>
</v>
      </c>
    </row>
    <row r="509">
      <c r="A509" s="13" t="str">
        <f>IFERROR(__xludf.DUMMYFUNCTION("""COMPUTED_VALUE"""),"j:panggabean:10@gmail:com")</f>
        <v>j:panggabean:10@gmail:com</v>
      </c>
      <c r="B509" s="13" t="str">
        <f>IFERROR(__xludf.DUMMYFUNCTION("""COMPUTED_VALUE"""),"Kecamatan Tigalingga Dalam Angka 2018")</f>
        <v>Kecamatan Tigalingga Dalam Angka 2018</v>
      </c>
      <c r="C509" s="13" t="str">
        <f>IFERROR(__xludf.DUMMYFUNCTION("""COMPUTED_VALUE"""),"Publikasi")</f>
        <v>Publikasi</v>
      </c>
      <c r="E509" s="19"/>
      <c r="F509" s="20" t="str">
        <f>IFERROR(__xludf.DUMMYFUNCTION("JOIN(""
"",FILTER($B509:$B1300,$A509:$A1300=E509))"),"
")</f>
        <v>
</v>
      </c>
    </row>
    <row r="510">
      <c r="A510" s="13" t="str">
        <f>IFERROR(__xludf.DUMMYFUNCTION("""COMPUTED_VALUE"""),"j:panggabean:10@gmail:com")</f>
        <v>j:panggabean:10@gmail:com</v>
      </c>
      <c r="B510" s="13" t="str">
        <f>IFERROR(__xludf.DUMMYFUNCTION("""COMPUTED_VALUE"""),"Statistik Daerah Kabupaten Dairi 2024")</f>
        <v>Statistik Daerah Kabupaten Dairi 2024</v>
      </c>
      <c r="C510" s="13" t="str">
        <f>IFERROR(__xludf.DUMMYFUNCTION("""COMPUTED_VALUE"""),"Publikasi")</f>
        <v>Publikasi</v>
      </c>
      <c r="E510" s="19"/>
      <c r="F510" s="20" t="str">
        <f>IFERROR(__xludf.DUMMYFUNCTION("JOIN(""
"",FILTER($B510:$B1300,$A510:$A1300=E510))"),"
")</f>
        <v>
</v>
      </c>
    </row>
    <row r="511">
      <c r="A511" s="13" t="str">
        <f>IFERROR(__xludf.DUMMYFUNCTION("""COMPUTED_VALUE"""),"jans:juve@gmail:com")</f>
        <v>jans:juve@gmail:com</v>
      </c>
      <c r="B511" s="13" t="str">
        <f>IFERROR(__xludf.DUMMYFUNCTION("""COMPUTED_VALUE"""),"Kabupaten Dairi Dalam Angka 2024")</f>
        <v>Kabupaten Dairi Dalam Angka 2024</v>
      </c>
      <c r="C511" s="13" t="str">
        <f>IFERROR(__xludf.DUMMYFUNCTION("""COMPUTED_VALUE"""),"Publikasi")</f>
        <v>Publikasi</v>
      </c>
      <c r="E511" s="19"/>
      <c r="F511" s="20"/>
    </row>
    <row r="512">
      <c r="A512" s="13" t="str">
        <f>IFERROR(__xludf.DUMMYFUNCTION("""COMPUTED_VALUE"""),"jekodream@gmail:com")</f>
        <v>jekodream@gmail:com</v>
      </c>
      <c r="B512" s="13" t="str">
        <f>IFERROR(__xludf.DUMMYFUNCTION("""COMPUTED_VALUE"""),"Kecamatan Silahisabungan Dalam Angka 2020")</f>
        <v>Kecamatan Silahisabungan Dalam Angka 2020</v>
      </c>
      <c r="C512" s="13" t="str">
        <f>IFERROR(__xludf.DUMMYFUNCTION("""COMPUTED_VALUE"""),"Publikasi")</f>
        <v>Publikasi</v>
      </c>
      <c r="E512" s="19"/>
      <c r="F512" s="20"/>
    </row>
    <row r="513">
      <c r="A513" s="13" t="str">
        <f>IFERROR(__xludf.DUMMYFUNCTION("""COMPUTED_VALUE"""),"jekodream@gmail:com")</f>
        <v>jekodream@gmail:com</v>
      </c>
      <c r="B513" s="13" t="str">
        <f>IFERROR(__xludf.DUMMYFUNCTION("""COMPUTED_VALUE"""),"Kecamatan Silahisabungan Dalam Angka 2021")</f>
        <v>Kecamatan Silahisabungan Dalam Angka 2021</v>
      </c>
      <c r="C513" s="13" t="str">
        <f>IFERROR(__xludf.DUMMYFUNCTION("""COMPUTED_VALUE"""),"Publikasi")</f>
        <v>Publikasi</v>
      </c>
      <c r="E513" s="19"/>
      <c r="F513" s="20"/>
    </row>
    <row r="514">
      <c r="A514" s="13" t="str">
        <f>IFERROR(__xludf.DUMMYFUNCTION("""COMPUTED_VALUE"""),"jekson:butar@bps:go:id")</f>
        <v>jekson:butar@bps:go:id</v>
      </c>
      <c r="B514" s="13" t="str">
        <f>IFERROR(__xludf.DUMMYFUNCTION("""COMPUTED_VALUE"""),"Kabupaten Dairi Dalam Angka 2024")</f>
        <v>Kabupaten Dairi Dalam Angka 2024</v>
      </c>
      <c r="C514" s="13" t="str">
        <f>IFERROR(__xludf.DUMMYFUNCTION("""COMPUTED_VALUE"""),"Publikasi")</f>
        <v>Publikasi</v>
      </c>
      <c r="E514" s="19"/>
      <c r="F514" s="20"/>
    </row>
    <row r="515">
      <c r="A515" s="13" t="str">
        <f>IFERROR(__xludf.DUMMYFUNCTION("""COMPUTED_VALUE"""),"jekson:butar@bps:go:id")</f>
        <v>jekson:butar@bps:go:id</v>
      </c>
      <c r="B515" s="13" t="str">
        <f>IFERROR(__xludf.DUMMYFUNCTION("""COMPUTED_VALUE"""),"Statistik Tanaman Pangan (Padi dan Palawija) Kabupaten Dairi 2021")</f>
        <v>Statistik Tanaman Pangan (Padi dan Palawija) Kabupaten Dairi 2021</v>
      </c>
      <c r="C515" s="13" t="str">
        <f>IFERROR(__xludf.DUMMYFUNCTION("""COMPUTED_VALUE"""),"Publikasi")</f>
        <v>Publikasi</v>
      </c>
      <c r="E515" s="19"/>
      <c r="F515" s="20"/>
    </row>
    <row r="516">
      <c r="A516" s="13" t="str">
        <f>IFERROR(__xludf.DUMMYFUNCTION("""COMPUTED_VALUE"""),"jeksonbutar2903@gmail:com")</f>
        <v>jeksonbutar2903@gmail:com</v>
      </c>
      <c r="B516" s="13" t="str">
        <f>IFERROR(__xludf.DUMMYFUNCTION("""COMPUTED_VALUE"""),"Kabupaten Dairi Dalam Angka 2024")</f>
        <v>Kabupaten Dairi Dalam Angka 2024</v>
      </c>
      <c r="C516" s="13" t="str">
        <f>IFERROR(__xludf.DUMMYFUNCTION("""COMPUTED_VALUE"""),"Publikasi")</f>
        <v>Publikasi</v>
      </c>
      <c r="E516" s="19"/>
      <c r="F516" s="20"/>
    </row>
    <row r="517">
      <c r="A517" s="13" t="str">
        <f>IFERROR(__xludf.DUMMYFUNCTION("""COMPUTED_VALUE"""),"jenny79:siagian@gmail:com")</f>
        <v>jenny79:siagian@gmail:com</v>
      </c>
      <c r="B517" s="13" t="str">
        <f>IFERROR(__xludf.DUMMYFUNCTION("""COMPUTED_VALUE"""),"Kabupaten Dairi Dalam Angka 2024")</f>
        <v>Kabupaten Dairi Dalam Angka 2024</v>
      </c>
      <c r="C517" s="13" t="str">
        <f>IFERROR(__xludf.DUMMYFUNCTION("""COMPUTED_VALUE"""),"Publikasi")</f>
        <v>Publikasi</v>
      </c>
      <c r="E517" s="19"/>
      <c r="F517" s="20"/>
    </row>
    <row r="518">
      <c r="A518" s="13" t="str">
        <f>IFERROR(__xludf.DUMMYFUNCTION("""COMPUTED_VALUE"""),"jeny:siregar1980@gmail:com")</f>
        <v>jeny:siregar1980@gmail:com</v>
      </c>
      <c r="B518" s="13" t="str">
        <f>IFERROR(__xludf.DUMMYFUNCTION("""COMPUTED_VALUE"""),"Kecamatan Berampu Dalam Angka 2018")</f>
        <v>Kecamatan Berampu Dalam Angka 2018</v>
      </c>
      <c r="C518" s="13" t="str">
        <f>IFERROR(__xludf.DUMMYFUNCTION("""COMPUTED_VALUE"""),"Publikasi")</f>
        <v>Publikasi</v>
      </c>
      <c r="E518" s="19"/>
      <c r="F518" s="20"/>
    </row>
    <row r="519">
      <c r="A519" s="13" t="str">
        <f>IFERROR(__xludf.DUMMYFUNCTION("""COMPUTED_VALUE"""),"jeny:siregar1980@gmail:com")</f>
        <v>jeny:siregar1980@gmail:com</v>
      </c>
      <c r="B519" s="13" t="str">
        <f>IFERROR(__xludf.DUMMYFUNCTION("""COMPUTED_VALUE"""),"Kecamatan Berampu Dalam Angka 2021")</f>
        <v>Kecamatan Berampu Dalam Angka 2021</v>
      </c>
      <c r="C519" s="13" t="str">
        <f>IFERROR(__xludf.DUMMYFUNCTION("""COMPUTED_VALUE"""),"Publikasi")</f>
        <v>Publikasi</v>
      </c>
      <c r="E519" s="19"/>
      <c r="F519" s="20"/>
    </row>
    <row r="520">
      <c r="A520" s="13" t="str">
        <f>IFERROR(__xludf.DUMMYFUNCTION("""COMPUTED_VALUE"""),"jhonny:ujung@yahoo:com")</f>
        <v>jhonny:ujung@yahoo:com</v>
      </c>
      <c r="B520" s="13" t="str">
        <f>IFERROR(__xludf.DUMMYFUNCTION("""COMPUTED_VALUE"""),"Kabupaten Dairi Dalam Angka 2024")</f>
        <v>Kabupaten Dairi Dalam Angka 2024</v>
      </c>
      <c r="C520" s="13" t="str">
        <f>IFERROR(__xludf.DUMMYFUNCTION("""COMPUTED_VALUE"""),"Publikasi")</f>
        <v>Publikasi</v>
      </c>
      <c r="E520" s="19"/>
      <c r="F520" s="20"/>
    </row>
    <row r="521">
      <c r="A521" s="13" t="str">
        <f>IFERROR(__xludf.DUMMYFUNCTION("""COMPUTED_VALUE"""),"jhonphilipsginting@gmail:com")</f>
        <v>jhonphilipsginting@gmail:com</v>
      </c>
      <c r="B521" s="13" t="str">
        <f>IFERROR(__xludf.DUMMYFUNCTION("""COMPUTED_VALUE"""),"Kabupaten Dairi Dalam Angka 2022")</f>
        <v>Kabupaten Dairi Dalam Angka 2022</v>
      </c>
      <c r="C521" s="13" t="str">
        <f>IFERROR(__xludf.DUMMYFUNCTION("""COMPUTED_VALUE"""),"Publikasi")</f>
        <v>Publikasi</v>
      </c>
      <c r="E521" s="19"/>
      <c r="F521" s="20"/>
    </row>
    <row r="522">
      <c r="A522" s="13" t="str">
        <f>IFERROR(__xludf.DUMMYFUNCTION("""COMPUTED_VALUE"""),"jimkidz@gmail:com")</f>
        <v>jimkidz@gmail:com</v>
      </c>
      <c r="B522" s="13" t="str">
        <f>IFERROR(__xludf.DUMMYFUNCTION("""COMPUTED_VALUE"""),"Kabupaten Dairi Dalam Angka 2022")</f>
        <v>Kabupaten Dairi Dalam Angka 2022</v>
      </c>
      <c r="C522" s="13" t="str">
        <f>IFERROR(__xludf.DUMMYFUNCTION("""COMPUTED_VALUE"""),"Publikasi")</f>
        <v>Publikasi</v>
      </c>
      <c r="E522" s="19"/>
      <c r="F522" s="20"/>
    </row>
    <row r="523">
      <c r="A523" s="13" t="str">
        <f>IFERROR(__xludf.DUMMYFUNCTION("""COMPUTED_VALUE"""),"jj@gmail:com")</f>
        <v>jj@gmail:com</v>
      </c>
      <c r="B523" s="13" t="str">
        <f>IFERROR(__xludf.DUMMYFUNCTION("""COMPUTED_VALUE"""),"Kecamatan Silahisabungan Dalam Angka 2024")</f>
        <v>Kecamatan Silahisabungan Dalam Angka 2024</v>
      </c>
      <c r="C523" s="13" t="str">
        <f>IFERROR(__xludf.DUMMYFUNCTION("""COMPUTED_VALUE"""),"Publikasi")</f>
        <v>Publikasi</v>
      </c>
      <c r="E523" s="19"/>
      <c r="F523" s="20"/>
    </row>
    <row r="524">
      <c r="A524" s="13" t="str">
        <f>IFERROR(__xludf.DUMMYFUNCTION("""COMPUTED_VALUE"""),"jj@gmail:com")</f>
        <v>jj@gmail:com</v>
      </c>
      <c r="B524" s="13" t="str">
        <f>IFERROR(__xludf.DUMMYFUNCTION("""COMPUTED_VALUE"""),"Statistik Daerah Kabupaten Dairi 2024")</f>
        <v>Statistik Daerah Kabupaten Dairi 2024</v>
      </c>
      <c r="C524" s="13" t="str">
        <f>IFERROR(__xludf.DUMMYFUNCTION("""COMPUTED_VALUE"""),"Publikasi")</f>
        <v>Publikasi</v>
      </c>
      <c r="E524" s="19"/>
      <c r="F524" s="20"/>
    </row>
    <row r="525">
      <c r="A525" s="13" t="str">
        <f>IFERROR(__xludf.DUMMYFUNCTION("""COMPUTED_VALUE"""),"jm@gmail:com")</f>
        <v>jm@gmail:com</v>
      </c>
      <c r="B525" s="13" t="str">
        <f>IFERROR(__xludf.DUMMYFUNCTION("""COMPUTED_VALUE"""),"Kabupaten Dairi Dalam Angka 2022")</f>
        <v>Kabupaten Dairi Dalam Angka 2022</v>
      </c>
      <c r="C525" s="13" t="str">
        <f>IFERROR(__xludf.DUMMYFUNCTION("""COMPUTED_VALUE"""),"Publikasi")</f>
        <v>Publikasi</v>
      </c>
      <c r="E525" s="19"/>
      <c r="F525" s="20"/>
    </row>
    <row r="526">
      <c r="A526" s="13" t="str">
        <f>IFERROR(__xludf.DUMMYFUNCTION("""COMPUTED_VALUE"""),"jm@gmail:com")</f>
        <v>jm@gmail:com</v>
      </c>
      <c r="B526" s="13" t="str">
        <f>IFERROR(__xludf.DUMMYFUNCTION("""COMPUTED_VALUE"""),"Kabupaten Dairi Dalam Angka 2024")</f>
        <v>Kabupaten Dairi Dalam Angka 2024</v>
      </c>
      <c r="C526" s="13" t="str">
        <f>IFERROR(__xludf.DUMMYFUNCTION("""COMPUTED_VALUE"""),"Publikasi")</f>
        <v>Publikasi</v>
      </c>
      <c r="E526" s="19"/>
      <c r="F526" s="20"/>
    </row>
    <row r="527">
      <c r="A527" s="13" t="str">
        <f>IFERROR(__xludf.DUMMYFUNCTION("""COMPUTED_VALUE"""),"jm@gmail:com")</f>
        <v>jm@gmail:com</v>
      </c>
      <c r="B527" s="13" t="str">
        <f>IFERROR(__xludf.DUMMYFUNCTION("""COMPUTED_VALUE"""),"Kecamatan Lae Parira Dalam Angka 2024")</f>
        <v>Kecamatan Lae Parira Dalam Angka 2024</v>
      </c>
      <c r="C527" s="13" t="str">
        <f>IFERROR(__xludf.DUMMYFUNCTION("""COMPUTED_VALUE"""),"Publikasi")</f>
        <v>Publikasi</v>
      </c>
      <c r="E527" s="19"/>
      <c r="F527" s="20"/>
    </row>
    <row r="528">
      <c r="A528" s="13" t="str">
        <f>IFERROR(__xludf.DUMMYFUNCTION("""COMPUTED_VALUE"""),"jm@gmail:com")</f>
        <v>jm@gmail:com</v>
      </c>
      <c r="B528" s="13" t="str">
        <f>IFERROR(__xludf.DUMMYFUNCTION("""COMPUTED_VALUE"""),"Kecamatan Pegagan Hilir Dalam Angka 2022")</f>
        <v>Kecamatan Pegagan Hilir Dalam Angka 2022</v>
      </c>
      <c r="C528" s="13" t="str">
        <f>IFERROR(__xludf.DUMMYFUNCTION("""COMPUTED_VALUE"""),"Publikasi")</f>
        <v>Publikasi</v>
      </c>
      <c r="E528" s="19"/>
      <c r="F528" s="20"/>
    </row>
    <row r="529">
      <c r="A529" s="13" t="str">
        <f>IFERROR(__xludf.DUMMYFUNCTION("""COMPUTED_VALUE"""),"jm@gmail:com")</f>
        <v>jm@gmail:com</v>
      </c>
      <c r="B529" s="13" t="str">
        <f>IFERROR(__xludf.DUMMYFUNCTION("""COMPUTED_VALUE"""),"Kecamatan Pegagan Hilir Dalam Angka 2024")</f>
        <v>Kecamatan Pegagan Hilir Dalam Angka 2024</v>
      </c>
      <c r="C529" s="13" t="str">
        <f>IFERROR(__xludf.DUMMYFUNCTION("""COMPUTED_VALUE"""),"Publikasi")</f>
        <v>Publikasi</v>
      </c>
      <c r="E529" s="19"/>
      <c r="F529" s="20"/>
    </row>
    <row r="530">
      <c r="A530" s="13" t="str">
        <f>IFERROR(__xludf.DUMMYFUNCTION("""COMPUTED_VALUE"""),"jm@gmail:com")</f>
        <v>jm@gmail:com</v>
      </c>
      <c r="B530" s="13" t="str">
        <f>IFERROR(__xludf.DUMMYFUNCTION("""COMPUTED_VALUE"""),"Kecamatan Sidikalang Dalam Angka 2022")</f>
        <v>Kecamatan Sidikalang Dalam Angka 2022</v>
      </c>
      <c r="C530" s="13" t="str">
        <f>IFERROR(__xludf.DUMMYFUNCTION("""COMPUTED_VALUE"""),"Publikasi")</f>
        <v>Publikasi</v>
      </c>
      <c r="E530" s="19"/>
      <c r="F530" s="20"/>
    </row>
    <row r="531">
      <c r="A531" s="13" t="str">
        <f>IFERROR(__xludf.DUMMYFUNCTION("""COMPUTED_VALUE"""),"jm@gmail:com")</f>
        <v>jm@gmail:com</v>
      </c>
      <c r="B531" s="13" t="str">
        <f>IFERROR(__xludf.DUMMYFUNCTION("""COMPUTED_VALUE"""),"Kecamatan Sidikalang Dalam Angka 2024")</f>
        <v>Kecamatan Sidikalang Dalam Angka 2024</v>
      </c>
      <c r="C531" s="13" t="str">
        <f>IFERROR(__xludf.DUMMYFUNCTION("""COMPUTED_VALUE"""),"Publikasi")</f>
        <v>Publikasi</v>
      </c>
      <c r="E531" s="19"/>
      <c r="F531" s="20"/>
    </row>
    <row r="532">
      <c r="A532" s="13" t="str">
        <f>IFERROR(__xludf.DUMMYFUNCTION("""COMPUTED_VALUE"""),"jm@gmail:com")</f>
        <v>jm@gmail:com</v>
      </c>
      <c r="B532" s="13" t="str">
        <f>IFERROR(__xludf.DUMMYFUNCTION("""COMPUTED_VALUE"""),"Kecamatan Silima Pungga-Pungga Dalam Angka 2021")</f>
        <v>Kecamatan Silima Pungga-Pungga Dalam Angka 2021</v>
      </c>
      <c r="C532" s="13" t="str">
        <f>IFERROR(__xludf.DUMMYFUNCTION("""COMPUTED_VALUE"""),"Publikasi")</f>
        <v>Publikasi</v>
      </c>
      <c r="E532" s="19"/>
      <c r="F532" s="20"/>
    </row>
    <row r="533">
      <c r="A533" s="13" t="str">
        <f>IFERROR(__xludf.DUMMYFUNCTION("""COMPUTED_VALUE"""),"jm@gmail:com")</f>
        <v>jm@gmail:com</v>
      </c>
      <c r="B533" s="13" t="str">
        <f>IFERROR(__xludf.DUMMYFUNCTION("""COMPUTED_VALUE"""),"Kecamatan Silima Pungga-Pungga Dalam Angka 2022")</f>
        <v>Kecamatan Silima Pungga-Pungga Dalam Angka 2022</v>
      </c>
      <c r="C533" s="13" t="str">
        <f>IFERROR(__xludf.DUMMYFUNCTION("""COMPUTED_VALUE"""),"Publikasi")</f>
        <v>Publikasi</v>
      </c>
      <c r="E533" s="19"/>
      <c r="F533" s="20"/>
    </row>
    <row r="534">
      <c r="A534" s="13" t="str">
        <f>IFERROR(__xludf.DUMMYFUNCTION("""COMPUTED_VALUE"""),"jm@gmail:com")</f>
        <v>jm@gmail:com</v>
      </c>
      <c r="B534" s="13" t="str">
        <f>IFERROR(__xludf.DUMMYFUNCTION("""COMPUTED_VALUE"""),"Kecamatan Silima Pungga-Pungga Dalam Angka 2024")</f>
        <v>Kecamatan Silima Pungga-Pungga Dalam Angka 2024</v>
      </c>
      <c r="C534" s="13" t="str">
        <f>IFERROR(__xludf.DUMMYFUNCTION("""COMPUTED_VALUE"""),"Publikasi")</f>
        <v>Publikasi</v>
      </c>
      <c r="E534" s="19"/>
      <c r="F534" s="20"/>
    </row>
    <row r="535">
      <c r="A535" s="13" t="str">
        <f>IFERROR(__xludf.DUMMYFUNCTION("""COMPUTED_VALUE"""),"jm@gmail:com")</f>
        <v>jm@gmail:com</v>
      </c>
      <c r="B535" s="13" t="str">
        <f>IFERROR(__xludf.DUMMYFUNCTION("""COMPUTED_VALUE"""),"Kecamatan Tiga Lingga Dalam Angka 2024")</f>
        <v>Kecamatan Tiga Lingga Dalam Angka 2024</v>
      </c>
      <c r="C535" s="13" t="str">
        <f>IFERROR(__xludf.DUMMYFUNCTION("""COMPUTED_VALUE"""),"Publikasi")</f>
        <v>Publikasi</v>
      </c>
      <c r="E535" s="19"/>
      <c r="F535" s="20"/>
    </row>
    <row r="536">
      <c r="A536" s="13" t="str">
        <f>IFERROR(__xludf.DUMMYFUNCTION("""COMPUTED_VALUE"""),"joba:esri@gmail:com")</f>
        <v>joba:esri@gmail:com</v>
      </c>
      <c r="B536" s="13" t="str">
        <f>IFERROR(__xludf.DUMMYFUNCTION("""COMPUTED_VALUE"""),"Kabupaten Dairi Dalam Angka 2024")</f>
        <v>Kabupaten Dairi Dalam Angka 2024</v>
      </c>
      <c r="C536" s="13" t="str">
        <f>IFERROR(__xludf.DUMMYFUNCTION("""COMPUTED_VALUE"""),"Publikasi")</f>
        <v>Publikasi</v>
      </c>
      <c r="E536" s="19"/>
      <c r="F536" s="20"/>
    </row>
    <row r="537">
      <c r="A537" s="13" t="str">
        <f>IFERROR(__xludf.DUMMYFUNCTION("""COMPUTED_VALUE"""),"john_dayax@yahoo:com")</f>
        <v>john_dayax@yahoo:com</v>
      </c>
      <c r="B537" s="13" t="str">
        <f>IFERROR(__xludf.DUMMYFUNCTION("""COMPUTED_VALUE"""),"Indeks Pembangunan Manusia Kabupaten Dairi 2024")</f>
        <v>Indeks Pembangunan Manusia Kabupaten Dairi 2024</v>
      </c>
      <c r="C537" s="13" t="str">
        <f>IFERROR(__xludf.DUMMYFUNCTION("""COMPUTED_VALUE"""),"Publikasi")</f>
        <v>Publikasi</v>
      </c>
      <c r="E537" s="19"/>
      <c r="F537" s="20"/>
    </row>
    <row r="538">
      <c r="A538" s="13" t="str">
        <f>IFERROR(__xludf.DUMMYFUNCTION("""COMPUTED_VALUE"""),"john_dayax@yahoo:com")</f>
        <v>john_dayax@yahoo:com</v>
      </c>
      <c r="B538" s="13" t="str">
        <f>IFERROR(__xludf.DUMMYFUNCTION("""COMPUTED_VALUE"""),"Kabupaten Dairi Dalam Angka 2024")</f>
        <v>Kabupaten Dairi Dalam Angka 2024</v>
      </c>
      <c r="C538" s="13" t="str">
        <f>IFERROR(__xludf.DUMMYFUNCTION("""COMPUTED_VALUE"""),"Publikasi")</f>
        <v>Publikasi</v>
      </c>
      <c r="E538" s="19"/>
      <c r="F538" s="20"/>
    </row>
    <row r="539">
      <c r="A539" s="13" t="str">
        <f>IFERROR(__xludf.DUMMYFUNCTION("""COMPUTED_VALUE"""),"jokosuhada@gmail:com")</f>
        <v>jokosuhada@gmail:com</v>
      </c>
      <c r="B539" s="13" t="str">
        <f>IFERROR(__xludf.DUMMYFUNCTION("""COMPUTED_VALUE"""),"Kabupaten Dairi Dalam Angka 2024")</f>
        <v>Kabupaten Dairi Dalam Angka 2024</v>
      </c>
      <c r="C539" s="13" t="str">
        <f>IFERROR(__xludf.DUMMYFUNCTION("""COMPUTED_VALUE"""),"Publikasi")</f>
        <v>Publikasi</v>
      </c>
      <c r="E539" s="19"/>
      <c r="F539" s="20"/>
    </row>
    <row r="540">
      <c r="A540" s="13" t="str">
        <f>IFERROR(__xludf.DUMMYFUNCTION("""COMPUTED_VALUE"""),"jonapurba22@gmail:com")</f>
        <v>jonapurba22@gmail:com</v>
      </c>
      <c r="B540" s="13" t="str">
        <f>IFERROR(__xludf.DUMMYFUNCTION("""COMPUTED_VALUE"""),"Kecamatan Berampu Dalam Angka 2022")</f>
        <v>Kecamatan Berampu Dalam Angka 2022</v>
      </c>
      <c r="C540" s="13" t="str">
        <f>IFERROR(__xludf.DUMMYFUNCTION("""COMPUTED_VALUE"""),"Publikasi")</f>
        <v>Publikasi</v>
      </c>
      <c r="E540" s="19"/>
      <c r="F540" s="20"/>
    </row>
    <row r="541">
      <c r="A541" s="13" t="str">
        <f>IFERROR(__xludf.DUMMYFUNCTION("""COMPUTED_VALUE"""),"jonapurba22@gmail:com")</f>
        <v>jonapurba22@gmail:com</v>
      </c>
      <c r="B541" s="13" t="str">
        <f>IFERROR(__xludf.DUMMYFUNCTION("""COMPUTED_VALUE"""),"Kecamatan Gunung Sitember Dalam Angka 2022")</f>
        <v>Kecamatan Gunung Sitember Dalam Angka 2022</v>
      </c>
      <c r="C541" s="13" t="str">
        <f>IFERROR(__xludf.DUMMYFUNCTION("""COMPUTED_VALUE"""),"Publikasi")</f>
        <v>Publikasi</v>
      </c>
      <c r="E541" s="19"/>
      <c r="F541" s="20"/>
    </row>
    <row r="542">
      <c r="A542" s="13" t="str">
        <f>IFERROR(__xludf.DUMMYFUNCTION("""COMPUTED_VALUE"""),"jonapurba22@gmail:com")</f>
        <v>jonapurba22@gmail:com</v>
      </c>
      <c r="B542" s="13" t="str">
        <f>IFERROR(__xludf.DUMMYFUNCTION("""COMPUTED_VALUE"""),"Kecamatan Lae Parira Dalam Angka 2022")</f>
        <v>Kecamatan Lae Parira Dalam Angka 2022</v>
      </c>
      <c r="C542" s="13" t="str">
        <f>IFERROR(__xludf.DUMMYFUNCTION("""COMPUTED_VALUE"""),"Publikasi")</f>
        <v>Publikasi</v>
      </c>
      <c r="E542" s="19"/>
      <c r="F542" s="20"/>
    </row>
    <row r="543">
      <c r="A543" s="13" t="str">
        <f>IFERROR(__xludf.DUMMYFUNCTION("""COMPUTED_VALUE"""),"jonapurba22@gmail:com")</f>
        <v>jonapurba22@gmail:com</v>
      </c>
      <c r="B543" s="13" t="str">
        <f>IFERROR(__xludf.DUMMYFUNCTION("""COMPUTED_VALUE"""),"Kecamatan Parbuluan Dalam Angka 2022")</f>
        <v>Kecamatan Parbuluan Dalam Angka 2022</v>
      </c>
      <c r="C543" s="13" t="str">
        <f>IFERROR(__xludf.DUMMYFUNCTION("""COMPUTED_VALUE"""),"Publikasi")</f>
        <v>Publikasi</v>
      </c>
      <c r="E543" s="19"/>
      <c r="F543" s="20"/>
    </row>
    <row r="544">
      <c r="A544" s="13" t="str">
        <f>IFERROR(__xludf.DUMMYFUNCTION("""COMPUTED_VALUE"""),"jonapurba22@gmail:com")</f>
        <v>jonapurba22@gmail:com</v>
      </c>
      <c r="B544" s="13" t="str">
        <f>IFERROR(__xludf.DUMMYFUNCTION("""COMPUTED_VALUE"""),"Kecamatan Pegagan Hilir Dalam Angka 2022")</f>
        <v>Kecamatan Pegagan Hilir Dalam Angka 2022</v>
      </c>
      <c r="C544" s="13" t="str">
        <f>IFERROR(__xludf.DUMMYFUNCTION("""COMPUTED_VALUE"""),"Publikasi")</f>
        <v>Publikasi</v>
      </c>
      <c r="E544" s="19"/>
      <c r="F544" s="20"/>
    </row>
    <row r="545">
      <c r="A545" s="13" t="str">
        <f>IFERROR(__xludf.DUMMYFUNCTION("""COMPUTED_VALUE"""),"jonapurba22@gmail:com")</f>
        <v>jonapurba22@gmail:com</v>
      </c>
      <c r="B545" s="13" t="str">
        <f>IFERROR(__xludf.DUMMYFUNCTION("""COMPUTED_VALUE"""),"Kecamatan Sidikalang Dalam Angka 2022")</f>
        <v>Kecamatan Sidikalang Dalam Angka 2022</v>
      </c>
      <c r="C545" s="13" t="str">
        <f>IFERROR(__xludf.DUMMYFUNCTION("""COMPUTED_VALUE"""),"Publikasi")</f>
        <v>Publikasi</v>
      </c>
      <c r="E545" s="19"/>
      <c r="F545" s="20"/>
    </row>
    <row r="546">
      <c r="A546" s="13" t="str">
        <f>IFERROR(__xludf.DUMMYFUNCTION("""COMPUTED_VALUE"""),"jonapurba22@gmail:com")</f>
        <v>jonapurba22@gmail:com</v>
      </c>
      <c r="B546" s="13" t="str">
        <f>IFERROR(__xludf.DUMMYFUNCTION("""COMPUTED_VALUE"""),"Kecamatan Siempat Nempu Dalam Angka 2022")</f>
        <v>Kecamatan Siempat Nempu Dalam Angka 2022</v>
      </c>
      <c r="C546" s="13" t="str">
        <f>IFERROR(__xludf.DUMMYFUNCTION("""COMPUTED_VALUE"""),"Publikasi")</f>
        <v>Publikasi</v>
      </c>
      <c r="E546" s="19"/>
      <c r="F546" s="20"/>
    </row>
    <row r="547">
      <c r="A547" s="13" t="str">
        <f>IFERROR(__xludf.DUMMYFUNCTION("""COMPUTED_VALUE"""),"jonapurba22@gmail:com")</f>
        <v>jonapurba22@gmail:com</v>
      </c>
      <c r="B547" s="13" t="str">
        <f>IFERROR(__xludf.DUMMYFUNCTION("""COMPUTED_VALUE"""),"Kecamatan Siempat Nempu Hilir Dalam Angka 2022")</f>
        <v>Kecamatan Siempat Nempu Hilir Dalam Angka 2022</v>
      </c>
      <c r="C547" s="13" t="str">
        <f>IFERROR(__xludf.DUMMYFUNCTION("""COMPUTED_VALUE"""),"Publikasi")</f>
        <v>Publikasi</v>
      </c>
      <c r="E547" s="19"/>
      <c r="F547" s="20"/>
    </row>
    <row r="548">
      <c r="A548" s="13" t="str">
        <f>IFERROR(__xludf.DUMMYFUNCTION("""COMPUTED_VALUE"""),"jonapurba22@gmail:com")</f>
        <v>jonapurba22@gmail:com</v>
      </c>
      <c r="B548" s="13" t="str">
        <f>IFERROR(__xludf.DUMMYFUNCTION("""COMPUTED_VALUE"""),"Kecamatan Siempat Nempu Hulu Dalam Angka 2022")</f>
        <v>Kecamatan Siempat Nempu Hulu Dalam Angka 2022</v>
      </c>
      <c r="C548" s="13" t="str">
        <f>IFERROR(__xludf.DUMMYFUNCTION("""COMPUTED_VALUE"""),"Publikasi")</f>
        <v>Publikasi</v>
      </c>
      <c r="E548" s="19"/>
      <c r="F548" s="20"/>
    </row>
    <row r="549">
      <c r="A549" s="13" t="str">
        <f>IFERROR(__xludf.DUMMYFUNCTION("""COMPUTED_VALUE"""),"jonapurba22@gmail:com")</f>
        <v>jonapurba22@gmail:com</v>
      </c>
      <c r="B549" s="13" t="str">
        <f>IFERROR(__xludf.DUMMYFUNCTION("""COMPUTED_VALUE"""),"Kecamatan Silahisabungan Dalam Angka 2022")</f>
        <v>Kecamatan Silahisabungan Dalam Angka 2022</v>
      </c>
      <c r="C549" s="13" t="str">
        <f>IFERROR(__xludf.DUMMYFUNCTION("""COMPUTED_VALUE"""),"Publikasi")</f>
        <v>Publikasi</v>
      </c>
      <c r="E549" s="19"/>
      <c r="F549" s="20"/>
    </row>
    <row r="550">
      <c r="A550" s="13" t="str">
        <f>IFERROR(__xludf.DUMMYFUNCTION("""COMPUTED_VALUE"""),"jonapurba22@gmail:com")</f>
        <v>jonapurba22@gmail:com</v>
      </c>
      <c r="B550" s="13" t="str">
        <f>IFERROR(__xludf.DUMMYFUNCTION("""COMPUTED_VALUE"""),"Kecamatan Silima Pungga-Pungga Dalam Angka 2022")</f>
        <v>Kecamatan Silima Pungga-Pungga Dalam Angka 2022</v>
      </c>
      <c r="C550" s="13" t="str">
        <f>IFERROR(__xludf.DUMMYFUNCTION("""COMPUTED_VALUE"""),"Publikasi")</f>
        <v>Publikasi</v>
      </c>
      <c r="E550" s="19"/>
      <c r="F550" s="20"/>
    </row>
    <row r="551">
      <c r="A551" s="13" t="str">
        <f>IFERROR(__xludf.DUMMYFUNCTION("""COMPUTED_VALUE"""),"jonapurba22@gmail:com")</f>
        <v>jonapurba22@gmail:com</v>
      </c>
      <c r="B551" s="13" t="str">
        <f>IFERROR(__xludf.DUMMYFUNCTION("""COMPUTED_VALUE"""),"Kecamatan Sitinjo Dalam Angka 2022")</f>
        <v>Kecamatan Sitinjo Dalam Angka 2022</v>
      </c>
      <c r="C551" s="13" t="str">
        <f>IFERROR(__xludf.DUMMYFUNCTION("""COMPUTED_VALUE"""),"Publikasi")</f>
        <v>Publikasi</v>
      </c>
      <c r="E551" s="19"/>
      <c r="F551" s="20"/>
    </row>
    <row r="552">
      <c r="A552" s="13" t="str">
        <f>IFERROR(__xludf.DUMMYFUNCTION("""COMPUTED_VALUE"""),"jonapurba22@gmail:com")</f>
        <v>jonapurba22@gmail:com</v>
      </c>
      <c r="B552" s="13" t="str">
        <f>IFERROR(__xludf.DUMMYFUNCTION("""COMPUTED_VALUE"""),"Kecamatan Sumbul Dalam Angka 2022")</f>
        <v>Kecamatan Sumbul Dalam Angka 2022</v>
      </c>
      <c r="C552" s="13" t="str">
        <f>IFERROR(__xludf.DUMMYFUNCTION("""COMPUTED_VALUE"""),"Publikasi")</f>
        <v>Publikasi</v>
      </c>
      <c r="E552" s="19"/>
      <c r="F552" s="20"/>
    </row>
    <row r="553">
      <c r="A553" s="13" t="str">
        <f>IFERROR(__xludf.DUMMYFUNCTION("""COMPUTED_VALUE"""),"jonapurba22@gmail:com")</f>
        <v>jonapurba22@gmail:com</v>
      </c>
      <c r="B553" s="13" t="str">
        <f>IFERROR(__xludf.DUMMYFUNCTION("""COMPUTED_VALUE"""),"Kecamatan Tanah Pinem Dalam Angka 2022")</f>
        <v>Kecamatan Tanah Pinem Dalam Angka 2022</v>
      </c>
      <c r="C553" s="13" t="str">
        <f>IFERROR(__xludf.DUMMYFUNCTION("""COMPUTED_VALUE"""),"Publikasi")</f>
        <v>Publikasi</v>
      </c>
      <c r="E553" s="19"/>
      <c r="F553" s="20"/>
    </row>
    <row r="554">
      <c r="A554" s="13" t="str">
        <f>IFERROR(__xludf.DUMMYFUNCTION("""COMPUTED_VALUE"""),"jonapurba22@gmail:com")</f>
        <v>jonapurba22@gmail:com</v>
      </c>
      <c r="B554" s="13" t="str">
        <f>IFERROR(__xludf.DUMMYFUNCTION("""COMPUTED_VALUE"""),"Kecamatan Tiga Lingga Dalam Angka 2022")</f>
        <v>Kecamatan Tiga Lingga Dalam Angka 2022</v>
      </c>
      <c r="C554" s="13" t="str">
        <f>IFERROR(__xludf.DUMMYFUNCTION("""COMPUTED_VALUE"""),"Publikasi")</f>
        <v>Publikasi</v>
      </c>
      <c r="E554" s="19"/>
      <c r="F554" s="20"/>
    </row>
    <row r="555">
      <c r="A555" s="13" t="str">
        <f>IFERROR(__xludf.DUMMYFUNCTION("""COMPUTED_VALUE"""),"jonathansinaga244@gmail:com")</f>
        <v>jonathansinaga244@gmail:com</v>
      </c>
      <c r="B555" s="13" t="str">
        <f>IFERROR(__xludf.DUMMYFUNCTION("""COMPUTED_VALUE"""),"Indikator Kesejahteraan Rakyat Kabupaten Dairi Tahun 2022")</f>
        <v>Indikator Kesejahteraan Rakyat Kabupaten Dairi Tahun 2022</v>
      </c>
      <c r="C555" s="13" t="str">
        <f>IFERROR(__xludf.DUMMYFUNCTION("""COMPUTED_VALUE"""),"Publikasi")</f>
        <v>Publikasi</v>
      </c>
      <c r="E555" s="19"/>
      <c r="F555" s="20"/>
    </row>
    <row r="556">
      <c r="A556" s="13" t="str">
        <f>IFERROR(__xludf.DUMMYFUNCTION("""COMPUTED_VALUE"""),"jonathansinaga244@gmail:com")</f>
        <v>jonathansinaga244@gmail:com</v>
      </c>
      <c r="B556" s="13" t="str">
        <f>IFERROR(__xludf.DUMMYFUNCTION("""COMPUTED_VALUE"""),"Kabupaten Dairi Dalam Angka 2022")</f>
        <v>Kabupaten Dairi Dalam Angka 2022</v>
      </c>
      <c r="C556" s="13" t="str">
        <f>IFERROR(__xludf.DUMMYFUNCTION("""COMPUTED_VALUE"""),"Publikasi")</f>
        <v>Publikasi</v>
      </c>
      <c r="E556" s="19"/>
      <c r="F556" s="20"/>
    </row>
    <row r="557">
      <c r="A557" s="13" t="str">
        <f>IFERROR(__xludf.DUMMYFUNCTION("""COMPUTED_VALUE"""),"jonathansinaga244@gmail:com")</f>
        <v>jonathansinaga244@gmail:com</v>
      </c>
      <c r="B557" s="13" t="str">
        <f>IFERROR(__xludf.DUMMYFUNCTION("""COMPUTED_VALUE"""),"Kecamatan Berampu Dalam Angka 2022")</f>
        <v>Kecamatan Berampu Dalam Angka 2022</v>
      </c>
      <c r="C557" s="13" t="str">
        <f>IFERROR(__xludf.DUMMYFUNCTION("""COMPUTED_VALUE"""),"Publikasi")</f>
        <v>Publikasi</v>
      </c>
      <c r="E557" s="19"/>
      <c r="F557" s="20"/>
    </row>
    <row r="558">
      <c r="A558" s="13" t="str">
        <f>IFERROR(__xludf.DUMMYFUNCTION("""COMPUTED_VALUE"""),"jonathansinaga244@gmail:com")</f>
        <v>jonathansinaga244@gmail:com</v>
      </c>
      <c r="B558" s="13" t="str">
        <f>IFERROR(__xludf.DUMMYFUNCTION("""COMPUTED_VALUE"""),"Kecamatan Gunung Sitember Dalam Angka 2022")</f>
        <v>Kecamatan Gunung Sitember Dalam Angka 2022</v>
      </c>
      <c r="C558" s="13" t="str">
        <f>IFERROR(__xludf.DUMMYFUNCTION("""COMPUTED_VALUE"""),"Publikasi")</f>
        <v>Publikasi</v>
      </c>
      <c r="E558" s="19"/>
      <c r="F558" s="20"/>
    </row>
    <row r="559">
      <c r="A559" s="13" t="str">
        <f>IFERROR(__xludf.DUMMYFUNCTION("""COMPUTED_VALUE"""),"jonathansinaga244@gmail:com")</f>
        <v>jonathansinaga244@gmail:com</v>
      </c>
      <c r="B559" s="13" t="str">
        <f>IFERROR(__xludf.DUMMYFUNCTION("""COMPUTED_VALUE"""),"Kecamatan Lae Parira Dalam Angka 2022")</f>
        <v>Kecamatan Lae Parira Dalam Angka 2022</v>
      </c>
      <c r="C559" s="13" t="str">
        <f>IFERROR(__xludf.DUMMYFUNCTION("""COMPUTED_VALUE"""),"Publikasi")</f>
        <v>Publikasi</v>
      </c>
      <c r="E559" s="19"/>
      <c r="F559" s="20"/>
    </row>
    <row r="560">
      <c r="A560" s="13" t="str">
        <f>IFERROR(__xludf.DUMMYFUNCTION("""COMPUTED_VALUE"""),"jonathansinaga244@gmail:com")</f>
        <v>jonathansinaga244@gmail:com</v>
      </c>
      <c r="B560" s="13" t="str">
        <f>IFERROR(__xludf.DUMMYFUNCTION("""COMPUTED_VALUE"""),"Kecamatan Parbuluan Dalam Angka 2022")</f>
        <v>Kecamatan Parbuluan Dalam Angka 2022</v>
      </c>
      <c r="C560" s="13" t="str">
        <f>IFERROR(__xludf.DUMMYFUNCTION("""COMPUTED_VALUE"""),"Publikasi")</f>
        <v>Publikasi</v>
      </c>
      <c r="E560" s="19"/>
      <c r="F560" s="20"/>
    </row>
    <row r="561">
      <c r="A561" s="13" t="str">
        <f>IFERROR(__xludf.DUMMYFUNCTION("""COMPUTED_VALUE"""),"jonathansinaga244@gmail:com")</f>
        <v>jonathansinaga244@gmail:com</v>
      </c>
      <c r="B561" s="13" t="str">
        <f>IFERROR(__xludf.DUMMYFUNCTION("""COMPUTED_VALUE"""),"Kecamatan Pegagan Hilir Dalam Angka 2022")</f>
        <v>Kecamatan Pegagan Hilir Dalam Angka 2022</v>
      </c>
      <c r="C561" s="13" t="str">
        <f>IFERROR(__xludf.DUMMYFUNCTION("""COMPUTED_VALUE"""),"Publikasi")</f>
        <v>Publikasi</v>
      </c>
      <c r="E561" s="19"/>
      <c r="F561" s="20"/>
    </row>
    <row r="562">
      <c r="A562" s="13" t="str">
        <f>IFERROR(__xludf.DUMMYFUNCTION("""COMPUTED_VALUE"""),"jonathansinaga244@gmail:com")</f>
        <v>jonathansinaga244@gmail:com</v>
      </c>
      <c r="B562" s="13" t="str">
        <f>IFERROR(__xludf.DUMMYFUNCTION("""COMPUTED_VALUE"""),"Kecamatan Sidikalang Dalam Angka 2022")</f>
        <v>Kecamatan Sidikalang Dalam Angka 2022</v>
      </c>
      <c r="C562" s="13" t="str">
        <f>IFERROR(__xludf.DUMMYFUNCTION("""COMPUTED_VALUE"""),"Publikasi")</f>
        <v>Publikasi</v>
      </c>
      <c r="E562" s="19"/>
      <c r="F562" s="20"/>
    </row>
    <row r="563">
      <c r="A563" s="13" t="str">
        <f>IFERROR(__xludf.DUMMYFUNCTION("""COMPUTED_VALUE"""),"jonathansinaga244@gmail:com")</f>
        <v>jonathansinaga244@gmail:com</v>
      </c>
      <c r="B563" s="13" t="str">
        <f>IFERROR(__xludf.DUMMYFUNCTION("""COMPUTED_VALUE"""),"Kecamatan Siempat Nempu Dalam Angka 2022")</f>
        <v>Kecamatan Siempat Nempu Dalam Angka 2022</v>
      </c>
      <c r="C563" s="13" t="str">
        <f>IFERROR(__xludf.DUMMYFUNCTION("""COMPUTED_VALUE"""),"Publikasi")</f>
        <v>Publikasi</v>
      </c>
      <c r="E563" s="19"/>
      <c r="F563" s="20"/>
    </row>
    <row r="564">
      <c r="A564" s="13" t="str">
        <f>IFERROR(__xludf.DUMMYFUNCTION("""COMPUTED_VALUE"""),"jonathansinaga244@gmail:com")</f>
        <v>jonathansinaga244@gmail:com</v>
      </c>
      <c r="B564" s="13" t="str">
        <f>IFERROR(__xludf.DUMMYFUNCTION("""COMPUTED_VALUE"""),"Kecamatan Siempat Nempu Hilir Dalam Angka 2022")</f>
        <v>Kecamatan Siempat Nempu Hilir Dalam Angka 2022</v>
      </c>
      <c r="C564" s="13" t="str">
        <f>IFERROR(__xludf.DUMMYFUNCTION("""COMPUTED_VALUE"""),"Publikasi")</f>
        <v>Publikasi</v>
      </c>
      <c r="E564" s="19"/>
      <c r="F564" s="20"/>
    </row>
    <row r="565">
      <c r="A565" s="13" t="str">
        <f>IFERROR(__xludf.DUMMYFUNCTION("""COMPUTED_VALUE"""),"jonathansinaga244@gmail:com")</f>
        <v>jonathansinaga244@gmail:com</v>
      </c>
      <c r="B565" s="13" t="str">
        <f>IFERROR(__xludf.DUMMYFUNCTION("""COMPUTED_VALUE"""),"Kecamatan Siempat Nempu Hulu Dalam Angka 2022")</f>
        <v>Kecamatan Siempat Nempu Hulu Dalam Angka 2022</v>
      </c>
      <c r="C565" s="13" t="str">
        <f>IFERROR(__xludf.DUMMYFUNCTION("""COMPUTED_VALUE"""),"Publikasi")</f>
        <v>Publikasi</v>
      </c>
      <c r="E565" s="19"/>
      <c r="F565" s="20"/>
    </row>
    <row r="566">
      <c r="A566" s="13" t="str">
        <f>IFERROR(__xludf.DUMMYFUNCTION("""COMPUTED_VALUE"""),"jonathansinaga244@gmail:com")</f>
        <v>jonathansinaga244@gmail:com</v>
      </c>
      <c r="B566" s="13" t="str">
        <f>IFERROR(__xludf.DUMMYFUNCTION("""COMPUTED_VALUE"""),"Kecamatan Silahisabungan Dalam Angka 2022")</f>
        <v>Kecamatan Silahisabungan Dalam Angka 2022</v>
      </c>
      <c r="C566" s="13" t="str">
        <f>IFERROR(__xludf.DUMMYFUNCTION("""COMPUTED_VALUE"""),"Publikasi")</f>
        <v>Publikasi</v>
      </c>
      <c r="E566" s="19"/>
      <c r="F566" s="20"/>
    </row>
    <row r="567">
      <c r="A567" s="13" t="str">
        <f>IFERROR(__xludf.DUMMYFUNCTION("""COMPUTED_VALUE"""),"jonathansinaga244@gmail:com")</f>
        <v>jonathansinaga244@gmail:com</v>
      </c>
      <c r="B567" s="13" t="str">
        <f>IFERROR(__xludf.DUMMYFUNCTION("""COMPUTED_VALUE"""),"Kecamatan Silima Pungga-Pungga Dalam Angka 2022")</f>
        <v>Kecamatan Silima Pungga-Pungga Dalam Angka 2022</v>
      </c>
      <c r="C567" s="13" t="str">
        <f>IFERROR(__xludf.DUMMYFUNCTION("""COMPUTED_VALUE"""),"Publikasi")</f>
        <v>Publikasi</v>
      </c>
      <c r="E567" s="19"/>
      <c r="F567" s="20"/>
    </row>
    <row r="568">
      <c r="A568" s="13" t="str">
        <f>IFERROR(__xludf.DUMMYFUNCTION("""COMPUTED_VALUE"""),"jonathansinaga244@gmail:com")</f>
        <v>jonathansinaga244@gmail:com</v>
      </c>
      <c r="B568" s="13" t="str">
        <f>IFERROR(__xludf.DUMMYFUNCTION("""COMPUTED_VALUE"""),"Kecamatan Sitinjo Dalam Angka 2022")</f>
        <v>Kecamatan Sitinjo Dalam Angka 2022</v>
      </c>
      <c r="C568" s="13" t="str">
        <f>IFERROR(__xludf.DUMMYFUNCTION("""COMPUTED_VALUE"""),"Publikasi")</f>
        <v>Publikasi</v>
      </c>
      <c r="E568" s="19"/>
      <c r="F568" s="20"/>
    </row>
    <row r="569">
      <c r="A569" s="13" t="str">
        <f>IFERROR(__xludf.DUMMYFUNCTION("""COMPUTED_VALUE"""),"jonathansinaga244@gmail:com")</f>
        <v>jonathansinaga244@gmail:com</v>
      </c>
      <c r="B569" s="13" t="str">
        <f>IFERROR(__xludf.DUMMYFUNCTION("""COMPUTED_VALUE"""),"Kecamatan Sumbul Dalam Angka 2022")</f>
        <v>Kecamatan Sumbul Dalam Angka 2022</v>
      </c>
      <c r="C569" s="13" t="str">
        <f>IFERROR(__xludf.DUMMYFUNCTION("""COMPUTED_VALUE"""),"Publikasi")</f>
        <v>Publikasi</v>
      </c>
      <c r="E569" s="19"/>
      <c r="F569" s="20"/>
    </row>
    <row r="570">
      <c r="A570" s="13" t="str">
        <f>IFERROR(__xludf.DUMMYFUNCTION("""COMPUTED_VALUE"""),"jonathansinaga244@gmail:com")</f>
        <v>jonathansinaga244@gmail:com</v>
      </c>
      <c r="B570" s="13" t="str">
        <f>IFERROR(__xludf.DUMMYFUNCTION("""COMPUTED_VALUE"""),"Kecamatan Tanah Pinem Dalam Angka 2022")</f>
        <v>Kecamatan Tanah Pinem Dalam Angka 2022</v>
      </c>
      <c r="C570" s="13" t="str">
        <f>IFERROR(__xludf.DUMMYFUNCTION("""COMPUTED_VALUE"""),"Publikasi")</f>
        <v>Publikasi</v>
      </c>
      <c r="E570" s="19"/>
      <c r="F570" s="20"/>
    </row>
    <row r="571">
      <c r="A571" s="13" t="str">
        <f>IFERROR(__xludf.DUMMYFUNCTION("""COMPUTED_VALUE"""),"jonathansinaga244@gmail:com")</f>
        <v>jonathansinaga244@gmail:com</v>
      </c>
      <c r="B571" s="13" t="str">
        <f>IFERROR(__xludf.DUMMYFUNCTION("""COMPUTED_VALUE"""),"Kecamatan Tiga Lingga Dalam Angka 2022")</f>
        <v>Kecamatan Tiga Lingga Dalam Angka 2022</v>
      </c>
      <c r="C571" s="13" t="str">
        <f>IFERROR(__xludf.DUMMYFUNCTION("""COMPUTED_VALUE"""),"Publikasi")</f>
        <v>Publikasi</v>
      </c>
      <c r="E571" s="19"/>
      <c r="F571" s="20"/>
    </row>
    <row r="572">
      <c r="A572" s="13" t="str">
        <f>IFERROR(__xludf.DUMMYFUNCTION("""COMPUTED_VALUE"""),"jonathansinaga244@gmail:com")</f>
        <v>jonathansinaga244@gmail:com</v>
      </c>
      <c r="B572" s="13" t="str">
        <f>IFERROR(__xludf.DUMMYFUNCTION("""COMPUTED_VALUE"""),"Statistik Kesejahteraan Rakyat Kabupaten Dairi 2022")</f>
        <v>Statistik Kesejahteraan Rakyat Kabupaten Dairi 2022</v>
      </c>
      <c r="C572" s="13" t="str">
        <f>IFERROR(__xludf.DUMMYFUNCTION("""COMPUTED_VALUE"""),"Publikasi")</f>
        <v>Publikasi</v>
      </c>
      <c r="E572" s="19"/>
      <c r="F572" s="20"/>
    </row>
    <row r="573">
      <c r="A573" s="13" t="str">
        <f>IFERROR(__xludf.DUMMYFUNCTION("""COMPUTED_VALUE"""),"jordansiburian2003@gmail:com")</f>
        <v>jordansiburian2003@gmail:com</v>
      </c>
      <c r="B573" s="13" t="str">
        <f>IFERROR(__xludf.DUMMYFUNCTION("""COMPUTED_VALUE"""),"Indikator Kesejahteraan Rakyat Kabupaten Dairi Tahun 2024")</f>
        <v>Indikator Kesejahteraan Rakyat Kabupaten Dairi Tahun 2024</v>
      </c>
      <c r="C573" s="13" t="str">
        <f>IFERROR(__xludf.DUMMYFUNCTION("""COMPUTED_VALUE"""),"Publikasi")</f>
        <v>Publikasi</v>
      </c>
      <c r="E573" s="19"/>
      <c r="F573" s="20"/>
    </row>
    <row r="574">
      <c r="A574" s="13" t="str">
        <f>IFERROR(__xludf.DUMMYFUNCTION("""COMPUTED_VALUE"""),"jordansiburian2003@gmail:com")</f>
        <v>jordansiburian2003@gmail:com</v>
      </c>
      <c r="B574" s="13" t="str">
        <f>IFERROR(__xludf.DUMMYFUNCTION("""COMPUTED_VALUE"""),"Kabupaten Dairi Dalam Angka 2024")</f>
        <v>Kabupaten Dairi Dalam Angka 2024</v>
      </c>
      <c r="C574" s="13" t="str">
        <f>IFERROR(__xludf.DUMMYFUNCTION("""COMPUTED_VALUE"""),"Publikasi")</f>
        <v>Publikasi</v>
      </c>
      <c r="E574" s="19"/>
      <c r="F574" s="20"/>
    </row>
    <row r="575">
      <c r="A575" s="13" t="str">
        <f>IFERROR(__xludf.DUMMYFUNCTION("""COMPUTED_VALUE"""),"juagan1798@gmail:com")</f>
        <v>juagan1798@gmail:com</v>
      </c>
      <c r="B575" s="13" t="str">
        <f>IFERROR(__xludf.DUMMYFUNCTION("""COMPUTED_VALUE"""),"Kabupaten Dairi Dalam Angka 2024")</f>
        <v>Kabupaten Dairi Dalam Angka 2024</v>
      </c>
      <c r="C575" s="13" t="str">
        <f>IFERROR(__xludf.DUMMYFUNCTION("""COMPUTED_VALUE"""),"Publikasi")</f>
        <v>Publikasi</v>
      </c>
      <c r="E575" s="19"/>
      <c r="F575" s="20"/>
    </row>
    <row r="576">
      <c r="A576" s="13" t="str">
        <f>IFERROR(__xludf.DUMMYFUNCTION("""COMPUTED_VALUE"""),"juando:siallagan@bps:go:id")</f>
        <v>juando:siallagan@bps:go:id</v>
      </c>
      <c r="B576" s="13" t="str">
        <f>IFERROR(__xludf.DUMMYFUNCTION("""COMPUTED_VALUE"""),"Kabupaten Dairi Dalam Angka 2024")</f>
        <v>Kabupaten Dairi Dalam Angka 2024</v>
      </c>
      <c r="C576" s="13" t="str">
        <f>IFERROR(__xludf.DUMMYFUNCTION("""COMPUTED_VALUE"""),"Publikasi")</f>
        <v>Publikasi</v>
      </c>
      <c r="E576" s="19"/>
      <c r="F576" s="20"/>
    </row>
    <row r="577">
      <c r="A577" s="13" t="str">
        <f>IFERROR(__xludf.DUMMYFUNCTION("""COMPUTED_VALUE"""),"juando:siallagan@bps:go:id")</f>
        <v>juando:siallagan@bps:go:id</v>
      </c>
      <c r="B577" s="13" t="str">
        <f>IFERROR(__xludf.DUMMYFUNCTION("""COMPUTED_VALUE"""),"Profil Kependudukan dan Ketenagakerjaan Kabupaten Dairi 2022")</f>
        <v>Profil Kependudukan dan Ketenagakerjaan Kabupaten Dairi 2022</v>
      </c>
      <c r="C577" s="13" t="str">
        <f>IFERROR(__xludf.DUMMYFUNCTION("""COMPUTED_VALUE"""),"Publikasi")</f>
        <v>Publikasi</v>
      </c>
      <c r="E577" s="19"/>
      <c r="F577" s="20"/>
    </row>
    <row r="578">
      <c r="A578" s="13" t="str">
        <f>IFERROR(__xludf.DUMMYFUNCTION("""COMPUTED_VALUE"""),"juando:siallagan@bps:go:id")</f>
        <v>juando:siallagan@bps:go:id</v>
      </c>
      <c r="B578" s="13" t="str">
        <f>IFERROR(__xludf.DUMMYFUNCTION("""COMPUTED_VALUE"""),"Statistik Daerah Kabupaten Dairi 2024")</f>
        <v>Statistik Daerah Kabupaten Dairi 2024</v>
      </c>
      <c r="C578" s="13" t="str">
        <f>IFERROR(__xludf.DUMMYFUNCTION("""COMPUTED_VALUE"""),"Publikasi")</f>
        <v>Publikasi</v>
      </c>
      <c r="E578" s="19"/>
      <c r="F578" s="20"/>
    </row>
    <row r="579">
      <c r="A579" s="13" t="str">
        <f>IFERROR(__xludf.DUMMYFUNCTION("""COMPUTED_VALUE"""),"juando:siallagan@gmail:com")</f>
        <v>juando:siallagan@gmail:com</v>
      </c>
      <c r="B579" s="13" t="str">
        <f>IFERROR(__xludf.DUMMYFUNCTION("""COMPUTED_VALUE"""),"Hasil Pencacahan Lengkap Sensus Pertanian 2024 - Tahap I Kabupaten Dairi")</f>
        <v>Hasil Pencacahan Lengkap Sensus Pertanian 2024 - Tahap I Kabupaten Dairi</v>
      </c>
      <c r="C579" s="13" t="str">
        <f>IFERROR(__xludf.DUMMYFUNCTION("""COMPUTED_VALUE"""),"Publikasi")</f>
        <v>Publikasi</v>
      </c>
      <c r="E579" s="19"/>
      <c r="F579" s="20"/>
    </row>
    <row r="580">
      <c r="A580" s="13" t="str">
        <f>IFERROR(__xludf.DUMMYFUNCTION("""COMPUTED_VALUE"""),"juando:siallagan@gmail:com")</f>
        <v>juando:siallagan@gmail:com</v>
      </c>
      <c r="B580" s="13" t="str">
        <f>IFERROR(__xludf.DUMMYFUNCTION("""COMPUTED_VALUE"""),"Indikator Kesejahteraan Rakyat Kabupaten Dairi Tahun 2024")</f>
        <v>Indikator Kesejahteraan Rakyat Kabupaten Dairi Tahun 2024</v>
      </c>
      <c r="C580" s="13" t="str">
        <f>IFERROR(__xludf.DUMMYFUNCTION("""COMPUTED_VALUE"""),"Publikasi")</f>
        <v>Publikasi</v>
      </c>
      <c r="E580" s="19"/>
      <c r="F580" s="20"/>
    </row>
    <row r="581">
      <c r="A581" s="13" t="str">
        <f>IFERROR(__xludf.DUMMYFUNCTION("""COMPUTED_VALUE"""),"juando:siallagan@gmail:com")</f>
        <v>juando:siallagan@gmail:com</v>
      </c>
      <c r="B581" s="13" t="str">
        <f>IFERROR(__xludf.DUMMYFUNCTION("""COMPUTED_VALUE"""),"Kabupaten Dairi Dalam Angka 2024")</f>
        <v>Kabupaten Dairi Dalam Angka 2024</v>
      </c>
      <c r="C581" s="13" t="str">
        <f>IFERROR(__xludf.DUMMYFUNCTION("""COMPUTED_VALUE"""),"Publikasi")</f>
        <v>Publikasi</v>
      </c>
      <c r="E581" s="19"/>
      <c r="F581" s="20"/>
    </row>
    <row r="582">
      <c r="A582" s="13" t="str">
        <f>IFERROR(__xludf.DUMMYFUNCTION("""COMPUTED_VALUE"""),"juando:siallagan@gmail:com")</f>
        <v>juando:siallagan@gmail:com</v>
      </c>
      <c r="B582" s="13" t="str">
        <f>IFERROR(__xludf.DUMMYFUNCTION("""COMPUTED_VALUE"""),"Statistik Tanaman Pangan (Padi dan Palawija) Kabupaten Dairi 2022")</f>
        <v>Statistik Tanaman Pangan (Padi dan Palawija) Kabupaten Dairi 2022</v>
      </c>
      <c r="C582" s="13" t="str">
        <f>IFERROR(__xludf.DUMMYFUNCTION("""COMPUTED_VALUE"""),"Publikasi")</f>
        <v>Publikasi</v>
      </c>
      <c r="E582" s="19"/>
      <c r="F582" s="20"/>
    </row>
    <row r="583">
      <c r="A583" s="13" t="str">
        <f>IFERROR(__xludf.DUMMYFUNCTION("""COMPUTED_VALUE"""),"juanthanuel90@gmail:com")</f>
        <v>juanthanuel90@gmail:com</v>
      </c>
      <c r="B583" s="13" t="str">
        <f>IFERROR(__xludf.DUMMYFUNCTION("""COMPUTED_VALUE"""),"Profil Kependudukan dan Ketenagakerjaan Kabupaten Dairi 2021")</f>
        <v>Profil Kependudukan dan Ketenagakerjaan Kabupaten Dairi 2021</v>
      </c>
      <c r="C583" s="13" t="str">
        <f>IFERROR(__xludf.DUMMYFUNCTION("""COMPUTED_VALUE"""),"Publikasi")</f>
        <v>Publikasi</v>
      </c>
      <c r="E583" s="19"/>
      <c r="F583" s="20"/>
    </row>
    <row r="584">
      <c r="A584" s="13" t="str">
        <f>IFERROR(__xludf.DUMMYFUNCTION("""COMPUTED_VALUE"""),"juanthanuel90@gmail:com")</f>
        <v>juanthanuel90@gmail:com</v>
      </c>
      <c r="B584" s="13" t="str">
        <f>IFERROR(__xludf.DUMMYFUNCTION("""COMPUTED_VALUE"""),"Statistik Daerah Kabupaten Dairi 2022")</f>
        <v>Statistik Daerah Kabupaten Dairi 2022</v>
      </c>
      <c r="C584" s="13" t="str">
        <f>IFERROR(__xludf.DUMMYFUNCTION("""COMPUTED_VALUE"""),"Publikasi")</f>
        <v>Publikasi</v>
      </c>
      <c r="E584" s="19"/>
      <c r="F584" s="20"/>
    </row>
    <row r="585">
      <c r="A585" s="13" t="str">
        <f>IFERROR(__xludf.DUMMYFUNCTION("""COMPUTED_VALUE"""),"juliancleonita99@gmail:com")</f>
        <v>juliancleonita99@gmail:com</v>
      </c>
      <c r="B585" s="13" t="str">
        <f>IFERROR(__xludf.DUMMYFUNCTION("""COMPUTED_VALUE"""),"Kabupaten Dairi Dalam Angka 2020")</f>
        <v>Kabupaten Dairi Dalam Angka 2020</v>
      </c>
      <c r="C585" s="13" t="str">
        <f>IFERROR(__xludf.DUMMYFUNCTION("""COMPUTED_VALUE"""),"Publikasi")</f>
        <v>Publikasi</v>
      </c>
      <c r="E585" s="19"/>
      <c r="F585" s="20"/>
    </row>
    <row r="586">
      <c r="A586" s="13" t="str">
        <f>IFERROR(__xludf.DUMMYFUNCTION("""COMPUTED_VALUE"""),"juliancleonita99@gmail:com")</f>
        <v>juliancleonita99@gmail:com</v>
      </c>
      <c r="B586" s="13" t="str">
        <f>IFERROR(__xludf.DUMMYFUNCTION("""COMPUTED_VALUE"""),"Kabupaten Dairi Dalam Angka 2021")</f>
        <v>Kabupaten Dairi Dalam Angka 2021</v>
      </c>
      <c r="C586" s="13" t="str">
        <f>IFERROR(__xludf.DUMMYFUNCTION("""COMPUTED_VALUE"""),"Publikasi")</f>
        <v>Publikasi</v>
      </c>
      <c r="E586" s="19"/>
      <c r="F586" s="20"/>
    </row>
    <row r="587">
      <c r="A587" s="13" t="str">
        <f>IFERROR(__xludf.DUMMYFUNCTION("""COMPUTED_VALUE"""),"juliawansamsir@yahoo:com")</f>
        <v>juliawansamsir@yahoo:com</v>
      </c>
      <c r="B587" s="13" t="str">
        <f>IFERROR(__xludf.DUMMYFUNCTION("""COMPUTED_VALUE"""),"Analisis Survei Kebutuhan Data Kabupaten Dairi 2022")</f>
        <v>Analisis Survei Kebutuhan Data Kabupaten Dairi 2022</v>
      </c>
      <c r="C587" s="13" t="str">
        <f>IFERROR(__xludf.DUMMYFUNCTION("""COMPUTED_VALUE"""),"Publikasi")</f>
        <v>Publikasi</v>
      </c>
      <c r="E587" s="19"/>
      <c r="F587" s="20"/>
    </row>
    <row r="588">
      <c r="A588" s="13" t="str">
        <f>IFERROR(__xludf.DUMMYFUNCTION("""COMPUTED_VALUE"""),"juliawansamsir@yahoo:com")</f>
        <v>juliawansamsir@yahoo:com</v>
      </c>
      <c r="B588" s="13" t="str">
        <f>IFERROR(__xludf.DUMMYFUNCTION("""COMPUTED_VALUE"""),"Hasil Pencacahan Lengkap Sensus Pertanian 2024 - Tahap I Kabupaten Dairi")</f>
        <v>Hasil Pencacahan Lengkap Sensus Pertanian 2024 - Tahap I Kabupaten Dairi</v>
      </c>
      <c r="C588" s="13" t="str">
        <f>IFERROR(__xludf.DUMMYFUNCTION("""COMPUTED_VALUE"""),"Publikasi")</f>
        <v>Publikasi</v>
      </c>
      <c r="E588" s="19"/>
      <c r="F588" s="20"/>
    </row>
    <row r="589">
      <c r="A589" s="13" t="str">
        <f>IFERROR(__xludf.DUMMYFUNCTION("""COMPUTED_VALUE"""),"juliawansamsir@yahoo:com")</f>
        <v>juliawansamsir@yahoo:com</v>
      </c>
      <c r="B589" s="13" t="str">
        <f>IFERROR(__xludf.DUMMYFUNCTION("""COMPUTED_VALUE"""),"Indeks Pembangunan Manusia Kabupaten Dairi 2024")</f>
        <v>Indeks Pembangunan Manusia Kabupaten Dairi 2024</v>
      </c>
      <c r="C589" s="13" t="str">
        <f>IFERROR(__xludf.DUMMYFUNCTION("""COMPUTED_VALUE"""),"Publikasi")</f>
        <v>Publikasi</v>
      </c>
      <c r="E589" s="19"/>
      <c r="F589" s="20"/>
    </row>
    <row r="590">
      <c r="A590" s="13" t="str">
        <f>IFERROR(__xludf.DUMMYFUNCTION("""COMPUTED_VALUE"""),"juliawansamsir@yahoo:com")</f>
        <v>juliawansamsir@yahoo:com</v>
      </c>
      <c r="B590" s="13" t="str">
        <f>IFERROR(__xludf.DUMMYFUNCTION("""COMPUTED_VALUE"""),"Indikator Kesejahteraan Rakyat Kabupaten Dairi Tahun 2022")</f>
        <v>Indikator Kesejahteraan Rakyat Kabupaten Dairi Tahun 2022</v>
      </c>
      <c r="C590" s="13" t="str">
        <f>IFERROR(__xludf.DUMMYFUNCTION("""COMPUTED_VALUE"""),"Publikasi")</f>
        <v>Publikasi</v>
      </c>
      <c r="E590" s="19"/>
      <c r="F590" s="20"/>
    </row>
    <row r="591">
      <c r="A591" s="13" t="str">
        <f>IFERROR(__xludf.DUMMYFUNCTION("""COMPUTED_VALUE"""),"juliawansamsir@yahoo:com")</f>
        <v>juliawansamsir@yahoo:com</v>
      </c>
      <c r="B591" s="13" t="str">
        <f>IFERROR(__xludf.DUMMYFUNCTION("""COMPUTED_VALUE"""),"Indikator Kesejahteraan Rakyat Kabupaten Dairi Tahun 2024")</f>
        <v>Indikator Kesejahteraan Rakyat Kabupaten Dairi Tahun 2024</v>
      </c>
      <c r="C591" s="13" t="str">
        <f>IFERROR(__xludf.DUMMYFUNCTION("""COMPUTED_VALUE"""),"Publikasi")</f>
        <v>Publikasi</v>
      </c>
      <c r="E591" s="19"/>
      <c r="F591" s="20"/>
    </row>
    <row r="592">
      <c r="A592" s="13" t="str">
        <f>IFERROR(__xludf.DUMMYFUNCTION("""COMPUTED_VALUE"""),"juliawansamsir@yahoo:com")</f>
        <v>juliawansamsir@yahoo:com</v>
      </c>
      <c r="B592" s="13" t="str">
        <f>IFERROR(__xludf.DUMMYFUNCTION("""COMPUTED_VALUE"""),"Kabupaten Dairi Dalam Angka 2021")</f>
        <v>Kabupaten Dairi Dalam Angka 2021</v>
      </c>
      <c r="C592" s="13" t="str">
        <f>IFERROR(__xludf.DUMMYFUNCTION("""COMPUTED_VALUE"""),"Publikasi")</f>
        <v>Publikasi</v>
      </c>
      <c r="E592" s="19"/>
      <c r="F592" s="20"/>
    </row>
    <row r="593">
      <c r="A593" s="13" t="str">
        <f>IFERROR(__xludf.DUMMYFUNCTION("""COMPUTED_VALUE"""),"juliawansamsir@yahoo:com")</f>
        <v>juliawansamsir@yahoo:com</v>
      </c>
      <c r="B593" s="13" t="str">
        <f>IFERROR(__xludf.DUMMYFUNCTION("""COMPUTED_VALUE"""),"Kabupaten Dairi Dalam Angka 2024")</f>
        <v>Kabupaten Dairi Dalam Angka 2024</v>
      </c>
      <c r="C593" s="13" t="str">
        <f>IFERROR(__xludf.DUMMYFUNCTION("""COMPUTED_VALUE"""),"Publikasi")</f>
        <v>Publikasi</v>
      </c>
      <c r="E593" s="19"/>
      <c r="F593" s="20"/>
    </row>
    <row r="594">
      <c r="A594" s="13" t="str">
        <f>IFERROR(__xludf.DUMMYFUNCTION("""COMPUTED_VALUE"""),"juliawansamsir@yahoo:com")</f>
        <v>juliawansamsir@yahoo:com</v>
      </c>
      <c r="B594" s="13" t="str">
        <f>IFERROR(__xludf.DUMMYFUNCTION("""COMPUTED_VALUE"""),"Statistik Kesejahteraan Rakyat Kabupaten Dairi 2022")</f>
        <v>Statistik Kesejahteraan Rakyat Kabupaten Dairi 2022</v>
      </c>
      <c r="C594" s="13" t="str">
        <f>IFERROR(__xludf.DUMMYFUNCTION("""COMPUTED_VALUE"""),"Publikasi")</f>
        <v>Publikasi</v>
      </c>
      <c r="E594" s="19"/>
      <c r="F594" s="20"/>
    </row>
    <row r="595">
      <c r="A595" s="13" t="str">
        <f>IFERROR(__xludf.DUMMYFUNCTION("""COMPUTED_VALUE"""),"juliawansamsir@yahoo:com")</f>
        <v>juliawansamsir@yahoo:com</v>
      </c>
      <c r="B595" s="13" t="str">
        <f>IFERROR(__xludf.DUMMYFUNCTION("""COMPUTED_VALUE"""),"Statistik Kesejahteraan Rakyat Kabupaten Dairi 2024")</f>
        <v>Statistik Kesejahteraan Rakyat Kabupaten Dairi 2024</v>
      </c>
      <c r="C595" s="13" t="str">
        <f>IFERROR(__xludf.DUMMYFUNCTION("""COMPUTED_VALUE"""),"Publikasi")</f>
        <v>Publikasi</v>
      </c>
      <c r="E595" s="19"/>
      <c r="F595" s="20"/>
    </row>
    <row r="596">
      <c r="A596" s="13" t="str">
        <f>IFERROR(__xludf.DUMMYFUNCTION("""COMPUTED_VALUE"""),"junitaputrisagala@gmail:com")</f>
        <v>junitaputrisagala@gmail:com</v>
      </c>
      <c r="B596" s="13" t="str">
        <f>IFERROR(__xludf.DUMMYFUNCTION("""COMPUTED_VALUE"""),"Analisis Hasil Survei Kebutuhan Data BPS Kabupaten Dairi 2024")</f>
        <v>Analisis Hasil Survei Kebutuhan Data BPS Kabupaten Dairi 2024</v>
      </c>
      <c r="C596" s="13" t="str">
        <f>IFERROR(__xludf.DUMMYFUNCTION("""COMPUTED_VALUE"""),"Publikasi")</f>
        <v>Publikasi</v>
      </c>
      <c r="E596" s="19"/>
      <c r="F596" s="20"/>
    </row>
    <row r="597">
      <c r="A597" s="13" t="str">
        <f>IFERROR(__xludf.DUMMYFUNCTION("""COMPUTED_VALUE"""),"junitaputrisagala@gmail:com")</f>
        <v>junitaputrisagala@gmail:com</v>
      </c>
      <c r="B597" s="13" t="str">
        <f>IFERROR(__xludf.DUMMYFUNCTION("""COMPUTED_VALUE"""),"Kabupaten Dairi Dalam Angka 2024")</f>
        <v>Kabupaten Dairi Dalam Angka 2024</v>
      </c>
      <c r="C597" s="13" t="str">
        <f>IFERROR(__xludf.DUMMYFUNCTION("""COMPUTED_VALUE"""),"Publikasi")</f>
        <v>Publikasi</v>
      </c>
      <c r="E597" s="19"/>
      <c r="F597" s="20"/>
    </row>
    <row r="598">
      <c r="A598" s="13" t="str">
        <f>IFERROR(__xludf.DUMMYFUNCTION("""COMPUTED_VALUE"""),"junitaputrisagala@gmail:com")</f>
        <v>junitaputrisagala@gmail:com</v>
      </c>
      <c r="B598" s="13" t="str">
        <f>IFERROR(__xludf.DUMMYFUNCTION("""COMPUTED_VALUE"""),"Kecamatan Tanah Pinem Dalam Angka 2022")</f>
        <v>Kecamatan Tanah Pinem Dalam Angka 2022</v>
      </c>
      <c r="C598" s="13" t="str">
        <f>IFERROR(__xludf.DUMMYFUNCTION("""COMPUTED_VALUE"""),"Publikasi")</f>
        <v>Publikasi</v>
      </c>
      <c r="E598" s="19"/>
      <c r="F598" s="20"/>
    </row>
    <row r="599">
      <c r="A599" s="13" t="str">
        <f>IFERROR(__xludf.DUMMYFUNCTION("""COMPUTED_VALUE"""),"junjun:wijaya@bps:go:id")</f>
        <v>junjun:wijaya@bps:go:id</v>
      </c>
      <c r="B599" s="13" t="str">
        <f>IFERROR(__xludf.DUMMYFUNCTION("""COMPUTED_VALUE"""),"Analisis Survei Kebutuhan Data Kabupaten Dairi 2022")</f>
        <v>Analisis Survei Kebutuhan Data Kabupaten Dairi 2022</v>
      </c>
      <c r="C599" s="13" t="str">
        <f>IFERROR(__xludf.DUMMYFUNCTION("""COMPUTED_VALUE"""),"Publikasi")</f>
        <v>Publikasi</v>
      </c>
      <c r="E599" s="19"/>
      <c r="F599" s="20"/>
    </row>
    <row r="600">
      <c r="A600" s="13" t="str">
        <f>IFERROR(__xludf.DUMMYFUNCTION("""COMPUTED_VALUE"""),"junjun:wijaya@bps:go:id")</f>
        <v>junjun:wijaya@bps:go:id</v>
      </c>
      <c r="B600" s="13" t="str">
        <f>IFERROR(__xludf.DUMMYFUNCTION("""COMPUTED_VALUE"""),"Kabupaten Dairi Dalam Angka 2020")</f>
        <v>Kabupaten Dairi Dalam Angka 2020</v>
      </c>
      <c r="C600" s="13" t="str">
        <f>IFERROR(__xludf.DUMMYFUNCTION("""COMPUTED_VALUE"""),"Publikasi")</f>
        <v>Publikasi</v>
      </c>
      <c r="E600" s="19"/>
      <c r="F600" s="20"/>
    </row>
    <row r="601">
      <c r="A601" s="13" t="str">
        <f>IFERROR(__xludf.DUMMYFUNCTION("""COMPUTED_VALUE"""),"junjun:wijaya@bps:go:id")</f>
        <v>junjun:wijaya@bps:go:id</v>
      </c>
      <c r="B601" s="13" t="str">
        <f>IFERROR(__xludf.DUMMYFUNCTION("""COMPUTED_VALUE"""),"Kabupaten Dairi Dalam Angka 2021")</f>
        <v>Kabupaten Dairi Dalam Angka 2021</v>
      </c>
      <c r="C601" s="13" t="str">
        <f>IFERROR(__xludf.DUMMYFUNCTION("""COMPUTED_VALUE"""),"Publikasi")</f>
        <v>Publikasi</v>
      </c>
      <c r="E601" s="19"/>
      <c r="F601" s="20"/>
    </row>
    <row r="602">
      <c r="A602" s="13" t="str">
        <f>IFERROR(__xludf.DUMMYFUNCTION("""COMPUTED_VALUE"""),"junjun:wijaya@bps:go:id")</f>
        <v>junjun:wijaya@bps:go:id</v>
      </c>
      <c r="B602" s="13" t="str">
        <f>IFERROR(__xludf.DUMMYFUNCTION("""COMPUTED_VALUE"""),"Kabupaten Dairi Dalam Angka 2022")</f>
        <v>Kabupaten Dairi Dalam Angka 2022</v>
      </c>
      <c r="C602" s="13" t="str">
        <f>IFERROR(__xludf.DUMMYFUNCTION("""COMPUTED_VALUE"""),"Publikasi")</f>
        <v>Publikasi</v>
      </c>
      <c r="E602" s="19"/>
      <c r="F602" s="20"/>
    </row>
    <row r="603">
      <c r="A603" s="13" t="str">
        <f>IFERROR(__xludf.DUMMYFUNCTION("""COMPUTED_VALUE"""),"junjun:wijaya@bps:go:id")</f>
        <v>junjun:wijaya@bps:go:id</v>
      </c>
      <c r="B603" s="13" t="str">
        <f>IFERROR(__xludf.DUMMYFUNCTION("""COMPUTED_VALUE"""),"Kabupaten Dairi Dalam Angka 2024")</f>
        <v>Kabupaten Dairi Dalam Angka 2024</v>
      </c>
      <c r="C603" s="13" t="str">
        <f>IFERROR(__xludf.DUMMYFUNCTION("""COMPUTED_VALUE"""),"Publikasi")</f>
        <v>Publikasi</v>
      </c>
      <c r="E603" s="19"/>
      <c r="F603" s="20"/>
    </row>
    <row r="604">
      <c r="A604" s="13" t="str">
        <f>IFERROR(__xludf.DUMMYFUNCTION("""COMPUTED_VALUE"""),"junjun:wijaya@bps:go:id")</f>
        <v>junjun:wijaya@bps:go:id</v>
      </c>
      <c r="B604" s="13" t="str">
        <f>IFERROR(__xludf.DUMMYFUNCTION("""COMPUTED_VALUE"""),"Produk Domestik Regional Bruto Kabupaten Dairi Menurut Pengeluaran 2017 - 2021")</f>
        <v>Produk Domestik Regional Bruto Kabupaten Dairi Menurut Pengeluaran 2017 - 2021</v>
      </c>
      <c r="C604" s="13" t="str">
        <f>IFERROR(__xludf.DUMMYFUNCTION("""COMPUTED_VALUE"""),"Publikasi")</f>
        <v>Publikasi</v>
      </c>
      <c r="E604" s="19"/>
      <c r="F604" s="20"/>
    </row>
    <row r="605">
      <c r="A605" s="13" t="str">
        <f>IFERROR(__xludf.DUMMYFUNCTION("""COMPUTED_VALUE"""),"junjun:wijaya@bps:go:id")</f>
        <v>junjun:wijaya@bps:go:id</v>
      </c>
      <c r="B605" s="13" t="str">
        <f>IFERROR(__xludf.DUMMYFUNCTION("""COMPUTED_VALUE"""),"Profil Kependudukan dan Ketenagakerjaan Kabupaten Dairi 2021")</f>
        <v>Profil Kependudukan dan Ketenagakerjaan Kabupaten Dairi 2021</v>
      </c>
      <c r="C605" s="13" t="str">
        <f>IFERROR(__xludf.DUMMYFUNCTION("""COMPUTED_VALUE"""),"Publikasi")</f>
        <v>Publikasi</v>
      </c>
      <c r="E605" s="19"/>
      <c r="F605" s="20"/>
    </row>
    <row r="606">
      <c r="A606" s="13" t="str">
        <f>IFERROR(__xludf.DUMMYFUNCTION("""COMPUTED_VALUE"""),"junjun:wijaya@bps:go:id")</f>
        <v>junjun:wijaya@bps:go:id</v>
      </c>
      <c r="B606" s="13" t="str">
        <f>IFERROR(__xludf.DUMMYFUNCTION("""COMPUTED_VALUE"""),"Statistik Hortikultura Kabupaten Dairi Tahun 2022")</f>
        <v>Statistik Hortikultura Kabupaten Dairi Tahun 2022</v>
      </c>
      <c r="C606" s="13" t="str">
        <f>IFERROR(__xludf.DUMMYFUNCTION("""COMPUTED_VALUE"""),"Publikasi")</f>
        <v>Publikasi</v>
      </c>
      <c r="E606" s="19"/>
      <c r="F606" s="20"/>
    </row>
    <row r="607">
      <c r="A607" s="13" t="str">
        <f>IFERROR(__xludf.DUMMYFUNCTION("""COMPUTED_VALUE"""),"junjun:wijaya@bps:go:id")</f>
        <v>junjun:wijaya@bps:go:id</v>
      </c>
      <c r="B607" s="13" t="str">
        <f>IFERROR(__xludf.DUMMYFUNCTION("""COMPUTED_VALUE"""),"Statistik Kesejahteraan Rakyat Kabupaten Dairi 2024")</f>
        <v>Statistik Kesejahteraan Rakyat Kabupaten Dairi 2024</v>
      </c>
      <c r="C607" s="13" t="str">
        <f>IFERROR(__xludf.DUMMYFUNCTION("""COMPUTED_VALUE"""),"Publikasi")</f>
        <v>Publikasi</v>
      </c>
      <c r="E607" s="19"/>
      <c r="F607" s="20"/>
    </row>
    <row r="608">
      <c r="A608" s="13" t="str">
        <f>IFERROR(__xludf.DUMMYFUNCTION("""COMPUTED_VALUE"""),"junjun:wijaya@bps:go:id")</f>
        <v>junjun:wijaya@bps:go:id</v>
      </c>
      <c r="B608" s="13" t="str">
        <f>IFERROR(__xludf.DUMMYFUNCTION("""COMPUTED_VALUE"""),"Statistik Tanaman Pangan (Padi dan Palawija) Kabupaten Dairi 2021")</f>
        <v>Statistik Tanaman Pangan (Padi dan Palawija) Kabupaten Dairi 2021</v>
      </c>
      <c r="C608" s="13" t="str">
        <f>IFERROR(__xludf.DUMMYFUNCTION("""COMPUTED_VALUE"""),"Publikasi")</f>
        <v>Publikasi</v>
      </c>
      <c r="E608" s="19"/>
      <c r="F608" s="20"/>
    </row>
    <row r="609">
      <c r="A609" s="13" t="str">
        <f>IFERROR(__xludf.DUMMYFUNCTION("""COMPUTED_VALUE"""),"junjun:wijaya@bps:go:id")</f>
        <v>junjun:wijaya@bps:go:id</v>
      </c>
      <c r="B609" s="13" t="str">
        <f>IFERROR(__xludf.DUMMYFUNCTION("""COMPUTED_VALUE"""),"Statistik Tanaman Pangan (Padi dan Palawija) Kabupaten Dairi 2022")</f>
        <v>Statistik Tanaman Pangan (Padi dan Palawija) Kabupaten Dairi 2022</v>
      </c>
      <c r="C609" s="13" t="str">
        <f>IFERROR(__xludf.DUMMYFUNCTION("""COMPUTED_VALUE"""),"Publikasi")</f>
        <v>Publikasi</v>
      </c>
      <c r="E609" s="19"/>
      <c r="F609" s="20"/>
    </row>
    <row r="610">
      <c r="A610" s="13" t="str">
        <f>IFERROR(__xludf.DUMMYFUNCTION("""COMPUTED_VALUE"""),"juwelismail@gmail:com")</f>
        <v>juwelismail@gmail:com</v>
      </c>
      <c r="B610" s="13" t="str">
        <f>IFERROR(__xludf.DUMMYFUNCTION("""COMPUTED_VALUE"""),"Kabupaten Dairi Dalam Angka 2024")</f>
        <v>Kabupaten Dairi Dalam Angka 2024</v>
      </c>
      <c r="C610" s="13" t="str">
        <f>IFERROR(__xludf.DUMMYFUNCTION("""COMPUTED_VALUE"""),"Publikasi")</f>
        <v>Publikasi</v>
      </c>
      <c r="E610" s="19"/>
      <c r="F610" s="20"/>
    </row>
    <row r="611">
      <c r="A611" s="13" t="str">
        <f>IFERROR(__xludf.DUMMYFUNCTION("""COMPUTED_VALUE"""),"Kaelkingdom@gmail:com")</f>
        <v>Kaelkingdom@gmail:com</v>
      </c>
      <c r="B611" s="13" t="str">
        <f>IFERROR(__xludf.DUMMYFUNCTION("""COMPUTED_VALUE"""),"Tingkat Penghunian Kamar Akomodasi Dairi 2022")</f>
        <v>Tingkat Penghunian Kamar Akomodasi Dairi 2022</v>
      </c>
      <c r="C611" s="13" t="str">
        <f>IFERROR(__xludf.DUMMYFUNCTION("""COMPUTED_VALUE"""),"Publikasi")</f>
        <v>Publikasi</v>
      </c>
      <c r="E611" s="19"/>
      <c r="F611" s="20"/>
    </row>
    <row r="612">
      <c r="A612" s="13" t="str">
        <f>IFERROR(__xludf.DUMMYFUNCTION("""COMPUTED_VALUE"""),"karuniagea130801@gmail:com")</f>
        <v>karuniagea130801@gmail:com</v>
      </c>
      <c r="B612" s="13" t="str">
        <f>IFERROR(__xludf.DUMMYFUNCTION("""COMPUTED_VALUE"""),"Kabupaten Dairi Dalam Angka 2013")</f>
        <v>Kabupaten Dairi Dalam Angka 2013</v>
      </c>
      <c r="C612" s="13" t="str">
        <f>IFERROR(__xludf.DUMMYFUNCTION("""COMPUTED_VALUE"""),"Publikasi")</f>
        <v>Publikasi</v>
      </c>
      <c r="E612" s="19"/>
      <c r="F612" s="20"/>
    </row>
    <row r="613">
      <c r="A613" s="13" t="str">
        <f>IFERROR(__xludf.DUMMYFUNCTION("""COMPUTED_VALUE"""),"karuniagea130801@gmail:com")</f>
        <v>karuniagea130801@gmail:com</v>
      </c>
      <c r="B613" s="13" t="str">
        <f>IFERROR(__xludf.DUMMYFUNCTION("""COMPUTED_VALUE"""),"Kabupaten Dairi Dalam Angka 2014")</f>
        <v>Kabupaten Dairi Dalam Angka 2014</v>
      </c>
      <c r="C613" s="13" t="str">
        <f>IFERROR(__xludf.DUMMYFUNCTION("""COMPUTED_VALUE"""),"Publikasi")</f>
        <v>Publikasi</v>
      </c>
      <c r="E613" s="19"/>
      <c r="F613" s="20"/>
    </row>
    <row r="614">
      <c r="A614" s="13" t="str">
        <f>IFERROR(__xludf.DUMMYFUNCTION("""COMPUTED_VALUE"""),"karuniagea130801@gmail:com")</f>
        <v>karuniagea130801@gmail:com</v>
      </c>
      <c r="B614" s="13" t="str">
        <f>IFERROR(__xludf.DUMMYFUNCTION("""COMPUTED_VALUE"""),"Kabupaten Dairi Dalam Angka 2015")</f>
        <v>Kabupaten Dairi Dalam Angka 2015</v>
      </c>
      <c r="C614" s="13" t="str">
        <f>IFERROR(__xludf.DUMMYFUNCTION("""COMPUTED_VALUE"""),"Publikasi")</f>
        <v>Publikasi</v>
      </c>
      <c r="E614" s="19"/>
      <c r="F614" s="20"/>
    </row>
    <row r="615">
      <c r="A615" s="13" t="str">
        <f>IFERROR(__xludf.DUMMYFUNCTION("""COMPUTED_VALUE"""),"Karuniagea130801@gmail:com")</f>
        <v>Karuniagea130801@gmail:com</v>
      </c>
      <c r="B615" s="13" t="str">
        <f>IFERROR(__xludf.DUMMYFUNCTION("""COMPUTED_VALUE"""),"Kabupaten Dairi Dalam Angka 2016")</f>
        <v>Kabupaten Dairi Dalam Angka 2016</v>
      </c>
      <c r="C615" s="13" t="str">
        <f>IFERROR(__xludf.DUMMYFUNCTION("""COMPUTED_VALUE"""),"Publikasi")</f>
        <v>Publikasi</v>
      </c>
      <c r="E615" s="19"/>
      <c r="F615" s="20"/>
    </row>
    <row r="616">
      <c r="A616" s="13" t="str">
        <f>IFERROR(__xludf.DUMMYFUNCTION("""COMPUTED_VALUE"""),"karuniagea130801@gmail:com")</f>
        <v>karuniagea130801@gmail:com</v>
      </c>
      <c r="B616" s="13" t="str">
        <f>IFERROR(__xludf.DUMMYFUNCTION("""COMPUTED_VALUE"""),"Kabupaten Dairi Dalam Angka 2016")</f>
        <v>Kabupaten Dairi Dalam Angka 2016</v>
      </c>
      <c r="C616" s="13" t="str">
        <f>IFERROR(__xludf.DUMMYFUNCTION("""COMPUTED_VALUE"""),"Publikasi")</f>
        <v>Publikasi</v>
      </c>
      <c r="E616" s="19"/>
      <c r="F616" s="20"/>
    </row>
    <row r="617">
      <c r="A617" s="13" t="str">
        <f>IFERROR(__xludf.DUMMYFUNCTION("""COMPUTED_VALUE"""),"karuniagea130801@gmail:com")</f>
        <v>karuniagea130801@gmail:com</v>
      </c>
      <c r="B617" s="13" t="str">
        <f>IFERROR(__xludf.DUMMYFUNCTION("""COMPUTED_VALUE"""),"Kabupaten Dairi Dalam Angka 2017")</f>
        <v>Kabupaten Dairi Dalam Angka 2017</v>
      </c>
      <c r="C617" s="13" t="str">
        <f>IFERROR(__xludf.DUMMYFUNCTION("""COMPUTED_VALUE"""),"Publikasi")</f>
        <v>Publikasi</v>
      </c>
      <c r="E617" s="19"/>
      <c r="F617" s="20"/>
    </row>
    <row r="618">
      <c r="A618" s="13" t="str">
        <f>IFERROR(__xludf.DUMMYFUNCTION("""COMPUTED_VALUE"""),"karuniagea130801@gmail:com")</f>
        <v>karuniagea130801@gmail:com</v>
      </c>
      <c r="B618" s="13" t="str">
        <f>IFERROR(__xludf.DUMMYFUNCTION("""COMPUTED_VALUE"""),"Kabupaten Dairi Dalam Angka 2018")</f>
        <v>Kabupaten Dairi Dalam Angka 2018</v>
      </c>
      <c r="C618" s="13" t="str">
        <f>IFERROR(__xludf.DUMMYFUNCTION("""COMPUTED_VALUE"""),"Publikasi")</f>
        <v>Publikasi</v>
      </c>
      <c r="E618" s="19"/>
      <c r="F618" s="20"/>
    </row>
    <row r="619">
      <c r="A619" s="13" t="str">
        <f>IFERROR(__xludf.DUMMYFUNCTION("""COMPUTED_VALUE"""),"karuniagea130801@gmail:com")</f>
        <v>karuniagea130801@gmail:com</v>
      </c>
      <c r="B619" s="13" t="str">
        <f>IFERROR(__xludf.DUMMYFUNCTION("""COMPUTED_VALUE"""),"Kabupaten Dairi Dalam Angka 2019")</f>
        <v>Kabupaten Dairi Dalam Angka 2019</v>
      </c>
      <c r="C619" s="13" t="str">
        <f>IFERROR(__xludf.DUMMYFUNCTION("""COMPUTED_VALUE"""),"Publikasi")</f>
        <v>Publikasi</v>
      </c>
      <c r="E619" s="19"/>
      <c r="F619" s="20"/>
    </row>
    <row r="620">
      <c r="A620" s="13" t="str">
        <f>IFERROR(__xludf.DUMMYFUNCTION("""COMPUTED_VALUE"""),"karuniagea130801@gmail:com")</f>
        <v>karuniagea130801@gmail:com</v>
      </c>
      <c r="B620" s="13" t="str">
        <f>IFERROR(__xludf.DUMMYFUNCTION("""COMPUTED_VALUE"""),"Kabupaten Dairi Dalam Angka 2020")</f>
        <v>Kabupaten Dairi Dalam Angka 2020</v>
      </c>
      <c r="C620" s="13" t="str">
        <f>IFERROR(__xludf.DUMMYFUNCTION("""COMPUTED_VALUE"""),"Publikasi")</f>
        <v>Publikasi</v>
      </c>
      <c r="E620" s="19"/>
      <c r="F620" s="20"/>
    </row>
    <row r="621">
      <c r="A621" s="13" t="str">
        <f>IFERROR(__xludf.DUMMYFUNCTION("""COMPUTED_VALUE"""),"karuniagea130801@gmail:com")</f>
        <v>karuniagea130801@gmail:com</v>
      </c>
      <c r="B621" s="13" t="str">
        <f>IFERROR(__xludf.DUMMYFUNCTION("""COMPUTED_VALUE"""),"Kabupaten Dairi Dalam Angka 2021")</f>
        <v>Kabupaten Dairi Dalam Angka 2021</v>
      </c>
      <c r="C621" s="13" t="str">
        <f>IFERROR(__xludf.DUMMYFUNCTION("""COMPUTED_VALUE"""),"Publikasi")</f>
        <v>Publikasi</v>
      </c>
      <c r="E621" s="19"/>
      <c r="F621" s="20"/>
    </row>
    <row r="622">
      <c r="A622" s="13" t="str">
        <f>IFERROR(__xludf.DUMMYFUNCTION("""COMPUTED_VALUE"""),"karuniagea130801@gmail:com")</f>
        <v>karuniagea130801@gmail:com</v>
      </c>
      <c r="B622" s="13" t="str">
        <f>IFERROR(__xludf.DUMMYFUNCTION("""COMPUTED_VALUE"""),"Kabupaten Dairi Dalam Angka 2022")</f>
        <v>Kabupaten Dairi Dalam Angka 2022</v>
      </c>
      <c r="C622" s="13" t="str">
        <f>IFERROR(__xludf.DUMMYFUNCTION("""COMPUTED_VALUE"""),"Publikasi")</f>
        <v>Publikasi</v>
      </c>
      <c r="E622" s="19"/>
      <c r="F622" s="20"/>
    </row>
    <row r="623">
      <c r="A623" s="13" t="str">
        <f>IFERROR(__xludf.DUMMYFUNCTION("""COMPUTED_VALUE"""),"katarinasianipar01@gmail:com")</f>
        <v>katarinasianipar01@gmail:com</v>
      </c>
      <c r="B623" s="13" t="str">
        <f>IFERROR(__xludf.DUMMYFUNCTION("""COMPUTED_VALUE"""),"Kabupaten Dairi Dalam Angka 2024")</f>
        <v>Kabupaten Dairi Dalam Angka 2024</v>
      </c>
      <c r="C623" s="13" t="str">
        <f>IFERROR(__xludf.DUMMYFUNCTION("""COMPUTED_VALUE"""),"Publikasi")</f>
        <v>Publikasi</v>
      </c>
      <c r="E623" s="19"/>
      <c r="F623" s="20"/>
    </row>
    <row r="624">
      <c r="A624" s="13" t="str">
        <f>IFERROR(__xludf.DUMMYFUNCTION("""COMPUTED_VALUE"""),"kevinsianturi507@gmail:com")</f>
        <v>kevinsianturi507@gmail:com</v>
      </c>
      <c r="B624" s="13" t="str">
        <f>IFERROR(__xludf.DUMMYFUNCTION("""COMPUTED_VALUE"""),"Kabupaten Dairi Dalam Angka 2024")</f>
        <v>Kabupaten Dairi Dalam Angka 2024</v>
      </c>
      <c r="C624" s="13" t="str">
        <f>IFERROR(__xludf.DUMMYFUNCTION("""COMPUTED_VALUE"""),"Publikasi")</f>
        <v>Publikasi</v>
      </c>
      <c r="E624" s="19"/>
      <c r="F624" s="20"/>
    </row>
    <row r="625">
      <c r="A625" s="13" t="str">
        <f>IFERROR(__xludf.DUMMYFUNCTION("""COMPUTED_VALUE"""),"khairinita@bpodt:id")</f>
        <v>khairinita@bpodt:id</v>
      </c>
      <c r="B625" s="13" t="str">
        <f>IFERROR(__xludf.DUMMYFUNCTION("""COMPUTED_VALUE"""),"Kabupaten Dairi Dalam Angka 2024")</f>
        <v>Kabupaten Dairi Dalam Angka 2024</v>
      </c>
      <c r="C625" s="13" t="str">
        <f>IFERROR(__xludf.DUMMYFUNCTION("""COMPUTED_VALUE"""),"Publikasi")</f>
        <v>Publikasi</v>
      </c>
      <c r="E625" s="19"/>
      <c r="F625" s="20"/>
    </row>
    <row r="626">
      <c r="A626" s="13" t="str">
        <f>IFERROR(__xludf.DUMMYFUNCTION("""COMPUTED_VALUE"""),"kksigalingging@gmail:com")</f>
        <v>kksigalingging@gmail:com</v>
      </c>
      <c r="B626" s="13" t="str">
        <f>IFERROR(__xludf.DUMMYFUNCTION("""COMPUTED_VALUE"""),"Kabupaten Dairi Dalam Angka 2024")</f>
        <v>Kabupaten Dairi Dalam Angka 2024</v>
      </c>
      <c r="C626" s="13" t="str">
        <f>IFERROR(__xludf.DUMMYFUNCTION("""COMPUTED_VALUE"""),"Publikasi")</f>
        <v>Publikasi</v>
      </c>
      <c r="E626" s="19"/>
      <c r="F626" s="20"/>
    </row>
    <row r="627">
      <c r="A627" s="13" t="str">
        <f>IFERROR(__xludf.DUMMYFUNCTION("""COMPUTED_VALUE"""),"koculee@gmail:com")</f>
        <v>koculee@gmail:com</v>
      </c>
      <c r="B627" s="13" t="str">
        <f>IFERROR(__xludf.DUMMYFUNCTION("""COMPUTED_VALUE"""),"Kabupaten Dairi Dalam Angka 2024")</f>
        <v>Kabupaten Dairi Dalam Angka 2024</v>
      </c>
      <c r="C627" s="13" t="str">
        <f>IFERROR(__xludf.DUMMYFUNCTION("""COMPUTED_VALUE"""),"Publikasi")</f>
        <v>Publikasi</v>
      </c>
      <c r="E627" s="19"/>
      <c r="F627" s="20"/>
    </row>
    <row r="628">
      <c r="A628" s="13" t="str">
        <f>IFERROR(__xludf.DUMMYFUNCTION("""COMPUTED_VALUE"""),"kpps1211012013-0013@mail:com")</f>
        <v>kpps1211012013-0013@mail:com</v>
      </c>
      <c r="B628" s="13" t="str">
        <f>IFERROR(__xludf.DUMMYFUNCTION("""COMPUTED_VALUE"""),"Indeks Pembangunan Manusia Kabupaten Dairi 2024")</f>
        <v>Indeks Pembangunan Manusia Kabupaten Dairi 2024</v>
      </c>
      <c r="C628" s="13" t="str">
        <f>IFERROR(__xludf.DUMMYFUNCTION("""COMPUTED_VALUE"""),"Publikasi")</f>
        <v>Publikasi</v>
      </c>
      <c r="E628" s="19"/>
      <c r="F628" s="20"/>
    </row>
    <row r="629">
      <c r="A629" s="13" t="str">
        <f>IFERROR(__xludf.DUMMYFUNCTION("""COMPUTED_VALUE"""),"Krisdayantimanik100@gmail:com")</f>
        <v>Krisdayantimanik100@gmail:com</v>
      </c>
      <c r="B629" s="13" t="str">
        <f>IFERROR(__xludf.DUMMYFUNCTION("""COMPUTED_VALUE"""),"Profil Kependudukan dan Ketenagakerjaan Kabupaten Dairi 2021")</f>
        <v>Profil Kependudukan dan Ketenagakerjaan Kabupaten Dairi 2021</v>
      </c>
      <c r="C629" s="13" t="str">
        <f>IFERROR(__xludf.DUMMYFUNCTION("""COMPUTED_VALUE"""),"Publikasi")</f>
        <v>Publikasi</v>
      </c>
      <c r="E629" s="19"/>
      <c r="F629" s="20"/>
    </row>
    <row r="630">
      <c r="A630" s="13" t="str">
        <f>IFERROR(__xludf.DUMMYFUNCTION("""COMPUTED_VALUE"""),"Krisdayantimanik100@gmail:com")</f>
        <v>Krisdayantimanik100@gmail:com</v>
      </c>
      <c r="B630" s="13" t="str">
        <f>IFERROR(__xludf.DUMMYFUNCTION("""COMPUTED_VALUE"""),"Statistik Kesejahteraan Rakyat Kabupaten Dairi 2022")</f>
        <v>Statistik Kesejahteraan Rakyat Kabupaten Dairi 2022</v>
      </c>
      <c r="C630" s="13" t="str">
        <f>IFERROR(__xludf.DUMMYFUNCTION("""COMPUTED_VALUE"""),"Publikasi")</f>
        <v>Publikasi</v>
      </c>
      <c r="E630" s="19"/>
      <c r="F630" s="20"/>
    </row>
    <row r="631">
      <c r="A631" s="13" t="str">
        <f>IFERROR(__xludf.DUMMYFUNCTION("""COMPUTED_VALUE"""),"kutanangka74@gmail:com")</f>
        <v>kutanangka74@gmail:com</v>
      </c>
      <c r="B631" s="13" t="str">
        <f>IFERROR(__xludf.DUMMYFUNCTION("""COMPUTED_VALUE"""),"Indikator Kesejahteraan Rakyat Kabupaten Dairi Tahun 2024")</f>
        <v>Indikator Kesejahteraan Rakyat Kabupaten Dairi Tahun 2024</v>
      </c>
      <c r="C631" s="13" t="str">
        <f>IFERROR(__xludf.DUMMYFUNCTION("""COMPUTED_VALUE"""),"Publikasi")</f>
        <v>Publikasi</v>
      </c>
      <c r="E631" s="19"/>
      <c r="F631" s="20"/>
    </row>
    <row r="632">
      <c r="A632" s="13" t="str">
        <f>IFERROR(__xludf.DUMMYFUNCTION("""COMPUTED_VALUE"""),"kwinsito@gmail:com")</f>
        <v>kwinsito@gmail:com</v>
      </c>
      <c r="B632" s="13" t="str">
        <f>IFERROR(__xludf.DUMMYFUNCTION("""COMPUTED_VALUE"""),"Kabupaten Dairi Dalam Angka 2018")</f>
        <v>Kabupaten Dairi Dalam Angka 2018</v>
      </c>
      <c r="C632" s="13" t="str">
        <f>IFERROR(__xludf.DUMMYFUNCTION("""COMPUTED_VALUE"""),"Publikasi")</f>
        <v>Publikasi</v>
      </c>
      <c r="E632" s="19"/>
      <c r="F632" s="20"/>
    </row>
    <row r="633">
      <c r="A633" s="13" t="str">
        <f>IFERROR(__xludf.DUMMYFUNCTION("""COMPUTED_VALUE"""),"kwinsito@gmail:com")</f>
        <v>kwinsito@gmail:com</v>
      </c>
      <c r="B633" s="13" t="str">
        <f>IFERROR(__xludf.DUMMYFUNCTION("""COMPUTED_VALUE"""),"Kabupaten Dairi Dalam Angka 2019")</f>
        <v>Kabupaten Dairi Dalam Angka 2019</v>
      </c>
      <c r="C633" s="13" t="str">
        <f>IFERROR(__xludf.DUMMYFUNCTION("""COMPUTED_VALUE"""),"Publikasi")</f>
        <v>Publikasi</v>
      </c>
      <c r="E633" s="19"/>
      <c r="F633" s="20"/>
    </row>
    <row r="634">
      <c r="A634" s="13" t="str">
        <f>IFERROR(__xludf.DUMMYFUNCTION("""COMPUTED_VALUE"""),"lailatulfaridah1987@gmail:com")</f>
        <v>lailatulfaridah1987@gmail:com</v>
      </c>
      <c r="B634" s="13" t="str">
        <f>IFERROR(__xludf.DUMMYFUNCTION("""COMPUTED_VALUE"""),"Kabupaten Dairi Dalam Angka 2024")</f>
        <v>Kabupaten Dairi Dalam Angka 2024</v>
      </c>
      <c r="C634" s="13" t="str">
        <f>IFERROR(__xludf.DUMMYFUNCTION("""COMPUTED_VALUE"""),"Publikasi")</f>
        <v>Publikasi</v>
      </c>
      <c r="E634" s="19"/>
      <c r="F634" s="20"/>
    </row>
    <row r="635">
      <c r="A635" s="13" t="str">
        <f>IFERROR(__xludf.DUMMYFUNCTION("""COMPUTED_VALUE"""),"lamtotalumbangaol95@gmail:com")</f>
        <v>lamtotalumbangaol95@gmail:com</v>
      </c>
      <c r="B635" s="13" t="str">
        <f>IFERROR(__xludf.DUMMYFUNCTION("""COMPUTED_VALUE"""),"Hasil Pencacahan Lengkap Sensus Pertanian 2024 - Tahap I Kabupaten Dairi")</f>
        <v>Hasil Pencacahan Lengkap Sensus Pertanian 2024 - Tahap I Kabupaten Dairi</v>
      </c>
      <c r="C635" s="13" t="str">
        <f>IFERROR(__xludf.DUMMYFUNCTION("""COMPUTED_VALUE"""),"Publikasi")</f>
        <v>Publikasi</v>
      </c>
      <c r="E635" s="19"/>
      <c r="F635" s="20"/>
    </row>
    <row r="636">
      <c r="A636" s="13" t="str">
        <f>IFERROR(__xludf.DUMMYFUNCTION("""COMPUTED_VALUE"""),"lamtotalumbangaol95@gmail:com")</f>
        <v>lamtotalumbangaol95@gmail:com</v>
      </c>
      <c r="B636" s="13" t="str">
        <f>IFERROR(__xludf.DUMMYFUNCTION("""COMPUTED_VALUE"""),"Indeks Pembangunan Manusia Kabupaten Dairi 2024")</f>
        <v>Indeks Pembangunan Manusia Kabupaten Dairi 2024</v>
      </c>
      <c r="C636" s="13" t="str">
        <f>IFERROR(__xludf.DUMMYFUNCTION("""COMPUTED_VALUE"""),"Publikasi")</f>
        <v>Publikasi</v>
      </c>
      <c r="E636" s="19"/>
      <c r="F636" s="20"/>
    </row>
    <row r="637">
      <c r="A637" s="13" t="str">
        <f>IFERROR(__xludf.DUMMYFUNCTION("""COMPUTED_VALUE"""),"lamtotalumbangaol95@gmail:com")</f>
        <v>lamtotalumbangaol95@gmail:com</v>
      </c>
      <c r="B637" s="13" t="str">
        <f>IFERROR(__xludf.DUMMYFUNCTION("""COMPUTED_VALUE"""),"Indikator Kesejahteraan Rakyat Kabupaten Dairi Tahun 2024")</f>
        <v>Indikator Kesejahteraan Rakyat Kabupaten Dairi Tahun 2024</v>
      </c>
      <c r="C637" s="13" t="str">
        <f>IFERROR(__xludf.DUMMYFUNCTION("""COMPUTED_VALUE"""),"Publikasi")</f>
        <v>Publikasi</v>
      </c>
      <c r="E637" s="19"/>
      <c r="F637" s="20"/>
    </row>
    <row r="638">
      <c r="A638" s="13" t="str">
        <f>IFERROR(__xludf.DUMMYFUNCTION("""COMPUTED_VALUE"""),"lamtotalumbangaol95@gmail:com")</f>
        <v>lamtotalumbangaol95@gmail:com</v>
      </c>
      <c r="B638" s="13" t="str">
        <f>IFERROR(__xludf.DUMMYFUNCTION("""COMPUTED_VALUE"""),"Statistik Kesejahteraan Rakyat Kabupaten Dairi 2024")</f>
        <v>Statistik Kesejahteraan Rakyat Kabupaten Dairi 2024</v>
      </c>
      <c r="C638" s="13" t="str">
        <f>IFERROR(__xludf.DUMMYFUNCTION("""COMPUTED_VALUE"""),"Publikasi")</f>
        <v>Publikasi</v>
      </c>
      <c r="E638" s="19"/>
      <c r="F638" s="20"/>
    </row>
    <row r="639">
      <c r="A639" s="13" t="str">
        <f>IFERROR(__xludf.DUMMYFUNCTION("""COMPUTED_VALUE"""),"lathifaifa12@gmail:com")</f>
        <v>lathifaifa12@gmail:com</v>
      </c>
      <c r="B639" s="13" t="str">
        <f>IFERROR(__xludf.DUMMYFUNCTION("""COMPUTED_VALUE"""),"Kabupaten Dairi Dalam Angka 2019")</f>
        <v>Kabupaten Dairi Dalam Angka 2019</v>
      </c>
      <c r="C639" s="13" t="str">
        <f>IFERROR(__xludf.DUMMYFUNCTION("""COMPUTED_VALUE"""),"Publikasi")</f>
        <v>Publikasi</v>
      </c>
      <c r="E639" s="19"/>
      <c r="F639" s="20"/>
    </row>
    <row r="640">
      <c r="A640" s="13" t="str">
        <f>IFERROR(__xludf.DUMMYFUNCTION("""COMPUTED_VALUE"""),"lathifaifa12@gmail:com")</f>
        <v>lathifaifa12@gmail:com</v>
      </c>
      <c r="B640" s="13" t="str">
        <f>IFERROR(__xludf.DUMMYFUNCTION("""COMPUTED_VALUE"""),"Kabupaten Dairi Dalam Angka 2020")</f>
        <v>Kabupaten Dairi Dalam Angka 2020</v>
      </c>
      <c r="C640" s="13" t="str">
        <f>IFERROR(__xludf.DUMMYFUNCTION("""COMPUTED_VALUE"""),"Publikasi")</f>
        <v>Publikasi</v>
      </c>
      <c r="E640" s="19"/>
      <c r="F640" s="20"/>
    </row>
    <row r="641">
      <c r="A641" s="13" t="str">
        <f>IFERROR(__xludf.DUMMYFUNCTION("""COMPUTED_VALUE"""),"lathifaifa12@gmail:com")</f>
        <v>lathifaifa12@gmail:com</v>
      </c>
      <c r="B641" s="13" t="str">
        <f>IFERROR(__xludf.DUMMYFUNCTION("""COMPUTED_VALUE"""),"Kabupaten Dairi Dalam Angka 2021")</f>
        <v>Kabupaten Dairi Dalam Angka 2021</v>
      </c>
      <c r="C641" s="13" t="str">
        <f>IFERROR(__xludf.DUMMYFUNCTION("""COMPUTED_VALUE"""),"Publikasi")</f>
        <v>Publikasi</v>
      </c>
      <c r="E641" s="19"/>
      <c r="F641" s="20"/>
    </row>
    <row r="642">
      <c r="A642" s="13" t="str">
        <f>IFERROR(__xludf.DUMMYFUNCTION("""COMPUTED_VALUE"""),"lathifaifa12@gmail:com")</f>
        <v>lathifaifa12@gmail:com</v>
      </c>
      <c r="B642" s="13" t="str">
        <f>IFERROR(__xludf.DUMMYFUNCTION("""COMPUTED_VALUE"""),"Kabupaten Dairi Dalam Angka 2022")</f>
        <v>Kabupaten Dairi Dalam Angka 2022</v>
      </c>
      <c r="C642" s="13" t="str">
        <f>IFERROR(__xludf.DUMMYFUNCTION("""COMPUTED_VALUE"""),"Publikasi")</f>
        <v>Publikasi</v>
      </c>
      <c r="E642" s="19"/>
      <c r="F642" s="20"/>
    </row>
    <row r="643">
      <c r="A643" s="13" t="str">
        <f>IFERROR(__xludf.DUMMYFUNCTION("""COMPUTED_VALUE"""),"lathifaifa12@gmail:com")</f>
        <v>lathifaifa12@gmail:com</v>
      </c>
      <c r="B643" s="13" t="str">
        <f>IFERROR(__xludf.DUMMYFUNCTION("""COMPUTED_VALUE"""),"Kabupaten Dairi Dalam Angka 2024")</f>
        <v>Kabupaten Dairi Dalam Angka 2024</v>
      </c>
      <c r="C643" s="13" t="str">
        <f>IFERROR(__xludf.DUMMYFUNCTION("""COMPUTED_VALUE"""),"Publikasi")</f>
        <v>Publikasi</v>
      </c>
      <c r="E643" s="19"/>
      <c r="F643" s="20"/>
    </row>
    <row r="644">
      <c r="A644" s="13" t="str">
        <f>IFERROR(__xludf.DUMMYFUNCTION("""COMPUTED_VALUE"""),"lendiraselvy22@gmail:com")</f>
        <v>lendiraselvy22@gmail:com</v>
      </c>
      <c r="B644" s="13" t="str">
        <f>IFERROR(__xludf.DUMMYFUNCTION("""COMPUTED_VALUE"""),"Kecamatan Tiga Lingga Dalam Angka 2024")</f>
        <v>Kecamatan Tiga Lingga Dalam Angka 2024</v>
      </c>
      <c r="C644" s="13" t="str">
        <f>IFERROR(__xludf.DUMMYFUNCTION("""COMPUTED_VALUE"""),"Publikasi")</f>
        <v>Publikasi</v>
      </c>
      <c r="E644" s="19"/>
      <c r="F644" s="20"/>
    </row>
    <row r="645">
      <c r="A645" s="13" t="str">
        <f>IFERROR(__xludf.DUMMYFUNCTION("""COMPUTED_VALUE"""),"letarenababann@gmail:com")</f>
        <v>letarenababann@gmail:com</v>
      </c>
      <c r="B645" s="13" t="str">
        <f>IFERROR(__xludf.DUMMYFUNCTION("""COMPUTED_VALUE"""),"Indikator Kesejahteraan Rakyat Kabupaten Dairi 2018")</f>
        <v>Indikator Kesejahteraan Rakyat Kabupaten Dairi 2018</v>
      </c>
      <c r="C645" s="13" t="str">
        <f>IFERROR(__xludf.DUMMYFUNCTION("""COMPUTED_VALUE"""),"Publikasi")</f>
        <v>Publikasi</v>
      </c>
      <c r="E645" s="19"/>
      <c r="F645" s="20"/>
    </row>
    <row r="646">
      <c r="A646" s="13" t="str">
        <f>IFERROR(__xludf.DUMMYFUNCTION("""COMPUTED_VALUE"""),"liana_jusminari_pde@yahoo:com")</f>
        <v>liana_jusminari_pde@yahoo:com</v>
      </c>
      <c r="B646" s="13" t="str">
        <f>IFERROR(__xludf.DUMMYFUNCTION("""COMPUTED_VALUE"""),"Indeks Pembangunan Manusia Kabupaten Dairi 2024")</f>
        <v>Indeks Pembangunan Manusia Kabupaten Dairi 2024</v>
      </c>
      <c r="C646" s="13" t="str">
        <f>IFERROR(__xludf.DUMMYFUNCTION("""COMPUTED_VALUE"""),"Publikasi")</f>
        <v>Publikasi</v>
      </c>
      <c r="E646" s="19"/>
      <c r="F646" s="20"/>
    </row>
    <row r="647">
      <c r="A647" s="13" t="str">
        <f>IFERROR(__xludf.DUMMYFUNCTION("""COMPUTED_VALUE"""),"liana_jusminari_pde@yahoo:com")</f>
        <v>liana_jusminari_pde@yahoo:com</v>
      </c>
      <c r="B647" s="13" t="str">
        <f>IFERROR(__xludf.DUMMYFUNCTION("""COMPUTED_VALUE"""),"Statistik Kesejahteraan Rakyat Kabupaten Dairi 2024")</f>
        <v>Statistik Kesejahteraan Rakyat Kabupaten Dairi 2024</v>
      </c>
      <c r="C647" s="13" t="str">
        <f>IFERROR(__xludf.DUMMYFUNCTION("""COMPUTED_VALUE"""),"Publikasi")</f>
        <v>Publikasi</v>
      </c>
      <c r="E647" s="19"/>
      <c r="F647" s="20"/>
    </row>
    <row r="648">
      <c r="A648" s="13" t="str">
        <f>IFERROR(__xludf.DUMMYFUNCTION("""COMPUTED_VALUE"""),"lilsyam00@gmail:com")</f>
        <v>lilsyam00@gmail:com</v>
      </c>
      <c r="B648" s="13" t="str">
        <f>IFERROR(__xludf.DUMMYFUNCTION("""COMPUTED_VALUE"""),"Kabupaten Dairi Dalam Angka 2024")</f>
        <v>Kabupaten Dairi Dalam Angka 2024</v>
      </c>
      <c r="C648" s="13" t="str">
        <f>IFERROR(__xludf.DUMMYFUNCTION("""COMPUTED_VALUE"""),"Publikasi")</f>
        <v>Publikasi</v>
      </c>
      <c r="E648" s="19"/>
      <c r="F648" s="20"/>
    </row>
    <row r="649">
      <c r="A649" s="13" t="str">
        <f>IFERROR(__xludf.DUMMYFUNCTION("""COMPUTED_VALUE"""),"lilsyam@gmail:com")</f>
        <v>lilsyam@gmail:com</v>
      </c>
      <c r="B649" s="13" t="str">
        <f>IFERROR(__xludf.DUMMYFUNCTION("""COMPUTED_VALUE"""),"Tingkat Penghunian Kamar Akomodasi Dairi 2022")</f>
        <v>Tingkat Penghunian Kamar Akomodasi Dairi 2022</v>
      </c>
      <c r="C649" s="13" t="str">
        <f>IFERROR(__xludf.DUMMYFUNCTION("""COMPUTED_VALUE"""),"Publikasi")</f>
        <v>Publikasi</v>
      </c>
      <c r="E649" s="19"/>
      <c r="F649" s="20"/>
    </row>
    <row r="650">
      <c r="A650" s="13" t="str">
        <f>IFERROR(__xludf.DUMMYFUNCTION("""COMPUTED_VALUE"""),"lisbetrizonasianturi@gmail:com")</f>
        <v>lisbetrizonasianturi@gmail:com</v>
      </c>
      <c r="B650" s="13" t="str">
        <f>IFERROR(__xludf.DUMMYFUNCTION("""COMPUTED_VALUE"""),"Kecamatan Sitinjo Dalam Angka 2024")</f>
        <v>Kecamatan Sitinjo Dalam Angka 2024</v>
      </c>
      <c r="C650" s="13" t="str">
        <f>IFERROR(__xludf.DUMMYFUNCTION("""COMPUTED_VALUE"""),"Publikasi")</f>
        <v>Publikasi</v>
      </c>
      <c r="E650" s="19"/>
      <c r="F650" s="20"/>
    </row>
    <row r="651">
      <c r="A651" s="13" t="str">
        <f>IFERROR(__xludf.DUMMYFUNCTION("""COMPUTED_VALUE"""),"lolaputrisaing@gmail:com")</f>
        <v>lolaputrisaing@gmail:com</v>
      </c>
      <c r="B651" s="13" t="str">
        <f>IFERROR(__xludf.DUMMYFUNCTION("""COMPUTED_VALUE"""),"Kabupaten Dairi Dalam Angka 2024")</f>
        <v>Kabupaten Dairi Dalam Angka 2024</v>
      </c>
      <c r="C651" s="13" t="str">
        <f>IFERROR(__xludf.DUMMYFUNCTION("""COMPUTED_VALUE"""),"Publikasi")</f>
        <v>Publikasi</v>
      </c>
      <c r="E651" s="19"/>
      <c r="F651" s="20"/>
    </row>
    <row r="652">
      <c r="A652" s="13" t="str">
        <f>IFERROR(__xludf.DUMMYFUNCTION("""COMPUTED_VALUE"""),"lubersianturi@gmail:com")</f>
        <v>lubersianturi@gmail:com</v>
      </c>
      <c r="B652" s="13" t="str">
        <f>IFERROR(__xludf.DUMMYFUNCTION("""COMPUTED_VALUE"""),"Kabupaten Dairi Dalam Angka 2024")</f>
        <v>Kabupaten Dairi Dalam Angka 2024</v>
      </c>
      <c r="C652" s="13" t="str">
        <f>IFERROR(__xludf.DUMMYFUNCTION("""COMPUTED_VALUE"""),"Publikasi")</f>
        <v>Publikasi</v>
      </c>
      <c r="E652" s="19"/>
      <c r="F652" s="20"/>
    </row>
    <row r="653">
      <c r="A653" s="13" t="str">
        <f>IFERROR(__xludf.DUMMYFUNCTION("""COMPUTED_VALUE"""),"luke:gabe2@gmail:com")</f>
        <v>luke:gabe2@gmail:com</v>
      </c>
      <c r="B653" s="13" t="str">
        <f>IFERROR(__xludf.DUMMYFUNCTION("""COMPUTED_VALUE"""),"Kabupaten Dairi Dalam Angka 2024")</f>
        <v>Kabupaten Dairi Dalam Angka 2024</v>
      </c>
      <c r="C653" s="13" t="str">
        <f>IFERROR(__xludf.DUMMYFUNCTION("""COMPUTED_VALUE"""),"Publikasi")</f>
        <v>Publikasi</v>
      </c>
      <c r="E653" s="19"/>
      <c r="F653" s="20"/>
    </row>
    <row r="654">
      <c r="A654" s="13" t="str">
        <f>IFERROR(__xludf.DUMMYFUNCTION("""COMPUTED_VALUE"""),"lukman:barboet@gmail:com")</f>
        <v>lukman:barboet@gmail:com</v>
      </c>
      <c r="B654" s="13" t="str">
        <f>IFERROR(__xludf.DUMMYFUNCTION("""COMPUTED_VALUE"""),"Kabupaten Dairi Dalam Angka 2021")</f>
        <v>Kabupaten Dairi Dalam Angka 2021</v>
      </c>
      <c r="C654" s="13" t="str">
        <f>IFERROR(__xludf.DUMMYFUNCTION("""COMPUTED_VALUE"""),"Publikasi")</f>
        <v>Publikasi</v>
      </c>
      <c r="E654" s="19"/>
      <c r="F654" s="20"/>
    </row>
    <row r="655">
      <c r="A655" s="13" t="str">
        <f>IFERROR(__xludf.DUMMYFUNCTION("""COMPUTED_VALUE"""),"lusiadebora08@gmail:com")</f>
        <v>lusiadebora08@gmail:com</v>
      </c>
      <c r="B655" s="13" t="str">
        <f>IFERROR(__xludf.DUMMYFUNCTION("""COMPUTED_VALUE"""),"Kecamatan Sidikalang Dalam Angka 2021")</f>
        <v>Kecamatan Sidikalang Dalam Angka 2021</v>
      </c>
      <c r="C655" s="13" t="str">
        <f>IFERROR(__xludf.DUMMYFUNCTION("""COMPUTED_VALUE"""),"Publikasi")</f>
        <v>Publikasi</v>
      </c>
      <c r="E655" s="19"/>
      <c r="F655" s="20"/>
    </row>
    <row r="656">
      <c r="A656" s="13" t="str">
        <f>IFERROR(__xludf.DUMMYFUNCTION("""COMPUTED_VALUE"""),"malumsiregar71@gmail:com")</f>
        <v>malumsiregar71@gmail:com</v>
      </c>
      <c r="B656" s="13" t="str">
        <f>IFERROR(__xludf.DUMMYFUNCTION("""COMPUTED_VALUE"""),"Indikator Kesejahteraan Rakyat Kabupaten Dairi Tahun 2024")</f>
        <v>Indikator Kesejahteraan Rakyat Kabupaten Dairi Tahun 2024</v>
      </c>
      <c r="C656" s="13" t="str">
        <f>IFERROR(__xludf.DUMMYFUNCTION("""COMPUTED_VALUE"""),"Publikasi")</f>
        <v>Publikasi</v>
      </c>
      <c r="E656" s="19"/>
      <c r="F656" s="20"/>
    </row>
    <row r="657">
      <c r="A657" s="13" t="str">
        <f>IFERROR(__xludf.DUMMYFUNCTION("""COMPUTED_VALUE"""),"malumsiregar71@gmail:com")</f>
        <v>malumsiregar71@gmail:com</v>
      </c>
      <c r="B657" s="13" t="str">
        <f>IFERROR(__xludf.DUMMYFUNCTION("""COMPUTED_VALUE"""),"Statistik Kesejahteraan Rakyat Kabupaten Dairi 2024")</f>
        <v>Statistik Kesejahteraan Rakyat Kabupaten Dairi 2024</v>
      </c>
      <c r="C657" s="13" t="str">
        <f>IFERROR(__xludf.DUMMYFUNCTION("""COMPUTED_VALUE"""),"Publikasi")</f>
        <v>Publikasi</v>
      </c>
      <c r="E657" s="19"/>
      <c r="F657" s="20"/>
    </row>
    <row r="658">
      <c r="A658" s="13" t="str">
        <f>IFERROR(__xludf.DUMMYFUNCTION("""COMPUTED_VALUE"""),"manarsarmarisihalomoansiburian@gmail:com")</f>
        <v>manarsarmarisihalomoansiburian@gmail:com</v>
      </c>
      <c r="B658" s="13" t="str">
        <f>IFERROR(__xludf.DUMMYFUNCTION("""COMPUTED_VALUE"""),"Kabupaten Dairi Dalam Angka 2024")</f>
        <v>Kabupaten Dairi Dalam Angka 2024</v>
      </c>
      <c r="C658" s="13" t="str">
        <f>IFERROR(__xludf.DUMMYFUNCTION("""COMPUTED_VALUE"""),"Publikasi")</f>
        <v>Publikasi</v>
      </c>
      <c r="E658" s="19"/>
      <c r="F658" s="20"/>
    </row>
    <row r="659">
      <c r="A659" s="13" t="str">
        <f>IFERROR(__xludf.DUMMYFUNCTION("""COMPUTED_VALUE"""),"mangaturgandas@gmail:com")</f>
        <v>mangaturgandas@gmail:com</v>
      </c>
      <c r="B659" s="13" t="str">
        <f>IFERROR(__xludf.DUMMYFUNCTION("""COMPUTED_VALUE"""),"Kabupaten Dairi Dalam Angka 2024")</f>
        <v>Kabupaten Dairi Dalam Angka 2024</v>
      </c>
      <c r="C659" s="13" t="str">
        <f>IFERROR(__xludf.DUMMYFUNCTION("""COMPUTED_VALUE"""),"Publikasi")</f>
        <v>Publikasi</v>
      </c>
      <c r="E659" s="19"/>
      <c r="F659" s="20"/>
    </row>
    <row r="660">
      <c r="A660" s="13" t="str">
        <f>IFERROR(__xludf.DUMMYFUNCTION("""COMPUTED_VALUE"""),"mangihutpakpahan@gmail:com")</f>
        <v>mangihutpakpahan@gmail:com</v>
      </c>
      <c r="B660" s="13" t="str">
        <f>IFERROR(__xludf.DUMMYFUNCTION("""COMPUTED_VALUE"""),"Kabupaten Dairi Dalam Angka 2024")</f>
        <v>Kabupaten Dairi Dalam Angka 2024</v>
      </c>
      <c r="C660" s="13" t="str">
        <f>IFERROR(__xludf.DUMMYFUNCTION("""COMPUTED_VALUE"""),"Publikasi")</f>
        <v>Publikasi</v>
      </c>
      <c r="E660" s="19"/>
      <c r="F660" s="20"/>
    </row>
    <row r="661">
      <c r="A661" s="13" t="str">
        <f>IFERROR(__xludf.DUMMYFUNCTION("""COMPUTED_VALUE"""),"marchelinoyudea@gmail:com")</f>
        <v>marchelinoyudea@gmail:com</v>
      </c>
      <c r="B661" s="13" t="str">
        <f>IFERROR(__xludf.DUMMYFUNCTION("""COMPUTED_VALUE"""),"Kabupaten Dairi Dalam Angka 2024")</f>
        <v>Kabupaten Dairi Dalam Angka 2024</v>
      </c>
      <c r="C661" s="13" t="str">
        <f>IFERROR(__xludf.DUMMYFUNCTION("""COMPUTED_VALUE"""),"Publikasi")</f>
        <v>Publikasi</v>
      </c>
      <c r="E661" s="19"/>
      <c r="F661" s="20"/>
    </row>
    <row r="662">
      <c r="A662" s="13" t="str">
        <f>IFERROR(__xludf.DUMMYFUNCTION("""COMPUTED_VALUE"""),"marchelinoyudea@gmail:com")</f>
        <v>marchelinoyudea@gmail:com</v>
      </c>
      <c r="B662" s="13" t="str">
        <f>IFERROR(__xludf.DUMMYFUNCTION("""COMPUTED_VALUE"""),"Kecamatan Parbuluan Dalam Angka 2020")</f>
        <v>Kecamatan Parbuluan Dalam Angka 2020</v>
      </c>
      <c r="C662" s="13" t="str">
        <f>IFERROR(__xludf.DUMMYFUNCTION("""COMPUTED_VALUE"""),"Publikasi")</f>
        <v>Publikasi</v>
      </c>
      <c r="E662" s="19"/>
      <c r="F662" s="20"/>
    </row>
    <row r="663">
      <c r="A663" s="13" t="str">
        <f>IFERROR(__xludf.DUMMYFUNCTION("""COMPUTED_VALUE"""),"marchelinoyudea@gmail:com")</f>
        <v>marchelinoyudea@gmail:com</v>
      </c>
      <c r="B663" s="13" t="str">
        <f>IFERROR(__xludf.DUMMYFUNCTION("""COMPUTED_VALUE"""),"Kecamatan Parbuluan Dalam Angka 2024")</f>
        <v>Kecamatan Parbuluan Dalam Angka 2024</v>
      </c>
      <c r="C663" s="13" t="str">
        <f>IFERROR(__xludf.DUMMYFUNCTION("""COMPUTED_VALUE"""),"Publikasi")</f>
        <v>Publikasi</v>
      </c>
      <c r="E663" s="19"/>
      <c r="F663" s="20"/>
    </row>
    <row r="664">
      <c r="A664" s="13" t="str">
        <f>IFERROR(__xludf.DUMMYFUNCTION("""COMPUTED_VALUE"""),"mardipasaribu1982@gmail:com")</f>
        <v>mardipasaribu1982@gmail:com</v>
      </c>
      <c r="B664" s="13" t="str">
        <f>IFERROR(__xludf.DUMMYFUNCTION("""COMPUTED_VALUE"""),"Indeks Pembangunan Manusia Kabupaten Dairi 2021")</f>
        <v>Indeks Pembangunan Manusia Kabupaten Dairi 2021</v>
      </c>
      <c r="C664" s="13" t="str">
        <f>IFERROR(__xludf.DUMMYFUNCTION("""COMPUTED_VALUE"""),"Publikasi")</f>
        <v>Publikasi</v>
      </c>
      <c r="E664" s="19"/>
      <c r="F664" s="20"/>
    </row>
    <row r="665">
      <c r="A665" s="13" t="str">
        <f>IFERROR(__xludf.DUMMYFUNCTION("""COMPUTED_VALUE"""),"mardipasaribu1982@gmail:com")</f>
        <v>mardipasaribu1982@gmail:com</v>
      </c>
      <c r="B665" s="13" t="str">
        <f>IFERROR(__xludf.DUMMYFUNCTION("""COMPUTED_VALUE"""),"Indikator Kesejahteraan Rakyat Kabupaten Dairi 2021")</f>
        <v>Indikator Kesejahteraan Rakyat Kabupaten Dairi 2021</v>
      </c>
      <c r="C665" s="13" t="str">
        <f>IFERROR(__xludf.DUMMYFUNCTION("""COMPUTED_VALUE"""),"Publikasi")</f>
        <v>Publikasi</v>
      </c>
      <c r="E665" s="19"/>
      <c r="F665" s="20"/>
    </row>
    <row r="666">
      <c r="A666" s="13" t="str">
        <f>IFERROR(__xludf.DUMMYFUNCTION("""COMPUTED_VALUE"""),"mardipasaribu1982@gmail:com")</f>
        <v>mardipasaribu1982@gmail:com</v>
      </c>
      <c r="B666" s="13" t="str">
        <f>IFERROR(__xludf.DUMMYFUNCTION("""COMPUTED_VALUE"""),"Indikator Kesejahteraan Rakyat Kabupaten Dairi Tahun 2022")</f>
        <v>Indikator Kesejahteraan Rakyat Kabupaten Dairi Tahun 2022</v>
      </c>
      <c r="C666" s="13" t="str">
        <f>IFERROR(__xludf.DUMMYFUNCTION("""COMPUTED_VALUE"""),"Publikasi")</f>
        <v>Publikasi</v>
      </c>
      <c r="E666" s="19"/>
      <c r="F666" s="20"/>
    </row>
    <row r="667">
      <c r="A667" s="13" t="str">
        <f>IFERROR(__xludf.DUMMYFUNCTION("""COMPUTED_VALUE"""),"mardipasaribu1982@gmail:com")</f>
        <v>mardipasaribu1982@gmail:com</v>
      </c>
      <c r="B667" s="13" t="str">
        <f>IFERROR(__xludf.DUMMYFUNCTION("""COMPUTED_VALUE"""),"Kabupaten Dairi Dalam Angka 2022")</f>
        <v>Kabupaten Dairi Dalam Angka 2022</v>
      </c>
      <c r="C667" s="13" t="str">
        <f>IFERROR(__xludf.DUMMYFUNCTION("""COMPUTED_VALUE"""),"Publikasi")</f>
        <v>Publikasi</v>
      </c>
      <c r="E667" s="19"/>
      <c r="F667" s="20"/>
    </row>
    <row r="668">
      <c r="A668" s="13" t="str">
        <f>IFERROR(__xludf.DUMMYFUNCTION("""COMPUTED_VALUE"""),"mardipasaribu1982@gmail:com")</f>
        <v>mardipasaribu1982@gmail:com</v>
      </c>
      <c r="B668" s="13" t="str">
        <f>IFERROR(__xludf.DUMMYFUNCTION("""COMPUTED_VALUE"""),"Statistik Daerah Kabupaten Dairi 2021")</f>
        <v>Statistik Daerah Kabupaten Dairi 2021</v>
      </c>
      <c r="C668" s="13" t="str">
        <f>IFERROR(__xludf.DUMMYFUNCTION("""COMPUTED_VALUE"""),"Publikasi")</f>
        <v>Publikasi</v>
      </c>
      <c r="E668" s="19"/>
      <c r="F668" s="20"/>
    </row>
    <row r="669">
      <c r="A669" s="13" t="str">
        <f>IFERROR(__xludf.DUMMYFUNCTION("""COMPUTED_VALUE"""),"mardossitorus85@gmail:com")</f>
        <v>mardossitorus85@gmail:com</v>
      </c>
      <c r="B669" s="13" t="str">
        <f>IFERROR(__xludf.DUMMYFUNCTION("""COMPUTED_VALUE"""),"Kecamatan Sidikalang Dalam Angka 2020")</f>
        <v>Kecamatan Sidikalang Dalam Angka 2020</v>
      </c>
      <c r="C669" s="13" t="str">
        <f>IFERROR(__xludf.DUMMYFUNCTION("""COMPUTED_VALUE"""),"Publikasi")</f>
        <v>Publikasi</v>
      </c>
      <c r="E669" s="19"/>
      <c r="F669" s="20"/>
    </row>
    <row r="670">
      <c r="A670" s="13" t="str">
        <f>IFERROR(__xludf.DUMMYFUNCTION("""COMPUTED_VALUE"""),"marinaitosinaga@gmail:com")</f>
        <v>marinaitosinaga@gmail:com</v>
      </c>
      <c r="B670" s="13" t="str">
        <f>IFERROR(__xludf.DUMMYFUNCTION("""COMPUTED_VALUE"""),"Kabupaten Dairi Dalam Angka 2024")</f>
        <v>Kabupaten Dairi Dalam Angka 2024</v>
      </c>
      <c r="C670" s="13" t="str">
        <f>IFERROR(__xludf.DUMMYFUNCTION("""COMPUTED_VALUE"""),"Publikasi")</f>
        <v>Publikasi</v>
      </c>
      <c r="E670" s="19"/>
      <c r="F670" s="20"/>
    </row>
    <row r="671">
      <c r="A671" s="13" t="str">
        <f>IFERROR(__xludf.DUMMYFUNCTION("""COMPUTED_VALUE"""),"marisiintan@gmail:com")</f>
        <v>marisiintan@gmail:com</v>
      </c>
      <c r="B671" s="13" t="str">
        <f>IFERROR(__xludf.DUMMYFUNCTION("""COMPUTED_VALUE"""),"Kecamatan Gunung Sitember Dalam Angka 2024")</f>
        <v>Kecamatan Gunung Sitember Dalam Angka 2024</v>
      </c>
      <c r="C671" s="13" t="str">
        <f>IFERROR(__xludf.DUMMYFUNCTION("""COMPUTED_VALUE"""),"Publikasi")</f>
        <v>Publikasi</v>
      </c>
      <c r="E671" s="19"/>
      <c r="F671" s="20"/>
    </row>
    <row r="672">
      <c r="A672" s="13" t="str">
        <f>IFERROR(__xludf.DUMMYFUNCTION("""COMPUTED_VALUE"""),"marketingapit@gmail:com")</f>
        <v>marketingapit@gmail:com</v>
      </c>
      <c r="B672" s="13" t="str">
        <f>IFERROR(__xludf.DUMMYFUNCTION("""COMPUTED_VALUE"""),"Direktori Perusahaan Konstruksi Tahun 2021")</f>
        <v>Direktori Perusahaan Konstruksi Tahun 2021</v>
      </c>
      <c r="C672" s="13" t="str">
        <f>IFERROR(__xludf.DUMMYFUNCTION("""COMPUTED_VALUE"""),"Publikasi")</f>
        <v>Publikasi</v>
      </c>
      <c r="E672" s="19"/>
      <c r="F672" s="20"/>
    </row>
    <row r="673">
      <c r="A673" s="13" t="str">
        <f>IFERROR(__xludf.DUMMYFUNCTION("""COMPUTED_VALUE"""),"marlinasarijasya@gmail:com")</f>
        <v>marlinasarijasya@gmail:com</v>
      </c>
      <c r="B673" s="13" t="str">
        <f>IFERROR(__xludf.DUMMYFUNCTION("""COMPUTED_VALUE"""),"Kabupaten Dairi Dalam Angka 2024")</f>
        <v>Kabupaten Dairi Dalam Angka 2024</v>
      </c>
      <c r="C673" s="13" t="str">
        <f>IFERROR(__xludf.DUMMYFUNCTION("""COMPUTED_VALUE"""),"Publikasi")</f>
        <v>Publikasi</v>
      </c>
      <c r="E673" s="19"/>
      <c r="F673" s="20"/>
    </row>
    <row r="674">
      <c r="A674" s="13" t="str">
        <f>IFERROR(__xludf.DUMMYFUNCTION("""COMPUTED_VALUE"""),"marlinasarijasya@gmail:com")</f>
        <v>marlinasarijasya@gmail:com</v>
      </c>
      <c r="B674" s="13" t="str">
        <f>IFERROR(__xludf.DUMMYFUNCTION("""COMPUTED_VALUE"""),"Statistik Daerah Kabupaten Dairi 2024")</f>
        <v>Statistik Daerah Kabupaten Dairi 2024</v>
      </c>
      <c r="C674" s="13" t="str">
        <f>IFERROR(__xludf.DUMMYFUNCTION("""COMPUTED_VALUE"""),"Publikasi")</f>
        <v>Publikasi</v>
      </c>
      <c r="E674" s="19"/>
      <c r="F674" s="20"/>
    </row>
    <row r="675">
      <c r="A675" s="13" t="str">
        <f>IFERROR(__xludf.DUMMYFUNCTION("""COMPUTED_VALUE"""),"marlinasarijasya@gmail:com")</f>
        <v>marlinasarijasya@gmail:com</v>
      </c>
      <c r="B675" s="13" t="str">
        <f>IFERROR(__xludf.DUMMYFUNCTION("""COMPUTED_VALUE"""),"Statistik Hortikultura Kabupaten Dairi Tahun 2022")</f>
        <v>Statistik Hortikultura Kabupaten Dairi Tahun 2022</v>
      </c>
      <c r="C675" s="13" t="str">
        <f>IFERROR(__xludf.DUMMYFUNCTION("""COMPUTED_VALUE"""),"Publikasi")</f>
        <v>Publikasi</v>
      </c>
      <c r="E675" s="19"/>
      <c r="F675" s="20"/>
    </row>
    <row r="676">
      <c r="A676" s="13" t="str">
        <f>IFERROR(__xludf.DUMMYFUNCTION("""COMPUTED_VALUE"""),"marlonaritonang@bps:go:id")</f>
        <v>marlonaritonang@bps:go:id</v>
      </c>
      <c r="B676" s="13" t="str">
        <f>IFERROR(__xludf.DUMMYFUNCTION("""COMPUTED_VALUE"""),"Hasil Pencacahan Lengkap Sensus Pertanian 2024 - Tahap I Kabupaten Dairi")</f>
        <v>Hasil Pencacahan Lengkap Sensus Pertanian 2024 - Tahap I Kabupaten Dairi</v>
      </c>
      <c r="C676" s="13" t="str">
        <f>IFERROR(__xludf.DUMMYFUNCTION("""COMPUTED_VALUE"""),"Publikasi")</f>
        <v>Publikasi</v>
      </c>
      <c r="E676" s="19"/>
      <c r="F676" s="20"/>
    </row>
    <row r="677">
      <c r="A677" s="13" t="str">
        <f>IFERROR(__xludf.DUMMYFUNCTION("""COMPUTED_VALUE"""),"marlonaritonang@bps:go:id")</f>
        <v>marlonaritonang@bps:go:id</v>
      </c>
      <c r="B677" s="13" t="str">
        <f>IFERROR(__xludf.DUMMYFUNCTION("""COMPUTED_VALUE"""),"Indikator Kesejahteraan Rakyat Kabupaten Dairi Tahun 2024")</f>
        <v>Indikator Kesejahteraan Rakyat Kabupaten Dairi Tahun 2024</v>
      </c>
      <c r="C677" s="13" t="str">
        <f>IFERROR(__xludf.DUMMYFUNCTION("""COMPUTED_VALUE"""),"Publikasi")</f>
        <v>Publikasi</v>
      </c>
      <c r="E677" s="19"/>
      <c r="F677" s="20"/>
    </row>
    <row r="678">
      <c r="A678" s="13" t="str">
        <f>IFERROR(__xludf.DUMMYFUNCTION("""COMPUTED_VALUE"""),"marlonaritonang@bps:go:id")</f>
        <v>marlonaritonang@bps:go:id</v>
      </c>
      <c r="B678" s="13" t="str">
        <f>IFERROR(__xludf.DUMMYFUNCTION("""COMPUTED_VALUE"""),"Kabupaten Dairi Dalam Angka 2022")</f>
        <v>Kabupaten Dairi Dalam Angka 2022</v>
      </c>
      <c r="C678" s="13" t="str">
        <f>IFERROR(__xludf.DUMMYFUNCTION("""COMPUTED_VALUE"""),"Publikasi")</f>
        <v>Publikasi</v>
      </c>
      <c r="E678" s="19"/>
      <c r="F678" s="20"/>
    </row>
    <row r="679">
      <c r="A679" s="13" t="str">
        <f>IFERROR(__xludf.DUMMYFUNCTION("""COMPUTED_VALUE"""),"marlonaritonang@bps:go:id")</f>
        <v>marlonaritonang@bps:go:id</v>
      </c>
      <c r="B679" s="13" t="str">
        <f>IFERROR(__xludf.DUMMYFUNCTION("""COMPUTED_VALUE"""),"Kabupaten Dairi Dalam Angka 2024")</f>
        <v>Kabupaten Dairi Dalam Angka 2024</v>
      </c>
      <c r="C679" s="13" t="str">
        <f>IFERROR(__xludf.DUMMYFUNCTION("""COMPUTED_VALUE"""),"Publikasi")</f>
        <v>Publikasi</v>
      </c>
      <c r="E679" s="19"/>
      <c r="F679" s="20"/>
    </row>
    <row r="680">
      <c r="A680" s="13" t="str">
        <f>IFERROR(__xludf.DUMMYFUNCTION("""COMPUTED_VALUE"""),"marlonaritonang@bps:go:id")</f>
        <v>marlonaritonang@bps:go:id</v>
      </c>
      <c r="B680" s="13" t="str">
        <f>IFERROR(__xludf.DUMMYFUNCTION("""COMPUTED_VALUE"""),"Profil Kependudukan dan Ketenagakerjaan Kabupaten Dairi 2021")</f>
        <v>Profil Kependudukan dan Ketenagakerjaan Kabupaten Dairi 2021</v>
      </c>
      <c r="C680" s="13" t="str">
        <f>IFERROR(__xludf.DUMMYFUNCTION("""COMPUTED_VALUE"""),"Publikasi")</f>
        <v>Publikasi</v>
      </c>
      <c r="E680" s="19"/>
      <c r="F680" s="20"/>
    </row>
    <row r="681">
      <c r="A681" s="13" t="str">
        <f>IFERROR(__xludf.DUMMYFUNCTION("""COMPUTED_VALUE"""),"marlonaritonang@bps:go:id")</f>
        <v>marlonaritonang@bps:go:id</v>
      </c>
      <c r="B681" s="13" t="str">
        <f>IFERROR(__xludf.DUMMYFUNCTION("""COMPUTED_VALUE"""),"Profil Kependudukan dan Ketenagakerjaan Kabupaten Dairi 2022")</f>
        <v>Profil Kependudukan dan Ketenagakerjaan Kabupaten Dairi 2022</v>
      </c>
      <c r="C681" s="13" t="str">
        <f>IFERROR(__xludf.DUMMYFUNCTION("""COMPUTED_VALUE"""),"Publikasi")</f>
        <v>Publikasi</v>
      </c>
      <c r="E681" s="19"/>
      <c r="F681" s="20"/>
    </row>
    <row r="682">
      <c r="A682" s="13" t="str">
        <f>IFERROR(__xludf.DUMMYFUNCTION("""COMPUTED_VALUE"""),"marlonaritonang@bps:go:id")</f>
        <v>marlonaritonang@bps:go:id</v>
      </c>
      <c r="B682" s="13" t="str">
        <f>IFERROR(__xludf.DUMMYFUNCTION("""COMPUTED_VALUE"""),"Statistik Kesejahteraan Rakyat Kabupaten Dairi 2022")</f>
        <v>Statistik Kesejahteraan Rakyat Kabupaten Dairi 2022</v>
      </c>
      <c r="C682" s="13" t="str">
        <f>IFERROR(__xludf.DUMMYFUNCTION("""COMPUTED_VALUE"""),"Publikasi")</f>
        <v>Publikasi</v>
      </c>
      <c r="E682" s="19"/>
      <c r="F682" s="20"/>
    </row>
    <row r="683">
      <c r="A683" s="13" t="str">
        <f>IFERROR(__xludf.DUMMYFUNCTION("""COMPUTED_VALUE"""),"marlonaritonang@bps:go:id")</f>
        <v>marlonaritonang@bps:go:id</v>
      </c>
      <c r="B683" s="13" t="str">
        <f>IFERROR(__xludf.DUMMYFUNCTION("""COMPUTED_VALUE"""),"Statistik Kesejahteraan Rakyat Kabupaten Dairi 2024")</f>
        <v>Statistik Kesejahteraan Rakyat Kabupaten Dairi 2024</v>
      </c>
      <c r="C683" s="13" t="str">
        <f>IFERROR(__xludf.DUMMYFUNCTION("""COMPUTED_VALUE"""),"Publikasi")</f>
        <v>Publikasi</v>
      </c>
      <c r="E683" s="19"/>
      <c r="F683" s="20"/>
    </row>
    <row r="684">
      <c r="A684" s="13" t="str">
        <f>IFERROR(__xludf.DUMMYFUNCTION("""COMPUTED_VALUE"""),"mayangm097@gmail:com")</f>
        <v>mayangm097@gmail:com</v>
      </c>
      <c r="B684" s="13" t="str">
        <f>IFERROR(__xludf.DUMMYFUNCTION("""COMPUTED_VALUE"""),"Kabupaten Dairi Dalam Angka 2018")</f>
        <v>Kabupaten Dairi Dalam Angka 2018</v>
      </c>
      <c r="C684" s="13" t="str">
        <f>IFERROR(__xludf.DUMMYFUNCTION("""COMPUTED_VALUE"""),"Publikasi")</f>
        <v>Publikasi</v>
      </c>
      <c r="E684" s="19"/>
      <c r="F684" s="20"/>
    </row>
    <row r="685">
      <c r="A685" s="13" t="str">
        <f>IFERROR(__xludf.DUMMYFUNCTION("""COMPUTED_VALUE"""),"mayangm097@gmail:com")</f>
        <v>mayangm097@gmail:com</v>
      </c>
      <c r="B685" s="13" t="str">
        <f>IFERROR(__xludf.DUMMYFUNCTION("""COMPUTED_VALUE"""),"Kabupaten Dairi Dalam Angka 2019")</f>
        <v>Kabupaten Dairi Dalam Angka 2019</v>
      </c>
      <c r="C685" s="13" t="str">
        <f>IFERROR(__xludf.DUMMYFUNCTION("""COMPUTED_VALUE"""),"Publikasi")</f>
        <v>Publikasi</v>
      </c>
      <c r="E685" s="19"/>
      <c r="F685" s="20"/>
    </row>
    <row r="686">
      <c r="A686" s="13" t="str">
        <f>IFERROR(__xludf.DUMMYFUNCTION("""COMPUTED_VALUE"""),"mayangm097@gmail:com")</f>
        <v>mayangm097@gmail:com</v>
      </c>
      <c r="B686" s="13" t="str">
        <f>IFERROR(__xludf.DUMMYFUNCTION("""COMPUTED_VALUE"""),"Kabupaten Dairi Dalam Angka 2020")</f>
        <v>Kabupaten Dairi Dalam Angka 2020</v>
      </c>
      <c r="C686" s="13" t="str">
        <f>IFERROR(__xludf.DUMMYFUNCTION("""COMPUTED_VALUE"""),"Publikasi")</f>
        <v>Publikasi</v>
      </c>
      <c r="E686" s="19"/>
      <c r="F686" s="20"/>
    </row>
    <row r="687">
      <c r="A687" s="13" t="str">
        <f>IFERROR(__xludf.DUMMYFUNCTION("""COMPUTED_VALUE"""),"mayangm097@gmail:com")</f>
        <v>mayangm097@gmail:com</v>
      </c>
      <c r="B687" s="13" t="str">
        <f>IFERROR(__xludf.DUMMYFUNCTION("""COMPUTED_VALUE"""),"Kabupaten Dairi Dalam Angka 2021")</f>
        <v>Kabupaten Dairi Dalam Angka 2021</v>
      </c>
      <c r="C687" s="13" t="str">
        <f>IFERROR(__xludf.DUMMYFUNCTION("""COMPUTED_VALUE"""),"Publikasi")</f>
        <v>Publikasi</v>
      </c>
      <c r="E687" s="19"/>
      <c r="F687" s="20"/>
    </row>
    <row r="688">
      <c r="A688" s="13" t="str">
        <f>IFERROR(__xludf.DUMMYFUNCTION("""COMPUTED_VALUE"""),"mayangm097@gmail:com")</f>
        <v>mayangm097@gmail:com</v>
      </c>
      <c r="B688" s="13" t="str">
        <f>IFERROR(__xludf.DUMMYFUNCTION("""COMPUTED_VALUE"""),"Kabupaten Dairi Dalam Angka 2022")</f>
        <v>Kabupaten Dairi Dalam Angka 2022</v>
      </c>
      <c r="C688" s="13" t="str">
        <f>IFERROR(__xludf.DUMMYFUNCTION("""COMPUTED_VALUE"""),"Publikasi")</f>
        <v>Publikasi</v>
      </c>
      <c r="E688" s="19"/>
      <c r="F688" s="20"/>
    </row>
    <row r="689">
      <c r="A689" s="13" t="str">
        <f>IFERROR(__xludf.DUMMYFUNCTION("""COMPUTED_VALUE"""),"mbardansalam@gmail:com")</f>
        <v>mbardansalam@gmail:com</v>
      </c>
      <c r="B689" s="13" t="str">
        <f>IFERROR(__xludf.DUMMYFUNCTION("""COMPUTED_VALUE"""),"Kabupaten Dairi Dalam Angka 2022")</f>
        <v>Kabupaten Dairi Dalam Angka 2022</v>
      </c>
      <c r="C689" s="13" t="str">
        <f>IFERROR(__xludf.DUMMYFUNCTION("""COMPUTED_VALUE"""),"Publikasi")</f>
        <v>Publikasi</v>
      </c>
      <c r="E689" s="19"/>
      <c r="F689" s="20"/>
    </row>
    <row r="690">
      <c r="A690" s="13" t="str">
        <f>IFERROR(__xludf.DUMMYFUNCTION("""COMPUTED_VALUE"""),"mbayak@mikroskil:ac:id")</f>
        <v>mbayak@mikroskil:ac:id</v>
      </c>
      <c r="B690" s="13" t="str">
        <f>IFERROR(__xludf.DUMMYFUNCTION("""COMPUTED_VALUE"""),"Kecamatan Tigalingga Dalam Angka 2018")</f>
        <v>Kecamatan Tigalingga Dalam Angka 2018</v>
      </c>
      <c r="C690" s="13" t="str">
        <f>IFERROR(__xludf.DUMMYFUNCTION("""COMPUTED_VALUE"""),"Publikasi")</f>
        <v>Publikasi</v>
      </c>
      <c r="E690" s="19"/>
      <c r="F690" s="20"/>
    </row>
    <row r="691">
      <c r="A691" s="13" t="str">
        <f>IFERROR(__xludf.DUMMYFUNCTION("""COMPUTED_VALUE"""),"mcayudinauli@gmail:com")</f>
        <v>mcayudinauli@gmail:com</v>
      </c>
      <c r="B691" s="13" t="str">
        <f>IFERROR(__xludf.DUMMYFUNCTION("""COMPUTED_VALUE"""),"Kabupaten Dairi Dalam Angka 2024")</f>
        <v>Kabupaten Dairi Dalam Angka 2024</v>
      </c>
      <c r="C691" s="13" t="str">
        <f>IFERROR(__xludf.DUMMYFUNCTION("""COMPUTED_VALUE"""),"Publikasi")</f>
        <v>Publikasi</v>
      </c>
      <c r="E691" s="19"/>
      <c r="F691" s="20"/>
    </row>
    <row r="692">
      <c r="A692" s="13" t="str">
        <f>IFERROR(__xludf.DUMMYFUNCTION("""COMPUTED_VALUE"""),"mcayudinauli@gmail:com")</f>
        <v>mcayudinauli@gmail:com</v>
      </c>
      <c r="B692" s="13" t="str">
        <f>IFERROR(__xludf.DUMMYFUNCTION("""COMPUTED_VALUE"""),"Statistik Daerah Kabupaten Dairi 2024")</f>
        <v>Statistik Daerah Kabupaten Dairi 2024</v>
      </c>
      <c r="C692" s="13" t="str">
        <f>IFERROR(__xludf.DUMMYFUNCTION("""COMPUTED_VALUE"""),"Publikasi")</f>
        <v>Publikasi</v>
      </c>
      <c r="E692" s="19"/>
      <c r="F692" s="20"/>
    </row>
    <row r="693">
      <c r="A693" s="13" t="str">
        <f>IFERROR(__xludf.DUMMYFUNCTION("""COMPUTED_VALUE"""),"menarasitumorang49@gmail:com")</f>
        <v>menarasitumorang49@gmail:com</v>
      </c>
      <c r="B693" s="13" t="str">
        <f>IFERROR(__xludf.DUMMYFUNCTION("""COMPUTED_VALUE"""),"Kecamatan Tiga Lingga Dalam Angka 2021")</f>
        <v>Kecamatan Tiga Lingga Dalam Angka 2021</v>
      </c>
      <c r="C693" s="13" t="str">
        <f>IFERROR(__xludf.DUMMYFUNCTION("""COMPUTED_VALUE"""),"Publikasi")</f>
        <v>Publikasi</v>
      </c>
      <c r="E693" s="19"/>
      <c r="F693" s="20"/>
    </row>
    <row r="694">
      <c r="A694" s="13" t="str">
        <f>IFERROR(__xludf.DUMMYFUNCTION("""COMPUTED_VALUE"""),"meridebora82@gmail:com")</f>
        <v>meridebora82@gmail:com</v>
      </c>
      <c r="B694" s="13" t="str">
        <f>IFERROR(__xludf.DUMMYFUNCTION("""COMPUTED_VALUE"""),"Kabupaten Dairi Dalam Angka 2024")</f>
        <v>Kabupaten Dairi Dalam Angka 2024</v>
      </c>
      <c r="C694" s="13" t="str">
        <f>IFERROR(__xludf.DUMMYFUNCTION("""COMPUTED_VALUE"""),"Publikasi")</f>
        <v>Publikasi</v>
      </c>
      <c r="E694" s="19"/>
      <c r="F694" s="20"/>
    </row>
    <row r="695">
      <c r="A695" s="13" t="str">
        <f>IFERROR(__xludf.DUMMYFUNCTION("""COMPUTED_VALUE"""),"mesobsjbt@gmail:com")</f>
        <v>mesobsjbt@gmail:com</v>
      </c>
      <c r="B695" s="13" t="str">
        <f>IFERROR(__xludf.DUMMYFUNCTION("""COMPUTED_VALUE"""),"Indikator Kesejahteraan Rakyat Kabupaten Dairi Tahun 2022")</f>
        <v>Indikator Kesejahteraan Rakyat Kabupaten Dairi Tahun 2022</v>
      </c>
      <c r="C695" s="13" t="str">
        <f>IFERROR(__xludf.DUMMYFUNCTION("""COMPUTED_VALUE"""),"Publikasi")</f>
        <v>Publikasi</v>
      </c>
      <c r="E695" s="19"/>
      <c r="F695" s="20"/>
    </row>
    <row r="696">
      <c r="A696" s="13" t="str">
        <f>IFERROR(__xludf.DUMMYFUNCTION("""COMPUTED_VALUE"""),"mesobsjbt@gmail:com")</f>
        <v>mesobsjbt@gmail:com</v>
      </c>
      <c r="B696" s="13" t="str">
        <f>IFERROR(__xludf.DUMMYFUNCTION("""COMPUTED_VALUE"""),"Kabupaten Dairi Dalam Angka 2022")</f>
        <v>Kabupaten Dairi Dalam Angka 2022</v>
      </c>
      <c r="C696" s="13" t="str">
        <f>IFERROR(__xludf.DUMMYFUNCTION("""COMPUTED_VALUE"""),"Publikasi")</f>
        <v>Publikasi</v>
      </c>
      <c r="E696" s="19"/>
      <c r="F696" s="20"/>
    </row>
    <row r="697">
      <c r="A697" s="13" t="str">
        <f>IFERROR(__xludf.DUMMYFUNCTION("""COMPUTED_VALUE"""),"mesobsjbt@gmail:com")</f>
        <v>mesobsjbt@gmail:com</v>
      </c>
      <c r="B697" s="13" t="str">
        <f>IFERROR(__xludf.DUMMYFUNCTION("""COMPUTED_VALUE"""),"Kabupaten Dairi Dalam Angka 2024")</f>
        <v>Kabupaten Dairi Dalam Angka 2024</v>
      </c>
      <c r="C697" s="13" t="str">
        <f>IFERROR(__xludf.DUMMYFUNCTION("""COMPUTED_VALUE"""),"Publikasi")</f>
        <v>Publikasi</v>
      </c>
      <c r="E697" s="19"/>
      <c r="F697" s="20"/>
    </row>
    <row r="698">
      <c r="A698" s="13" t="str">
        <f>IFERROR(__xludf.DUMMYFUNCTION("""COMPUTED_VALUE"""),"mey:naibaho@gmail:com")</f>
        <v>mey:naibaho@gmail:com</v>
      </c>
      <c r="B698" s="13" t="str">
        <f>IFERROR(__xludf.DUMMYFUNCTION("""COMPUTED_VALUE"""),"Kabupaten Dairi Dalam Angka 2024")</f>
        <v>Kabupaten Dairi Dalam Angka 2024</v>
      </c>
      <c r="C698" s="13" t="str">
        <f>IFERROR(__xludf.DUMMYFUNCTION("""COMPUTED_VALUE"""),"Publikasi")</f>
        <v>Publikasi</v>
      </c>
      <c r="E698" s="19"/>
      <c r="F698" s="20"/>
    </row>
    <row r="699">
      <c r="A699" s="13" t="str">
        <f>IFERROR(__xludf.DUMMYFUNCTION("""COMPUTED_VALUE"""),"mhakim@bps:go:id")</f>
        <v>mhakim@bps:go:id</v>
      </c>
      <c r="B699" s="13" t="str">
        <f>IFERROR(__xludf.DUMMYFUNCTION("""COMPUTED_VALUE"""),"Tingkat Penghunian Kamar Akomodasi Dairi 2022")</f>
        <v>Tingkat Penghunian Kamar Akomodasi Dairi 2022</v>
      </c>
      <c r="C699" s="13" t="str">
        <f>IFERROR(__xludf.DUMMYFUNCTION("""COMPUTED_VALUE"""),"Publikasi")</f>
        <v>Publikasi</v>
      </c>
      <c r="E699" s="19"/>
      <c r="F699" s="20"/>
    </row>
    <row r="700">
      <c r="A700" s="13" t="str">
        <f>IFERROR(__xludf.DUMMYFUNCTION("""COMPUTED_VALUE"""),"mhdalwipasaribu@gmail:com")</f>
        <v>mhdalwipasaribu@gmail:com</v>
      </c>
      <c r="B700" s="13" t="str">
        <f>IFERROR(__xludf.DUMMYFUNCTION("""COMPUTED_VALUE"""),"Kecamatan Sumbul Dalam Angka 2021")</f>
        <v>Kecamatan Sumbul Dalam Angka 2021</v>
      </c>
      <c r="C700" s="13" t="str">
        <f>IFERROR(__xludf.DUMMYFUNCTION("""COMPUTED_VALUE"""),"Publikasi")</f>
        <v>Publikasi</v>
      </c>
      <c r="E700" s="19"/>
      <c r="F700" s="20"/>
    </row>
    <row r="701">
      <c r="A701" s="13" t="str">
        <f>IFERROR(__xludf.DUMMYFUNCTION("""COMPUTED_VALUE"""),"midiantapurba@yahoo:co:id")</f>
        <v>midiantapurba@yahoo:co:id</v>
      </c>
      <c r="B701" s="13" t="str">
        <f>IFERROR(__xludf.DUMMYFUNCTION("""COMPUTED_VALUE"""),"Kabupaten Dairi Dalam Angka 2022")</f>
        <v>Kabupaten Dairi Dalam Angka 2022</v>
      </c>
      <c r="C701" s="13" t="str">
        <f>IFERROR(__xludf.DUMMYFUNCTION("""COMPUTED_VALUE"""),"Publikasi")</f>
        <v>Publikasi</v>
      </c>
      <c r="E701" s="19"/>
      <c r="F701" s="20"/>
    </row>
    <row r="702">
      <c r="A702" s="13" t="str">
        <f>IFERROR(__xludf.DUMMYFUNCTION("""COMPUTED_VALUE"""),"mikeervanspurba@bps:go:id")</f>
        <v>mikeervanspurba@bps:go:id</v>
      </c>
      <c r="B702" s="13" t="str">
        <f>IFERROR(__xludf.DUMMYFUNCTION("""COMPUTED_VALUE"""),"Kabupaten Dairi Dalam Angka 2024")</f>
        <v>Kabupaten Dairi Dalam Angka 2024</v>
      </c>
      <c r="C702" s="13" t="str">
        <f>IFERROR(__xludf.DUMMYFUNCTION("""COMPUTED_VALUE"""),"Publikasi")</f>
        <v>Publikasi</v>
      </c>
      <c r="E702" s="19"/>
      <c r="F702" s="20"/>
    </row>
    <row r="703">
      <c r="A703" s="13" t="str">
        <f>IFERROR(__xludf.DUMMYFUNCTION("""COMPUTED_VALUE"""),"mikoxlon@gmail:com")</f>
        <v>mikoxlon@gmail:com</v>
      </c>
      <c r="B703" s="13" t="str">
        <f>IFERROR(__xludf.DUMMYFUNCTION("""COMPUTED_VALUE"""),"Kabupaten Dairi Dalam Angka 2022")</f>
        <v>Kabupaten Dairi Dalam Angka 2022</v>
      </c>
      <c r="C703" s="13" t="str">
        <f>IFERROR(__xludf.DUMMYFUNCTION("""COMPUTED_VALUE"""),"Publikasi")</f>
        <v>Publikasi</v>
      </c>
      <c r="E703" s="19"/>
      <c r="F703" s="20"/>
    </row>
    <row r="704">
      <c r="A704" s="13" t="str">
        <f>IFERROR(__xludf.DUMMYFUNCTION("""COMPUTED_VALUE"""),"mikoxlon@gmial:com")</f>
        <v>mikoxlon@gmial:com</v>
      </c>
      <c r="B704" s="13" t="str">
        <f>IFERROR(__xludf.DUMMYFUNCTION("""COMPUTED_VALUE"""),"Kabupaten Dairi Dalam Angka 2024")</f>
        <v>Kabupaten Dairi Dalam Angka 2024</v>
      </c>
      <c r="C704" s="13" t="str">
        <f>IFERROR(__xludf.DUMMYFUNCTION("""COMPUTED_VALUE"""),"Publikasi")</f>
        <v>Publikasi</v>
      </c>
      <c r="E704" s="19"/>
      <c r="F704" s="20"/>
    </row>
    <row r="705">
      <c r="A705" s="13" t="str">
        <f>IFERROR(__xludf.DUMMYFUNCTION("""COMPUTED_VALUE"""),"mikroplus:ho@bina-artha:co:id")</f>
        <v>mikroplus:ho@bina-artha:co:id</v>
      </c>
      <c r="B705" s="13" t="str">
        <f>IFERROR(__xludf.DUMMYFUNCTION("""COMPUTED_VALUE"""),"Kabupaten Dairi Dalam Angka 2022")</f>
        <v>Kabupaten Dairi Dalam Angka 2022</v>
      </c>
      <c r="C705" s="13" t="str">
        <f>IFERROR(__xludf.DUMMYFUNCTION("""COMPUTED_VALUE"""),"Publikasi")</f>
        <v>Publikasi</v>
      </c>
      <c r="E705" s="19"/>
      <c r="F705" s="20"/>
    </row>
    <row r="706">
      <c r="A706" s="13" t="str">
        <f>IFERROR(__xludf.DUMMYFUNCTION("""COMPUTED_VALUE"""),"mizwark19@gmail:com")</f>
        <v>mizwark19@gmail:com</v>
      </c>
      <c r="B706" s="13" t="str">
        <f>IFERROR(__xludf.DUMMYFUNCTION("""COMPUTED_VALUE"""),"Kecamatan Gunung Sitember Dalam Angka 2024")</f>
        <v>Kecamatan Gunung Sitember Dalam Angka 2024</v>
      </c>
      <c r="C706" s="13" t="str">
        <f>IFERROR(__xludf.DUMMYFUNCTION("""COMPUTED_VALUE"""),"Publikasi")</f>
        <v>Publikasi</v>
      </c>
      <c r="E706" s="19"/>
      <c r="F706" s="20"/>
    </row>
    <row r="707">
      <c r="A707" s="13" t="str">
        <f>IFERROR(__xludf.DUMMYFUNCTION("""COMPUTED_VALUE"""),"mizwark19@gmail:com")</f>
        <v>mizwark19@gmail:com</v>
      </c>
      <c r="B707" s="13" t="str">
        <f>IFERROR(__xludf.DUMMYFUNCTION("""COMPUTED_VALUE"""),"Kecamatan Tiga Lingga Dalam Angka 2024")</f>
        <v>Kecamatan Tiga Lingga Dalam Angka 2024</v>
      </c>
      <c r="C707" s="13" t="str">
        <f>IFERROR(__xludf.DUMMYFUNCTION("""COMPUTED_VALUE"""),"Publikasi")</f>
        <v>Publikasi</v>
      </c>
      <c r="E707" s="19"/>
      <c r="F707" s="20"/>
    </row>
    <row r="708">
      <c r="A708" s="13" t="str">
        <f>IFERROR(__xludf.DUMMYFUNCTION("""COMPUTED_VALUE"""),"monika:yuniati@bps:go:id")</f>
        <v>monika:yuniati@bps:go:id</v>
      </c>
      <c r="B708" s="13" t="str">
        <f>IFERROR(__xludf.DUMMYFUNCTION("""COMPUTED_VALUE"""),"Indikator Kesejahteraan Rakyat Kabupaten Dairi Tahun 2024")</f>
        <v>Indikator Kesejahteraan Rakyat Kabupaten Dairi Tahun 2024</v>
      </c>
      <c r="C708" s="13" t="str">
        <f>IFERROR(__xludf.DUMMYFUNCTION("""COMPUTED_VALUE"""),"Publikasi")</f>
        <v>Publikasi</v>
      </c>
      <c r="E708" s="19"/>
      <c r="F708" s="20"/>
    </row>
    <row r="709">
      <c r="A709" s="13" t="str">
        <f>IFERROR(__xludf.DUMMYFUNCTION("""COMPUTED_VALUE"""),"monika:yuniati@bps:go:id")</f>
        <v>monika:yuniati@bps:go:id</v>
      </c>
      <c r="B709" s="13" t="str">
        <f>IFERROR(__xludf.DUMMYFUNCTION("""COMPUTED_VALUE"""),"Tingkat Penghunian Kamar Akomodasi Dairi 2022")</f>
        <v>Tingkat Penghunian Kamar Akomodasi Dairi 2022</v>
      </c>
      <c r="C709" s="13" t="str">
        <f>IFERROR(__xludf.DUMMYFUNCTION("""COMPUTED_VALUE"""),"Publikasi")</f>
        <v>Publikasi</v>
      </c>
      <c r="E709" s="19"/>
      <c r="F709" s="20"/>
    </row>
    <row r="710">
      <c r="A710" s="13" t="str">
        <f>IFERROR(__xludf.DUMMYFUNCTION("""COMPUTED_VALUE"""),"monikasvymm@gmail:com")</f>
        <v>monikasvymm@gmail:com</v>
      </c>
      <c r="B710" s="13" t="str">
        <f>IFERROR(__xludf.DUMMYFUNCTION("""COMPUTED_VALUE"""),"Analisis Survei Kebutuhan Data Kabupaten Dairi 2022")</f>
        <v>Analisis Survei Kebutuhan Data Kabupaten Dairi 2022</v>
      </c>
      <c r="C710" s="13" t="str">
        <f>IFERROR(__xludf.DUMMYFUNCTION("""COMPUTED_VALUE"""),"Publikasi")</f>
        <v>Publikasi</v>
      </c>
      <c r="E710" s="19"/>
      <c r="F710" s="20"/>
    </row>
    <row r="711">
      <c r="A711" s="13" t="str">
        <f>IFERROR(__xludf.DUMMYFUNCTION("""COMPUTED_VALUE"""),"monikasvymm@gmail:com")</f>
        <v>monikasvymm@gmail:com</v>
      </c>
      <c r="B711" s="13" t="str">
        <f>IFERROR(__xludf.DUMMYFUNCTION("""COMPUTED_VALUE"""),"Indeks Pembangunan Manusia Kabupaten Dairi 2021")</f>
        <v>Indeks Pembangunan Manusia Kabupaten Dairi 2021</v>
      </c>
      <c r="C711" s="13" t="str">
        <f>IFERROR(__xludf.DUMMYFUNCTION("""COMPUTED_VALUE"""),"Publikasi")</f>
        <v>Publikasi</v>
      </c>
      <c r="E711" s="19"/>
      <c r="F711" s="20"/>
    </row>
    <row r="712">
      <c r="A712" s="13" t="str">
        <f>IFERROR(__xludf.DUMMYFUNCTION("""COMPUTED_VALUE"""),"monikasvymm@gmail:com")</f>
        <v>monikasvymm@gmail:com</v>
      </c>
      <c r="B712" s="13" t="str">
        <f>IFERROR(__xludf.DUMMYFUNCTION("""COMPUTED_VALUE"""),"Indikator Kesejahteraan Rakyat Kabupaten Dairi Tahun 2024")</f>
        <v>Indikator Kesejahteraan Rakyat Kabupaten Dairi Tahun 2024</v>
      </c>
      <c r="C712" s="13" t="str">
        <f>IFERROR(__xludf.DUMMYFUNCTION("""COMPUTED_VALUE"""),"Publikasi")</f>
        <v>Publikasi</v>
      </c>
      <c r="E712" s="19"/>
      <c r="F712" s="20"/>
    </row>
    <row r="713">
      <c r="A713" s="13" t="str">
        <f>IFERROR(__xludf.DUMMYFUNCTION("""COMPUTED_VALUE"""),"monikasvymm@gmail:com")</f>
        <v>monikasvymm@gmail:com</v>
      </c>
      <c r="B713" s="13" t="str">
        <f>IFERROR(__xludf.DUMMYFUNCTION("""COMPUTED_VALUE"""),"Kabupaten Dairi Dalam Angka 2022")</f>
        <v>Kabupaten Dairi Dalam Angka 2022</v>
      </c>
      <c r="C713" s="13" t="str">
        <f>IFERROR(__xludf.DUMMYFUNCTION("""COMPUTED_VALUE"""),"Publikasi")</f>
        <v>Publikasi</v>
      </c>
      <c r="E713" s="19"/>
      <c r="F713" s="20"/>
    </row>
    <row r="714">
      <c r="A714" s="13" t="str">
        <f>IFERROR(__xludf.DUMMYFUNCTION("""COMPUTED_VALUE"""),"monikasvymm@gmail:com")</f>
        <v>monikasvymm@gmail:com</v>
      </c>
      <c r="B714" s="13" t="str">
        <f>IFERROR(__xludf.DUMMYFUNCTION("""COMPUTED_VALUE"""),"Kecamatan Pegagan Hilir Dalam Angka 2022")</f>
        <v>Kecamatan Pegagan Hilir Dalam Angka 2022</v>
      </c>
      <c r="C714" s="13" t="str">
        <f>IFERROR(__xludf.DUMMYFUNCTION("""COMPUTED_VALUE"""),"Publikasi")</f>
        <v>Publikasi</v>
      </c>
      <c r="E714" s="19"/>
      <c r="F714" s="20"/>
    </row>
    <row r="715">
      <c r="A715" s="13" t="str">
        <f>IFERROR(__xludf.DUMMYFUNCTION("""COMPUTED_VALUE"""),"monikasvymm@gmail:com")</f>
        <v>monikasvymm@gmail:com</v>
      </c>
      <c r="B715" s="13" t="str">
        <f>IFERROR(__xludf.DUMMYFUNCTION("""COMPUTED_VALUE"""),"Produk Domestik Regional Bruto Kabupaten Dairi Menurut Lapangan Usaha 2017 - 2021")</f>
        <v>Produk Domestik Regional Bruto Kabupaten Dairi Menurut Lapangan Usaha 2017 - 2021</v>
      </c>
      <c r="C715" s="13" t="str">
        <f>IFERROR(__xludf.DUMMYFUNCTION("""COMPUTED_VALUE"""),"Publikasi")</f>
        <v>Publikasi</v>
      </c>
      <c r="E715" s="19"/>
      <c r="F715" s="20"/>
    </row>
    <row r="716">
      <c r="A716" s="13" t="str">
        <f>IFERROR(__xludf.DUMMYFUNCTION("""COMPUTED_VALUE"""),"monikasvymm@gmail:com")</f>
        <v>monikasvymm@gmail:com</v>
      </c>
      <c r="B716" s="13" t="str">
        <f>IFERROR(__xludf.DUMMYFUNCTION("""COMPUTED_VALUE"""),"Statistik Hortikultura Kabupaten Dairi Tahun 2021")</f>
        <v>Statistik Hortikultura Kabupaten Dairi Tahun 2021</v>
      </c>
      <c r="C716" s="13" t="str">
        <f>IFERROR(__xludf.DUMMYFUNCTION("""COMPUTED_VALUE"""),"Publikasi")</f>
        <v>Publikasi</v>
      </c>
      <c r="E716" s="19"/>
      <c r="F716" s="20"/>
    </row>
    <row r="717">
      <c r="A717" s="13" t="str">
        <f>IFERROR(__xludf.DUMMYFUNCTION("""COMPUTED_VALUE"""),"monikasvymm@gmail:com")</f>
        <v>monikasvymm@gmail:com</v>
      </c>
      <c r="B717" s="13" t="str">
        <f>IFERROR(__xludf.DUMMYFUNCTION("""COMPUTED_VALUE"""),"Statistik Kesejahteraan Rakyat Kabupaten Dairi 2024")</f>
        <v>Statistik Kesejahteraan Rakyat Kabupaten Dairi 2024</v>
      </c>
      <c r="C717" s="13" t="str">
        <f>IFERROR(__xludf.DUMMYFUNCTION("""COMPUTED_VALUE"""),"Publikasi")</f>
        <v>Publikasi</v>
      </c>
      <c r="E717" s="19"/>
      <c r="F717" s="20"/>
    </row>
    <row r="718">
      <c r="A718" s="13" t="str">
        <f>IFERROR(__xludf.DUMMYFUNCTION("""COMPUTED_VALUE"""),"monikasvymm@gmail:com")</f>
        <v>monikasvymm@gmail:com</v>
      </c>
      <c r="B718" s="13" t="str">
        <f>IFERROR(__xludf.DUMMYFUNCTION("""COMPUTED_VALUE"""),"Statistik Tanaman Pangan (Padi dan Palawija) Kabupaten Dairi 2021")</f>
        <v>Statistik Tanaman Pangan (Padi dan Palawija) Kabupaten Dairi 2021</v>
      </c>
      <c r="C718" s="13" t="str">
        <f>IFERROR(__xludf.DUMMYFUNCTION("""COMPUTED_VALUE"""),"Publikasi")</f>
        <v>Publikasi</v>
      </c>
      <c r="E718" s="19"/>
      <c r="F718" s="20"/>
    </row>
    <row r="719">
      <c r="A719" s="13" t="str">
        <f>IFERROR(__xludf.DUMMYFUNCTION("""COMPUTED_VALUE"""),"Muhammad:Facruddin@fmc:com")</f>
        <v>Muhammad:Facruddin@fmc:com</v>
      </c>
      <c r="B719" s="13" t="str">
        <f>IFERROR(__xludf.DUMMYFUNCTION("""COMPUTED_VALUE"""),"Kabupaten Dairi Dalam Angka 2024")</f>
        <v>Kabupaten Dairi Dalam Angka 2024</v>
      </c>
      <c r="C719" s="13" t="str">
        <f>IFERROR(__xludf.DUMMYFUNCTION("""COMPUTED_VALUE"""),"Publikasi")</f>
        <v>Publikasi</v>
      </c>
      <c r="E719" s="19"/>
      <c r="F719" s="20"/>
    </row>
    <row r="720">
      <c r="A720" s="13" t="str">
        <f>IFERROR(__xludf.DUMMYFUNCTION("""COMPUTED_VALUE"""),"muhammadzuhriadi9@gmail:com")</f>
        <v>muhammadzuhriadi9@gmail:com</v>
      </c>
      <c r="B720" s="13" t="str">
        <f>IFERROR(__xludf.DUMMYFUNCTION("""COMPUTED_VALUE"""),"Kabupaten Dairi Dalam Angka 2022")</f>
        <v>Kabupaten Dairi Dalam Angka 2022</v>
      </c>
      <c r="C720" s="13" t="str">
        <f>IFERROR(__xludf.DUMMYFUNCTION("""COMPUTED_VALUE"""),"Publikasi")</f>
        <v>Publikasi</v>
      </c>
      <c r="E720" s="19"/>
      <c r="F720" s="20"/>
    </row>
    <row r="721">
      <c r="A721" s="13" t="str">
        <f>IFERROR(__xludf.DUMMYFUNCTION("""COMPUTED_VALUE"""),"muhammadzuhriadi9@gmail:com")</f>
        <v>muhammadzuhriadi9@gmail:com</v>
      </c>
      <c r="B721" s="13" t="str">
        <f>IFERROR(__xludf.DUMMYFUNCTION("""COMPUTED_VALUE"""),"Statistik Hortikultura Kabupaten Dairi Tahun 2021")</f>
        <v>Statistik Hortikultura Kabupaten Dairi Tahun 2021</v>
      </c>
      <c r="C721" s="13" t="str">
        <f>IFERROR(__xludf.DUMMYFUNCTION("""COMPUTED_VALUE"""),"Publikasi")</f>
        <v>Publikasi</v>
      </c>
      <c r="E721" s="19"/>
      <c r="F721" s="20"/>
    </row>
    <row r="722">
      <c r="A722" s="13" t="str">
        <f>IFERROR(__xludf.DUMMYFUNCTION("""COMPUTED_VALUE"""),"Muliarifanit@gmail:com")</f>
        <v>Muliarifanit@gmail:com</v>
      </c>
      <c r="B722" s="13" t="str">
        <f>IFERROR(__xludf.DUMMYFUNCTION("""COMPUTED_VALUE"""),"Kabupaten Dairi Dalam Angka 2021")</f>
        <v>Kabupaten Dairi Dalam Angka 2021</v>
      </c>
      <c r="C722" s="13" t="str">
        <f>IFERROR(__xludf.DUMMYFUNCTION("""COMPUTED_VALUE"""),"Publikasi")</f>
        <v>Publikasi</v>
      </c>
      <c r="E722" s="19"/>
      <c r="F722" s="20"/>
    </row>
    <row r="723">
      <c r="A723" s="13" t="str">
        <f>IFERROR(__xludf.DUMMYFUNCTION("""COMPUTED_VALUE"""),"Muliarifanit@gmail:com")</f>
        <v>Muliarifanit@gmail:com</v>
      </c>
      <c r="B723" s="13" t="str">
        <f>IFERROR(__xludf.DUMMYFUNCTION("""COMPUTED_VALUE"""),"Kabupaten Dairi Dalam Angka 2022")</f>
        <v>Kabupaten Dairi Dalam Angka 2022</v>
      </c>
      <c r="C723" s="13" t="str">
        <f>IFERROR(__xludf.DUMMYFUNCTION("""COMPUTED_VALUE"""),"Publikasi")</f>
        <v>Publikasi</v>
      </c>
      <c r="E723" s="19"/>
      <c r="F723" s="20"/>
    </row>
    <row r="724">
      <c r="A724" s="13" t="str">
        <f>IFERROR(__xludf.DUMMYFUNCTION("""COMPUTED_VALUE"""),"Muliarifanit@gmail:com")</f>
        <v>Muliarifanit@gmail:com</v>
      </c>
      <c r="B724" s="13" t="str">
        <f>IFERROR(__xludf.DUMMYFUNCTION("""COMPUTED_VALUE"""),"Kabupaten Dairi Dalam Angka 2024")</f>
        <v>Kabupaten Dairi Dalam Angka 2024</v>
      </c>
      <c r="C724" s="13" t="str">
        <f>IFERROR(__xludf.DUMMYFUNCTION("""COMPUTED_VALUE"""),"Publikasi")</f>
        <v>Publikasi</v>
      </c>
      <c r="E724" s="19"/>
      <c r="F724" s="20"/>
    </row>
    <row r="725">
      <c r="A725" s="13" t="str">
        <f>IFERROR(__xludf.DUMMYFUNCTION("""COMPUTED_VALUE"""),"mulyadimulyadi60@gmail:com")</f>
        <v>mulyadimulyadi60@gmail:com</v>
      </c>
      <c r="B725" s="13" t="str">
        <f>IFERROR(__xludf.DUMMYFUNCTION("""COMPUTED_VALUE"""),"Kabupaten Dairi Dalam Angka 2022")</f>
        <v>Kabupaten Dairi Dalam Angka 2022</v>
      </c>
      <c r="C725" s="13" t="str">
        <f>IFERROR(__xludf.DUMMYFUNCTION("""COMPUTED_VALUE"""),"Publikasi")</f>
        <v>Publikasi</v>
      </c>
      <c r="E725" s="19"/>
      <c r="F725" s="20"/>
    </row>
    <row r="726">
      <c r="A726" s="13" t="str">
        <f>IFERROR(__xludf.DUMMYFUNCTION("""COMPUTED_VALUE"""),"musa:sembiring@yahoo:com")</f>
        <v>musa:sembiring@yahoo:com</v>
      </c>
      <c r="B726" s="13" t="str">
        <f>IFERROR(__xludf.DUMMYFUNCTION("""COMPUTED_VALUE"""),"Kecamatan Gunung Sitember Dalam Angka 2019")</f>
        <v>Kecamatan Gunung Sitember Dalam Angka 2019</v>
      </c>
      <c r="C726" s="13" t="str">
        <f>IFERROR(__xludf.DUMMYFUNCTION("""COMPUTED_VALUE"""),"Publikasi")</f>
        <v>Publikasi</v>
      </c>
      <c r="E726" s="19"/>
      <c r="F726" s="20"/>
    </row>
    <row r="727">
      <c r="A727" s="13" t="str">
        <f>IFERROR(__xludf.DUMMYFUNCTION("""COMPUTED_VALUE"""),"musyfirahali@gmail:com")</f>
        <v>musyfirahali@gmail:com</v>
      </c>
      <c r="B727" s="13" t="str">
        <f>IFERROR(__xludf.DUMMYFUNCTION("""COMPUTED_VALUE"""),"Kecamatan Sumbul Dalam Angka 2021")</f>
        <v>Kecamatan Sumbul Dalam Angka 2021</v>
      </c>
      <c r="C727" s="13" t="str">
        <f>IFERROR(__xludf.DUMMYFUNCTION("""COMPUTED_VALUE"""),"Publikasi")</f>
        <v>Publikasi</v>
      </c>
      <c r="E727" s="19"/>
      <c r="F727" s="20"/>
    </row>
    <row r="728">
      <c r="A728" s="13" t="str">
        <f>IFERROR(__xludf.DUMMYFUNCTION("""COMPUTED_VALUE"""),"myadimm@rocketmail:com")</f>
        <v>myadimm@rocketmail:com</v>
      </c>
      <c r="B728" s="13" t="str">
        <f>IFERROR(__xludf.DUMMYFUNCTION("""COMPUTED_VALUE"""),"Kecamatan Parbuluan Dalam Angka 2020")</f>
        <v>Kecamatan Parbuluan Dalam Angka 2020</v>
      </c>
      <c r="C728" s="13" t="str">
        <f>IFERROR(__xludf.DUMMYFUNCTION("""COMPUTED_VALUE"""),"Publikasi")</f>
        <v>Publikasi</v>
      </c>
      <c r="E728" s="19"/>
      <c r="F728" s="20"/>
    </row>
    <row r="729">
      <c r="A729" s="13" t="str">
        <f>IFERROR(__xludf.DUMMYFUNCTION("""COMPUTED_VALUE"""),"nababanbertha061@gmail:com")</f>
        <v>nababanbertha061@gmail:com</v>
      </c>
      <c r="B729" s="13" t="str">
        <f>IFERROR(__xludf.DUMMYFUNCTION("""COMPUTED_VALUE"""),"Kabupaten Dairi Dalam Angka 2022")</f>
        <v>Kabupaten Dairi Dalam Angka 2022</v>
      </c>
      <c r="C729" s="13" t="str">
        <f>IFERROR(__xludf.DUMMYFUNCTION("""COMPUTED_VALUE"""),"Publikasi")</f>
        <v>Publikasi</v>
      </c>
      <c r="E729" s="19"/>
      <c r="F729" s="20"/>
    </row>
    <row r="730">
      <c r="A730" s="13" t="str">
        <f>IFERROR(__xludf.DUMMYFUNCTION("""COMPUTED_VALUE"""),"nababanbertha061@gmail:com")</f>
        <v>nababanbertha061@gmail:com</v>
      </c>
      <c r="B730" s="13" t="str">
        <f>IFERROR(__xludf.DUMMYFUNCTION("""COMPUTED_VALUE"""),"Kabupaten Dairi Dalam Angka 2024")</f>
        <v>Kabupaten Dairi Dalam Angka 2024</v>
      </c>
      <c r="C730" s="13" t="str">
        <f>IFERROR(__xludf.DUMMYFUNCTION("""COMPUTED_VALUE"""),"Publikasi")</f>
        <v>Publikasi</v>
      </c>
      <c r="E730" s="19"/>
      <c r="F730" s="20"/>
    </row>
    <row r="731">
      <c r="A731" s="13" t="str">
        <f>IFERROR(__xludf.DUMMYFUNCTION("""COMPUTED_VALUE"""),"nabilahfarisah26@gmail:com")</f>
        <v>nabilahfarisah26@gmail:com</v>
      </c>
      <c r="B731" s="13" t="str">
        <f>IFERROR(__xludf.DUMMYFUNCTION("""COMPUTED_VALUE"""),"Kabupaten Dairi Dalam Angka 2021")</f>
        <v>Kabupaten Dairi Dalam Angka 2021</v>
      </c>
      <c r="C731" s="13" t="str">
        <f>IFERROR(__xludf.DUMMYFUNCTION("""COMPUTED_VALUE"""),"Publikasi")</f>
        <v>Publikasi</v>
      </c>
      <c r="E731" s="19"/>
      <c r="F731" s="20"/>
    </row>
    <row r="732">
      <c r="A732" s="13" t="str">
        <f>IFERROR(__xludf.DUMMYFUNCTION("""COMPUTED_VALUE"""),"nabilahfarisah26@gmail:com")</f>
        <v>nabilahfarisah26@gmail:com</v>
      </c>
      <c r="B732" s="13" t="str">
        <f>IFERROR(__xludf.DUMMYFUNCTION("""COMPUTED_VALUE"""),"Kabupaten Dairi Dalam Angka 2022")</f>
        <v>Kabupaten Dairi Dalam Angka 2022</v>
      </c>
      <c r="C732" s="13" t="str">
        <f>IFERROR(__xludf.DUMMYFUNCTION("""COMPUTED_VALUE"""),"Publikasi")</f>
        <v>Publikasi</v>
      </c>
      <c r="E732" s="19"/>
      <c r="F732" s="20"/>
    </row>
    <row r="733">
      <c r="A733" s="13" t="str">
        <f>IFERROR(__xludf.DUMMYFUNCTION("""COMPUTED_VALUE"""),"nabilahfarisah26@gmail:com")</f>
        <v>nabilahfarisah26@gmail:com</v>
      </c>
      <c r="B733" s="13" t="str">
        <f>IFERROR(__xludf.DUMMYFUNCTION("""COMPUTED_VALUE"""),"Kabupaten Dairi Dalam Angka 2024")</f>
        <v>Kabupaten Dairi Dalam Angka 2024</v>
      </c>
      <c r="C733" s="13" t="str">
        <f>IFERROR(__xludf.DUMMYFUNCTION("""COMPUTED_VALUE"""),"Publikasi")</f>
        <v>Publikasi</v>
      </c>
      <c r="E733" s="19"/>
      <c r="F733" s="20"/>
    </row>
    <row r="734">
      <c r="A734" s="13" t="str">
        <f>IFERROR(__xludf.DUMMYFUNCTION("""COMPUTED_VALUE"""),"nadhiarizki99@gmail:com")</f>
        <v>nadhiarizki99@gmail:com</v>
      </c>
      <c r="B734" s="13" t="str">
        <f>IFERROR(__xludf.DUMMYFUNCTION("""COMPUTED_VALUE"""),"Kabupaten Dairi Dalam Angka 2021")</f>
        <v>Kabupaten Dairi Dalam Angka 2021</v>
      </c>
      <c r="C734" s="13" t="str">
        <f>IFERROR(__xludf.DUMMYFUNCTION("""COMPUTED_VALUE"""),"Publikasi")</f>
        <v>Publikasi</v>
      </c>
      <c r="E734" s="19"/>
      <c r="F734" s="20"/>
    </row>
    <row r="735">
      <c r="A735" s="13" t="str">
        <f>IFERROR(__xludf.DUMMYFUNCTION("""COMPUTED_VALUE"""),"nadyasimanjuntak9@gmail:com")</f>
        <v>nadyasimanjuntak9@gmail:com</v>
      </c>
      <c r="B735" s="13" t="str">
        <f>IFERROR(__xludf.DUMMYFUNCTION("""COMPUTED_VALUE"""),"Statistik Hortikultura Kabupaten Dairi Tahun 2021")</f>
        <v>Statistik Hortikultura Kabupaten Dairi Tahun 2021</v>
      </c>
      <c r="C735" s="13" t="str">
        <f>IFERROR(__xludf.DUMMYFUNCTION("""COMPUTED_VALUE"""),"Publikasi")</f>
        <v>Publikasi</v>
      </c>
      <c r="E735" s="19"/>
      <c r="F735" s="20"/>
    </row>
    <row r="736">
      <c r="A736" s="13" t="str">
        <f>IFERROR(__xludf.DUMMYFUNCTION("""COMPUTED_VALUE"""),"nadyasimanjuntak9@gmail:com")</f>
        <v>nadyasimanjuntak9@gmail:com</v>
      </c>
      <c r="B736" s="13" t="str">
        <f>IFERROR(__xludf.DUMMYFUNCTION("""COMPUTED_VALUE"""),"Statistik Hortikultura Kabupaten Dairi Tahun 2022")</f>
        <v>Statistik Hortikultura Kabupaten Dairi Tahun 2022</v>
      </c>
      <c r="C736" s="13" t="str">
        <f>IFERROR(__xludf.DUMMYFUNCTION("""COMPUTED_VALUE"""),"Publikasi")</f>
        <v>Publikasi</v>
      </c>
      <c r="E736" s="19"/>
      <c r="F736" s="20"/>
    </row>
    <row r="737">
      <c r="A737" s="13" t="str">
        <f>IFERROR(__xludf.DUMMYFUNCTION("""COMPUTED_VALUE"""),"nadyasimanjuntak9@gmail:com")</f>
        <v>nadyasimanjuntak9@gmail:com</v>
      </c>
      <c r="B737" s="13" t="str">
        <f>IFERROR(__xludf.DUMMYFUNCTION("""COMPUTED_VALUE"""),"Tingkat Penghunian Kamar Akomodasi Dairi 2022")</f>
        <v>Tingkat Penghunian Kamar Akomodasi Dairi 2022</v>
      </c>
      <c r="C737" s="13" t="str">
        <f>IFERROR(__xludf.DUMMYFUNCTION("""COMPUTED_VALUE"""),"Publikasi")</f>
        <v>Publikasi</v>
      </c>
      <c r="E737" s="19"/>
      <c r="F737" s="20"/>
    </row>
    <row r="738">
      <c r="A738" s="13" t="str">
        <f>IFERROR(__xludf.DUMMYFUNCTION("""COMPUTED_VALUE"""),"naelsensai9@gmail:com")</f>
        <v>naelsensai9@gmail:com</v>
      </c>
      <c r="B738" s="13" t="str">
        <f>IFERROR(__xludf.DUMMYFUNCTION("""COMPUTED_VALUE"""),"Kecamatan Gunung Sitember Dalam Angka 2022")</f>
        <v>Kecamatan Gunung Sitember Dalam Angka 2022</v>
      </c>
      <c r="C738" s="13" t="str">
        <f>IFERROR(__xludf.DUMMYFUNCTION("""COMPUTED_VALUE"""),"Publikasi")</f>
        <v>Publikasi</v>
      </c>
      <c r="E738" s="19"/>
      <c r="F738" s="20"/>
    </row>
    <row r="739">
      <c r="A739" s="13" t="str">
        <f>IFERROR(__xludf.DUMMYFUNCTION("""COMPUTED_VALUE"""),"naelsensai9@gmail:com")</f>
        <v>naelsensai9@gmail:com</v>
      </c>
      <c r="B739" s="13" t="str">
        <f>IFERROR(__xludf.DUMMYFUNCTION("""COMPUTED_VALUE"""),"Kecamatan Siempat Nempu Hulu Dalam Angka 2022")</f>
        <v>Kecamatan Siempat Nempu Hulu Dalam Angka 2022</v>
      </c>
      <c r="C739" s="13" t="str">
        <f>IFERROR(__xludf.DUMMYFUNCTION("""COMPUTED_VALUE"""),"Publikasi")</f>
        <v>Publikasi</v>
      </c>
      <c r="E739" s="19"/>
      <c r="F739" s="20"/>
    </row>
    <row r="740">
      <c r="A740" s="13" t="str">
        <f>IFERROR(__xludf.DUMMYFUNCTION("""COMPUTED_VALUE"""),"naelsensai9@gmail:com")</f>
        <v>naelsensai9@gmail:com</v>
      </c>
      <c r="B740" s="13" t="str">
        <f>IFERROR(__xludf.DUMMYFUNCTION("""COMPUTED_VALUE"""),"Kecamatan Tanah Pinem Dalam Angka 2022")</f>
        <v>Kecamatan Tanah Pinem Dalam Angka 2022</v>
      </c>
      <c r="C740" s="13" t="str">
        <f>IFERROR(__xludf.DUMMYFUNCTION("""COMPUTED_VALUE"""),"Publikasi")</f>
        <v>Publikasi</v>
      </c>
      <c r="E740" s="19"/>
      <c r="F740" s="20"/>
    </row>
    <row r="741">
      <c r="A741" s="13" t="str">
        <f>IFERROR(__xludf.DUMMYFUNCTION("""COMPUTED_VALUE"""),"naelsensai9@gmail:com")</f>
        <v>naelsensai9@gmail:com</v>
      </c>
      <c r="B741" s="13" t="str">
        <f>IFERROR(__xludf.DUMMYFUNCTION("""COMPUTED_VALUE"""),"Kecamatan Tiga Lingga Dalam Angka 2022")</f>
        <v>Kecamatan Tiga Lingga Dalam Angka 2022</v>
      </c>
      <c r="C741" s="13" t="str">
        <f>IFERROR(__xludf.DUMMYFUNCTION("""COMPUTED_VALUE"""),"Publikasi")</f>
        <v>Publikasi</v>
      </c>
      <c r="E741" s="19"/>
      <c r="F741" s="20"/>
    </row>
    <row r="742">
      <c r="A742" s="13" t="str">
        <f>IFERROR(__xludf.DUMMYFUNCTION("""COMPUTED_VALUE"""),"nahampuncharles1491@gmail:com")</f>
        <v>nahampuncharles1491@gmail:com</v>
      </c>
      <c r="B742" s="13" t="str">
        <f>IFERROR(__xludf.DUMMYFUNCTION("""COMPUTED_VALUE"""),"Kecamatan Sidikalang Dalam Angka 2020")</f>
        <v>Kecamatan Sidikalang Dalam Angka 2020</v>
      </c>
      <c r="C742" s="13" t="str">
        <f>IFERROR(__xludf.DUMMYFUNCTION("""COMPUTED_VALUE"""),"Publikasi")</f>
        <v>Publikasi</v>
      </c>
      <c r="E742" s="19"/>
      <c r="F742" s="20"/>
    </row>
    <row r="743">
      <c r="A743" s="13" t="str">
        <f>IFERROR(__xludf.DUMMYFUNCTION("""COMPUTED_VALUE"""),"nahampuncharles1491@gmail:com")</f>
        <v>nahampuncharles1491@gmail:com</v>
      </c>
      <c r="B743" s="13" t="str">
        <f>IFERROR(__xludf.DUMMYFUNCTION("""COMPUTED_VALUE"""),"Kecamatan Sidikalang Dalam Angka 2021")</f>
        <v>Kecamatan Sidikalang Dalam Angka 2021</v>
      </c>
      <c r="C743" s="13" t="str">
        <f>IFERROR(__xludf.DUMMYFUNCTION("""COMPUTED_VALUE"""),"Publikasi")</f>
        <v>Publikasi</v>
      </c>
      <c r="E743" s="19"/>
      <c r="F743" s="20"/>
    </row>
    <row r="744">
      <c r="A744" s="13" t="str">
        <f>IFERROR(__xludf.DUMMYFUNCTION("""COMPUTED_VALUE"""),"nahampuncharles1491@gmail:com")</f>
        <v>nahampuncharles1491@gmail:com</v>
      </c>
      <c r="B744" s="13" t="str">
        <f>IFERROR(__xludf.DUMMYFUNCTION("""COMPUTED_VALUE"""),"Kecamatan Sidikalang Dalam Angka 2022")</f>
        <v>Kecamatan Sidikalang Dalam Angka 2022</v>
      </c>
      <c r="C744" s="13" t="str">
        <f>IFERROR(__xludf.DUMMYFUNCTION("""COMPUTED_VALUE"""),"Publikasi")</f>
        <v>Publikasi</v>
      </c>
      <c r="E744" s="19"/>
      <c r="F744" s="20"/>
    </row>
    <row r="745">
      <c r="A745" s="13" t="str">
        <f>IFERROR(__xludf.DUMMYFUNCTION("""COMPUTED_VALUE"""),"nahampuncharles1491@gmail:com")</f>
        <v>nahampuncharles1491@gmail:com</v>
      </c>
      <c r="B745" s="13" t="str">
        <f>IFERROR(__xludf.DUMMYFUNCTION("""COMPUTED_VALUE"""),"Kecamatan Sidikalang Dalam Angka 2024")</f>
        <v>Kecamatan Sidikalang Dalam Angka 2024</v>
      </c>
      <c r="C745" s="13" t="str">
        <f>IFERROR(__xludf.DUMMYFUNCTION("""COMPUTED_VALUE"""),"Publikasi")</f>
        <v>Publikasi</v>
      </c>
      <c r="E745" s="19"/>
      <c r="F745" s="20"/>
    </row>
    <row r="746">
      <c r="A746" s="13" t="str">
        <f>IFERROR(__xludf.DUMMYFUNCTION("""COMPUTED_VALUE"""),"nainggolanvalentina4@gmal:com")</f>
        <v>nainggolanvalentina4@gmal:com</v>
      </c>
      <c r="B746" s="13" t="str">
        <f>IFERROR(__xludf.DUMMYFUNCTION("""COMPUTED_VALUE"""),"Kabupaten Dairi Dalam Angka 2018")</f>
        <v>Kabupaten Dairi Dalam Angka 2018</v>
      </c>
      <c r="C746" s="13" t="str">
        <f>IFERROR(__xludf.DUMMYFUNCTION("""COMPUTED_VALUE"""),"Publikasi")</f>
        <v>Publikasi</v>
      </c>
      <c r="E746" s="19"/>
      <c r="F746" s="20"/>
    </row>
    <row r="747">
      <c r="A747" s="13" t="str">
        <f>IFERROR(__xludf.DUMMYFUNCTION("""COMPUTED_VALUE"""),"nainggolanvalentina4@gmal:com")</f>
        <v>nainggolanvalentina4@gmal:com</v>
      </c>
      <c r="B747" s="13" t="str">
        <f>IFERROR(__xludf.DUMMYFUNCTION("""COMPUTED_VALUE"""),"Kabupaten Dairi Dalam Angka 2019")</f>
        <v>Kabupaten Dairi Dalam Angka 2019</v>
      </c>
      <c r="C747" s="13" t="str">
        <f>IFERROR(__xludf.DUMMYFUNCTION("""COMPUTED_VALUE"""),"Publikasi")</f>
        <v>Publikasi</v>
      </c>
      <c r="E747" s="19"/>
      <c r="F747" s="20"/>
    </row>
    <row r="748">
      <c r="A748" s="13" t="str">
        <f>IFERROR(__xludf.DUMMYFUNCTION("""COMPUTED_VALUE"""),"nainggolanvalentina4@gmal:com")</f>
        <v>nainggolanvalentina4@gmal:com</v>
      </c>
      <c r="B748" s="13" t="str">
        <f>IFERROR(__xludf.DUMMYFUNCTION("""COMPUTED_VALUE"""),"Kabupaten Dairi Dalam Angka 2020")</f>
        <v>Kabupaten Dairi Dalam Angka 2020</v>
      </c>
      <c r="C748" s="13" t="str">
        <f>IFERROR(__xludf.DUMMYFUNCTION("""COMPUTED_VALUE"""),"Publikasi")</f>
        <v>Publikasi</v>
      </c>
      <c r="E748" s="19"/>
      <c r="F748" s="20"/>
    </row>
    <row r="749">
      <c r="A749" s="13" t="str">
        <f>IFERROR(__xludf.DUMMYFUNCTION("""COMPUTED_VALUE"""),"nainggolanvalentina4@gmal:com")</f>
        <v>nainggolanvalentina4@gmal:com</v>
      </c>
      <c r="B749" s="13" t="str">
        <f>IFERROR(__xludf.DUMMYFUNCTION("""COMPUTED_VALUE"""),"Kabupaten Dairi Dalam Angka 2021")</f>
        <v>Kabupaten Dairi Dalam Angka 2021</v>
      </c>
      <c r="C749" s="13" t="str">
        <f>IFERROR(__xludf.DUMMYFUNCTION("""COMPUTED_VALUE"""),"Publikasi")</f>
        <v>Publikasi</v>
      </c>
      <c r="E749" s="19"/>
      <c r="F749" s="20"/>
    </row>
    <row r="750">
      <c r="A750" s="13" t="str">
        <f>IFERROR(__xludf.DUMMYFUNCTION("""COMPUTED_VALUE"""),"nainggolanvalentina4@gmal:com")</f>
        <v>nainggolanvalentina4@gmal:com</v>
      </c>
      <c r="B750" s="13" t="str">
        <f>IFERROR(__xludf.DUMMYFUNCTION("""COMPUTED_VALUE"""),"Kabupaten Dairi Dalam Angka 2022")</f>
        <v>Kabupaten Dairi Dalam Angka 2022</v>
      </c>
      <c r="C750" s="13" t="str">
        <f>IFERROR(__xludf.DUMMYFUNCTION("""COMPUTED_VALUE"""),"Publikasi")</f>
        <v>Publikasi</v>
      </c>
      <c r="E750" s="19"/>
      <c r="F750" s="20"/>
    </row>
    <row r="751">
      <c r="A751" s="13" t="str">
        <f>IFERROR(__xludf.DUMMYFUNCTION("""COMPUTED_VALUE"""),"nainggolanvalentina4@gmal:com")</f>
        <v>nainggolanvalentina4@gmal:com</v>
      </c>
      <c r="B751" s="13" t="str">
        <f>IFERROR(__xludf.DUMMYFUNCTION("""COMPUTED_VALUE"""),"Kabupaten Dairi Dalam Angka 2024")</f>
        <v>Kabupaten Dairi Dalam Angka 2024</v>
      </c>
      <c r="C751" s="13" t="str">
        <f>IFERROR(__xludf.DUMMYFUNCTION("""COMPUTED_VALUE"""),"Publikasi")</f>
        <v>Publikasi</v>
      </c>
      <c r="E751" s="19"/>
      <c r="F751" s="20"/>
    </row>
    <row r="752">
      <c r="A752" s="13" t="str">
        <f>IFERROR(__xludf.DUMMYFUNCTION("""COMPUTED_VALUE"""),"nainggolanvalentina4@gmal:com")</f>
        <v>nainggolanvalentina4@gmal:com</v>
      </c>
      <c r="B752" s="13" t="str">
        <f>IFERROR(__xludf.DUMMYFUNCTION("""COMPUTED_VALUE"""),"Kecamatan Siempat Nempu Dalam Angka 2024")</f>
        <v>Kecamatan Siempat Nempu Dalam Angka 2024</v>
      </c>
      <c r="C752" s="13" t="str">
        <f>IFERROR(__xludf.DUMMYFUNCTION("""COMPUTED_VALUE"""),"Publikasi")</f>
        <v>Publikasi</v>
      </c>
      <c r="E752" s="19"/>
      <c r="F752" s="20"/>
    </row>
    <row r="753">
      <c r="A753" s="13" t="str">
        <f>IFERROR(__xludf.DUMMYFUNCTION("""COMPUTED_VALUE"""),"nelsonsibagariang5@gmail:com")</f>
        <v>nelsonsibagariang5@gmail:com</v>
      </c>
      <c r="B753" s="13" t="str">
        <f>IFERROR(__xludf.DUMMYFUNCTION("""COMPUTED_VALUE"""),"Indikator Kesejahteraan Rakyat Kabupaten Dairi 2021")</f>
        <v>Indikator Kesejahteraan Rakyat Kabupaten Dairi 2021</v>
      </c>
      <c r="C753" s="13" t="str">
        <f>IFERROR(__xludf.DUMMYFUNCTION("""COMPUTED_VALUE"""),"Publikasi")</f>
        <v>Publikasi</v>
      </c>
      <c r="E753" s="19"/>
      <c r="F753" s="20"/>
    </row>
    <row r="754">
      <c r="A754" s="13" t="str">
        <f>IFERROR(__xludf.DUMMYFUNCTION("""COMPUTED_VALUE"""),"nelsonsibagariang5@gmail:com")</f>
        <v>nelsonsibagariang5@gmail:com</v>
      </c>
      <c r="B754" s="13" t="str">
        <f>IFERROR(__xludf.DUMMYFUNCTION("""COMPUTED_VALUE"""),"Indikator Kesejahteraan Rakyat Kabupaten Dairi Tahun 2022")</f>
        <v>Indikator Kesejahteraan Rakyat Kabupaten Dairi Tahun 2022</v>
      </c>
      <c r="C754" s="13" t="str">
        <f>IFERROR(__xludf.DUMMYFUNCTION("""COMPUTED_VALUE"""),"Publikasi")</f>
        <v>Publikasi</v>
      </c>
      <c r="E754" s="19"/>
      <c r="F754" s="20"/>
    </row>
    <row r="755">
      <c r="A755" s="13" t="str">
        <f>IFERROR(__xludf.DUMMYFUNCTION("""COMPUTED_VALUE"""),"nelsonsibagariang5@gmail:com")</f>
        <v>nelsonsibagariang5@gmail:com</v>
      </c>
      <c r="B755" s="13" t="str">
        <f>IFERROR(__xludf.DUMMYFUNCTION("""COMPUTED_VALUE"""),"Statistik Kesejahteraan Rakyat Kabupaten Dairi 2021")</f>
        <v>Statistik Kesejahteraan Rakyat Kabupaten Dairi 2021</v>
      </c>
      <c r="C755" s="13" t="str">
        <f>IFERROR(__xludf.DUMMYFUNCTION("""COMPUTED_VALUE"""),"Publikasi")</f>
        <v>Publikasi</v>
      </c>
      <c r="E755" s="19"/>
      <c r="F755" s="20"/>
    </row>
    <row r="756">
      <c r="A756" s="13" t="str">
        <f>IFERROR(__xludf.DUMMYFUNCTION("""COMPUTED_VALUE"""),"nerwilis1210@gmail:com")</f>
        <v>nerwilis1210@gmail:com</v>
      </c>
      <c r="B756" s="13" t="str">
        <f>IFERROR(__xludf.DUMMYFUNCTION("""COMPUTED_VALUE"""),"Statistik Hortikultura Kabupaten Dairi Tahun 2022")</f>
        <v>Statistik Hortikultura Kabupaten Dairi Tahun 2022</v>
      </c>
      <c r="C756" s="13" t="str">
        <f>IFERROR(__xludf.DUMMYFUNCTION("""COMPUTED_VALUE"""),"Publikasi")</f>
        <v>Publikasi</v>
      </c>
      <c r="E756" s="19"/>
      <c r="F756" s="20"/>
    </row>
    <row r="757">
      <c r="A757" s="13" t="str">
        <f>IFERROR(__xludf.DUMMYFUNCTION("""COMPUTED_VALUE"""),"niconainggolanraja@gmail:com")</f>
        <v>niconainggolanraja@gmail:com</v>
      </c>
      <c r="B757" s="13" t="str">
        <f>IFERROR(__xludf.DUMMYFUNCTION("""COMPUTED_VALUE"""),"Kecamatan Tiga Lingga Dalam Angka 2022")</f>
        <v>Kecamatan Tiga Lingga Dalam Angka 2022</v>
      </c>
      <c r="C757" s="13" t="str">
        <f>IFERROR(__xludf.DUMMYFUNCTION("""COMPUTED_VALUE"""),"Publikasi")</f>
        <v>Publikasi</v>
      </c>
      <c r="E757" s="19"/>
      <c r="F757" s="20"/>
    </row>
    <row r="758">
      <c r="A758" s="13" t="str">
        <f>IFERROR(__xludf.DUMMYFUNCTION("""COMPUTED_VALUE"""),"nikenmilana21@gmail:com")</f>
        <v>nikenmilana21@gmail:com</v>
      </c>
      <c r="B758" s="13" t="str">
        <f>IFERROR(__xludf.DUMMYFUNCTION("""COMPUTED_VALUE"""),"Kecamatan Berampu Dalam Angka 2022")</f>
        <v>Kecamatan Berampu Dalam Angka 2022</v>
      </c>
      <c r="C758" s="13" t="str">
        <f>IFERROR(__xludf.DUMMYFUNCTION("""COMPUTED_VALUE"""),"Publikasi")</f>
        <v>Publikasi</v>
      </c>
      <c r="E758" s="19"/>
      <c r="F758" s="20"/>
    </row>
    <row r="759">
      <c r="A759" s="13" t="str">
        <f>IFERROR(__xludf.DUMMYFUNCTION("""COMPUTED_VALUE"""),"nikenmilana21@gmail:com")</f>
        <v>nikenmilana21@gmail:com</v>
      </c>
      <c r="B759" s="13" t="str">
        <f>IFERROR(__xludf.DUMMYFUNCTION("""COMPUTED_VALUE"""),"Kecamatan Parbuluan Dalam Angka 2022")</f>
        <v>Kecamatan Parbuluan Dalam Angka 2022</v>
      </c>
      <c r="C759" s="13" t="str">
        <f>IFERROR(__xludf.DUMMYFUNCTION("""COMPUTED_VALUE"""),"Publikasi")</f>
        <v>Publikasi</v>
      </c>
      <c r="E759" s="19"/>
      <c r="F759" s="20"/>
    </row>
    <row r="760">
      <c r="A760" s="13" t="str">
        <f>IFERROR(__xludf.DUMMYFUNCTION("""COMPUTED_VALUE"""),"nikenmilana21@gmail:com")</f>
        <v>nikenmilana21@gmail:com</v>
      </c>
      <c r="B760" s="13" t="str">
        <f>IFERROR(__xludf.DUMMYFUNCTION("""COMPUTED_VALUE"""),"Kecamatan Sidikalang Dalam Angka 2022")</f>
        <v>Kecamatan Sidikalang Dalam Angka 2022</v>
      </c>
      <c r="C760" s="13" t="str">
        <f>IFERROR(__xludf.DUMMYFUNCTION("""COMPUTED_VALUE"""),"Publikasi")</f>
        <v>Publikasi</v>
      </c>
      <c r="E760" s="19"/>
      <c r="F760" s="20"/>
    </row>
    <row r="761">
      <c r="A761" s="13" t="str">
        <f>IFERROR(__xludf.DUMMYFUNCTION("""COMPUTED_VALUE"""),"nikenmilana21@gmail:com")</f>
        <v>nikenmilana21@gmail:com</v>
      </c>
      <c r="B761" s="13" t="str">
        <f>IFERROR(__xludf.DUMMYFUNCTION("""COMPUTED_VALUE"""),"Kecamatan Silahisabungan Dalam Angka 2022")</f>
        <v>Kecamatan Silahisabungan Dalam Angka 2022</v>
      </c>
      <c r="C761" s="13" t="str">
        <f>IFERROR(__xludf.DUMMYFUNCTION("""COMPUTED_VALUE"""),"Publikasi")</f>
        <v>Publikasi</v>
      </c>
      <c r="E761" s="19"/>
      <c r="F761" s="20"/>
    </row>
    <row r="762">
      <c r="A762" s="13" t="str">
        <f>IFERROR(__xludf.DUMMYFUNCTION("""COMPUTED_VALUE"""),"nikenmilana21@gmail:com")</f>
        <v>nikenmilana21@gmail:com</v>
      </c>
      <c r="B762" s="13" t="str">
        <f>IFERROR(__xludf.DUMMYFUNCTION("""COMPUTED_VALUE"""),"Kecamatan Sitinjo Dalam Angka 2022")</f>
        <v>Kecamatan Sitinjo Dalam Angka 2022</v>
      </c>
      <c r="C762" s="13" t="str">
        <f>IFERROR(__xludf.DUMMYFUNCTION("""COMPUTED_VALUE"""),"Publikasi")</f>
        <v>Publikasi</v>
      </c>
      <c r="E762" s="19"/>
      <c r="F762" s="20"/>
    </row>
    <row r="763">
      <c r="A763" s="13" t="str">
        <f>IFERROR(__xludf.DUMMYFUNCTION("""COMPUTED_VALUE"""),"nikenmilana21@gmail:com")</f>
        <v>nikenmilana21@gmail:com</v>
      </c>
      <c r="B763" s="13" t="str">
        <f>IFERROR(__xludf.DUMMYFUNCTION("""COMPUTED_VALUE"""),"Kecamatan Sumbul Dalam Angka 2022")</f>
        <v>Kecamatan Sumbul Dalam Angka 2022</v>
      </c>
      <c r="C763" s="13" t="str">
        <f>IFERROR(__xludf.DUMMYFUNCTION("""COMPUTED_VALUE"""),"Publikasi")</f>
        <v>Publikasi</v>
      </c>
      <c r="E763" s="19"/>
      <c r="F763" s="20"/>
    </row>
    <row r="764">
      <c r="A764" s="13" t="str">
        <f>IFERROR(__xludf.DUMMYFUNCTION("""COMPUTED_VALUE"""),"nila:onesar30@gmail:com")</f>
        <v>nila:onesar30@gmail:com</v>
      </c>
      <c r="B764" s="13" t="str">
        <f>IFERROR(__xludf.DUMMYFUNCTION("""COMPUTED_VALUE"""),"Kecamatan Tigalingga Dalam Angka 2018")</f>
        <v>Kecamatan Tigalingga Dalam Angka 2018</v>
      </c>
      <c r="C764" s="13" t="str">
        <f>IFERROR(__xludf.DUMMYFUNCTION("""COMPUTED_VALUE"""),"Publikasi")</f>
        <v>Publikasi</v>
      </c>
      <c r="E764" s="19"/>
      <c r="F764" s="20"/>
    </row>
    <row r="765">
      <c r="A765" s="13" t="str">
        <f>IFERROR(__xludf.DUMMYFUNCTION("""COMPUTED_VALUE"""),"niofanny01@gmail:com")</f>
        <v>niofanny01@gmail:com</v>
      </c>
      <c r="B765" s="13" t="str">
        <f>IFERROR(__xludf.DUMMYFUNCTION("""COMPUTED_VALUE"""),"Statistik Hortikultura Kabupaten Dairi Tahun 2021")</f>
        <v>Statistik Hortikultura Kabupaten Dairi Tahun 2021</v>
      </c>
      <c r="C765" s="13" t="str">
        <f>IFERROR(__xludf.DUMMYFUNCTION("""COMPUTED_VALUE"""),"Publikasi")</f>
        <v>Publikasi</v>
      </c>
      <c r="E765" s="19"/>
      <c r="F765" s="20"/>
    </row>
    <row r="766">
      <c r="A766" s="13" t="str">
        <f>IFERROR(__xludf.DUMMYFUNCTION("""COMPUTED_VALUE"""),"niofanny01@gmail:com")</f>
        <v>niofanny01@gmail:com</v>
      </c>
      <c r="B766" s="13" t="str">
        <f>IFERROR(__xludf.DUMMYFUNCTION("""COMPUTED_VALUE"""),"Statistik Hortikultura Kabupaten Dairi Tahun 2022")</f>
        <v>Statistik Hortikultura Kabupaten Dairi Tahun 2022</v>
      </c>
      <c r="C766" s="13" t="str">
        <f>IFERROR(__xludf.DUMMYFUNCTION("""COMPUTED_VALUE"""),"Publikasi")</f>
        <v>Publikasi</v>
      </c>
      <c r="E766" s="19"/>
      <c r="F766" s="20"/>
    </row>
    <row r="767">
      <c r="A767" s="13" t="str">
        <f>IFERROR(__xludf.DUMMYFUNCTION("""COMPUTED_VALUE"""),"niofanny01@gmail:com")</f>
        <v>niofanny01@gmail:com</v>
      </c>
      <c r="B767" s="13" t="str">
        <f>IFERROR(__xludf.DUMMYFUNCTION("""COMPUTED_VALUE"""),"Tingkat Penghunian Kamar Akomodasi Dairi 2022")</f>
        <v>Tingkat Penghunian Kamar Akomodasi Dairi 2022</v>
      </c>
      <c r="C767" s="13" t="str">
        <f>IFERROR(__xludf.DUMMYFUNCTION("""COMPUTED_VALUE"""),"Publikasi")</f>
        <v>Publikasi</v>
      </c>
      <c r="E767" s="19"/>
      <c r="F767" s="20"/>
    </row>
    <row r="768">
      <c r="A768" s="13" t="str">
        <f>IFERROR(__xludf.DUMMYFUNCTION("""COMPUTED_VALUE"""),"nisrinalailyzakia@gmail:com")</f>
        <v>nisrinalailyzakia@gmail:com</v>
      </c>
      <c r="B768" s="13" t="str">
        <f>IFERROR(__xludf.DUMMYFUNCTION("""COMPUTED_VALUE"""),"Kabupaten Dairi Dalam Angka 2021")</f>
        <v>Kabupaten Dairi Dalam Angka 2021</v>
      </c>
      <c r="C768" s="13" t="str">
        <f>IFERROR(__xludf.DUMMYFUNCTION("""COMPUTED_VALUE"""),"Publikasi")</f>
        <v>Publikasi</v>
      </c>
      <c r="E768" s="19"/>
      <c r="F768" s="20"/>
    </row>
    <row r="769">
      <c r="A769" s="13" t="str">
        <f>IFERROR(__xludf.DUMMYFUNCTION("""COMPUTED_VALUE"""),"njg@gmail:co:id")</f>
        <v>njg@gmail:co:id</v>
      </c>
      <c r="B769" s="13" t="str">
        <f>IFERROR(__xludf.DUMMYFUNCTION("""COMPUTED_VALUE"""),"Kabupaten Dairi Dalam Angka 2014")</f>
        <v>Kabupaten Dairi Dalam Angka 2014</v>
      </c>
      <c r="C769" s="13" t="str">
        <f>IFERROR(__xludf.DUMMYFUNCTION("""COMPUTED_VALUE"""),"Publikasi")</f>
        <v>Publikasi</v>
      </c>
      <c r="E769" s="19"/>
      <c r="F769" s="20"/>
    </row>
    <row r="770">
      <c r="A770" s="13" t="str">
        <f>IFERROR(__xludf.DUMMYFUNCTION("""COMPUTED_VALUE"""),"njg@gmail:co:id")</f>
        <v>njg@gmail:co:id</v>
      </c>
      <c r="B770" s="13" t="str">
        <f>IFERROR(__xludf.DUMMYFUNCTION("""COMPUTED_VALUE"""),"Kabupaten Dairi Dalam Angka 2015")</f>
        <v>Kabupaten Dairi Dalam Angka 2015</v>
      </c>
      <c r="C770" s="13" t="str">
        <f>IFERROR(__xludf.DUMMYFUNCTION("""COMPUTED_VALUE"""),"Publikasi")</f>
        <v>Publikasi</v>
      </c>
      <c r="E770" s="19"/>
      <c r="F770" s="20"/>
    </row>
    <row r="771">
      <c r="A771" s="13" t="str">
        <f>IFERROR(__xludf.DUMMYFUNCTION("""COMPUTED_VALUE"""),"njg@gmail:co:id")</f>
        <v>njg@gmail:co:id</v>
      </c>
      <c r="B771" s="13" t="str">
        <f>IFERROR(__xludf.DUMMYFUNCTION("""COMPUTED_VALUE"""),"Kabupaten Dairi Dalam Angka 2016")</f>
        <v>Kabupaten Dairi Dalam Angka 2016</v>
      </c>
      <c r="C771" s="13" t="str">
        <f>IFERROR(__xludf.DUMMYFUNCTION("""COMPUTED_VALUE"""),"Publikasi")</f>
        <v>Publikasi</v>
      </c>
      <c r="E771" s="19"/>
      <c r="F771" s="20"/>
    </row>
    <row r="772">
      <c r="A772" s="13" t="str">
        <f>IFERROR(__xludf.DUMMYFUNCTION("""COMPUTED_VALUE"""),"njg@gmail:co:id")</f>
        <v>njg@gmail:co:id</v>
      </c>
      <c r="B772" s="13" t="str">
        <f>IFERROR(__xludf.DUMMYFUNCTION("""COMPUTED_VALUE"""),"Kabupaten Dairi Dalam Angka 2017")</f>
        <v>Kabupaten Dairi Dalam Angka 2017</v>
      </c>
      <c r="C772" s="13" t="str">
        <f>IFERROR(__xludf.DUMMYFUNCTION("""COMPUTED_VALUE"""),"Publikasi")</f>
        <v>Publikasi</v>
      </c>
      <c r="E772" s="19"/>
      <c r="F772" s="20"/>
    </row>
    <row r="773">
      <c r="A773" s="13" t="str">
        <f>IFERROR(__xludf.DUMMYFUNCTION("""COMPUTED_VALUE"""),"njg@gmail:co:id")</f>
        <v>njg@gmail:co:id</v>
      </c>
      <c r="B773" s="13" t="str">
        <f>IFERROR(__xludf.DUMMYFUNCTION("""COMPUTED_VALUE"""),"Kabupaten Dairi Dalam Angka 2018")</f>
        <v>Kabupaten Dairi Dalam Angka 2018</v>
      </c>
      <c r="C773" s="13" t="str">
        <f>IFERROR(__xludf.DUMMYFUNCTION("""COMPUTED_VALUE"""),"Publikasi")</f>
        <v>Publikasi</v>
      </c>
      <c r="E773" s="19"/>
      <c r="F773" s="20"/>
    </row>
    <row r="774">
      <c r="A774" s="13" t="str">
        <f>IFERROR(__xludf.DUMMYFUNCTION("""COMPUTED_VALUE"""),"nn214311040@gmail:com")</f>
        <v>nn214311040@gmail:com</v>
      </c>
      <c r="B774" s="13" t="str">
        <f>IFERROR(__xludf.DUMMYFUNCTION("""COMPUTED_VALUE"""),"Kabupaten Dairi Dalam Angka 2022")</f>
        <v>Kabupaten Dairi Dalam Angka 2022</v>
      </c>
      <c r="C774" s="13" t="str">
        <f>IFERROR(__xludf.DUMMYFUNCTION("""COMPUTED_VALUE"""),"Publikasi")</f>
        <v>Publikasi</v>
      </c>
      <c r="E774" s="19"/>
      <c r="F774" s="20"/>
    </row>
    <row r="775">
      <c r="A775" s="13" t="str">
        <f>IFERROR(__xludf.DUMMYFUNCTION("""COMPUTED_VALUE"""),"nn214311040@gmail:com")</f>
        <v>nn214311040@gmail:com</v>
      </c>
      <c r="B775" s="13" t="str">
        <f>IFERROR(__xludf.DUMMYFUNCTION("""COMPUTED_VALUE"""),"Kabupaten Dairi Dalam Angka 2024")</f>
        <v>Kabupaten Dairi Dalam Angka 2024</v>
      </c>
      <c r="C775" s="13" t="str">
        <f>IFERROR(__xludf.DUMMYFUNCTION("""COMPUTED_VALUE"""),"Publikasi")</f>
        <v>Publikasi</v>
      </c>
      <c r="E775" s="19"/>
      <c r="F775" s="20"/>
    </row>
    <row r="776">
      <c r="A776" s="13" t="str">
        <f>IFERROR(__xludf.DUMMYFUNCTION("""COMPUTED_VALUE"""),"noeltampubolon77@gmail:com")</f>
        <v>noeltampubolon77@gmail:com</v>
      </c>
      <c r="B776" s="13" t="str">
        <f>IFERROR(__xludf.DUMMYFUNCTION("""COMPUTED_VALUE"""),"Kabupaten Dairi Dalam Angka 2021")</f>
        <v>Kabupaten Dairi Dalam Angka 2021</v>
      </c>
      <c r="C776" s="13" t="str">
        <f>IFERROR(__xludf.DUMMYFUNCTION("""COMPUTED_VALUE"""),"Publikasi")</f>
        <v>Publikasi</v>
      </c>
      <c r="E776" s="19"/>
      <c r="F776" s="20"/>
    </row>
    <row r="777">
      <c r="A777" s="13" t="str">
        <f>IFERROR(__xludf.DUMMYFUNCTION("""COMPUTED_VALUE"""),"noeltampubolon77@gmail:com")</f>
        <v>noeltampubolon77@gmail:com</v>
      </c>
      <c r="B777" s="13" t="str">
        <f>IFERROR(__xludf.DUMMYFUNCTION("""COMPUTED_VALUE"""),"Kecamatan Sitinjo Dalam Angka 2019")</f>
        <v>Kecamatan Sitinjo Dalam Angka 2019</v>
      </c>
      <c r="C777" s="13" t="str">
        <f>IFERROR(__xludf.DUMMYFUNCTION("""COMPUTED_VALUE"""),"Publikasi")</f>
        <v>Publikasi</v>
      </c>
      <c r="E777" s="19"/>
      <c r="F777" s="20"/>
    </row>
    <row r="778">
      <c r="A778" s="13" t="str">
        <f>IFERROR(__xludf.DUMMYFUNCTION("""COMPUTED_VALUE"""),"noeltampubolon@yahoo:com")</f>
        <v>noeltampubolon@yahoo:com</v>
      </c>
      <c r="B778" s="13" t="str">
        <f>IFERROR(__xludf.DUMMYFUNCTION("""COMPUTED_VALUE"""),"Profil Kependudukan dan Ketenagakerjaan Kabupaten Dairi 2021")</f>
        <v>Profil Kependudukan dan Ketenagakerjaan Kabupaten Dairi 2021</v>
      </c>
      <c r="C778" s="13" t="str">
        <f>IFERROR(__xludf.DUMMYFUNCTION("""COMPUTED_VALUE"""),"Publikasi")</f>
        <v>Publikasi</v>
      </c>
      <c r="E778" s="19"/>
      <c r="F778" s="20"/>
    </row>
    <row r="779">
      <c r="A779" s="13" t="str">
        <f>IFERROR(__xludf.DUMMYFUNCTION("""COMPUTED_VALUE"""),"nofeliaputri3004@gmail:com")</f>
        <v>nofeliaputri3004@gmail:com</v>
      </c>
      <c r="B779" s="13" t="str">
        <f>IFERROR(__xludf.DUMMYFUNCTION("""COMPUTED_VALUE"""),"Kecamatan Pegagan Hilir Dalam Angka 2016")</f>
        <v>Kecamatan Pegagan Hilir Dalam Angka 2016</v>
      </c>
      <c r="C779" s="13" t="str">
        <f>IFERROR(__xludf.DUMMYFUNCTION("""COMPUTED_VALUE"""),"Publikasi")</f>
        <v>Publikasi</v>
      </c>
      <c r="E779" s="19"/>
      <c r="F779" s="20"/>
    </row>
    <row r="780">
      <c r="A780" s="13" t="str">
        <f>IFERROR(__xludf.DUMMYFUNCTION("""COMPUTED_VALUE"""),"nofeliaputri3004@gmail:com")</f>
        <v>nofeliaputri3004@gmail:com</v>
      </c>
      <c r="B780" s="13" t="str">
        <f>IFERROR(__xludf.DUMMYFUNCTION("""COMPUTED_VALUE"""),"Kecamatan Sumbul Dalam Angka 2016")</f>
        <v>Kecamatan Sumbul Dalam Angka 2016</v>
      </c>
      <c r="C780" s="13" t="str">
        <f>IFERROR(__xludf.DUMMYFUNCTION("""COMPUTED_VALUE"""),"Publikasi")</f>
        <v>Publikasi</v>
      </c>
      <c r="E780" s="19"/>
      <c r="F780" s="20"/>
    </row>
    <row r="781">
      <c r="A781" s="13" t="str">
        <f>IFERROR(__xludf.DUMMYFUNCTION("""COMPUTED_VALUE"""),"nona:wijaya14@gmail:com")</f>
        <v>nona:wijaya14@gmail:com</v>
      </c>
      <c r="B781" s="13" t="str">
        <f>IFERROR(__xludf.DUMMYFUNCTION("""COMPUTED_VALUE"""),"Kabupaten Dairi Dalam Angka 2024")</f>
        <v>Kabupaten Dairi Dalam Angka 2024</v>
      </c>
      <c r="C781" s="13" t="str">
        <f>IFERROR(__xludf.DUMMYFUNCTION("""COMPUTED_VALUE"""),"Publikasi")</f>
        <v>Publikasi</v>
      </c>
      <c r="E781" s="19"/>
      <c r="F781" s="20"/>
    </row>
    <row r="782">
      <c r="A782" s="13" t="str">
        <f>IFERROR(__xludf.DUMMYFUNCTION("""COMPUTED_VALUE"""),"nona:wijaya14@gmail:com")</f>
        <v>nona:wijaya14@gmail:com</v>
      </c>
      <c r="B782" s="13" t="str">
        <f>IFERROR(__xludf.DUMMYFUNCTION("""COMPUTED_VALUE"""),"Kecamatan Siempat Nempu Dalam Angka 2024")</f>
        <v>Kecamatan Siempat Nempu Dalam Angka 2024</v>
      </c>
      <c r="C782" s="13" t="str">
        <f>IFERROR(__xludf.DUMMYFUNCTION("""COMPUTED_VALUE"""),"Publikasi")</f>
        <v>Publikasi</v>
      </c>
      <c r="E782" s="19"/>
      <c r="F782" s="20"/>
    </row>
    <row r="783">
      <c r="A783" s="13" t="str">
        <f>IFERROR(__xludf.DUMMYFUNCTION("""COMPUTED_VALUE"""),"noone@gmail:com")</f>
        <v>noone@gmail:com</v>
      </c>
      <c r="B783" s="13" t="str">
        <f>IFERROR(__xludf.DUMMYFUNCTION("""COMPUTED_VALUE"""),"Direktori Perusahaan Konstruksi Tahun 2021")</f>
        <v>Direktori Perusahaan Konstruksi Tahun 2021</v>
      </c>
      <c r="C783" s="13" t="str">
        <f>IFERROR(__xludf.DUMMYFUNCTION("""COMPUTED_VALUE"""),"Publikasi")</f>
        <v>Publikasi</v>
      </c>
      <c r="E783" s="19"/>
      <c r="F783" s="20"/>
    </row>
    <row r="784">
      <c r="A784" s="13" t="str">
        <f>IFERROR(__xludf.DUMMYFUNCTION("""COMPUTED_VALUE"""),"noone@gmail:com")</f>
        <v>noone@gmail:com</v>
      </c>
      <c r="B784" s="13" t="str">
        <f>IFERROR(__xludf.DUMMYFUNCTION("""COMPUTED_VALUE"""),"Indikator Kesejahteraan Rakyat Kabupaten Dairi Tahun 2022")</f>
        <v>Indikator Kesejahteraan Rakyat Kabupaten Dairi Tahun 2022</v>
      </c>
      <c r="C784" s="13" t="str">
        <f>IFERROR(__xludf.DUMMYFUNCTION("""COMPUTED_VALUE"""),"Publikasi")</f>
        <v>Publikasi</v>
      </c>
      <c r="E784" s="19"/>
      <c r="F784" s="20"/>
    </row>
    <row r="785">
      <c r="A785" s="13" t="str">
        <f>IFERROR(__xludf.DUMMYFUNCTION("""COMPUTED_VALUE"""),"noone@gmail:com")</f>
        <v>noone@gmail:com</v>
      </c>
      <c r="B785" s="13" t="str">
        <f>IFERROR(__xludf.DUMMYFUNCTION("""COMPUTED_VALUE"""),"Statistik Hortikultura Kabupaten Dairi Tahun 2021")</f>
        <v>Statistik Hortikultura Kabupaten Dairi Tahun 2021</v>
      </c>
      <c r="C785" s="13" t="str">
        <f>IFERROR(__xludf.DUMMYFUNCTION("""COMPUTED_VALUE"""),"Publikasi")</f>
        <v>Publikasi</v>
      </c>
      <c r="E785" s="19"/>
      <c r="F785" s="20"/>
    </row>
    <row r="786">
      <c r="A786" s="13" t="str">
        <f>IFERROR(__xludf.DUMMYFUNCTION("""COMPUTED_VALUE"""),"noone@gmail:com")</f>
        <v>noone@gmail:com</v>
      </c>
      <c r="B786" s="13" t="str">
        <f>IFERROR(__xludf.DUMMYFUNCTION("""COMPUTED_VALUE"""),"Statistik Kesejahteraan Rakyat Kabupaten Dairi 2022")</f>
        <v>Statistik Kesejahteraan Rakyat Kabupaten Dairi 2022</v>
      </c>
      <c r="C786" s="13" t="str">
        <f>IFERROR(__xludf.DUMMYFUNCTION("""COMPUTED_VALUE"""),"Publikasi")</f>
        <v>Publikasi</v>
      </c>
      <c r="E786" s="19"/>
      <c r="F786" s="20"/>
    </row>
    <row r="787">
      <c r="A787" s="13" t="str">
        <f>IFERROR(__xludf.DUMMYFUNCTION("""COMPUTED_VALUE"""),"noone@gmail:com")</f>
        <v>noone@gmail:com</v>
      </c>
      <c r="B787" s="13" t="str">
        <f>IFERROR(__xludf.DUMMYFUNCTION("""COMPUTED_VALUE"""),"Statistik Tanaman Pangan (Padi dan Palawija) Kabupaten Dairi 2021")</f>
        <v>Statistik Tanaman Pangan (Padi dan Palawija) Kabupaten Dairi 2021</v>
      </c>
      <c r="C787" s="13" t="str">
        <f>IFERROR(__xludf.DUMMYFUNCTION("""COMPUTED_VALUE"""),"Publikasi")</f>
        <v>Publikasi</v>
      </c>
      <c r="E787" s="19"/>
      <c r="F787" s="20"/>
    </row>
    <row r="788">
      <c r="A788" s="13" t="str">
        <f>IFERROR(__xludf.DUMMYFUNCTION("""COMPUTED_VALUE"""),"nopitasarisembiring55@gmail:com")</f>
        <v>nopitasarisembiring55@gmail:com</v>
      </c>
      <c r="B788" s="13" t="str">
        <f>IFERROR(__xludf.DUMMYFUNCTION("""COMPUTED_VALUE"""),"Kabupaten Dairi Dalam Angka 2016")</f>
        <v>Kabupaten Dairi Dalam Angka 2016</v>
      </c>
      <c r="C788" s="13" t="str">
        <f>IFERROR(__xludf.DUMMYFUNCTION("""COMPUTED_VALUE"""),"Publikasi")</f>
        <v>Publikasi</v>
      </c>
      <c r="E788" s="19"/>
      <c r="F788" s="20"/>
    </row>
    <row r="789">
      <c r="A789" s="13" t="str">
        <f>IFERROR(__xludf.DUMMYFUNCTION("""COMPUTED_VALUE"""),"nopitasarisembiring55@gmail:com")</f>
        <v>nopitasarisembiring55@gmail:com</v>
      </c>
      <c r="B789" s="13" t="str">
        <f>IFERROR(__xludf.DUMMYFUNCTION("""COMPUTED_VALUE"""),"Kabupaten Dairi Dalam Angka 2017")</f>
        <v>Kabupaten Dairi Dalam Angka 2017</v>
      </c>
      <c r="C789" s="13" t="str">
        <f>IFERROR(__xludf.DUMMYFUNCTION("""COMPUTED_VALUE"""),"Publikasi")</f>
        <v>Publikasi</v>
      </c>
      <c r="E789" s="19"/>
      <c r="F789" s="20"/>
    </row>
    <row r="790">
      <c r="A790" s="13" t="str">
        <f>IFERROR(__xludf.DUMMYFUNCTION("""COMPUTED_VALUE"""),"nopitasarisembiring55@gmail:com")</f>
        <v>nopitasarisembiring55@gmail:com</v>
      </c>
      <c r="B790" s="13" t="str">
        <f>IFERROR(__xludf.DUMMYFUNCTION("""COMPUTED_VALUE"""),"Kabupaten Dairi Dalam Angka 2018")</f>
        <v>Kabupaten Dairi Dalam Angka 2018</v>
      </c>
      <c r="C790" s="13" t="str">
        <f>IFERROR(__xludf.DUMMYFUNCTION("""COMPUTED_VALUE"""),"Publikasi")</f>
        <v>Publikasi</v>
      </c>
      <c r="E790" s="19"/>
      <c r="F790" s="20"/>
    </row>
    <row r="791">
      <c r="A791" s="13" t="str">
        <f>IFERROR(__xludf.DUMMYFUNCTION("""COMPUTED_VALUE"""),"nopitasarisembiring55@gmail:com")</f>
        <v>nopitasarisembiring55@gmail:com</v>
      </c>
      <c r="B791" s="13" t="str">
        <f>IFERROR(__xludf.DUMMYFUNCTION("""COMPUTED_VALUE"""),"Kabupaten Dairi Dalam Angka 2019")</f>
        <v>Kabupaten Dairi Dalam Angka 2019</v>
      </c>
      <c r="C791" s="13" t="str">
        <f>IFERROR(__xludf.DUMMYFUNCTION("""COMPUTED_VALUE"""),"Publikasi")</f>
        <v>Publikasi</v>
      </c>
      <c r="E791" s="19"/>
      <c r="F791" s="20"/>
    </row>
    <row r="792">
      <c r="A792" s="13" t="str">
        <f>IFERROR(__xludf.DUMMYFUNCTION("""COMPUTED_VALUE"""),"nopitasarisembiring55@gmail:com")</f>
        <v>nopitasarisembiring55@gmail:com</v>
      </c>
      <c r="B792" s="13" t="str">
        <f>IFERROR(__xludf.DUMMYFUNCTION("""COMPUTED_VALUE"""),"Kabupaten Dairi Dalam Angka 2020")</f>
        <v>Kabupaten Dairi Dalam Angka 2020</v>
      </c>
      <c r="C792" s="13" t="str">
        <f>IFERROR(__xludf.DUMMYFUNCTION("""COMPUTED_VALUE"""),"Publikasi")</f>
        <v>Publikasi</v>
      </c>
      <c r="E792" s="19"/>
      <c r="F792" s="20"/>
    </row>
    <row r="793">
      <c r="A793" s="13" t="str">
        <f>IFERROR(__xludf.DUMMYFUNCTION("""COMPUTED_VALUE"""),"nopitasarisembiring55@gmail:com")</f>
        <v>nopitasarisembiring55@gmail:com</v>
      </c>
      <c r="B793" s="13" t="str">
        <f>IFERROR(__xludf.DUMMYFUNCTION("""COMPUTED_VALUE"""),"Kabupaten Dairi Dalam Angka 2021")</f>
        <v>Kabupaten Dairi Dalam Angka 2021</v>
      </c>
      <c r="C793" s="13" t="str">
        <f>IFERROR(__xludf.DUMMYFUNCTION("""COMPUTED_VALUE"""),"Publikasi")</f>
        <v>Publikasi</v>
      </c>
      <c r="E793" s="19"/>
      <c r="F793" s="20"/>
    </row>
    <row r="794">
      <c r="A794" s="13" t="str">
        <f>IFERROR(__xludf.DUMMYFUNCTION("""COMPUTED_VALUE"""),"nopitasarisembiring55@gmail:com")</f>
        <v>nopitasarisembiring55@gmail:com</v>
      </c>
      <c r="B794" s="13" t="str">
        <f>IFERROR(__xludf.DUMMYFUNCTION("""COMPUTED_VALUE"""),"Kecamatan Sumbul Dalam Angka 2016")</f>
        <v>Kecamatan Sumbul Dalam Angka 2016</v>
      </c>
      <c r="C794" s="13" t="str">
        <f>IFERROR(__xludf.DUMMYFUNCTION("""COMPUTED_VALUE"""),"Publikasi")</f>
        <v>Publikasi</v>
      </c>
      <c r="E794" s="19"/>
      <c r="F794" s="20"/>
    </row>
    <row r="795">
      <c r="A795" s="13" t="str">
        <f>IFERROR(__xludf.DUMMYFUNCTION("""COMPUTED_VALUE"""),"nopitasarisembiring55@gmail:com")</f>
        <v>nopitasarisembiring55@gmail:com</v>
      </c>
      <c r="B795" s="13" t="str">
        <f>IFERROR(__xludf.DUMMYFUNCTION("""COMPUTED_VALUE"""),"Kecamatan Sumbul Dalam Angka 2017")</f>
        <v>Kecamatan Sumbul Dalam Angka 2017</v>
      </c>
      <c r="C795" s="13" t="str">
        <f>IFERROR(__xludf.DUMMYFUNCTION("""COMPUTED_VALUE"""),"Publikasi")</f>
        <v>Publikasi</v>
      </c>
      <c r="E795" s="19"/>
      <c r="F795" s="20"/>
    </row>
    <row r="796">
      <c r="A796" s="13" t="str">
        <f>IFERROR(__xludf.DUMMYFUNCTION("""COMPUTED_VALUE"""),"nopitasarisembiring55@gmail:com")</f>
        <v>nopitasarisembiring55@gmail:com</v>
      </c>
      <c r="B796" s="13" t="str">
        <f>IFERROR(__xludf.DUMMYFUNCTION("""COMPUTED_VALUE"""),"Kecamatan Sumbul Dalam Angka 2018")</f>
        <v>Kecamatan Sumbul Dalam Angka 2018</v>
      </c>
      <c r="C796" s="13" t="str">
        <f>IFERROR(__xludf.DUMMYFUNCTION("""COMPUTED_VALUE"""),"Publikasi")</f>
        <v>Publikasi</v>
      </c>
      <c r="E796" s="19"/>
      <c r="F796" s="20"/>
    </row>
    <row r="797">
      <c r="A797" s="13" t="str">
        <f>IFERROR(__xludf.DUMMYFUNCTION("""COMPUTED_VALUE"""),"nopitasarisembiring55@gmail:com")</f>
        <v>nopitasarisembiring55@gmail:com</v>
      </c>
      <c r="B797" s="13" t="str">
        <f>IFERROR(__xludf.DUMMYFUNCTION("""COMPUTED_VALUE"""),"Kecamatan Sumbul Dalam Angka 2019")</f>
        <v>Kecamatan Sumbul Dalam Angka 2019</v>
      </c>
      <c r="C797" s="13" t="str">
        <f>IFERROR(__xludf.DUMMYFUNCTION("""COMPUTED_VALUE"""),"Publikasi")</f>
        <v>Publikasi</v>
      </c>
      <c r="E797" s="19"/>
      <c r="F797" s="20"/>
    </row>
    <row r="798">
      <c r="A798" s="13" t="str">
        <f>IFERROR(__xludf.DUMMYFUNCTION("""COMPUTED_VALUE"""),"nopitasarisembiring55@gmail:com")</f>
        <v>nopitasarisembiring55@gmail:com</v>
      </c>
      <c r="B798" s="13" t="str">
        <f>IFERROR(__xludf.DUMMYFUNCTION("""COMPUTED_VALUE"""),"Kecamatan Sumbul Dalam Angka 2021")</f>
        <v>Kecamatan Sumbul Dalam Angka 2021</v>
      </c>
      <c r="C798" s="13" t="str">
        <f>IFERROR(__xludf.DUMMYFUNCTION("""COMPUTED_VALUE"""),"Publikasi")</f>
        <v>Publikasi</v>
      </c>
      <c r="E798" s="19"/>
      <c r="F798" s="20"/>
    </row>
    <row r="799">
      <c r="A799" s="13" t="str">
        <f>IFERROR(__xludf.DUMMYFUNCTION("""COMPUTED_VALUE"""),"nopitasarisembiring55@gmail:com")</f>
        <v>nopitasarisembiring55@gmail:com</v>
      </c>
      <c r="B799" s="13" t="str">
        <f>IFERROR(__xludf.DUMMYFUNCTION("""COMPUTED_VALUE"""),"Kecamatan Tiga Lingga Dalam Angka 2016")</f>
        <v>Kecamatan Tiga Lingga Dalam Angka 2016</v>
      </c>
      <c r="C799" s="13" t="str">
        <f>IFERROR(__xludf.DUMMYFUNCTION("""COMPUTED_VALUE"""),"Publikasi")</f>
        <v>Publikasi</v>
      </c>
      <c r="E799" s="19"/>
      <c r="F799" s="20"/>
    </row>
    <row r="800">
      <c r="A800" s="13" t="str">
        <f>IFERROR(__xludf.DUMMYFUNCTION("""COMPUTED_VALUE"""),"nopitasarisembiring55@gmail:com")</f>
        <v>nopitasarisembiring55@gmail:com</v>
      </c>
      <c r="B800" s="13" t="str">
        <f>IFERROR(__xludf.DUMMYFUNCTION("""COMPUTED_VALUE"""),"Statistik Daerah Kecamatan Sumbul 2016")</f>
        <v>Statistik Daerah Kecamatan Sumbul 2016</v>
      </c>
      <c r="C800" s="13" t="str">
        <f>IFERROR(__xludf.DUMMYFUNCTION("""COMPUTED_VALUE"""),"Publikasi")</f>
        <v>Publikasi</v>
      </c>
      <c r="E800" s="19"/>
      <c r="F800" s="20"/>
    </row>
    <row r="801">
      <c r="A801" s="13" t="str">
        <f>IFERROR(__xludf.DUMMYFUNCTION("""COMPUTED_VALUE"""),"novebri:spd@gmail:com")</f>
        <v>novebri:spd@gmail:com</v>
      </c>
      <c r="B801" s="13" t="str">
        <f>IFERROR(__xludf.DUMMYFUNCTION("""COMPUTED_VALUE"""),"Kabupaten Dairi Dalam Angka 2020")</f>
        <v>Kabupaten Dairi Dalam Angka 2020</v>
      </c>
      <c r="C801" s="13" t="str">
        <f>IFERROR(__xludf.DUMMYFUNCTION("""COMPUTED_VALUE"""),"Publikasi")</f>
        <v>Publikasi</v>
      </c>
      <c r="E801" s="19"/>
      <c r="F801" s="20"/>
    </row>
    <row r="802">
      <c r="A802" s="13" t="str">
        <f>IFERROR(__xludf.DUMMYFUNCTION("""COMPUTED_VALUE"""),"novebri:spd@gmail:com")</f>
        <v>novebri:spd@gmail:com</v>
      </c>
      <c r="B802" s="13" t="str">
        <f>IFERROR(__xludf.DUMMYFUNCTION("""COMPUTED_VALUE"""),"Kabupaten Dairi Dalam Angka 2021")</f>
        <v>Kabupaten Dairi Dalam Angka 2021</v>
      </c>
      <c r="C802" s="13" t="str">
        <f>IFERROR(__xludf.DUMMYFUNCTION("""COMPUTED_VALUE"""),"Publikasi")</f>
        <v>Publikasi</v>
      </c>
      <c r="E802" s="19"/>
      <c r="F802" s="20"/>
    </row>
    <row r="803">
      <c r="A803" s="13" t="str">
        <f>IFERROR(__xludf.DUMMYFUNCTION("""COMPUTED_VALUE"""),"novebri:spd@gmail:com")</f>
        <v>novebri:spd@gmail:com</v>
      </c>
      <c r="B803" s="13" t="str">
        <f>IFERROR(__xludf.DUMMYFUNCTION("""COMPUTED_VALUE"""),"Statistik Daerah Kabupaten Dairi 2021")</f>
        <v>Statistik Daerah Kabupaten Dairi 2021</v>
      </c>
      <c r="C803" s="13" t="str">
        <f>IFERROR(__xludf.DUMMYFUNCTION("""COMPUTED_VALUE"""),"Publikasi")</f>
        <v>Publikasi</v>
      </c>
      <c r="E803" s="19"/>
      <c r="F803" s="20"/>
    </row>
    <row r="804">
      <c r="A804" s="13" t="str">
        <f>IFERROR(__xludf.DUMMYFUNCTION("""COMPUTED_VALUE"""),"novebri:spd@gmail:com")</f>
        <v>novebri:spd@gmail:com</v>
      </c>
      <c r="B804" s="13" t="str">
        <f>IFERROR(__xludf.DUMMYFUNCTION("""COMPUTED_VALUE"""),"Statistik Daerah Kabupaten Dairi 2024")</f>
        <v>Statistik Daerah Kabupaten Dairi 2024</v>
      </c>
      <c r="C804" s="13" t="str">
        <f>IFERROR(__xludf.DUMMYFUNCTION("""COMPUTED_VALUE"""),"Publikasi")</f>
        <v>Publikasi</v>
      </c>
      <c r="E804" s="19"/>
      <c r="F804" s="20"/>
    </row>
    <row r="805">
      <c r="A805" s="13" t="str">
        <f>IFERROR(__xludf.DUMMYFUNCTION("""COMPUTED_VALUE"""),"novriadi1011@gmail:com")</f>
        <v>novriadi1011@gmail:com</v>
      </c>
      <c r="B805" s="13" t="str">
        <f>IFERROR(__xludf.DUMMYFUNCTION("""COMPUTED_VALUE"""),"Indikator Kesejahteraan Rakyat Kabupaten Dairi Tahun 2022")</f>
        <v>Indikator Kesejahteraan Rakyat Kabupaten Dairi Tahun 2022</v>
      </c>
      <c r="C805" s="13" t="str">
        <f>IFERROR(__xludf.DUMMYFUNCTION("""COMPUTED_VALUE"""),"Publikasi")</f>
        <v>Publikasi</v>
      </c>
      <c r="E805" s="19"/>
      <c r="F805" s="20"/>
    </row>
    <row r="806">
      <c r="A806" s="13" t="str">
        <f>IFERROR(__xludf.DUMMYFUNCTION("""COMPUTED_VALUE"""),"novriadi1011@gmail:com")</f>
        <v>novriadi1011@gmail:com</v>
      </c>
      <c r="B806" s="13" t="str">
        <f>IFERROR(__xludf.DUMMYFUNCTION("""COMPUTED_VALUE"""),"Kabupaten Dairi Dalam Angka 2022")</f>
        <v>Kabupaten Dairi Dalam Angka 2022</v>
      </c>
      <c r="C806" s="13" t="str">
        <f>IFERROR(__xludf.DUMMYFUNCTION("""COMPUTED_VALUE"""),"Publikasi")</f>
        <v>Publikasi</v>
      </c>
      <c r="E806" s="19"/>
      <c r="F806" s="20"/>
    </row>
    <row r="807">
      <c r="A807" s="13" t="str">
        <f>IFERROR(__xludf.DUMMYFUNCTION("""COMPUTED_VALUE"""),"novriadi1011@gmail:com")</f>
        <v>novriadi1011@gmail:com</v>
      </c>
      <c r="B807" s="13" t="str">
        <f>IFERROR(__xludf.DUMMYFUNCTION("""COMPUTED_VALUE"""),"Kecamatan Berampu Dalam Angka 2022")</f>
        <v>Kecamatan Berampu Dalam Angka 2022</v>
      </c>
      <c r="C807" s="13" t="str">
        <f>IFERROR(__xludf.DUMMYFUNCTION("""COMPUTED_VALUE"""),"Publikasi")</f>
        <v>Publikasi</v>
      </c>
      <c r="E807" s="19"/>
      <c r="F807" s="20"/>
    </row>
    <row r="808">
      <c r="A808" s="13" t="str">
        <f>IFERROR(__xludf.DUMMYFUNCTION("""COMPUTED_VALUE"""),"novriadi1011@gmail:com")</f>
        <v>novriadi1011@gmail:com</v>
      </c>
      <c r="B808" s="13" t="str">
        <f>IFERROR(__xludf.DUMMYFUNCTION("""COMPUTED_VALUE"""),"Kecamatan Gunung Sitember Dalam Angka 2022")</f>
        <v>Kecamatan Gunung Sitember Dalam Angka 2022</v>
      </c>
      <c r="C808" s="13" t="str">
        <f>IFERROR(__xludf.DUMMYFUNCTION("""COMPUTED_VALUE"""),"Publikasi")</f>
        <v>Publikasi</v>
      </c>
      <c r="E808" s="19"/>
      <c r="F808" s="20"/>
    </row>
    <row r="809">
      <c r="A809" s="13" t="str">
        <f>IFERROR(__xludf.DUMMYFUNCTION("""COMPUTED_VALUE"""),"novriadi1011@gmail:com")</f>
        <v>novriadi1011@gmail:com</v>
      </c>
      <c r="B809" s="13" t="str">
        <f>IFERROR(__xludf.DUMMYFUNCTION("""COMPUTED_VALUE"""),"Kecamatan Lae Parira Dalam Angka 2022")</f>
        <v>Kecamatan Lae Parira Dalam Angka 2022</v>
      </c>
      <c r="C809" s="13" t="str">
        <f>IFERROR(__xludf.DUMMYFUNCTION("""COMPUTED_VALUE"""),"Publikasi")</f>
        <v>Publikasi</v>
      </c>
      <c r="E809" s="19"/>
      <c r="F809" s="20"/>
    </row>
    <row r="810">
      <c r="A810" s="13" t="str">
        <f>IFERROR(__xludf.DUMMYFUNCTION("""COMPUTED_VALUE"""),"novriadi1011@gmail:com")</f>
        <v>novriadi1011@gmail:com</v>
      </c>
      <c r="B810" s="13" t="str">
        <f>IFERROR(__xludf.DUMMYFUNCTION("""COMPUTED_VALUE"""),"Kecamatan Parbuluan Dalam Angka 2022")</f>
        <v>Kecamatan Parbuluan Dalam Angka 2022</v>
      </c>
      <c r="C810" s="13" t="str">
        <f>IFERROR(__xludf.DUMMYFUNCTION("""COMPUTED_VALUE"""),"Publikasi")</f>
        <v>Publikasi</v>
      </c>
      <c r="E810" s="19"/>
      <c r="F810" s="20"/>
    </row>
    <row r="811">
      <c r="A811" s="13" t="str">
        <f>IFERROR(__xludf.DUMMYFUNCTION("""COMPUTED_VALUE"""),"novriadi1011@gmail:com")</f>
        <v>novriadi1011@gmail:com</v>
      </c>
      <c r="B811" s="13" t="str">
        <f>IFERROR(__xludf.DUMMYFUNCTION("""COMPUTED_VALUE"""),"Kecamatan Pegagan Hilir Dalam Angka 2022")</f>
        <v>Kecamatan Pegagan Hilir Dalam Angka 2022</v>
      </c>
      <c r="C811" s="13" t="str">
        <f>IFERROR(__xludf.DUMMYFUNCTION("""COMPUTED_VALUE"""),"Publikasi")</f>
        <v>Publikasi</v>
      </c>
      <c r="E811" s="19"/>
      <c r="F811" s="20"/>
    </row>
    <row r="812">
      <c r="A812" s="13" t="str">
        <f>IFERROR(__xludf.DUMMYFUNCTION("""COMPUTED_VALUE"""),"novriadi1011@gmail:com")</f>
        <v>novriadi1011@gmail:com</v>
      </c>
      <c r="B812" s="13" t="str">
        <f>IFERROR(__xludf.DUMMYFUNCTION("""COMPUTED_VALUE"""),"Kecamatan Sidikalang Dalam Angka 2022")</f>
        <v>Kecamatan Sidikalang Dalam Angka 2022</v>
      </c>
      <c r="C812" s="13" t="str">
        <f>IFERROR(__xludf.DUMMYFUNCTION("""COMPUTED_VALUE"""),"Publikasi")</f>
        <v>Publikasi</v>
      </c>
      <c r="E812" s="19"/>
      <c r="F812" s="20"/>
    </row>
    <row r="813">
      <c r="A813" s="13" t="str">
        <f>IFERROR(__xludf.DUMMYFUNCTION("""COMPUTED_VALUE"""),"novriadi1011@gmail:com")</f>
        <v>novriadi1011@gmail:com</v>
      </c>
      <c r="B813" s="13" t="str">
        <f>IFERROR(__xludf.DUMMYFUNCTION("""COMPUTED_VALUE"""),"Kecamatan Siempat Nempu Dalam Angka 2022")</f>
        <v>Kecamatan Siempat Nempu Dalam Angka 2022</v>
      </c>
      <c r="C813" s="13" t="str">
        <f>IFERROR(__xludf.DUMMYFUNCTION("""COMPUTED_VALUE"""),"Publikasi")</f>
        <v>Publikasi</v>
      </c>
      <c r="E813" s="19"/>
      <c r="F813" s="20"/>
    </row>
    <row r="814">
      <c r="A814" s="13" t="str">
        <f>IFERROR(__xludf.DUMMYFUNCTION("""COMPUTED_VALUE"""),"novriadi1011@gmail:com")</f>
        <v>novriadi1011@gmail:com</v>
      </c>
      <c r="B814" s="13" t="str">
        <f>IFERROR(__xludf.DUMMYFUNCTION("""COMPUTED_VALUE"""),"Kecamatan Siempat Nempu Hilir Dalam Angka 2022")</f>
        <v>Kecamatan Siempat Nempu Hilir Dalam Angka 2022</v>
      </c>
      <c r="C814" s="13" t="str">
        <f>IFERROR(__xludf.DUMMYFUNCTION("""COMPUTED_VALUE"""),"Publikasi")</f>
        <v>Publikasi</v>
      </c>
      <c r="E814" s="19"/>
      <c r="F814" s="20"/>
    </row>
    <row r="815">
      <c r="A815" s="13" t="str">
        <f>IFERROR(__xludf.DUMMYFUNCTION("""COMPUTED_VALUE"""),"novriadi1011@gmail:com")</f>
        <v>novriadi1011@gmail:com</v>
      </c>
      <c r="B815" s="13" t="str">
        <f>IFERROR(__xludf.DUMMYFUNCTION("""COMPUTED_VALUE"""),"Kecamatan Siempat Nempu Hulu Dalam Angka 2022")</f>
        <v>Kecamatan Siempat Nempu Hulu Dalam Angka 2022</v>
      </c>
      <c r="C815" s="13" t="str">
        <f>IFERROR(__xludf.DUMMYFUNCTION("""COMPUTED_VALUE"""),"Publikasi")</f>
        <v>Publikasi</v>
      </c>
      <c r="E815" s="19"/>
      <c r="F815" s="20"/>
    </row>
    <row r="816">
      <c r="A816" s="13" t="str">
        <f>IFERROR(__xludf.DUMMYFUNCTION("""COMPUTED_VALUE"""),"novriadi1011@gmail:com")</f>
        <v>novriadi1011@gmail:com</v>
      </c>
      <c r="B816" s="13" t="str">
        <f>IFERROR(__xludf.DUMMYFUNCTION("""COMPUTED_VALUE"""),"Kecamatan Silahisabungan Dalam Angka 2022")</f>
        <v>Kecamatan Silahisabungan Dalam Angka 2022</v>
      </c>
      <c r="C816" s="13" t="str">
        <f>IFERROR(__xludf.DUMMYFUNCTION("""COMPUTED_VALUE"""),"Publikasi")</f>
        <v>Publikasi</v>
      </c>
      <c r="E816" s="19"/>
      <c r="F816" s="20"/>
    </row>
    <row r="817">
      <c r="A817" s="13" t="str">
        <f>IFERROR(__xludf.DUMMYFUNCTION("""COMPUTED_VALUE"""),"novriadi1011@gmail:com")</f>
        <v>novriadi1011@gmail:com</v>
      </c>
      <c r="B817" s="13" t="str">
        <f>IFERROR(__xludf.DUMMYFUNCTION("""COMPUTED_VALUE"""),"Kecamatan Silima Pungga-Pungga Dalam Angka 2022")</f>
        <v>Kecamatan Silima Pungga-Pungga Dalam Angka 2022</v>
      </c>
      <c r="C817" s="13" t="str">
        <f>IFERROR(__xludf.DUMMYFUNCTION("""COMPUTED_VALUE"""),"Publikasi")</f>
        <v>Publikasi</v>
      </c>
      <c r="E817" s="19"/>
      <c r="F817" s="20"/>
    </row>
    <row r="818">
      <c r="A818" s="13" t="str">
        <f>IFERROR(__xludf.DUMMYFUNCTION("""COMPUTED_VALUE"""),"novriadi1011@gmail:com")</f>
        <v>novriadi1011@gmail:com</v>
      </c>
      <c r="B818" s="13" t="str">
        <f>IFERROR(__xludf.DUMMYFUNCTION("""COMPUTED_VALUE"""),"Kecamatan Sitinjo Dalam Angka 2022")</f>
        <v>Kecamatan Sitinjo Dalam Angka 2022</v>
      </c>
      <c r="C818" s="13" t="str">
        <f>IFERROR(__xludf.DUMMYFUNCTION("""COMPUTED_VALUE"""),"Publikasi")</f>
        <v>Publikasi</v>
      </c>
      <c r="E818" s="19"/>
      <c r="F818" s="20"/>
    </row>
    <row r="819">
      <c r="A819" s="13" t="str">
        <f>IFERROR(__xludf.DUMMYFUNCTION("""COMPUTED_VALUE"""),"novriadi1011@gmail:com")</f>
        <v>novriadi1011@gmail:com</v>
      </c>
      <c r="B819" s="13" t="str">
        <f>IFERROR(__xludf.DUMMYFUNCTION("""COMPUTED_VALUE"""),"Kecamatan Sumbul Dalam Angka 2022")</f>
        <v>Kecamatan Sumbul Dalam Angka 2022</v>
      </c>
      <c r="C819" s="13" t="str">
        <f>IFERROR(__xludf.DUMMYFUNCTION("""COMPUTED_VALUE"""),"Publikasi")</f>
        <v>Publikasi</v>
      </c>
      <c r="E819" s="19"/>
      <c r="F819" s="20"/>
    </row>
    <row r="820">
      <c r="A820" s="13" t="str">
        <f>IFERROR(__xludf.DUMMYFUNCTION("""COMPUTED_VALUE"""),"novriadi1011@gmail:com")</f>
        <v>novriadi1011@gmail:com</v>
      </c>
      <c r="B820" s="13" t="str">
        <f>IFERROR(__xludf.DUMMYFUNCTION("""COMPUTED_VALUE"""),"Kecamatan Tanah Pinem Dalam Angka 2022")</f>
        <v>Kecamatan Tanah Pinem Dalam Angka 2022</v>
      </c>
      <c r="C820" s="13" t="str">
        <f>IFERROR(__xludf.DUMMYFUNCTION("""COMPUTED_VALUE"""),"Publikasi")</f>
        <v>Publikasi</v>
      </c>
      <c r="E820" s="19"/>
      <c r="F820" s="20"/>
    </row>
    <row r="821">
      <c r="A821" s="13" t="str">
        <f>IFERROR(__xludf.DUMMYFUNCTION("""COMPUTED_VALUE"""),"novriadi1011@gmail:com")</f>
        <v>novriadi1011@gmail:com</v>
      </c>
      <c r="B821" s="13" t="str">
        <f>IFERROR(__xludf.DUMMYFUNCTION("""COMPUTED_VALUE"""),"Kecamatan Tiga Lingga Dalam Angka 2022")</f>
        <v>Kecamatan Tiga Lingga Dalam Angka 2022</v>
      </c>
      <c r="C821" s="13" t="str">
        <f>IFERROR(__xludf.DUMMYFUNCTION("""COMPUTED_VALUE"""),"Publikasi")</f>
        <v>Publikasi</v>
      </c>
      <c r="E821" s="19"/>
      <c r="F821" s="20"/>
    </row>
    <row r="822">
      <c r="A822" s="13" t="str">
        <f>IFERROR(__xludf.DUMMYFUNCTION("""COMPUTED_VALUE"""),"novriadi1011@gmail:com")</f>
        <v>novriadi1011@gmail:com</v>
      </c>
      <c r="B822" s="13" t="str">
        <f>IFERROR(__xludf.DUMMYFUNCTION("""COMPUTED_VALUE"""),"Statistik Daerah Kabupaten Dairi 2022")</f>
        <v>Statistik Daerah Kabupaten Dairi 2022</v>
      </c>
      <c r="C822" s="13" t="str">
        <f>IFERROR(__xludf.DUMMYFUNCTION("""COMPUTED_VALUE"""),"Publikasi")</f>
        <v>Publikasi</v>
      </c>
      <c r="E822" s="19"/>
      <c r="F822" s="20"/>
    </row>
    <row r="823">
      <c r="A823" s="13" t="str">
        <f>IFERROR(__xludf.DUMMYFUNCTION("""COMPUTED_VALUE"""),"nunutdsitumorang@gmail:com")</f>
        <v>nunutdsitumorang@gmail:com</v>
      </c>
      <c r="B823" s="13" t="str">
        <f>IFERROR(__xludf.DUMMYFUNCTION("""COMPUTED_VALUE"""),"Profil Kependudukan dan Ketenagakerjaan Kabupaten Dairi 2022")</f>
        <v>Profil Kependudukan dan Ketenagakerjaan Kabupaten Dairi 2022</v>
      </c>
      <c r="C823" s="13" t="str">
        <f>IFERROR(__xludf.DUMMYFUNCTION("""COMPUTED_VALUE"""),"Publikasi")</f>
        <v>Publikasi</v>
      </c>
      <c r="E823" s="19"/>
      <c r="F823" s="20"/>
    </row>
    <row r="824">
      <c r="A824" s="13" t="str">
        <f>IFERROR(__xludf.DUMMYFUNCTION("""COMPUTED_VALUE"""),"nurulizzaaah14@gmail:com")</f>
        <v>nurulizzaaah14@gmail:com</v>
      </c>
      <c r="B824" s="13" t="str">
        <f>IFERROR(__xludf.DUMMYFUNCTION("""COMPUTED_VALUE"""),"Kabupaten Dairi Dalam Angka 2024")</f>
        <v>Kabupaten Dairi Dalam Angka 2024</v>
      </c>
      <c r="C824" s="13" t="str">
        <f>IFERROR(__xludf.DUMMYFUNCTION("""COMPUTED_VALUE"""),"Publikasi")</f>
        <v>Publikasi</v>
      </c>
      <c r="E824" s="19"/>
      <c r="F824" s="20"/>
    </row>
    <row r="825">
      <c r="A825" s="13" t="str">
        <f>IFERROR(__xludf.DUMMYFUNCTION("""COMPUTED_VALUE"""),"nurulizzaaah14@gmail:com")</f>
        <v>nurulizzaaah14@gmail:com</v>
      </c>
      <c r="B825" s="13" t="str">
        <f>IFERROR(__xludf.DUMMYFUNCTION("""COMPUTED_VALUE"""),"Kecamatan Sumbul Dalam Angka 2018")</f>
        <v>Kecamatan Sumbul Dalam Angka 2018</v>
      </c>
      <c r="C825" s="13" t="str">
        <f>IFERROR(__xludf.DUMMYFUNCTION("""COMPUTED_VALUE"""),"Publikasi")</f>
        <v>Publikasi</v>
      </c>
      <c r="E825" s="19"/>
      <c r="F825" s="20"/>
    </row>
    <row r="826">
      <c r="A826" s="13" t="str">
        <f>IFERROR(__xludf.DUMMYFUNCTION("""COMPUTED_VALUE"""),"octavianurhasanah30@gmail:com")</f>
        <v>octavianurhasanah30@gmail:com</v>
      </c>
      <c r="B826" s="13" t="str">
        <f>IFERROR(__xludf.DUMMYFUNCTION("""COMPUTED_VALUE"""),"Kabupaten Dairi Dalam Angka 2024")</f>
        <v>Kabupaten Dairi Dalam Angka 2024</v>
      </c>
      <c r="C826" s="13" t="str">
        <f>IFERROR(__xludf.DUMMYFUNCTION("""COMPUTED_VALUE"""),"Publikasi")</f>
        <v>Publikasi</v>
      </c>
      <c r="E826" s="19"/>
      <c r="F826" s="20"/>
    </row>
    <row r="827">
      <c r="A827" s="13" t="str">
        <f>IFERROR(__xludf.DUMMYFUNCTION("""COMPUTED_VALUE"""),"officialvalerieshoess@gmail:com")</f>
        <v>officialvalerieshoess@gmail:com</v>
      </c>
      <c r="B827" s="13" t="str">
        <f>IFERROR(__xludf.DUMMYFUNCTION("""COMPUTED_VALUE"""),"Kabupaten Dairi Dalam Angka 2015")</f>
        <v>Kabupaten Dairi Dalam Angka 2015</v>
      </c>
      <c r="C827" s="13" t="str">
        <f>IFERROR(__xludf.DUMMYFUNCTION("""COMPUTED_VALUE"""),"Publikasi")</f>
        <v>Publikasi</v>
      </c>
      <c r="E827" s="19"/>
      <c r="F827" s="20"/>
    </row>
    <row r="828">
      <c r="A828" s="13" t="str">
        <f>IFERROR(__xludf.DUMMYFUNCTION("""COMPUTED_VALUE"""),"officialvalerieshoess@gmail:com")</f>
        <v>officialvalerieshoess@gmail:com</v>
      </c>
      <c r="B828" s="13" t="str">
        <f>IFERROR(__xludf.DUMMYFUNCTION("""COMPUTED_VALUE"""),"Kabupaten Dairi Dalam Angka 2016")</f>
        <v>Kabupaten Dairi Dalam Angka 2016</v>
      </c>
      <c r="C828" s="13" t="str">
        <f>IFERROR(__xludf.DUMMYFUNCTION("""COMPUTED_VALUE"""),"Publikasi")</f>
        <v>Publikasi</v>
      </c>
      <c r="E828" s="19"/>
      <c r="F828" s="20"/>
    </row>
    <row r="829">
      <c r="A829" s="13" t="str">
        <f>IFERROR(__xludf.DUMMYFUNCTION("""COMPUTED_VALUE"""),"officialvalerieshoess@gmail:com")</f>
        <v>officialvalerieshoess@gmail:com</v>
      </c>
      <c r="B829" s="13" t="str">
        <f>IFERROR(__xludf.DUMMYFUNCTION("""COMPUTED_VALUE"""),"Kabupaten Dairi Dalam Angka 2017")</f>
        <v>Kabupaten Dairi Dalam Angka 2017</v>
      </c>
      <c r="C829" s="13" t="str">
        <f>IFERROR(__xludf.DUMMYFUNCTION("""COMPUTED_VALUE"""),"Publikasi")</f>
        <v>Publikasi</v>
      </c>
      <c r="E829" s="19"/>
      <c r="F829" s="20"/>
    </row>
    <row r="830">
      <c r="A830" s="13" t="str">
        <f>IFERROR(__xludf.DUMMYFUNCTION("""COMPUTED_VALUE"""),"officialvalerieshoess@gmail:com")</f>
        <v>officialvalerieshoess@gmail:com</v>
      </c>
      <c r="B830" s="13" t="str">
        <f>IFERROR(__xludf.DUMMYFUNCTION("""COMPUTED_VALUE"""),"Kabupaten Dairi Dalam Angka 2018")</f>
        <v>Kabupaten Dairi Dalam Angka 2018</v>
      </c>
      <c r="C830" s="13" t="str">
        <f>IFERROR(__xludf.DUMMYFUNCTION("""COMPUTED_VALUE"""),"Publikasi")</f>
        <v>Publikasi</v>
      </c>
      <c r="E830" s="19"/>
      <c r="F830" s="20"/>
    </row>
    <row r="831">
      <c r="A831" s="13" t="str">
        <f>IFERROR(__xludf.DUMMYFUNCTION("""COMPUTED_VALUE"""),"officialvalerieshoess@gmail:com")</f>
        <v>officialvalerieshoess@gmail:com</v>
      </c>
      <c r="B831" s="13" t="str">
        <f>IFERROR(__xludf.DUMMYFUNCTION("""COMPUTED_VALUE"""),"Kabupaten Dairi Dalam Angka 2019")</f>
        <v>Kabupaten Dairi Dalam Angka 2019</v>
      </c>
      <c r="C831" s="13" t="str">
        <f>IFERROR(__xludf.DUMMYFUNCTION("""COMPUTED_VALUE"""),"Publikasi")</f>
        <v>Publikasi</v>
      </c>
      <c r="E831" s="19"/>
      <c r="F831" s="20"/>
    </row>
    <row r="832">
      <c r="A832" s="13" t="str">
        <f>IFERROR(__xludf.DUMMYFUNCTION("""COMPUTED_VALUE"""),"officialvalerieshoess@gmail:com")</f>
        <v>officialvalerieshoess@gmail:com</v>
      </c>
      <c r="B832" s="13" t="str">
        <f>IFERROR(__xludf.DUMMYFUNCTION("""COMPUTED_VALUE"""),"Kabupaten Dairi Dalam Angka 2020")</f>
        <v>Kabupaten Dairi Dalam Angka 2020</v>
      </c>
      <c r="C832" s="13" t="str">
        <f>IFERROR(__xludf.DUMMYFUNCTION("""COMPUTED_VALUE"""),"Publikasi")</f>
        <v>Publikasi</v>
      </c>
      <c r="E832" s="19"/>
      <c r="F832" s="20"/>
    </row>
    <row r="833">
      <c r="A833" s="13" t="str">
        <f>IFERROR(__xludf.DUMMYFUNCTION("""COMPUTED_VALUE"""),"officialvalerieshoess@gmail:com")</f>
        <v>officialvalerieshoess@gmail:com</v>
      </c>
      <c r="B833" s="13" t="str">
        <f>IFERROR(__xludf.DUMMYFUNCTION("""COMPUTED_VALUE"""),"Kabupaten Dairi Dalam Angka 2021")</f>
        <v>Kabupaten Dairi Dalam Angka 2021</v>
      </c>
      <c r="C833" s="13" t="str">
        <f>IFERROR(__xludf.DUMMYFUNCTION("""COMPUTED_VALUE"""),"Publikasi")</f>
        <v>Publikasi</v>
      </c>
      <c r="E833" s="19"/>
      <c r="F833" s="20"/>
    </row>
    <row r="834">
      <c r="A834" s="13" t="str">
        <f>IFERROR(__xludf.DUMMYFUNCTION("""COMPUTED_VALUE"""),"officialvalerieshoess@gmail:com")</f>
        <v>officialvalerieshoess@gmail:com</v>
      </c>
      <c r="B834" s="13" t="str">
        <f>IFERROR(__xludf.DUMMYFUNCTION("""COMPUTED_VALUE"""),"Kabupaten Dairi Dalam Angka 2022")</f>
        <v>Kabupaten Dairi Dalam Angka 2022</v>
      </c>
      <c r="C834" s="13" t="str">
        <f>IFERROR(__xludf.DUMMYFUNCTION("""COMPUTED_VALUE"""),"Publikasi")</f>
        <v>Publikasi</v>
      </c>
      <c r="E834" s="19"/>
      <c r="F834" s="20"/>
    </row>
    <row r="835">
      <c r="A835" s="13" t="str">
        <f>IFERROR(__xludf.DUMMYFUNCTION("""COMPUTED_VALUE"""),"Olajessica90@gmail:com")</f>
        <v>Olajessica90@gmail:com</v>
      </c>
      <c r="B835" s="13" t="str">
        <f>IFERROR(__xludf.DUMMYFUNCTION("""COMPUTED_VALUE"""),"Kabupaten Dairi Dalam Angka 2022")</f>
        <v>Kabupaten Dairi Dalam Angka 2022</v>
      </c>
      <c r="C835" s="13" t="str">
        <f>IFERROR(__xludf.DUMMYFUNCTION("""COMPUTED_VALUE"""),"Publikasi")</f>
        <v>Publikasi</v>
      </c>
      <c r="E835" s="19"/>
      <c r="F835" s="20"/>
    </row>
    <row r="836">
      <c r="A836" s="13" t="str">
        <f>IFERROR(__xludf.DUMMYFUNCTION("""COMPUTED_VALUE"""),"Olajessica90@gmail:com")</f>
        <v>Olajessica90@gmail:com</v>
      </c>
      <c r="B836" s="13" t="str">
        <f>IFERROR(__xludf.DUMMYFUNCTION("""COMPUTED_VALUE"""),"Kecamatan Tiga Lingga Dalam Angka 2021")</f>
        <v>Kecamatan Tiga Lingga Dalam Angka 2021</v>
      </c>
      <c r="C836" s="13" t="str">
        <f>IFERROR(__xludf.DUMMYFUNCTION("""COMPUTED_VALUE"""),"Publikasi")</f>
        <v>Publikasi</v>
      </c>
      <c r="E836" s="19"/>
      <c r="F836" s="20"/>
    </row>
    <row r="837">
      <c r="A837" s="13" t="str">
        <f>IFERROR(__xludf.DUMMYFUNCTION("""COMPUTED_VALUE"""),"Olajessica90@gmail:com")</f>
        <v>Olajessica90@gmail:com</v>
      </c>
      <c r="B837" s="13" t="str">
        <f>IFERROR(__xludf.DUMMYFUNCTION("""COMPUTED_VALUE"""),"Kecamatan Tiga Lingga Dalam Angka 2024")</f>
        <v>Kecamatan Tiga Lingga Dalam Angka 2024</v>
      </c>
      <c r="C837" s="13" t="str">
        <f>IFERROR(__xludf.DUMMYFUNCTION("""COMPUTED_VALUE"""),"Publikasi")</f>
        <v>Publikasi</v>
      </c>
      <c r="E837" s="19"/>
      <c r="F837" s="20"/>
    </row>
    <row r="838">
      <c r="A838" s="13" t="str">
        <f>IFERROR(__xludf.DUMMYFUNCTION("""COMPUTED_VALUE"""),"Olajessica90@gmail:com")</f>
        <v>Olajessica90@gmail:com</v>
      </c>
      <c r="B838" s="13" t="str">
        <f>IFERROR(__xludf.DUMMYFUNCTION("""COMPUTED_VALUE"""),"Kecamatan Tigalingga Dalam Angka 2018")</f>
        <v>Kecamatan Tigalingga Dalam Angka 2018</v>
      </c>
      <c r="C838" s="13" t="str">
        <f>IFERROR(__xludf.DUMMYFUNCTION("""COMPUTED_VALUE"""),"Publikasi")</f>
        <v>Publikasi</v>
      </c>
      <c r="E838" s="19"/>
      <c r="F838" s="20"/>
    </row>
    <row r="839">
      <c r="A839" s="13" t="str">
        <f>IFERROR(__xludf.DUMMYFUNCTION("""COMPUTED_VALUE"""),"ortaladairikab@gmail:com")</f>
        <v>ortaladairikab@gmail:com</v>
      </c>
      <c r="B839" s="13" t="str">
        <f>IFERROR(__xludf.DUMMYFUNCTION("""COMPUTED_VALUE"""),"Kabupaten Dairi Dalam Angka 2024")</f>
        <v>Kabupaten Dairi Dalam Angka 2024</v>
      </c>
      <c r="C839" s="13" t="str">
        <f>IFERROR(__xludf.DUMMYFUNCTION("""COMPUTED_VALUE"""),"Publikasi")</f>
        <v>Publikasi</v>
      </c>
      <c r="E839" s="19"/>
      <c r="F839" s="20"/>
    </row>
    <row r="840">
      <c r="A840" s="13" t="str">
        <f>IFERROR(__xludf.DUMMYFUNCTION("""COMPUTED_VALUE"""),"ototix@gmail:com")</f>
        <v>ototix@gmail:com</v>
      </c>
      <c r="B840" s="13" t="str">
        <f>IFERROR(__xludf.DUMMYFUNCTION("""COMPUTED_VALUE"""),"Kabupaten Dairi Dalam Angka 2024")</f>
        <v>Kabupaten Dairi Dalam Angka 2024</v>
      </c>
      <c r="C840" s="13" t="str">
        <f>IFERROR(__xludf.DUMMYFUNCTION("""COMPUTED_VALUE"""),"Publikasi")</f>
        <v>Publikasi</v>
      </c>
      <c r="E840" s="19"/>
      <c r="F840" s="20"/>
    </row>
    <row r="841">
      <c r="A841" s="13" t="str">
        <f>IFERROR(__xludf.DUMMYFUNCTION("""COMPUTED_VALUE"""),"ovieyanaodiya@gmail:com")</f>
        <v>ovieyanaodiya@gmail:com</v>
      </c>
      <c r="B841" s="13" t="str">
        <f>IFERROR(__xludf.DUMMYFUNCTION("""COMPUTED_VALUE"""),"Kabupaten Dairi Dalam Angka 2021")</f>
        <v>Kabupaten Dairi Dalam Angka 2021</v>
      </c>
      <c r="C841" s="13" t="str">
        <f>IFERROR(__xludf.DUMMYFUNCTION("""COMPUTED_VALUE"""),"Publikasi")</f>
        <v>Publikasi</v>
      </c>
      <c r="E841" s="19"/>
      <c r="F841" s="20"/>
    </row>
    <row r="842">
      <c r="A842" s="13" t="str">
        <f>IFERROR(__xludf.DUMMYFUNCTION("""COMPUTED_VALUE"""),"pangihutanujung@gmail:com")</f>
        <v>pangihutanujung@gmail:com</v>
      </c>
      <c r="B842" s="13" t="str">
        <f>IFERROR(__xludf.DUMMYFUNCTION("""COMPUTED_VALUE"""),"Statistik Daerah Kabupaten Dairi 2021")</f>
        <v>Statistik Daerah Kabupaten Dairi 2021</v>
      </c>
      <c r="C842" s="13" t="str">
        <f>IFERROR(__xludf.DUMMYFUNCTION("""COMPUTED_VALUE"""),"Publikasi")</f>
        <v>Publikasi</v>
      </c>
      <c r="E842" s="19"/>
      <c r="F842" s="20"/>
    </row>
    <row r="843">
      <c r="A843" s="13" t="str">
        <f>IFERROR(__xludf.DUMMYFUNCTION("""COMPUTED_VALUE"""),"panjaitansonia3@gmail:com")</f>
        <v>panjaitansonia3@gmail:com</v>
      </c>
      <c r="B843" s="13" t="str">
        <f>IFERROR(__xludf.DUMMYFUNCTION("""COMPUTED_VALUE"""),"Kabupaten Dairi Dalam Angka 2024")</f>
        <v>Kabupaten Dairi Dalam Angka 2024</v>
      </c>
      <c r="C843" s="13" t="str">
        <f>IFERROR(__xludf.DUMMYFUNCTION("""COMPUTED_VALUE"""),"Publikasi")</f>
        <v>Publikasi</v>
      </c>
      <c r="E843" s="19"/>
      <c r="F843" s="20"/>
    </row>
    <row r="844">
      <c r="A844" s="13" t="str">
        <f>IFERROR(__xludf.DUMMYFUNCTION("""COMPUTED_VALUE"""),"panjisatrio220599@gmail:com")</f>
        <v>panjisatrio220599@gmail:com</v>
      </c>
      <c r="B844" s="13" t="str">
        <f>IFERROR(__xludf.DUMMYFUNCTION("""COMPUTED_VALUE"""),"Kecamatan Sidikalang Dalam Angka 2022")</f>
        <v>Kecamatan Sidikalang Dalam Angka 2022</v>
      </c>
      <c r="C844" s="13" t="str">
        <f>IFERROR(__xludf.DUMMYFUNCTION("""COMPUTED_VALUE"""),"Publikasi")</f>
        <v>Publikasi</v>
      </c>
      <c r="E844" s="19"/>
      <c r="F844" s="20"/>
    </row>
    <row r="845">
      <c r="A845" s="13" t="str">
        <f>IFERROR(__xludf.DUMMYFUNCTION("""COMPUTED_VALUE"""),"pasaribualexander5@gmail:com")</f>
        <v>pasaribualexander5@gmail:com</v>
      </c>
      <c r="B845" s="13" t="str">
        <f>IFERROR(__xludf.DUMMYFUNCTION("""COMPUTED_VALUE"""),"Hasil Pencacahan Lengkap Sensus Pertanian 2024 - Tahap I Kabupaten Dairi")</f>
        <v>Hasil Pencacahan Lengkap Sensus Pertanian 2024 - Tahap I Kabupaten Dairi</v>
      </c>
      <c r="C845" s="13" t="str">
        <f>IFERROR(__xludf.DUMMYFUNCTION("""COMPUTED_VALUE"""),"Publikasi")</f>
        <v>Publikasi</v>
      </c>
      <c r="E845" s="19"/>
      <c r="F845" s="20"/>
    </row>
    <row r="846">
      <c r="A846" s="13" t="str">
        <f>IFERROR(__xludf.DUMMYFUNCTION("""COMPUTED_VALUE"""),"pasaribualexander5@gmail:com")</f>
        <v>pasaribualexander5@gmail:com</v>
      </c>
      <c r="B846" s="13" t="str">
        <f>IFERROR(__xludf.DUMMYFUNCTION("""COMPUTED_VALUE"""),"Indeks Pembangunan Manusia Kabupaten Dairi 2024")</f>
        <v>Indeks Pembangunan Manusia Kabupaten Dairi 2024</v>
      </c>
      <c r="C846" s="13" t="str">
        <f>IFERROR(__xludf.DUMMYFUNCTION("""COMPUTED_VALUE"""),"Publikasi")</f>
        <v>Publikasi</v>
      </c>
      <c r="E846" s="19"/>
      <c r="F846" s="20"/>
    </row>
    <row r="847">
      <c r="A847" s="13" t="str">
        <f>IFERROR(__xludf.DUMMYFUNCTION("""COMPUTED_VALUE"""),"pasaribualexander5@gmail:com")</f>
        <v>pasaribualexander5@gmail:com</v>
      </c>
      <c r="B847" s="13" t="str">
        <f>IFERROR(__xludf.DUMMYFUNCTION("""COMPUTED_VALUE"""),"Indikator Kesejahteraan Rakyat Kabupaten Dairi Tahun 2024")</f>
        <v>Indikator Kesejahteraan Rakyat Kabupaten Dairi Tahun 2024</v>
      </c>
      <c r="C847" s="13" t="str">
        <f>IFERROR(__xludf.DUMMYFUNCTION("""COMPUTED_VALUE"""),"Publikasi")</f>
        <v>Publikasi</v>
      </c>
      <c r="E847" s="19"/>
      <c r="F847" s="20"/>
    </row>
    <row r="848">
      <c r="A848" s="13" t="str">
        <f>IFERROR(__xludf.DUMMYFUNCTION("""COMPUTED_VALUE"""),"pasaribualexander5@gmail:com")</f>
        <v>pasaribualexander5@gmail:com</v>
      </c>
      <c r="B848" s="13" t="str">
        <f>IFERROR(__xludf.DUMMYFUNCTION("""COMPUTED_VALUE"""),"Statistik Kesejahteraan Rakyat Kabupaten Dairi 2024")</f>
        <v>Statistik Kesejahteraan Rakyat Kabupaten Dairi 2024</v>
      </c>
      <c r="C848" s="13" t="str">
        <f>IFERROR(__xludf.DUMMYFUNCTION("""COMPUTED_VALUE"""),"Publikasi")</f>
        <v>Publikasi</v>
      </c>
      <c r="E848" s="19"/>
      <c r="F848" s="20"/>
    </row>
    <row r="849">
      <c r="A849" s="13" t="str">
        <f>IFERROR(__xludf.DUMMYFUNCTION("""COMPUTED_VALUE"""),"paulinajoko:ari@a:ca")</f>
        <v>paulinajoko:ari@a:ca</v>
      </c>
      <c r="B849" s="13" t="str">
        <f>IFERROR(__xludf.DUMMYFUNCTION("""COMPUTED_VALUE"""),"Kabupaten Dairi Dalam Angka 2024")</f>
        <v>Kabupaten Dairi Dalam Angka 2024</v>
      </c>
      <c r="C849" s="13" t="str">
        <f>IFERROR(__xludf.DUMMYFUNCTION("""COMPUTED_VALUE"""),"Publikasi")</f>
        <v>Publikasi</v>
      </c>
      <c r="E849" s="19"/>
      <c r="F849" s="20"/>
    </row>
    <row r="850">
      <c r="A850" s="13" t="str">
        <f>IFERROR(__xludf.DUMMYFUNCTION("""COMPUTED_VALUE"""),"paulussimamora04@gmail:com")</f>
        <v>paulussimamora04@gmail:com</v>
      </c>
      <c r="B850" s="13" t="str">
        <f>IFERROR(__xludf.DUMMYFUNCTION("""COMPUTED_VALUE"""),"Kecamatan Siempat Nempu Dalam Angka 2021")</f>
        <v>Kecamatan Siempat Nempu Dalam Angka 2021</v>
      </c>
      <c r="C850" s="13" t="str">
        <f>IFERROR(__xludf.DUMMYFUNCTION("""COMPUTED_VALUE"""),"Publikasi")</f>
        <v>Publikasi</v>
      </c>
      <c r="E850" s="19"/>
      <c r="F850" s="20"/>
    </row>
    <row r="851">
      <c r="A851" s="13" t="str">
        <f>IFERROR(__xludf.DUMMYFUNCTION("""COMPUTED_VALUE"""),"pengawas1210@gmail:com")</f>
        <v>pengawas1210@gmail:com</v>
      </c>
      <c r="B851" s="13" t="str">
        <f>IFERROR(__xludf.DUMMYFUNCTION("""COMPUTED_VALUE"""),"Analisis Hasil Survei Kebutuhan Data BPS Kabupaten Dairi 2024")</f>
        <v>Analisis Hasil Survei Kebutuhan Data BPS Kabupaten Dairi 2024</v>
      </c>
      <c r="C851" s="13" t="str">
        <f>IFERROR(__xludf.DUMMYFUNCTION("""COMPUTED_VALUE"""),"Publikasi")</f>
        <v>Publikasi</v>
      </c>
      <c r="E851" s="19"/>
      <c r="F851" s="20"/>
    </row>
    <row r="852">
      <c r="A852" s="13" t="str">
        <f>IFERROR(__xludf.DUMMYFUNCTION("""COMPUTED_VALUE"""),"pengawas1210@gmail:com")</f>
        <v>pengawas1210@gmail:com</v>
      </c>
      <c r="B852" s="13" t="str">
        <f>IFERROR(__xludf.DUMMYFUNCTION("""COMPUTED_VALUE"""),"Booklet Hasil Long Form Sensus Penduduk 2020 Kabupaten Dairi")</f>
        <v>Booklet Hasil Long Form Sensus Penduduk 2020 Kabupaten Dairi</v>
      </c>
      <c r="C852" s="13" t="str">
        <f>IFERROR(__xludf.DUMMYFUNCTION("""COMPUTED_VALUE"""),"Publikasi")</f>
        <v>Publikasi</v>
      </c>
      <c r="E852" s="19"/>
      <c r="F852" s="20"/>
    </row>
    <row r="853">
      <c r="A853" s="13" t="str">
        <f>IFERROR(__xludf.DUMMYFUNCTION("""COMPUTED_VALUE"""),"pengawas1210@gmail:com")</f>
        <v>pengawas1210@gmail:com</v>
      </c>
      <c r="B853" s="13" t="str">
        <f>IFERROR(__xludf.DUMMYFUNCTION("""COMPUTED_VALUE"""),"Buklet Hasil Pencacahan Lengkap Sensus Pertanian 2024 - Tahap I Kabupaten Dairi")</f>
        <v>Buklet Hasil Pencacahan Lengkap Sensus Pertanian 2024 - Tahap I Kabupaten Dairi</v>
      </c>
      <c r="C853" s="13" t="str">
        <f>IFERROR(__xludf.DUMMYFUNCTION("""COMPUTED_VALUE"""),"Publikasi")</f>
        <v>Publikasi</v>
      </c>
      <c r="E853" s="19"/>
      <c r="F853" s="20"/>
    </row>
    <row r="854">
      <c r="A854" s="13" t="str">
        <f>IFERROR(__xludf.DUMMYFUNCTION("""COMPUTED_VALUE"""),"pengawas1210@gmail:com")</f>
        <v>pengawas1210@gmail:com</v>
      </c>
      <c r="B854" s="13" t="str">
        <f>IFERROR(__xludf.DUMMYFUNCTION("""COMPUTED_VALUE"""),"Direktori Perusahaan Konstruksi Kabupaten Dairi 2022")</f>
        <v>Direktori Perusahaan Konstruksi Kabupaten Dairi 2022</v>
      </c>
      <c r="C854" s="13" t="str">
        <f>IFERROR(__xludf.DUMMYFUNCTION("""COMPUTED_VALUE"""),"Publikasi")</f>
        <v>Publikasi</v>
      </c>
      <c r="E854" s="19"/>
      <c r="F854" s="20"/>
    </row>
    <row r="855">
      <c r="A855" s="13" t="str">
        <f>IFERROR(__xludf.DUMMYFUNCTION("""COMPUTED_VALUE"""),"pengawas1210@gmail:com")</f>
        <v>pengawas1210@gmail:com</v>
      </c>
      <c r="B855" s="13" t="str">
        <f>IFERROR(__xludf.DUMMYFUNCTION("""COMPUTED_VALUE"""),"Hasil Pencacahan Lengkap Sensus Pertanian 2024 - Tahap I Kabupaten Dairi")</f>
        <v>Hasil Pencacahan Lengkap Sensus Pertanian 2024 - Tahap I Kabupaten Dairi</v>
      </c>
      <c r="C855" s="13" t="str">
        <f>IFERROR(__xludf.DUMMYFUNCTION("""COMPUTED_VALUE"""),"Publikasi")</f>
        <v>Publikasi</v>
      </c>
      <c r="E855" s="19"/>
      <c r="F855" s="20"/>
    </row>
    <row r="856">
      <c r="A856" s="13" t="str">
        <f>IFERROR(__xludf.DUMMYFUNCTION("""COMPUTED_VALUE"""),"pengawas1210@gmail:com")</f>
        <v>pengawas1210@gmail:com</v>
      </c>
      <c r="B856" s="13" t="str">
        <f>IFERROR(__xludf.DUMMYFUNCTION("""COMPUTED_VALUE"""),"Indeks Pembangunan Manusia Kabupaten Dairi 2022")</f>
        <v>Indeks Pembangunan Manusia Kabupaten Dairi 2022</v>
      </c>
      <c r="C856" s="13" t="str">
        <f>IFERROR(__xludf.DUMMYFUNCTION("""COMPUTED_VALUE"""),"Publikasi")</f>
        <v>Publikasi</v>
      </c>
      <c r="E856" s="19"/>
      <c r="F856" s="20"/>
    </row>
    <row r="857">
      <c r="A857" s="13" t="str">
        <f>IFERROR(__xludf.DUMMYFUNCTION("""COMPUTED_VALUE"""),"pengawas1210@gmail:com")</f>
        <v>pengawas1210@gmail:com</v>
      </c>
      <c r="B857" s="13" t="str">
        <f>IFERROR(__xludf.DUMMYFUNCTION("""COMPUTED_VALUE"""),"Indeks Pembangunan Manusia Kabupaten Dairi 2024")</f>
        <v>Indeks Pembangunan Manusia Kabupaten Dairi 2024</v>
      </c>
      <c r="C857" s="13" t="str">
        <f>IFERROR(__xludf.DUMMYFUNCTION("""COMPUTED_VALUE"""),"Publikasi")</f>
        <v>Publikasi</v>
      </c>
      <c r="E857" s="19"/>
      <c r="F857" s="20"/>
    </row>
    <row r="858">
      <c r="A858" s="13" t="str">
        <f>IFERROR(__xludf.DUMMYFUNCTION("""COMPUTED_VALUE"""),"pengawas1210@gmail:com")</f>
        <v>pengawas1210@gmail:com</v>
      </c>
      <c r="B858" s="13" t="str">
        <f>IFERROR(__xludf.DUMMYFUNCTION("""COMPUTED_VALUE"""),"Indikator Kesejahteraan Rakyat Kabupaten Dairi Tahun 2022")</f>
        <v>Indikator Kesejahteraan Rakyat Kabupaten Dairi Tahun 2022</v>
      </c>
      <c r="C858" s="13" t="str">
        <f>IFERROR(__xludf.DUMMYFUNCTION("""COMPUTED_VALUE"""),"Publikasi")</f>
        <v>Publikasi</v>
      </c>
      <c r="E858" s="19"/>
      <c r="F858" s="20"/>
    </row>
    <row r="859">
      <c r="A859" s="13" t="str">
        <f>IFERROR(__xludf.DUMMYFUNCTION("""COMPUTED_VALUE"""),"pengawas1210@gmail:com")</f>
        <v>pengawas1210@gmail:com</v>
      </c>
      <c r="B859" s="13" t="str">
        <f>IFERROR(__xludf.DUMMYFUNCTION("""COMPUTED_VALUE"""),"Indikator Kesejahteraan Rakyat Kabupaten Dairi Tahun 2024")</f>
        <v>Indikator Kesejahteraan Rakyat Kabupaten Dairi Tahun 2024</v>
      </c>
      <c r="C859" s="13" t="str">
        <f>IFERROR(__xludf.DUMMYFUNCTION("""COMPUTED_VALUE"""),"Publikasi")</f>
        <v>Publikasi</v>
      </c>
      <c r="E859" s="19"/>
      <c r="F859" s="20"/>
    </row>
    <row r="860">
      <c r="A860" s="13" t="str">
        <f>IFERROR(__xludf.DUMMYFUNCTION("""COMPUTED_VALUE"""),"pengawas1210@gmail:com")</f>
        <v>pengawas1210@gmail:com</v>
      </c>
      <c r="B860" s="13" t="str">
        <f>IFERROR(__xludf.DUMMYFUNCTION("""COMPUTED_VALUE"""),"Kabupaten Dairi Dalam Angka 2024")</f>
        <v>Kabupaten Dairi Dalam Angka 2024</v>
      </c>
      <c r="C860" s="13" t="str">
        <f>IFERROR(__xludf.DUMMYFUNCTION("""COMPUTED_VALUE"""),"Publikasi")</f>
        <v>Publikasi</v>
      </c>
      <c r="E860" s="19"/>
      <c r="F860" s="20"/>
    </row>
    <row r="861">
      <c r="A861" s="13" t="str">
        <f>IFERROR(__xludf.DUMMYFUNCTION("""COMPUTED_VALUE"""),"pengawas1210@gmail:com")</f>
        <v>pengawas1210@gmail:com</v>
      </c>
      <c r="B861" s="13" t="str">
        <f>IFERROR(__xludf.DUMMYFUNCTION("""COMPUTED_VALUE"""),"Kecamatan Sumbul Dalam Angka 2024")</f>
        <v>Kecamatan Sumbul Dalam Angka 2024</v>
      </c>
      <c r="C861" s="13" t="str">
        <f>IFERROR(__xludf.DUMMYFUNCTION("""COMPUTED_VALUE"""),"Publikasi")</f>
        <v>Publikasi</v>
      </c>
      <c r="E861" s="19"/>
      <c r="F861" s="20"/>
    </row>
    <row r="862">
      <c r="A862" s="13" t="str">
        <f>IFERROR(__xludf.DUMMYFUNCTION("""COMPUTED_VALUE"""),"pengawas1210@gmail:com")</f>
        <v>pengawas1210@gmail:com</v>
      </c>
      <c r="B862" s="13" t="str">
        <f>IFERROR(__xludf.DUMMYFUNCTION("""COMPUTED_VALUE"""),"Produk Domestik Regional Bruto Kabupaten Dairi Menurut Lapangan Usaha 2018 - 2022")</f>
        <v>Produk Domestik Regional Bruto Kabupaten Dairi Menurut Lapangan Usaha 2018 - 2022</v>
      </c>
      <c r="C862" s="13" t="str">
        <f>IFERROR(__xludf.DUMMYFUNCTION("""COMPUTED_VALUE"""),"Publikasi")</f>
        <v>Publikasi</v>
      </c>
      <c r="E862" s="19"/>
      <c r="F862" s="20"/>
    </row>
    <row r="863">
      <c r="A863" s="13" t="str">
        <f>IFERROR(__xludf.DUMMYFUNCTION("""COMPUTED_VALUE"""),"pengawas1210@gmail:com")</f>
        <v>pengawas1210@gmail:com</v>
      </c>
      <c r="B863" s="13" t="str">
        <f>IFERROR(__xludf.DUMMYFUNCTION("""COMPUTED_VALUE"""),"Produk Domestik Regional Bruto Kabupaten Dairi Menurut Pengeluaran 2018 - 2022")</f>
        <v>Produk Domestik Regional Bruto Kabupaten Dairi Menurut Pengeluaran 2018 - 2022</v>
      </c>
      <c r="C863" s="13" t="str">
        <f>IFERROR(__xludf.DUMMYFUNCTION("""COMPUTED_VALUE"""),"Publikasi")</f>
        <v>Publikasi</v>
      </c>
      <c r="E863" s="19"/>
      <c r="F863" s="20"/>
    </row>
    <row r="864">
      <c r="A864" s="13" t="str">
        <f>IFERROR(__xludf.DUMMYFUNCTION("""COMPUTED_VALUE"""),"pengawas1210@gmail:com")</f>
        <v>pengawas1210@gmail:com</v>
      </c>
      <c r="B864" s="13" t="str">
        <f>IFERROR(__xludf.DUMMYFUNCTION("""COMPUTED_VALUE"""),"Profil Kependudukan dan Ketenagakerjaan Kabupaten Dairi 2022")</f>
        <v>Profil Kependudukan dan Ketenagakerjaan Kabupaten Dairi 2022</v>
      </c>
      <c r="C864" s="13" t="str">
        <f>IFERROR(__xludf.DUMMYFUNCTION("""COMPUTED_VALUE"""),"Publikasi")</f>
        <v>Publikasi</v>
      </c>
      <c r="E864" s="19"/>
      <c r="F864" s="20"/>
    </row>
    <row r="865">
      <c r="A865" s="13" t="str">
        <f>IFERROR(__xludf.DUMMYFUNCTION("""COMPUTED_VALUE"""),"pengawas1210@gmail:com")</f>
        <v>pengawas1210@gmail:com</v>
      </c>
      <c r="B865" s="13" t="str">
        <f>IFERROR(__xludf.DUMMYFUNCTION("""COMPUTED_VALUE"""),"Statistik Daerah Kabupaten Dairi 2024")</f>
        <v>Statistik Daerah Kabupaten Dairi 2024</v>
      </c>
      <c r="C865" s="13" t="str">
        <f>IFERROR(__xludf.DUMMYFUNCTION("""COMPUTED_VALUE"""),"Publikasi")</f>
        <v>Publikasi</v>
      </c>
      <c r="E865" s="19"/>
      <c r="F865" s="20"/>
    </row>
    <row r="866">
      <c r="A866" s="13" t="str">
        <f>IFERROR(__xludf.DUMMYFUNCTION("""COMPUTED_VALUE"""),"pengawas1210@gmail:com")</f>
        <v>pengawas1210@gmail:com</v>
      </c>
      <c r="B866" s="13" t="str">
        <f>IFERROR(__xludf.DUMMYFUNCTION("""COMPUTED_VALUE"""),"Statistik Hortikultura Kabupaten Dairi Tahun 2022")</f>
        <v>Statistik Hortikultura Kabupaten Dairi Tahun 2022</v>
      </c>
      <c r="C866" s="13" t="str">
        <f>IFERROR(__xludf.DUMMYFUNCTION("""COMPUTED_VALUE"""),"Publikasi")</f>
        <v>Publikasi</v>
      </c>
      <c r="E866" s="19"/>
      <c r="F866" s="20"/>
    </row>
    <row r="867">
      <c r="A867" s="13" t="str">
        <f>IFERROR(__xludf.DUMMYFUNCTION("""COMPUTED_VALUE"""),"pengawas1210@gmail:com")</f>
        <v>pengawas1210@gmail:com</v>
      </c>
      <c r="B867" s="13" t="str">
        <f>IFERROR(__xludf.DUMMYFUNCTION("""COMPUTED_VALUE"""),"Statistik Kesejahteraan Rakyat Kabupaten Dairi 2024")</f>
        <v>Statistik Kesejahteraan Rakyat Kabupaten Dairi 2024</v>
      </c>
      <c r="C867" s="13" t="str">
        <f>IFERROR(__xludf.DUMMYFUNCTION("""COMPUTED_VALUE"""),"Publikasi")</f>
        <v>Publikasi</v>
      </c>
      <c r="E867" s="19"/>
      <c r="F867" s="20"/>
    </row>
    <row r="868">
      <c r="A868" s="13" t="str">
        <f>IFERROR(__xludf.DUMMYFUNCTION("""COMPUTED_VALUE"""),"pengawas1210@gmail:com")</f>
        <v>pengawas1210@gmail:com</v>
      </c>
      <c r="B868" s="13" t="str">
        <f>IFERROR(__xludf.DUMMYFUNCTION("""COMPUTED_VALUE"""),"Statistik Tanaman Pangan (Padi dan Palawija) Kabupaten Dairi 2022")</f>
        <v>Statistik Tanaman Pangan (Padi dan Palawija) Kabupaten Dairi 2022</v>
      </c>
      <c r="C868" s="13" t="str">
        <f>IFERROR(__xludf.DUMMYFUNCTION("""COMPUTED_VALUE"""),"Publikasi")</f>
        <v>Publikasi</v>
      </c>
      <c r="E868" s="19"/>
      <c r="F868" s="20"/>
    </row>
    <row r="869">
      <c r="A869" s="13" t="str">
        <f>IFERROR(__xludf.DUMMYFUNCTION("""COMPUTED_VALUE"""),"pengawas1210@gmail:com")</f>
        <v>pengawas1210@gmail:com</v>
      </c>
      <c r="B869" s="13" t="str">
        <f>IFERROR(__xludf.DUMMYFUNCTION("""COMPUTED_VALUE"""),"Tingkat Penghunian Kamar Akomodasi Dairi 2022")</f>
        <v>Tingkat Penghunian Kamar Akomodasi Dairi 2022</v>
      </c>
      <c r="C869" s="13" t="str">
        <f>IFERROR(__xludf.DUMMYFUNCTION("""COMPUTED_VALUE"""),"Publikasi")</f>
        <v>Publikasi</v>
      </c>
      <c r="E869" s="19"/>
      <c r="F869" s="20"/>
    </row>
    <row r="870">
      <c r="A870" s="13" t="str">
        <f>IFERROR(__xludf.DUMMYFUNCTION("""COMPUTED_VALUE"""),"perdanaginting1@gmail:com")</f>
        <v>perdanaginting1@gmail:com</v>
      </c>
      <c r="B870" s="13" t="str">
        <f>IFERROR(__xludf.DUMMYFUNCTION("""COMPUTED_VALUE"""),"Kabupaten Dairi Dalam Angka 2022")</f>
        <v>Kabupaten Dairi Dalam Angka 2022</v>
      </c>
      <c r="C870" s="13" t="str">
        <f>IFERROR(__xludf.DUMMYFUNCTION("""COMPUTED_VALUE"""),"Publikasi")</f>
        <v>Publikasi</v>
      </c>
      <c r="E870" s="19"/>
      <c r="F870" s="20"/>
    </row>
    <row r="871">
      <c r="A871" s="13" t="str">
        <f>IFERROR(__xludf.DUMMYFUNCTION("""COMPUTED_VALUE"""),"pietnoorch@gmail:com")</f>
        <v>pietnoorch@gmail:com</v>
      </c>
      <c r="B871" s="13" t="str">
        <f>IFERROR(__xludf.DUMMYFUNCTION("""COMPUTED_VALUE"""),"Kabupaten Dairi Dalam Angka 2021")</f>
        <v>Kabupaten Dairi Dalam Angka 2021</v>
      </c>
      <c r="C871" s="13" t="str">
        <f>IFERROR(__xludf.DUMMYFUNCTION("""COMPUTED_VALUE"""),"Publikasi")</f>
        <v>Publikasi</v>
      </c>
      <c r="E871" s="19"/>
      <c r="F871" s="20"/>
    </row>
    <row r="872">
      <c r="A872" s="13" t="str">
        <f>IFERROR(__xludf.DUMMYFUNCTION("""COMPUTED_VALUE"""),"pionir:ryuputra@gmail:com")</f>
        <v>pionir:ryuputra@gmail:com</v>
      </c>
      <c r="B872" s="13" t="str">
        <f>IFERROR(__xludf.DUMMYFUNCTION("""COMPUTED_VALUE"""),"Direktori Perusahaan Konstruksi Tahun 2021")</f>
        <v>Direktori Perusahaan Konstruksi Tahun 2021</v>
      </c>
      <c r="C872" s="13" t="str">
        <f>IFERROR(__xludf.DUMMYFUNCTION("""COMPUTED_VALUE"""),"Publikasi")</f>
        <v>Publikasi</v>
      </c>
      <c r="E872" s="19"/>
      <c r="F872" s="20"/>
    </row>
    <row r="873">
      <c r="A873" s="13" t="str">
        <f>IFERROR(__xludf.DUMMYFUNCTION("""COMPUTED_VALUE"""),"pmstoba@gmail:com")</f>
        <v>pmstoba@gmail:com</v>
      </c>
      <c r="B873" s="13" t="str">
        <f>IFERROR(__xludf.DUMMYFUNCTION("""COMPUTED_VALUE"""),"Kabupaten Dairi Dalam Angka 2024")</f>
        <v>Kabupaten Dairi Dalam Angka 2024</v>
      </c>
      <c r="C873" s="13" t="str">
        <f>IFERROR(__xludf.DUMMYFUNCTION("""COMPUTED_VALUE"""),"Publikasi")</f>
        <v>Publikasi</v>
      </c>
      <c r="E873" s="19"/>
      <c r="F873" s="20"/>
    </row>
    <row r="874">
      <c r="A874" s="13" t="str">
        <f>IFERROR(__xludf.DUMMYFUNCTION("""COMPUTED_VALUE"""),"pranata:spi:mas@gmail:com")</f>
        <v>pranata:spi:mas@gmail:com</v>
      </c>
      <c r="B874" s="13" t="str">
        <f>IFERROR(__xludf.DUMMYFUNCTION("""COMPUTED_VALUE"""),"Kecamatan Berampu Dalam Angka 2022")</f>
        <v>Kecamatan Berampu Dalam Angka 2022</v>
      </c>
      <c r="C874" s="13" t="str">
        <f>IFERROR(__xludf.DUMMYFUNCTION("""COMPUTED_VALUE"""),"Publikasi")</f>
        <v>Publikasi</v>
      </c>
      <c r="E874" s="19"/>
      <c r="F874" s="20"/>
    </row>
    <row r="875">
      <c r="A875" s="13" t="str">
        <f>IFERROR(__xludf.DUMMYFUNCTION("""COMPUTED_VALUE"""),"pranata:spi:mas@gmail:com")</f>
        <v>pranata:spi:mas@gmail:com</v>
      </c>
      <c r="B875" s="13" t="str">
        <f>IFERROR(__xludf.DUMMYFUNCTION("""COMPUTED_VALUE"""),"Kecamatan Gunung Sitember Dalam Angka 2022")</f>
        <v>Kecamatan Gunung Sitember Dalam Angka 2022</v>
      </c>
      <c r="C875" s="13" t="str">
        <f>IFERROR(__xludf.DUMMYFUNCTION("""COMPUTED_VALUE"""),"Publikasi")</f>
        <v>Publikasi</v>
      </c>
      <c r="E875" s="19"/>
      <c r="F875" s="20"/>
    </row>
    <row r="876">
      <c r="A876" s="13" t="str">
        <f>IFERROR(__xludf.DUMMYFUNCTION("""COMPUTED_VALUE"""),"pranata:spi:mas@gmail:com")</f>
        <v>pranata:spi:mas@gmail:com</v>
      </c>
      <c r="B876" s="13" t="str">
        <f>IFERROR(__xludf.DUMMYFUNCTION("""COMPUTED_VALUE"""),"Kecamatan Lae Parira Dalam Angka 2022")</f>
        <v>Kecamatan Lae Parira Dalam Angka 2022</v>
      </c>
      <c r="C876" s="13" t="str">
        <f>IFERROR(__xludf.DUMMYFUNCTION("""COMPUTED_VALUE"""),"Publikasi")</f>
        <v>Publikasi</v>
      </c>
      <c r="E876" s="19"/>
      <c r="F876" s="20"/>
    </row>
    <row r="877">
      <c r="A877" s="13" t="str">
        <f>IFERROR(__xludf.DUMMYFUNCTION("""COMPUTED_VALUE"""),"pranata:spi:mas@gmail:com")</f>
        <v>pranata:spi:mas@gmail:com</v>
      </c>
      <c r="B877" s="13" t="str">
        <f>IFERROR(__xludf.DUMMYFUNCTION("""COMPUTED_VALUE"""),"Kecamatan Parbuluan Dalam Angka 2022")</f>
        <v>Kecamatan Parbuluan Dalam Angka 2022</v>
      </c>
      <c r="C877" s="13" t="str">
        <f>IFERROR(__xludf.DUMMYFUNCTION("""COMPUTED_VALUE"""),"Publikasi")</f>
        <v>Publikasi</v>
      </c>
      <c r="E877" s="19"/>
      <c r="F877" s="20"/>
    </row>
    <row r="878">
      <c r="A878" s="13" t="str">
        <f>IFERROR(__xludf.DUMMYFUNCTION("""COMPUTED_VALUE"""),"pranata:spi:mas@gmail:com")</f>
        <v>pranata:spi:mas@gmail:com</v>
      </c>
      <c r="B878" s="13" t="str">
        <f>IFERROR(__xludf.DUMMYFUNCTION("""COMPUTED_VALUE"""),"Kecamatan Pegagan Hilir Dalam Angka 2022")</f>
        <v>Kecamatan Pegagan Hilir Dalam Angka 2022</v>
      </c>
      <c r="C878" s="13" t="str">
        <f>IFERROR(__xludf.DUMMYFUNCTION("""COMPUTED_VALUE"""),"Publikasi")</f>
        <v>Publikasi</v>
      </c>
      <c r="E878" s="19"/>
      <c r="F878" s="20"/>
    </row>
    <row r="879">
      <c r="A879" s="13" t="str">
        <f>IFERROR(__xludf.DUMMYFUNCTION("""COMPUTED_VALUE"""),"pranata:spi:mas@gmail:com")</f>
        <v>pranata:spi:mas@gmail:com</v>
      </c>
      <c r="B879" s="13" t="str">
        <f>IFERROR(__xludf.DUMMYFUNCTION("""COMPUTED_VALUE"""),"Kecamatan Sidikalang Dalam Angka 2022")</f>
        <v>Kecamatan Sidikalang Dalam Angka 2022</v>
      </c>
      <c r="C879" s="13" t="str">
        <f>IFERROR(__xludf.DUMMYFUNCTION("""COMPUTED_VALUE"""),"Publikasi")</f>
        <v>Publikasi</v>
      </c>
      <c r="E879" s="19"/>
      <c r="F879" s="20"/>
    </row>
    <row r="880">
      <c r="A880" s="13" t="str">
        <f>IFERROR(__xludf.DUMMYFUNCTION("""COMPUTED_VALUE"""),"pranata:spi:mas@gmail:com")</f>
        <v>pranata:spi:mas@gmail:com</v>
      </c>
      <c r="B880" s="13" t="str">
        <f>IFERROR(__xludf.DUMMYFUNCTION("""COMPUTED_VALUE"""),"Kecamatan Siempat Nempu Dalam Angka 2022")</f>
        <v>Kecamatan Siempat Nempu Dalam Angka 2022</v>
      </c>
      <c r="C880" s="13" t="str">
        <f>IFERROR(__xludf.DUMMYFUNCTION("""COMPUTED_VALUE"""),"Publikasi")</f>
        <v>Publikasi</v>
      </c>
      <c r="E880" s="19"/>
      <c r="F880" s="20"/>
    </row>
    <row r="881">
      <c r="A881" s="13" t="str">
        <f>IFERROR(__xludf.DUMMYFUNCTION("""COMPUTED_VALUE"""),"pranata:spi:mas@gmail:com")</f>
        <v>pranata:spi:mas@gmail:com</v>
      </c>
      <c r="B881" s="13" t="str">
        <f>IFERROR(__xludf.DUMMYFUNCTION("""COMPUTED_VALUE"""),"Kecamatan Siempat Nempu Hilir Dalam Angka 2022")</f>
        <v>Kecamatan Siempat Nempu Hilir Dalam Angka 2022</v>
      </c>
      <c r="C881" s="13" t="str">
        <f>IFERROR(__xludf.DUMMYFUNCTION("""COMPUTED_VALUE"""),"Publikasi")</f>
        <v>Publikasi</v>
      </c>
      <c r="E881" s="19"/>
      <c r="F881" s="20"/>
    </row>
    <row r="882">
      <c r="A882" s="13" t="str">
        <f>IFERROR(__xludf.DUMMYFUNCTION("""COMPUTED_VALUE"""),"pranata:spi:mas@gmail:com")</f>
        <v>pranata:spi:mas@gmail:com</v>
      </c>
      <c r="B882" s="13" t="str">
        <f>IFERROR(__xludf.DUMMYFUNCTION("""COMPUTED_VALUE"""),"Kecamatan Siempat Nempu Hulu Dalam Angka 2022")</f>
        <v>Kecamatan Siempat Nempu Hulu Dalam Angka 2022</v>
      </c>
      <c r="C882" s="13" t="str">
        <f>IFERROR(__xludf.DUMMYFUNCTION("""COMPUTED_VALUE"""),"Publikasi")</f>
        <v>Publikasi</v>
      </c>
      <c r="E882" s="19"/>
      <c r="F882" s="20"/>
    </row>
    <row r="883">
      <c r="A883" s="13" t="str">
        <f>IFERROR(__xludf.DUMMYFUNCTION("""COMPUTED_VALUE"""),"pranata:spi:mas@gmail:com")</f>
        <v>pranata:spi:mas@gmail:com</v>
      </c>
      <c r="B883" s="13" t="str">
        <f>IFERROR(__xludf.DUMMYFUNCTION("""COMPUTED_VALUE"""),"Kecamatan Silahisabungan Dalam Angka 2022")</f>
        <v>Kecamatan Silahisabungan Dalam Angka 2022</v>
      </c>
      <c r="C883" s="13" t="str">
        <f>IFERROR(__xludf.DUMMYFUNCTION("""COMPUTED_VALUE"""),"Publikasi")</f>
        <v>Publikasi</v>
      </c>
      <c r="E883" s="19"/>
      <c r="F883" s="20"/>
    </row>
    <row r="884">
      <c r="A884" s="13" t="str">
        <f>IFERROR(__xludf.DUMMYFUNCTION("""COMPUTED_VALUE"""),"pranata:spi:mas@gmail:com")</f>
        <v>pranata:spi:mas@gmail:com</v>
      </c>
      <c r="B884" s="13" t="str">
        <f>IFERROR(__xludf.DUMMYFUNCTION("""COMPUTED_VALUE"""),"Kecamatan Silima Pungga-Pungga Dalam Angka 2022")</f>
        <v>Kecamatan Silima Pungga-Pungga Dalam Angka 2022</v>
      </c>
      <c r="C884" s="13" t="str">
        <f>IFERROR(__xludf.DUMMYFUNCTION("""COMPUTED_VALUE"""),"Publikasi")</f>
        <v>Publikasi</v>
      </c>
      <c r="E884" s="19"/>
      <c r="F884" s="20"/>
    </row>
    <row r="885">
      <c r="A885" s="13" t="str">
        <f>IFERROR(__xludf.DUMMYFUNCTION("""COMPUTED_VALUE"""),"pranata:spi:mas@gmail:com")</f>
        <v>pranata:spi:mas@gmail:com</v>
      </c>
      <c r="B885" s="13" t="str">
        <f>IFERROR(__xludf.DUMMYFUNCTION("""COMPUTED_VALUE"""),"Kecamatan Sitinjo Dalam Angka 2022")</f>
        <v>Kecamatan Sitinjo Dalam Angka 2022</v>
      </c>
      <c r="C885" s="13" t="str">
        <f>IFERROR(__xludf.DUMMYFUNCTION("""COMPUTED_VALUE"""),"Publikasi")</f>
        <v>Publikasi</v>
      </c>
      <c r="E885" s="19"/>
      <c r="F885" s="20"/>
    </row>
    <row r="886">
      <c r="A886" s="13" t="str">
        <f>IFERROR(__xludf.DUMMYFUNCTION("""COMPUTED_VALUE"""),"pranata:spi:mas@gmail:com")</f>
        <v>pranata:spi:mas@gmail:com</v>
      </c>
      <c r="B886" s="13" t="str">
        <f>IFERROR(__xludf.DUMMYFUNCTION("""COMPUTED_VALUE"""),"Kecamatan Sumbul Dalam Angka 2022")</f>
        <v>Kecamatan Sumbul Dalam Angka 2022</v>
      </c>
      <c r="C886" s="13" t="str">
        <f>IFERROR(__xludf.DUMMYFUNCTION("""COMPUTED_VALUE"""),"Publikasi")</f>
        <v>Publikasi</v>
      </c>
      <c r="E886" s="19"/>
      <c r="F886" s="20"/>
    </row>
    <row r="887">
      <c r="A887" s="13" t="str">
        <f>IFERROR(__xludf.DUMMYFUNCTION("""COMPUTED_VALUE"""),"pranata:spi:mas@gmail:com")</f>
        <v>pranata:spi:mas@gmail:com</v>
      </c>
      <c r="B887" s="13" t="str">
        <f>IFERROR(__xludf.DUMMYFUNCTION("""COMPUTED_VALUE"""),"Kecamatan Tanah Pinem Dalam Angka 2022")</f>
        <v>Kecamatan Tanah Pinem Dalam Angka 2022</v>
      </c>
      <c r="C887" s="13" t="str">
        <f>IFERROR(__xludf.DUMMYFUNCTION("""COMPUTED_VALUE"""),"Publikasi")</f>
        <v>Publikasi</v>
      </c>
      <c r="E887" s="19"/>
      <c r="F887" s="20"/>
    </row>
    <row r="888">
      <c r="A888" s="13" t="str">
        <f>IFERROR(__xludf.DUMMYFUNCTION("""COMPUTED_VALUE"""),"pranata:spi:mas@gmail:com")</f>
        <v>pranata:spi:mas@gmail:com</v>
      </c>
      <c r="B888" s="13" t="str">
        <f>IFERROR(__xludf.DUMMYFUNCTION("""COMPUTED_VALUE"""),"Kecamatan Tiga Lingga Dalam Angka 2022")</f>
        <v>Kecamatan Tiga Lingga Dalam Angka 2022</v>
      </c>
      <c r="C888" s="13" t="str">
        <f>IFERROR(__xludf.DUMMYFUNCTION("""COMPUTED_VALUE"""),"Publikasi")</f>
        <v>Publikasi</v>
      </c>
      <c r="E888" s="19"/>
      <c r="F888" s="20"/>
    </row>
    <row r="889">
      <c r="A889" s="13" t="str">
        <f>IFERROR(__xludf.DUMMYFUNCTION("""COMPUTED_VALUE"""),"pransihotang21@gmail:com")</f>
        <v>pransihotang21@gmail:com</v>
      </c>
      <c r="B889" s="13" t="str">
        <f>IFERROR(__xludf.DUMMYFUNCTION("""COMPUTED_VALUE"""),"Kecamatan Sidikalang Dalam Angka 2024")</f>
        <v>Kecamatan Sidikalang Dalam Angka 2024</v>
      </c>
      <c r="C889" s="13" t="str">
        <f>IFERROR(__xludf.DUMMYFUNCTION("""COMPUTED_VALUE"""),"Publikasi")</f>
        <v>Publikasi</v>
      </c>
      <c r="E889" s="19"/>
      <c r="F889" s="20"/>
    </row>
    <row r="890">
      <c r="A890" s="13" t="str">
        <f>IFERROR(__xludf.DUMMYFUNCTION("""COMPUTED_VALUE"""),"pransihotang21@gmail:com")</f>
        <v>pransihotang21@gmail:com</v>
      </c>
      <c r="B890" s="13" t="str">
        <f>IFERROR(__xludf.DUMMYFUNCTION("""COMPUTED_VALUE"""),"Kecamatan Silahisabungan Dalam Angka 2024")</f>
        <v>Kecamatan Silahisabungan Dalam Angka 2024</v>
      </c>
      <c r="C890" s="13" t="str">
        <f>IFERROR(__xludf.DUMMYFUNCTION("""COMPUTED_VALUE"""),"Publikasi")</f>
        <v>Publikasi</v>
      </c>
      <c r="E890" s="19"/>
      <c r="F890" s="20"/>
    </row>
    <row r="891">
      <c r="A891" s="13" t="str">
        <f>IFERROR(__xludf.DUMMYFUNCTION("""COMPUTED_VALUE"""),"pransihotang21@gmail:com")</f>
        <v>pransihotang21@gmail:com</v>
      </c>
      <c r="B891" s="13" t="str">
        <f>IFERROR(__xludf.DUMMYFUNCTION("""COMPUTED_VALUE"""),"Kecamatan Sitinjo Dalam Angka 2024")</f>
        <v>Kecamatan Sitinjo Dalam Angka 2024</v>
      </c>
      <c r="C891" s="13" t="str">
        <f>IFERROR(__xludf.DUMMYFUNCTION("""COMPUTED_VALUE"""),"Publikasi")</f>
        <v>Publikasi</v>
      </c>
      <c r="E891" s="19"/>
      <c r="F891" s="20"/>
    </row>
    <row r="892">
      <c r="A892" s="13" t="str">
        <f>IFERROR(__xludf.DUMMYFUNCTION("""COMPUTED_VALUE"""),"pransihotang21@gmail:com")</f>
        <v>pransihotang21@gmail:com</v>
      </c>
      <c r="B892" s="13" t="str">
        <f>IFERROR(__xludf.DUMMYFUNCTION("""COMPUTED_VALUE"""),"Kecamatan Sumbul Dalam Angka 2024")</f>
        <v>Kecamatan Sumbul Dalam Angka 2024</v>
      </c>
      <c r="C892" s="13" t="str">
        <f>IFERROR(__xludf.DUMMYFUNCTION("""COMPUTED_VALUE"""),"Publikasi")</f>
        <v>Publikasi</v>
      </c>
      <c r="E892" s="19"/>
      <c r="F892" s="20"/>
    </row>
    <row r="893">
      <c r="A893" s="13" t="str">
        <f>IFERROR(__xludf.DUMMYFUNCTION("""COMPUTED_VALUE"""),"pransihotang21@gmail:com")</f>
        <v>pransihotang21@gmail:com</v>
      </c>
      <c r="B893" s="13" t="str">
        <f>IFERROR(__xludf.DUMMYFUNCTION("""COMPUTED_VALUE"""),"Kecamatan Tiga Lingga Dalam Angka 2024")</f>
        <v>Kecamatan Tiga Lingga Dalam Angka 2024</v>
      </c>
      <c r="C893" s="13" t="str">
        <f>IFERROR(__xludf.DUMMYFUNCTION("""COMPUTED_VALUE"""),"Publikasi")</f>
        <v>Publikasi</v>
      </c>
      <c r="E893" s="19"/>
      <c r="F893" s="20"/>
    </row>
    <row r="894">
      <c r="A894" s="13" t="str">
        <f>IFERROR(__xludf.DUMMYFUNCTION("""COMPUTED_VALUE"""),"prio:abu@gmail:com")</f>
        <v>prio:abu@gmail:com</v>
      </c>
      <c r="B894" s="13" t="str">
        <f>IFERROR(__xludf.DUMMYFUNCTION("""COMPUTED_VALUE"""),"Kabupaten Dairi Dalam Angka 2022")</f>
        <v>Kabupaten Dairi Dalam Angka 2022</v>
      </c>
      <c r="C894" s="13" t="str">
        <f>IFERROR(__xludf.DUMMYFUNCTION("""COMPUTED_VALUE"""),"Publikasi")</f>
        <v>Publikasi</v>
      </c>
      <c r="E894" s="19"/>
      <c r="F894" s="20"/>
    </row>
    <row r="895">
      <c r="A895" s="13" t="str">
        <f>IFERROR(__xludf.DUMMYFUNCTION("""COMPUTED_VALUE"""),"prio:arif@bps:go:id")</f>
        <v>prio:arif@bps:go:id</v>
      </c>
      <c r="B895" s="13" t="str">
        <f>IFERROR(__xludf.DUMMYFUNCTION("""COMPUTED_VALUE"""),"Analisis Hasil Survei Kebutuhan Data BPS Kabupaten Dairi 2021")</f>
        <v>Analisis Hasil Survei Kebutuhan Data BPS Kabupaten Dairi 2021</v>
      </c>
      <c r="C895" s="13" t="str">
        <f>IFERROR(__xludf.DUMMYFUNCTION("""COMPUTED_VALUE"""),"Publikasi")</f>
        <v>Publikasi</v>
      </c>
      <c r="E895" s="19"/>
      <c r="F895" s="20"/>
    </row>
    <row r="896">
      <c r="A896" s="13" t="str">
        <f>IFERROR(__xludf.DUMMYFUNCTION("""COMPUTED_VALUE"""),"prio:arif@bps:go:id")</f>
        <v>prio:arif@bps:go:id</v>
      </c>
      <c r="B896" s="13" t="str">
        <f>IFERROR(__xludf.DUMMYFUNCTION("""COMPUTED_VALUE"""),"Kecamatan Silahisabungan Dalam Angka 2020")</f>
        <v>Kecamatan Silahisabungan Dalam Angka 2020</v>
      </c>
      <c r="C896" s="13" t="str">
        <f>IFERROR(__xludf.DUMMYFUNCTION("""COMPUTED_VALUE"""),"Publikasi")</f>
        <v>Publikasi</v>
      </c>
      <c r="E896" s="19"/>
      <c r="F896" s="20"/>
    </row>
    <row r="897">
      <c r="A897" s="13" t="str">
        <f>IFERROR(__xludf.DUMMYFUNCTION("""COMPUTED_VALUE"""),"prio:arif@bps:go:id")</f>
        <v>prio:arif@bps:go:id</v>
      </c>
      <c r="B897" s="13" t="str">
        <f>IFERROR(__xludf.DUMMYFUNCTION("""COMPUTED_VALUE"""),"Kecamatan Silahisabungan Dalam Angka 2021")</f>
        <v>Kecamatan Silahisabungan Dalam Angka 2021</v>
      </c>
      <c r="C897" s="13" t="str">
        <f>IFERROR(__xludf.DUMMYFUNCTION("""COMPUTED_VALUE"""),"Publikasi")</f>
        <v>Publikasi</v>
      </c>
      <c r="E897" s="19"/>
      <c r="F897" s="20"/>
    </row>
    <row r="898">
      <c r="A898" s="13" t="str">
        <f>IFERROR(__xludf.DUMMYFUNCTION("""COMPUTED_VALUE"""),"prio:arif@bps:go:id")</f>
        <v>prio:arif@bps:go:id</v>
      </c>
      <c r="B898" s="13" t="str">
        <f>IFERROR(__xludf.DUMMYFUNCTION("""COMPUTED_VALUE"""),"Kecamatan Tanah Pinem Dalam Angka 2020")</f>
        <v>Kecamatan Tanah Pinem Dalam Angka 2020</v>
      </c>
      <c r="C898" s="13" t="str">
        <f>IFERROR(__xludf.DUMMYFUNCTION("""COMPUTED_VALUE"""),"Publikasi")</f>
        <v>Publikasi</v>
      </c>
      <c r="E898" s="19"/>
      <c r="F898" s="20"/>
    </row>
    <row r="899">
      <c r="A899" s="13" t="str">
        <f>IFERROR(__xludf.DUMMYFUNCTION("""COMPUTED_VALUE"""),"prio:arif@bps:go:id")</f>
        <v>prio:arif@bps:go:id</v>
      </c>
      <c r="B899" s="13" t="str">
        <f>IFERROR(__xludf.DUMMYFUNCTION("""COMPUTED_VALUE"""),"Kecamatan Tanah Pinem Dalam Angka 2021")</f>
        <v>Kecamatan Tanah Pinem Dalam Angka 2021</v>
      </c>
      <c r="C899" s="13" t="str">
        <f>IFERROR(__xludf.DUMMYFUNCTION("""COMPUTED_VALUE"""),"Publikasi")</f>
        <v>Publikasi</v>
      </c>
      <c r="E899" s="19"/>
      <c r="F899" s="20"/>
    </row>
    <row r="900">
      <c r="A900" s="13" t="str">
        <f>IFERROR(__xludf.DUMMYFUNCTION("""COMPUTED_VALUE"""),"prio:arif@bps:go:id")</f>
        <v>prio:arif@bps:go:id</v>
      </c>
      <c r="B900" s="13" t="str">
        <f>IFERROR(__xludf.DUMMYFUNCTION("""COMPUTED_VALUE"""),"Statistik Daerah Kabupaten Dairi 2021")</f>
        <v>Statistik Daerah Kabupaten Dairi 2021</v>
      </c>
      <c r="C900" s="13" t="str">
        <f>IFERROR(__xludf.DUMMYFUNCTION("""COMPUTED_VALUE"""),"Publikasi")</f>
        <v>Publikasi</v>
      </c>
      <c r="E900" s="19"/>
      <c r="F900" s="20"/>
    </row>
    <row r="901">
      <c r="A901" s="13" t="str">
        <f>IFERROR(__xludf.DUMMYFUNCTION("""COMPUTED_VALUE"""),"prio:arif@bps:go:id")</f>
        <v>prio:arif@bps:go:id</v>
      </c>
      <c r="B901" s="13" t="str">
        <f>IFERROR(__xludf.DUMMYFUNCTION("""COMPUTED_VALUE"""),"Statistik Tanaman Pangan (Padi dan Palawija) Kabupaten Dairi 2020")</f>
        <v>Statistik Tanaman Pangan (Padi dan Palawija) Kabupaten Dairi 2020</v>
      </c>
      <c r="C901" s="13" t="str">
        <f>IFERROR(__xludf.DUMMYFUNCTION("""COMPUTED_VALUE"""),"Publikasi")</f>
        <v>Publikasi</v>
      </c>
      <c r="E901" s="19"/>
      <c r="F901" s="20"/>
    </row>
    <row r="902">
      <c r="A902" s="13" t="str">
        <f>IFERROR(__xludf.DUMMYFUNCTION("""COMPUTED_VALUE"""),"punguanhutagalung2@gmail:com")</f>
        <v>punguanhutagalung2@gmail:com</v>
      </c>
      <c r="B902" s="13" t="str">
        <f>IFERROR(__xludf.DUMMYFUNCTION("""COMPUTED_VALUE"""),"Kabupaten Dairi Dalam Angka 2018")</f>
        <v>Kabupaten Dairi Dalam Angka 2018</v>
      </c>
      <c r="C902" s="13" t="str">
        <f>IFERROR(__xludf.DUMMYFUNCTION("""COMPUTED_VALUE"""),"Publikasi")</f>
        <v>Publikasi</v>
      </c>
      <c r="E902" s="19"/>
      <c r="F902" s="20"/>
    </row>
    <row r="903">
      <c r="A903" s="13" t="str">
        <f>IFERROR(__xludf.DUMMYFUNCTION("""COMPUTED_VALUE"""),"punguanhutagalung2@gmail:com")</f>
        <v>punguanhutagalung2@gmail:com</v>
      </c>
      <c r="B903" s="13" t="str">
        <f>IFERROR(__xludf.DUMMYFUNCTION("""COMPUTED_VALUE"""),"Kabupaten Dairi Dalam Angka 2019")</f>
        <v>Kabupaten Dairi Dalam Angka 2019</v>
      </c>
      <c r="C903" s="13" t="str">
        <f>IFERROR(__xludf.DUMMYFUNCTION("""COMPUTED_VALUE"""),"Publikasi")</f>
        <v>Publikasi</v>
      </c>
      <c r="E903" s="19"/>
      <c r="F903" s="20"/>
    </row>
    <row r="904">
      <c r="A904" s="13" t="str">
        <f>IFERROR(__xludf.DUMMYFUNCTION("""COMPUTED_VALUE"""),"punguanhutagalung2@gmail:com")</f>
        <v>punguanhutagalung2@gmail:com</v>
      </c>
      <c r="B904" s="13" t="str">
        <f>IFERROR(__xludf.DUMMYFUNCTION("""COMPUTED_VALUE"""),"Kecamatan Sumbul Dalam Angka 2016")</f>
        <v>Kecamatan Sumbul Dalam Angka 2016</v>
      </c>
      <c r="C904" s="13" t="str">
        <f>IFERROR(__xludf.DUMMYFUNCTION("""COMPUTED_VALUE"""),"Publikasi")</f>
        <v>Publikasi</v>
      </c>
      <c r="E904" s="19"/>
      <c r="F904" s="20"/>
    </row>
    <row r="905">
      <c r="A905" s="13" t="str">
        <f>IFERROR(__xludf.DUMMYFUNCTION("""COMPUTED_VALUE"""),"punguanhutagalung2@gmail:com")</f>
        <v>punguanhutagalung2@gmail:com</v>
      </c>
      <c r="B905" s="13" t="str">
        <f>IFERROR(__xludf.DUMMYFUNCTION("""COMPUTED_VALUE"""),"Kecamatan Sumbul Dalam Angka 2017")</f>
        <v>Kecamatan Sumbul Dalam Angka 2017</v>
      </c>
      <c r="C905" s="13" t="str">
        <f>IFERROR(__xludf.DUMMYFUNCTION("""COMPUTED_VALUE"""),"Publikasi")</f>
        <v>Publikasi</v>
      </c>
      <c r="E905" s="19"/>
      <c r="F905" s="20"/>
    </row>
    <row r="906">
      <c r="A906" s="13" t="str">
        <f>IFERROR(__xludf.DUMMYFUNCTION("""COMPUTED_VALUE"""),"punguanhutagalung2@gmail:com")</f>
        <v>punguanhutagalung2@gmail:com</v>
      </c>
      <c r="B906" s="13" t="str">
        <f>IFERROR(__xludf.DUMMYFUNCTION("""COMPUTED_VALUE"""),"Kecamatan Sumbul Dalam Angka 2018")</f>
        <v>Kecamatan Sumbul Dalam Angka 2018</v>
      </c>
      <c r="C906" s="13" t="str">
        <f>IFERROR(__xludf.DUMMYFUNCTION("""COMPUTED_VALUE"""),"Publikasi")</f>
        <v>Publikasi</v>
      </c>
      <c r="E906" s="19"/>
      <c r="F906" s="20"/>
    </row>
    <row r="907">
      <c r="A907" s="13" t="str">
        <f>IFERROR(__xludf.DUMMYFUNCTION("""COMPUTED_VALUE"""),"punguanhutagalung2@gmail:com")</f>
        <v>punguanhutagalung2@gmail:com</v>
      </c>
      <c r="B907" s="13" t="str">
        <f>IFERROR(__xludf.DUMMYFUNCTION("""COMPUTED_VALUE"""),"Kecamatan Sumbul Dalam Angka 2019")</f>
        <v>Kecamatan Sumbul Dalam Angka 2019</v>
      </c>
      <c r="C907" s="13" t="str">
        <f>IFERROR(__xludf.DUMMYFUNCTION("""COMPUTED_VALUE"""),"Publikasi")</f>
        <v>Publikasi</v>
      </c>
      <c r="E907" s="19"/>
      <c r="F907" s="20"/>
    </row>
    <row r="908">
      <c r="A908" s="13" t="str">
        <f>IFERROR(__xludf.DUMMYFUNCTION("""COMPUTED_VALUE"""),"punguanhutagalung2@gmail:com")</f>
        <v>punguanhutagalung2@gmail:com</v>
      </c>
      <c r="B908" s="13" t="str">
        <f>IFERROR(__xludf.DUMMYFUNCTION("""COMPUTED_VALUE"""),"Kecamatan Sumbul Dalam Angka 2020")</f>
        <v>Kecamatan Sumbul Dalam Angka 2020</v>
      </c>
      <c r="C908" s="13" t="str">
        <f>IFERROR(__xludf.DUMMYFUNCTION("""COMPUTED_VALUE"""),"Publikasi")</f>
        <v>Publikasi</v>
      </c>
      <c r="E908" s="19"/>
      <c r="F908" s="20"/>
    </row>
    <row r="909">
      <c r="A909" s="13" t="str">
        <f>IFERROR(__xludf.DUMMYFUNCTION("""COMPUTED_VALUE"""),"punguanhutagalung2@gmail:com")</f>
        <v>punguanhutagalung2@gmail:com</v>
      </c>
      <c r="B909" s="13" t="str">
        <f>IFERROR(__xludf.DUMMYFUNCTION("""COMPUTED_VALUE"""),"Kecamatan Sumbul Dalam Angka 2021")</f>
        <v>Kecamatan Sumbul Dalam Angka 2021</v>
      </c>
      <c r="C909" s="13" t="str">
        <f>IFERROR(__xludf.DUMMYFUNCTION("""COMPUTED_VALUE"""),"Publikasi")</f>
        <v>Publikasi</v>
      </c>
      <c r="E909" s="19"/>
      <c r="F909" s="20"/>
    </row>
    <row r="910">
      <c r="A910" s="13" t="str">
        <f>IFERROR(__xludf.DUMMYFUNCTION("""COMPUTED_VALUE"""),"punguanhutagalung2@gmail:com")</f>
        <v>punguanhutagalung2@gmail:com</v>
      </c>
      <c r="B910" s="13" t="str">
        <f>IFERROR(__xludf.DUMMYFUNCTION("""COMPUTED_VALUE"""),"Kecamatan Sumbul Dalam Angka 2022")</f>
        <v>Kecamatan Sumbul Dalam Angka 2022</v>
      </c>
      <c r="C910" s="13" t="str">
        <f>IFERROR(__xludf.DUMMYFUNCTION("""COMPUTED_VALUE"""),"Publikasi")</f>
        <v>Publikasi</v>
      </c>
      <c r="E910" s="19"/>
      <c r="F910" s="20"/>
    </row>
    <row r="911">
      <c r="A911" s="13" t="str">
        <f>IFERROR(__xludf.DUMMYFUNCTION("""COMPUTED_VALUE"""),"punguanhutagalung2@gmail:com")</f>
        <v>punguanhutagalung2@gmail:com</v>
      </c>
      <c r="B911" s="13" t="str">
        <f>IFERROR(__xludf.DUMMYFUNCTION("""COMPUTED_VALUE"""),"Statistik Hortikultura Kabupaten Dairi Tahun 2021")</f>
        <v>Statistik Hortikultura Kabupaten Dairi Tahun 2021</v>
      </c>
      <c r="C911" s="13" t="str">
        <f>IFERROR(__xludf.DUMMYFUNCTION("""COMPUTED_VALUE"""),"Publikasi")</f>
        <v>Publikasi</v>
      </c>
      <c r="E911" s="19"/>
      <c r="F911" s="20"/>
    </row>
    <row r="912">
      <c r="A912" s="13" t="str">
        <f>IFERROR(__xludf.DUMMYFUNCTION("""COMPUTED_VALUE"""),"punguanhutagalung2@gmail:com")</f>
        <v>punguanhutagalung2@gmail:com</v>
      </c>
      <c r="B912" s="13" t="str">
        <f>IFERROR(__xludf.DUMMYFUNCTION("""COMPUTED_VALUE"""),"Sumbul Dalam Angka 2015")</f>
        <v>Sumbul Dalam Angka 2015</v>
      </c>
      <c r="C912" s="13" t="str">
        <f>IFERROR(__xludf.DUMMYFUNCTION("""COMPUTED_VALUE"""),"Publikasi")</f>
        <v>Publikasi</v>
      </c>
      <c r="E912" s="19"/>
      <c r="F912" s="20"/>
    </row>
    <row r="913">
      <c r="A913" s="13" t="str">
        <f>IFERROR(__xludf.DUMMYFUNCTION("""COMPUTED_VALUE"""),"putri:siburian@student:uhn:ac:id")</f>
        <v>putri:siburian@student:uhn:ac:id</v>
      </c>
      <c r="B913" s="13" t="str">
        <f>IFERROR(__xludf.DUMMYFUNCTION("""COMPUTED_VALUE"""),"Kabupaten Dairi Dalam Angka 2024")</f>
        <v>Kabupaten Dairi Dalam Angka 2024</v>
      </c>
      <c r="C913" s="13" t="str">
        <f>IFERROR(__xludf.DUMMYFUNCTION("""COMPUTED_VALUE"""),"Publikasi")</f>
        <v>Publikasi</v>
      </c>
      <c r="E913" s="19"/>
      <c r="F913" s="20"/>
    </row>
    <row r="914">
      <c r="A914" s="13" t="str">
        <f>IFERROR(__xludf.DUMMYFUNCTION("""COMPUTED_VALUE"""),"putri:siburian@student:uhn:ac:id")</f>
        <v>putri:siburian@student:uhn:ac:id</v>
      </c>
      <c r="B914" s="13" t="str">
        <f>IFERROR(__xludf.DUMMYFUNCTION("""COMPUTED_VALUE"""),"Kecamatan Siempat Nempu Dalam Angka 2024")</f>
        <v>Kecamatan Siempat Nempu Dalam Angka 2024</v>
      </c>
      <c r="C914" s="13" t="str">
        <f>IFERROR(__xludf.DUMMYFUNCTION("""COMPUTED_VALUE"""),"Publikasi")</f>
        <v>Publikasi</v>
      </c>
      <c r="E914" s="19"/>
      <c r="F914" s="20"/>
    </row>
    <row r="915">
      <c r="A915" s="13" t="str">
        <f>IFERROR(__xludf.DUMMYFUNCTION("""COMPUTED_VALUE"""),"putri:siburian@student:uhn:ac:id")</f>
        <v>putri:siburian@student:uhn:ac:id</v>
      </c>
      <c r="B915" s="13" t="str">
        <f>IFERROR(__xludf.DUMMYFUNCTION("""COMPUTED_VALUE"""),"Kecamatan Silahisabungan Dalam Angka 2021")</f>
        <v>Kecamatan Silahisabungan Dalam Angka 2021</v>
      </c>
      <c r="C915" s="13" t="str">
        <f>IFERROR(__xludf.DUMMYFUNCTION("""COMPUTED_VALUE"""),"Publikasi")</f>
        <v>Publikasi</v>
      </c>
      <c r="E915" s="19"/>
      <c r="F915" s="20"/>
    </row>
    <row r="916">
      <c r="A916" s="13" t="str">
        <f>IFERROR(__xludf.DUMMYFUNCTION("""COMPUTED_VALUE"""),"putringl2000@gmail:com")</f>
        <v>putringl2000@gmail:com</v>
      </c>
      <c r="B916" s="13" t="str">
        <f>IFERROR(__xludf.DUMMYFUNCTION("""COMPUTED_VALUE"""),"Hasil Pencacahan Lengkap Sensus Pertanian 2024 - Tahap I Kabupaten Dairi")</f>
        <v>Hasil Pencacahan Lengkap Sensus Pertanian 2024 - Tahap I Kabupaten Dairi</v>
      </c>
      <c r="C916" s="13" t="str">
        <f>IFERROR(__xludf.DUMMYFUNCTION("""COMPUTED_VALUE"""),"Publikasi")</f>
        <v>Publikasi</v>
      </c>
      <c r="E916" s="19"/>
      <c r="F916" s="20"/>
    </row>
    <row r="917">
      <c r="A917" s="13" t="str">
        <f>IFERROR(__xludf.DUMMYFUNCTION("""COMPUTED_VALUE"""),"putringl2000@gmail:com")</f>
        <v>putringl2000@gmail:com</v>
      </c>
      <c r="B917" s="13" t="str">
        <f>IFERROR(__xludf.DUMMYFUNCTION("""COMPUTED_VALUE"""),"Indikator Kesejahteraan Rakyat Kabupaten Dairi Tahun 2024")</f>
        <v>Indikator Kesejahteraan Rakyat Kabupaten Dairi Tahun 2024</v>
      </c>
      <c r="C917" s="13" t="str">
        <f>IFERROR(__xludf.DUMMYFUNCTION("""COMPUTED_VALUE"""),"Publikasi")</f>
        <v>Publikasi</v>
      </c>
      <c r="E917" s="19"/>
      <c r="F917" s="20"/>
    </row>
    <row r="918">
      <c r="A918" s="13" t="str">
        <f>IFERROR(__xludf.DUMMYFUNCTION("""COMPUTED_VALUE"""),"putringl2000@gmail:com")</f>
        <v>putringl2000@gmail:com</v>
      </c>
      <c r="B918" s="13" t="str">
        <f>IFERROR(__xludf.DUMMYFUNCTION("""COMPUTED_VALUE"""),"Statistik Kesejahteraan Rakyat Kabupaten Dairi 2024")</f>
        <v>Statistik Kesejahteraan Rakyat Kabupaten Dairi 2024</v>
      </c>
      <c r="C918" s="13" t="str">
        <f>IFERROR(__xludf.DUMMYFUNCTION("""COMPUTED_VALUE"""),"Publikasi")</f>
        <v>Publikasi</v>
      </c>
      <c r="E918" s="19"/>
      <c r="F918" s="20"/>
    </row>
    <row r="919">
      <c r="A919" s="13" t="str">
        <f>IFERROR(__xludf.DUMMYFUNCTION("""COMPUTED_VALUE"""),"putrisalsabilaacc@gmail:com")</f>
        <v>putrisalsabilaacc@gmail:com</v>
      </c>
      <c r="B919" s="13" t="str">
        <f>IFERROR(__xludf.DUMMYFUNCTION("""COMPUTED_VALUE"""),"Kabupaten Dairi Dalam Angka 2024")</f>
        <v>Kabupaten Dairi Dalam Angka 2024</v>
      </c>
      <c r="C919" s="13" t="str">
        <f>IFERROR(__xludf.DUMMYFUNCTION("""COMPUTED_VALUE"""),"Publikasi")</f>
        <v>Publikasi</v>
      </c>
      <c r="E919" s="19"/>
      <c r="F919" s="20"/>
    </row>
    <row r="920">
      <c r="A920" s="13" t="str">
        <f>IFERROR(__xludf.DUMMYFUNCTION("""COMPUTED_VALUE"""),"Rabd40807@gmail:com")</f>
        <v>Rabd40807@gmail:com</v>
      </c>
      <c r="B920" s="13" t="str">
        <f>IFERROR(__xludf.DUMMYFUNCTION("""COMPUTED_VALUE"""),"Kecamatan Berampu Dalam Angka 2021")</f>
        <v>Kecamatan Berampu Dalam Angka 2021</v>
      </c>
      <c r="C920" s="13" t="str">
        <f>IFERROR(__xludf.DUMMYFUNCTION("""COMPUTED_VALUE"""),"Publikasi")</f>
        <v>Publikasi</v>
      </c>
      <c r="E920" s="19"/>
      <c r="F920" s="20"/>
    </row>
    <row r="921">
      <c r="A921" s="13" t="str">
        <f>IFERROR(__xludf.DUMMYFUNCTION("""COMPUTED_VALUE"""),"raeartby@gmail:com")</f>
        <v>raeartby@gmail:com</v>
      </c>
      <c r="B921" s="13" t="str">
        <f>IFERROR(__xludf.DUMMYFUNCTION("""COMPUTED_VALUE"""),"Kecamatan Parbuluan Dalam Angka 2024")</f>
        <v>Kecamatan Parbuluan Dalam Angka 2024</v>
      </c>
      <c r="C921" s="13" t="str">
        <f>IFERROR(__xludf.DUMMYFUNCTION("""COMPUTED_VALUE"""),"Publikasi")</f>
        <v>Publikasi</v>
      </c>
      <c r="E921" s="19"/>
      <c r="F921" s="20"/>
    </row>
    <row r="922">
      <c r="A922" s="13" t="str">
        <f>IFERROR(__xludf.DUMMYFUNCTION("""COMPUTED_VALUE"""),"raeartby@gmail:com")</f>
        <v>raeartby@gmail:com</v>
      </c>
      <c r="B922" s="13" t="str">
        <f>IFERROR(__xludf.DUMMYFUNCTION("""COMPUTED_VALUE"""),"Kecamatan Silahisabungan Dalam Angka 2024")</f>
        <v>Kecamatan Silahisabungan Dalam Angka 2024</v>
      </c>
      <c r="C922" s="13" t="str">
        <f>IFERROR(__xludf.DUMMYFUNCTION("""COMPUTED_VALUE"""),"Publikasi")</f>
        <v>Publikasi</v>
      </c>
      <c r="E922" s="19"/>
      <c r="F922" s="20"/>
    </row>
    <row r="923">
      <c r="A923" s="13" t="str">
        <f>IFERROR(__xludf.DUMMYFUNCTION("""COMPUTED_VALUE"""),"raeartby@gmail:com")</f>
        <v>raeartby@gmail:com</v>
      </c>
      <c r="B923" s="13" t="str">
        <f>IFERROR(__xludf.DUMMYFUNCTION("""COMPUTED_VALUE"""),"Kecamatan Sumbul Dalam Angka 2024")</f>
        <v>Kecamatan Sumbul Dalam Angka 2024</v>
      </c>
      <c r="C923" s="13" t="str">
        <f>IFERROR(__xludf.DUMMYFUNCTION("""COMPUTED_VALUE"""),"Publikasi")</f>
        <v>Publikasi</v>
      </c>
      <c r="E923" s="19"/>
      <c r="F923" s="20"/>
    </row>
    <row r="924">
      <c r="A924" s="13" t="str">
        <f>IFERROR(__xludf.DUMMYFUNCTION("""COMPUTED_VALUE"""),"rafifalvaro:com@gmail:com")</f>
        <v>rafifalvaro:com@gmail:com</v>
      </c>
      <c r="B924" s="13" t="str">
        <f>IFERROR(__xludf.DUMMYFUNCTION("""COMPUTED_VALUE"""),"Kecamatan Tiga Lingga Dalam Angka 2024")</f>
        <v>Kecamatan Tiga Lingga Dalam Angka 2024</v>
      </c>
      <c r="C924" s="13" t="str">
        <f>IFERROR(__xludf.DUMMYFUNCTION("""COMPUTED_VALUE"""),"Publikasi")</f>
        <v>Publikasi</v>
      </c>
      <c r="E924" s="19"/>
      <c r="F924" s="20"/>
    </row>
    <row r="925">
      <c r="A925" s="13" t="str">
        <f>IFERROR(__xludf.DUMMYFUNCTION("""COMPUTED_VALUE"""),"rafiladien@gmail:com")</f>
        <v>rafiladien@gmail:com</v>
      </c>
      <c r="B925" s="13" t="str">
        <f>IFERROR(__xludf.DUMMYFUNCTION("""COMPUTED_VALUE"""),"Kabupaten Dairi Dalam Angka 2022")</f>
        <v>Kabupaten Dairi Dalam Angka 2022</v>
      </c>
      <c r="C925" s="13" t="str">
        <f>IFERROR(__xludf.DUMMYFUNCTION("""COMPUTED_VALUE"""),"Publikasi")</f>
        <v>Publikasi</v>
      </c>
      <c r="E925" s="19"/>
      <c r="F925" s="20"/>
    </row>
    <row r="926">
      <c r="A926" s="13" t="str">
        <f>IFERROR(__xludf.DUMMYFUNCTION("""COMPUTED_VALUE"""),"rahmanida@fe:unsri:ac:id")</f>
        <v>rahmanida@fe:unsri:ac:id</v>
      </c>
      <c r="B926" s="13" t="str">
        <f>IFERROR(__xludf.DUMMYFUNCTION("""COMPUTED_VALUE"""),"Kabupaten Dairi Dalam Angka 2020")</f>
        <v>Kabupaten Dairi Dalam Angka 2020</v>
      </c>
      <c r="C926" s="13" t="str">
        <f>IFERROR(__xludf.DUMMYFUNCTION("""COMPUTED_VALUE"""),"Publikasi")</f>
        <v>Publikasi</v>
      </c>
      <c r="E926" s="19"/>
      <c r="F926" s="20"/>
    </row>
    <row r="927">
      <c r="A927" s="13" t="str">
        <f>IFERROR(__xludf.DUMMYFUNCTION("""COMPUTED_VALUE"""),"rahmanida@fe:unsri:ac:id")</f>
        <v>rahmanida@fe:unsri:ac:id</v>
      </c>
      <c r="B927" s="13" t="str">
        <f>IFERROR(__xludf.DUMMYFUNCTION("""COMPUTED_VALUE"""),"Kabupaten Dairi Dalam Angka 2024")</f>
        <v>Kabupaten Dairi Dalam Angka 2024</v>
      </c>
      <c r="C927" s="13" t="str">
        <f>IFERROR(__xludf.DUMMYFUNCTION("""COMPUTED_VALUE"""),"Publikasi")</f>
        <v>Publikasi</v>
      </c>
      <c r="E927" s="19"/>
      <c r="F927" s="20"/>
    </row>
    <row r="928">
      <c r="A928" s="13" t="str">
        <f>IFERROR(__xludf.DUMMYFUNCTION("""COMPUTED_VALUE"""),"rahmanida@fe:unsri:ac:id")</f>
        <v>rahmanida@fe:unsri:ac:id</v>
      </c>
      <c r="B928" s="13" t="str">
        <f>IFERROR(__xludf.DUMMYFUNCTION("""COMPUTED_VALUE"""),"Statistik Kesejahteraan Rakyat Kabupaten Dairi 2022")</f>
        <v>Statistik Kesejahteraan Rakyat Kabupaten Dairi 2022</v>
      </c>
      <c r="C928" s="13" t="str">
        <f>IFERROR(__xludf.DUMMYFUNCTION("""COMPUTED_VALUE"""),"Publikasi")</f>
        <v>Publikasi</v>
      </c>
      <c r="E928" s="19"/>
      <c r="F928" s="20"/>
    </row>
    <row r="929">
      <c r="A929" s="13" t="str">
        <f>IFERROR(__xludf.DUMMYFUNCTION("""COMPUTED_VALUE"""),"raishanadine287@gmail:com")</f>
        <v>raishanadine287@gmail:com</v>
      </c>
      <c r="B929" s="13" t="str">
        <f>IFERROR(__xludf.DUMMYFUNCTION("""COMPUTED_VALUE"""),"Buklet Hasil Pencacahan Lengkap Sensus Pertanian 2024 - Tahap I Kabupaten Dairi")</f>
        <v>Buklet Hasil Pencacahan Lengkap Sensus Pertanian 2024 - Tahap I Kabupaten Dairi</v>
      </c>
      <c r="C929" s="13" t="str">
        <f>IFERROR(__xludf.DUMMYFUNCTION("""COMPUTED_VALUE"""),"Publikasi")</f>
        <v>Publikasi</v>
      </c>
      <c r="E929" s="19"/>
      <c r="F929" s="20"/>
    </row>
    <row r="930">
      <c r="A930" s="13" t="str">
        <f>IFERROR(__xludf.DUMMYFUNCTION("""COMPUTED_VALUE"""),"rajaingotpardede@bps:go:id")</f>
        <v>rajaingotpardede@bps:go:id</v>
      </c>
      <c r="B930" s="13" t="str">
        <f>IFERROR(__xludf.DUMMYFUNCTION("""COMPUTED_VALUE"""),"Analisis Survei Kebutuhan Data Kabupaten Dairi 2022")</f>
        <v>Analisis Survei Kebutuhan Data Kabupaten Dairi 2022</v>
      </c>
      <c r="C930" s="13" t="str">
        <f>IFERROR(__xludf.DUMMYFUNCTION("""COMPUTED_VALUE"""),"Publikasi")</f>
        <v>Publikasi</v>
      </c>
      <c r="E930" s="19"/>
      <c r="F930" s="20"/>
    </row>
    <row r="931">
      <c r="A931" s="13" t="str">
        <f>IFERROR(__xludf.DUMMYFUNCTION("""COMPUTED_VALUE"""),"ramli:pandi24@gmail:com")</f>
        <v>ramli:pandi24@gmail:com</v>
      </c>
      <c r="B931" s="13" t="str">
        <f>IFERROR(__xludf.DUMMYFUNCTION("""COMPUTED_VALUE"""),"Kecamatan Parbuluan Dalam Angka 2020")</f>
        <v>Kecamatan Parbuluan Dalam Angka 2020</v>
      </c>
      <c r="C931" s="13" t="str">
        <f>IFERROR(__xludf.DUMMYFUNCTION("""COMPUTED_VALUE"""),"Publikasi")</f>
        <v>Publikasi</v>
      </c>
      <c r="E931" s="19"/>
      <c r="F931" s="20"/>
    </row>
    <row r="932">
      <c r="A932" s="13" t="str">
        <f>IFERROR(__xludf.DUMMYFUNCTION("""COMPUTED_VALUE"""),"raraberampu26@gmail:com")</f>
        <v>raraberampu26@gmail:com</v>
      </c>
      <c r="B932" s="13" t="str">
        <f>IFERROR(__xludf.DUMMYFUNCTION("""COMPUTED_VALUE"""),"Kecamatan Berampu Dalam Angka 2022")</f>
        <v>Kecamatan Berampu Dalam Angka 2022</v>
      </c>
      <c r="C932" s="13" t="str">
        <f>IFERROR(__xludf.DUMMYFUNCTION("""COMPUTED_VALUE"""),"Publikasi")</f>
        <v>Publikasi</v>
      </c>
      <c r="E932" s="19"/>
      <c r="F932" s="20"/>
    </row>
    <row r="933">
      <c r="A933" s="13" t="str">
        <f>IFERROR(__xludf.DUMMYFUNCTION("""COMPUTED_VALUE"""),"ratihsihite028@gmail:com")</f>
        <v>ratihsihite028@gmail:com</v>
      </c>
      <c r="B933" s="13" t="str">
        <f>IFERROR(__xludf.DUMMYFUNCTION("""COMPUTED_VALUE"""),"Buklet Hasil Pencacahan Lengkap Sensus Pertanian 2024 - Tahap I Kabupaten Dairi")</f>
        <v>Buklet Hasil Pencacahan Lengkap Sensus Pertanian 2024 - Tahap I Kabupaten Dairi</v>
      </c>
      <c r="C933" s="13" t="str">
        <f>IFERROR(__xludf.DUMMYFUNCTION("""COMPUTED_VALUE"""),"Publikasi")</f>
        <v>Publikasi</v>
      </c>
      <c r="E933" s="19"/>
      <c r="F933" s="20"/>
    </row>
    <row r="934">
      <c r="A934" s="13" t="str">
        <f>IFERROR(__xludf.DUMMYFUNCTION("""COMPUTED_VALUE"""),"ratihsihite028@gmail:com")</f>
        <v>ratihsihite028@gmail:com</v>
      </c>
      <c r="B934" s="13" t="str">
        <f>IFERROR(__xludf.DUMMYFUNCTION("""COMPUTED_VALUE"""),"Indikator Kesejahteraan Rakyat Kabupaten Dairi Tahun 2024")</f>
        <v>Indikator Kesejahteraan Rakyat Kabupaten Dairi Tahun 2024</v>
      </c>
      <c r="C934" s="13" t="str">
        <f>IFERROR(__xludf.DUMMYFUNCTION("""COMPUTED_VALUE"""),"Publikasi")</f>
        <v>Publikasi</v>
      </c>
      <c r="E934" s="19"/>
      <c r="F934" s="20"/>
    </row>
    <row r="935">
      <c r="A935" s="13" t="str">
        <f>IFERROR(__xludf.DUMMYFUNCTION("""COMPUTED_VALUE"""),"ratihsihite028@gmail:com")</f>
        <v>ratihsihite028@gmail:com</v>
      </c>
      <c r="B935" s="13" t="str">
        <f>IFERROR(__xludf.DUMMYFUNCTION("""COMPUTED_VALUE"""),"Kabupaten Dairi Dalam Angka 2024")</f>
        <v>Kabupaten Dairi Dalam Angka 2024</v>
      </c>
      <c r="C935" s="13" t="str">
        <f>IFERROR(__xludf.DUMMYFUNCTION("""COMPUTED_VALUE"""),"Publikasi")</f>
        <v>Publikasi</v>
      </c>
      <c r="E935" s="19"/>
      <c r="F935" s="20"/>
    </row>
    <row r="936">
      <c r="A936" s="13" t="str">
        <f>IFERROR(__xludf.DUMMYFUNCTION("""COMPUTED_VALUE"""),"ratihsihite028@gmail:com")</f>
        <v>ratihsihite028@gmail:com</v>
      </c>
      <c r="B936" s="13" t="str">
        <f>IFERROR(__xludf.DUMMYFUNCTION("""COMPUTED_VALUE"""),"Statistik Kesejahteraan Rakyat Kabupaten Dairi 2024")</f>
        <v>Statistik Kesejahteraan Rakyat Kabupaten Dairi 2024</v>
      </c>
      <c r="C936" s="13" t="str">
        <f>IFERROR(__xludf.DUMMYFUNCTION("""COMPUTED_VALUE"""),"Publikasi")</f>
        <v>Publikasi</v>
      </c>
      <c r="E936" s="19"/>
      <c r="F936" s="20"/>
    </row>
    <row r="937">
      <c r="A937" s="13" t="str">
        <f>IFERROR(__xludf.DUMMYFUNCTION("""COMPUTED_VALUE"""),"ratnauli@bps:go:id")</f>
        <v>ratnauli@bps:go:id</v>
      </c>
      <c r="B937" s="13" t="str">
        <f>IFERROR(__xludf.DUMMYFUNCTION("""COMPUTED_VALUE"""),"Buklet Hasil Pencacahan Lengkap Sensus Pertanian 2024 - Tahap I Kabupaten Dairi")</f>
        <v>Buklet Hasil Pencacahan Lengkap Sensus Pertanian 2024 - Tahap I Kabupaten Dairi</v>
      </c>
      <c r="C937" s="13" t="str">
        <f>IFERROR(__xludf.DUMMYFUNCTION("""COMPUTED_VALUE"""),"Publikasi")</f>
        <v>Publikasi</v>
      </c>
      <c r="E937" s="19"/>
      <c r="F937" s="20"/>
    </row>
    <row r="938">
      <c r="A938" s="13" t="str">
        <f>IFERROR(__xludf.DUMMYFUNCTION("""COMPUTED_VALUE"""),"ratnauli@bps:go:id")</f>
        <v>ratnauli@bps:go:id</v>
      </c>
      <c r="B938" s="13" t="str">
        <f>IFERROR(__xludf.DUMMYFUNCTION("""COMPUTED_VALUE"""),"Hasil Pencacahan Lengkap Sensus Pertanian 2024 - Tahap I Kabupaten Dairi")</f>
        <v>Hasil Pencacahan Lengkap Sensus Pertanian 2024 - Tahap I Kabupaten Dairi</v>
      </c>
      <c r="C938" s="13" t="str">
        <f>IFERROR(__xludf.DUMMYFUNCTION("""COMPUTED_VALUE"""),"Publikasi")</f>
        <v>Publikasi</v>
      </c>
      <c r="E938" s="19"/>
      <c r="F938" s="20"/>
    </row>
    <row r="939">
      <c r="A939" s="13" t="str">
        <f>IFERROR(__xludf.DUMMYFUNCTION("""COMPUTED_VALUE"""),"ratnauli@bps:go:id")</f>
        <v>ratnauli@bps:go:id</v>
      </c>
      <c r="B939" s="13" t="str">
        <f>IFERROR(__xludf.DUMMYFUNCTION("""COMPUTED_VALUE"""),"Indeks Pembangunan Manusia Kabupaten Dairi 2024")</f>
        <v>Indeks Pembangunan Manusia Kabupaten Dairi 2024</v>
      </c>
      <c r="C939" s="13" t="str">
        <f>IFERROR(__xludf.DUMMYFUNCTION("""COMPUTED_VALUE"""),"Publikasi")</f>
        <v>Publikasi</v>
      </c>
      <c r="E939" s="19"/>
      <c r="F939" s="20"/>
    </row>
    <row r="940">
      <c r="A940" s="13" t="str">
        <f>IFERROR(__xludf.DUMMYFUNCTION("""COMPUTED_VALUE"""),"ratnauli@bps:go:id")</f>
        <v>ratnauli@bps:go:id</v>
      </c>
      <c r="B940" s="13" t="str">
        <f>IFERROR(__xludf.DUMMYFUNCTION("""COMPUTED_VALUE"""),"Produk Domestik Regional Bruto Kabupaten Dairi Menurut Lapangan Usaha 2018 - 2022")</f>
        <v>Produk Domestik Regional Bruto Kabupaten Dairi Menurut Lapangan Usaha 2018 - 2022</v>
      </c>
      <c r="C940" s="13" t="str">
        <f>IFERROR(__xludf.DUMMYFUNCTION("""COMPUTED_VALUE"""),"Publikasi")</f>
        <v>Publikasi</v>
      </c>
      <c r="E940" s="19"/>
      <c r="F940" s="20"/>
    </row>
    <row r="941">
      <c r="A941" s="13" t="str">
        <f>IFERROR(__xludf.DUMMYFUNCTION("""COMPUTED_VALUE"""),"ratnauli@bps:go:id")</f>
        <v>ratnauli@bps:go:id</v>
      </c>
      <c r="B941" s="13" t="str">
        <f>IFERROR(__xludf.DUMMYFUNCTION("""COMPUTED_VALUE"""),"Statistik Tanaman Pangan (Padi dan Palawija) Kabupaten Dairi 2021")</f>
        <v>Statistik Tanaman Pangan (Padi dan Palawija) Kabupaten Dairi 2021</v>
      </c>
      <c r="C941" s="13" t="str">
        <f>IFERROR(__xludf.DUMMYFUNCTION("""COMPUTED_VALUE"""),"Publikasi")</f>
        <v>Publikasi</v>
      </c>
      <c r="E941" s="19"/>
      <c r="F941" s="20"/>
    </row>
    <row r="942">
      <c r="A942" s="13" t="str">
        <f>IFERROR(__xludf.DUMMYFUNCTION("""COMPUTED_VALUE"""),"redisianturi385@gmail:com")</f>
        <v>redisianturi385@gmail:com</v>
      </c>
      <c r="B942" s="13" t="str">
        <f>IFERROR(__xludf.DUMMYFUNCTION("""COMPUTED_VALUE"""),"Hasil Pencacahan Lengkap Sensus Pertanian 2024 - Tahap I Kabupaten Dairi")</f>
        <v>Hasil Pencacahan Lengkap Sensus Pertanian 2024 - Tahap I Kabupaten Dairi</v>
      </c>
      <c r="C942" s="13" t="str">
        <f>IFERROR(__xludf.DUMMYFUNCTION("""COMPUTED_VALUE"""),"Publikasi")</f>
        <v>Publikasi</v>
      </c>
      <c r="E942" s="19"/>
      <c r="F942" s="20"/>
    </row>
    <row r="943">
      <c r="A943" s="13" t="str">
        <f>IFERROR(__xludf.DUMMYFUNCTION("""COMPUTED_VALUE"""),"redisianturi385@gmail:com")</f>
        <v>redisianturi385@gmail:com</v>
      </c>
      <c r="B943" s="13" t="str">
        <f>IFERROR(__xludf.DUMMYFUNCTION("""COMPUTED_VALUE"""),"Indikator Kesejahteraan Rakyat Kabupaten Dairi Tahun 2024")</f>
        <v>Indikator Kesejahteraan Rakyat Kabupaten Dairi Tahun 2024</v>
      </c>
      <c r="C943" s="13" t="str">
        <f>IFERROR(__xludf.DUMMYFUNCTION("""COMPUTED_VALUE"""),"Publikasi")</f>
        <v>Publikasi</v>
      </c>
      <c r="E943" s="19"/>
      <c r="F943" s="20"/>
    </row>
    <row r="944">
      <c r="A944" s="13" t="str">
        <f>IFERROR(__xludf.DUMMYFUNCTION("""COMPUTED_VALUE"""),"redisianturi385@gmail:com")</f>
        <v>redisianturi385@gmail:com</v>
      </c>
      <c r="B944" s="13" t="str">
        <f>IFERROR(__xludf.DUMMYFUNCTION("""COMPUTED_VALUE"""),"Statistik Kesejahteraan Rakyat Kabupaten Dairi 2024")</f>
        <v>Statistik Kesejahteraan Rakyat Kabupaten Dairi 2024</v>
      </c>
      <c r="C944" s="13" t="str">
        <f>IFERROR(__xludf.DUMMYFUNCTION("""COMPUTED_VALUE"""),"Publikasi")</f>
        <v>Publikasi</v>
      </c>
      <c r="E944" s="19"/>
      <c r="F944" s="20"/>
    </row>
    <row r="945">
      <c r="A945" s="13" t="str">
        <f>IFERROR(__xludf.DUMMYFUNCTION("""COMPUTED_VALUE"""),"redymiraz27@gmail:com")</f>
        <v>redymiraz27@gmail:com</v>
      </c>
      <c r="B945" s="13" t="str">
        <f>IFERROR(__xludf.DUMMYFUNCTION("""COMPUTED_VALUE"""),"Kabupaten Dairi Dalam Angka 2020")</f>
        <v>Kabupaten Dairi Dalam Angka 2020</v>
      </c>
      <c r="C945" s="13" t="str">
        <f>IFERROR(__xludf.DUMMYFUNCTION("""COMPUTED_VALUE"""),"Publikasi")</f>
        <v>Publikasi</v>
      </c>
      <c r="E945" s="19"/>
      <c r="F945" s="20"/>
    </row>
    <row r="946">
      <c r="A946" s="13" t="str">
        <f>IFERROR(__xludf.DUMMYFUNCTION("""COMPUTED_VALUE"""),"redymiraz27@gmail:com")</f>
        <v>redymiraz27@gmail:com</v>
      </c>
      <c r="B946" s="13" t="str">
        <f>IFERROR(__xludf.DUMMYFUNCTION("""COMPUTED_VALUE"""),"Kabupaten Dairi Dalam Angka 2024")</f>
        <v>Kabupaten Dairi Dalam Angka 2024</v>
      </c>
      <c r="C946" s="13" t="str">
        <f>IFERROR(__xludf.DUMMYFUNCTION("""COMPUTED_VALUE"""),"Publikasi")</f>
        <v>Publikasi</v>
      </c>
      <c r="E946" s="19"/>
      <c r="F946" s="20"/>
    </row>
    <row r="947">
      <c r="A947" s="13" t="str">
        <f>IFERROR(__xludf.DUMMYFUNCTION("""COMPUTED_VALUE"""),"rendihamdani2019@gmail:com")</f>
        <v>rendihamdani2019@gmail:com</v>
      </c>
      <c r="B947" s="13" t="str">
        <f>IFERROR(__xludf.DUMMYFUNCTION("""COMPUTED_VALUE"""),"Kabupaten Dairi Dalam Angka 2021")</f>
        <v>Kabupaten Dairi Dalam Angka 2021</v>
      </c>
      <c r="C947" s="13" t="str">
        <f>IFERROR(__xludf.DUMMYFUNCTION("""COMPUTED_VALUE"""),"Publikasi")</f>
        <v>Publikasi</v>
      </c>
      <c r="E947" s="19"/>
      <c r="F947" s="20"/>
    </row>
    <row r="948">
      <c r="A948" s="13" t="str">
        <f>IFERROR(__xludf.DUMMYFUNCTION("""COMPUTED_VALUE"""),"rendihamdani2019@gmail:com")</f>
        <v>rendihamdani2019@gmail:com</v>
      </c>
      <c r="B948" s="13" t="str">
        <f>IFERROR(__xludf.DUMMYFUNCTION("""COMPUTED_VALUE"""),"Kecamatan Sitinjo Dalam Angka 2021")</f>
        <v>Kecamatan Sitinjo Dalam Angka 2021</v>
      </c>
      <c r="C948" s="13" t="str">
        <f>IFERROR(__xludf.DUMMYFUNCTION("""COMPUTED_VALUE"""),"Publikasi")</f>
        <v>Publikasi</v>
      </c>
      <c r="E948" s="19"/>
      <c r="F948" s="20"/>
    </row>
    <row r="949">
      <c r="A949" s="13" t="str">
        <f>IFERROR(__xludf.DUMMYFUNCTION("""COMPUTED_VALUE"""),"Rentakarlinda400@gmail:com")</f>
        <v>Rentakarlinda400@gmail:com</v>
      </c>
      <c r="B949" s="13" t="str">
        <f>IFERROR(__xludf.DUMMYFUNCTION("""COMPUTED_VALUE"""),"Kecamatan Silahisabungan Dalam Angka 2020")</f>
        <v>Kecamatan Silahisabungan Dalam Angka 2020</v>
      </c>
      <c r="C949" s="13" t="str">
        <f>IFERROR(__xludf.DUMMYFUNCTION("""COMPUTED_VALUE"""),"Publikasi")</f>
        <v>Publikasi</v>
      </c>
      <c r="E949" s="19"/>
      <c r="F949" s="20"/>
    </row>
    <row r="950">
      <c r="A950" s="13" t="str">
        <f>IFERROR(__xludf.DUMMYFUNCTION("""COMPUTED_VALUE"""),"retnoanjelina98@gmail:com")</f>
        <v>retnoanjelina98@gmail:com</v>
      </c>
      <c r="B950" s="13" t="str">
        <f>IFERROR(__xludf.DUMMYFUNCTION("""COMPUTED_VALUE"""),"Statistik Daerah Kabupaten Dairi 2019")</f>
        <v>Statistik Daerah Kabupaten Dairi 2019</v>
      </c>
      <c r="C950" s="13" t="str">
        <f>IFERROR(__xludf.DUMMYFUNCTION("""COMPUTED_VALUE"""),"Publikasi")</f>
        <v>Publikasi</v>
      </c>
      <c r="E950" s="19"/>
      <c r="F950" s="20"/>
    </row>
    <row r="951">
      <c r="A951" s="13" t="str">
        <f>IFERROR(__xludf.DUMMYFUNCTION("""COMPUTED_VALUE"""),"Rezafahri10@gmail:com")</f>
        <v>Rezafahri10@gmail:com</v>
      </c>
      <c r="B951" s="13" t="str">
        <f>IFERROR(__xludf.DUMMYFUNCTION("""COMPUTED_VALUE"""),"Kabupaten Dairi Dalam Angka 2022")</f>
        <v>Kabupaten Dairi Dalam Angka 2022</v>
      </c>
      <c r="C951" s="13" t="str">
        <f>IFERROR(__xludf.DUMMYFUNCTION("""COMPUTED_VALUE"""),"Publikasi")</f>
        <v>Publikasi</v>
      </c>
      <c r="E951" s="19"/>
      <c r="F951" s="20"/>
    </row>
    <row r="952">
      <c r="A952" s="13" t="str">
        <f>IFERROR(__xludf.DUMMYFUNCTION("""COMPUTED_VALUE"""),"Rezafahri10@gmail:com")</f>
        <v>Rezafahri10@gmail:com</v>
      </c>
      <c r="B952" s="13" t="str">
        <f>IFERROR(__xludf.DUMMYFUNCTION("""COMPUTED_VALUE"""),"Statistik Hortikultura Kabupaten Dairi Tahun 2021")</f>
        <v>Statistik Hortikultura Kabupaten Dairi Tahun 2021</v>
      </c>
      <c r="C952" s="13" t="str">
        <f>IFERROR(__xludf.DUMMYFUNCTION("""COMPUTED_VALUE"""),"Publikasi")</f>
        <v>Publikasi</v>
      </c>
      <c r="E952" s="19"/>
      <c r="F952" s="20"/>
    </row>
    <row r="953">
      <c r="A953" s="13" t="str">
        <f>IFERROR(__xludf.DUMMYFUNCTION("""COMPUTED_VALUE"""),"Rezafahri10@gmail:com")</f>
        <v>Rezafahri10@gmail:com</v>
      </c>
      <c r="B953" s="13" t="str">
        <f>IFERROR(__xludf.DUMMYFUNCTION("""COMPUTED_VALUE"""),"Statistik Tanaman Pangan (Padi dan Palawija) Kabupaten Dairi 2021")</f>
        <v>Statistik Tanaman Pangan (Padi dan Palawija) Kabupaten Dairi 2021</v>
      </c>
      <c r="C953" s="13" t="str">
        <f>IFERROR(__xludf.DUMMYFUNCTION("""COMPUTED_VALUE"""),"Publikasi")</f>
        <v>Publikasi</v>
      </c>
      <c r="E953" s="19"/>
      <c r="F953" s="20"/>
    </row>
    <row r="954">
      <c r="A954" s="13" t="str">
        <f>IFERROR(__xludf.DUMMYFUNCTION("""COMPUTED_VALUE"""),"riani_rriani@apps:ipb:ac:id")</f>
        <v>riani_rriani@apps:ipb:ac:id</v>
      </c>
      <c r="B954" s="13" t="str">
        <f>IFERROR(__xludf.DUMMYFUNCTION("""COMPUTED_VALUE"""),"Kabupaten Dairi Dalam Angka 2020")</f>
        <v>Kabupaten Dairi Dalam Angka 2020</v>
      </c>
      <c r="C954" s="13" t="str">
        <f>IFERROR(__xludf.DUMMYFUNCTION("""COMPUTED_VALUE"""),"Publikasi")</f>
        <v>Publikasi</v>
      </c>
      <c r="E954" s="19"/>
      <c r="F954" s="20"/>
    </row>
    <row r="955">
      <c r="A955" s="13" t="str">
        <f>IFERROR(__xludf.DUMMYFUNCTION("""COMPUTED_VALUE"""),"riani_rriani@apps:ipb:ac:id")</f>
        <v>riani_rriani@apps:ipb:ac:id</v>
      </c>
      <c r="B955" s="13" t="str">
        <f>IFERROR(__xludf.DUMMYFUNCTION("""COMPUTED_VALUE"""),"Kabupaten Dairi Dalam Angka 2022")</f>
        <v>Kabupaten Dairi Dalam Angka 2022</v>
      </c>
      <c r="C955" s="13" t="str">
        <f>IFERROR(__xludf.DUMMYFUNCTION("""COMPUTED_VALUE"""),"Publikasi")</f>
        <v>Publikasi</v>
      </c>
      <c r="E955" s="19"/>
      <c r="F955" s="20"/>
    </row>
    <row r="956">
      <c r="A956" s="13" t="str">
        <f>IFERROR(__xludf.DUMMYFUNCTION("""COMPUTED_VALUE"""),"riani_rriani@apps:ipb:ac:id")</f>
        <v>riani_rriani@apps:ipb:ac:id</v>
      </c>
      <c r="B956" s="13" t="str">
        <f>IFERROR(__xludf.DUMMYFUNCTION("""COMPUTED_VALUE"""),"Statistik Padi dan Palawija Kabupaten Dairi 2015")</f>
        <v>Statistik Padi dan Palawija Kabupaten Dairi 2015</v>
      </c>
      <c r="C956" s="13" t="str">
        <f>IFERROR(__xludf.DUMMYFUNCTION("""COMPUTED_VALUE"""),"Publikasi")</f>
        <v>Publikasi</v>
      </c>
      <c r="E956" s="19"/>
      <c r="F956" s="20"/>
    </row>
    <row r="957">
      <c r="A957" s="13" t="str">
        <f>IFERROR(__xludf.DUMMYFUNCTION("""COMPUTED_VALUE"""),"riani_rriani@apps:ipb:ac:id")</f>
        <v>riani_rriani@apps:ipb:ac:id</v>
      </c>
      <c r="B957" s="13" t="str">
        <f>IFERROR(__xludf.DUMMYFUNCTION("""COMPUTED_VALUE"""),"Statistik Tanaman Pangan (Padi dan Palawija) Kabupaten Dairi 2020")</f>
        <v>Statistik Tanaman Pangan (Padi dan Palawija) Kabupaten Dairi 2020</v>
      </c>
      <c r="C957" s="13" t="str">
        <f>IFERROR(__xludf.DUMMYFUNCTION("""COMPUTED_VALUE"""),"Publikasi")</f>
        <v>Publikasi</v>
      </c>
      <c r="E957" s="19"/>
      <c r="F957" s="20"/>
    </row>
    <row r="958">
      <c r="A958" s="13" t="str">
        <f>IFERROR(__xludf.DUMMYFUNCTION("""COMPUTED_VALUE"""),"riani_rriani@apps:ipb:ac:id")</f>
        <v>riani_rriani@apps:ipb:ac:id</v>
      </c>
      <c r="B958" s="13" t="str">
        <f>IFERROR(__xludf.DUMMYFUNCTION("""COMPUTED_VALUE"""),"Statistik Tanaman Pangan (Padi dan Palawija) Kabupaten Dairi 2021")</f>
        <v>Statistik Tanaman Pangan (Padi dan Palawija) Kabupaten Dairi 2021</v>
      </c>
      <c r="C958" s="13" t="str">
        <f>IFERROR(__xludf.DUMMYFUNCTION("""COMPUTED_VALUE"""),"Publikasi")</f>
        <v>Publikasi</v>
      </c>
      <c r="E958" s="19"/>
      <c r="F958" s="20"/>
    </row>
    <row r="959">
      <c r="A959" s="13" t="str">
        <f>IFERROR(__xludf.DUMMYFUNCTION("""COMPUTED_VALUE"""),"ribka:anggina@bps:go:id")</f>
        <v>ribka:anggina@bps:go:id</v>
      </c>
      <c r="B959" s="13" t="str">
        <f>IFERROR(__xludf.DUMMYFUNCTION("""COMPUTED_VALUE"""),"Kabupaten Dairi Dalam Angka 2022")</f>
        <v>Kabupaten Dairi Dalam Angka 2022</v>
      </c>
      <c r="C959" s="13" t="str">
        <f>IFERROR(__xludf.DUMMYFUNCTION("""COMPUTED_VALUE"""),"Publikasi")</f>
        <v>Publikasi</v>
      </c>
      <c r="E959" s="19"/>
      <c r="F959" s="20"/>
    </row>
    <row r="960">
      <c r="A960" s="13" t="str">
        <f>IFERROR(__xludf.DUMMYFUNCTION("""COMPUTED_VALUE"""),"ribka:anggina@gmail:com")</f>
        <v>ribka:anggina@gmail:com</v>
      </c>
      <c r="B960" s="13" t="str">
        <f>IFERROR(__xludf.DUMMYFUNCTION("""COMPUTED_VALUE"""),"Analisis Hasil Survei Kebutuhan Data BPS Kabupaten Dairi 2024")</f>
        <v>Analisis Hasil Survei Kebutuhan Data BPS Kabupaten Dairi 2024</v>
      </c>
      <c r="C960" s="13" t="str">
        <f>IFERROR(__xludf.DUMMYFUNCTION("""COMPUTED_VALUE"""),"Publikasi")</f>
        <v>Publikasi</v>
      </c>
      <c r="E960" s="19"/>
      <c r="F960" s="20"/>
    </row>
    <row r="961">
      <c r="A961" s="13" t="str">
        <f>IFERROR(__xludf.DUMMYFUNCTION("""COMPUTED_VALUE"""),"ribka:anggina@gmail:com")</f>
        <v>ribka:anggina@gmail:com</v>
      </c>
      <c r="B961" s="13" t="str">
        <f>IFERROR(__xludf.DUMMYFUNCTION("""COMPUTED_VALUE"""),"Analisis Survei Kebutuhan Data Kabupaten Dairi 2022")</f>
        <v>Analisis Survei Kebutuhan Data Kabupaten Dairi 2022</v>
      </c>
      <c r="C961" s="13" t="str">
        <f>IFERROR(__xludf.DUMMYFUNCTION("""COMPUTED_VALUE"""),"Publikasi")</f>
        <v>Publikasi</v>
      </c>
      <c r="E961" s="19"/>
      <c r="F961" s="20"/>
    </row>
    <row r="962">
      <c r="A962" s="13" t="str">
        <f>IFERROR(__xludf.DUMMYFUNCTION("""COMPUTED_VALUE"""),"ribka:anggina@gmail:com")</f>
        <v>ribka:anggina@gmail:com</v>
      </c>
      <c r="B962" s="13" t="str">
        <f>IFERROR(__xludf.DUMMYFUNCTION("""COMPUTED_VALUE"""),"Indikator Kesejahteraan Rakyat Kabupaten Dairi Tahun 2022")</f>
        <v>Indikator Kesejahteraan Rakyat Kabupaten Dairi Tahun 2022</v>
      </c>
      <c r="C962" s="13" t="str">
        <f>IFERROR(__xludf.DUMMYFUNCTION("""COMPUTED_VALUE"""),"Publikasi")</f>
        <v>Publikasi</v>
      </c>
      <c r="E962" s="19"/>
      <c r="F962" s="20"/>
    </row>
    <row r="963">
      <c r="A963" s="13" t="str">
        <f>IFERROR(__xludf.DUMMYFUNCTION("""COMPUTED_VALUE"""),"ribka:anggina@gmail:com")</f>
        <v>ribka:anggina@gmail:com</v>
      </c>
      <c r="B963" s="13" t="str">
        <f>IFERROR(__xludf.DUMMYFUNCTION("""COMPUTED_VALUE"""),"Kabupaten Dairi Dalam Angka 2022")</f>
        <v>Kabupaten Dairi Dalam Angka 2022</v>
      </c>
      <c r="C963" s="13" t="str">
        <f>IFERROR(__xludf.DUMMYFUNCTION("""COMPUTED_VALUE"""),"Publikasi")</f>
        <v>Publikasi</v>
      </c>
      <c r="E963" s="19"/>
      <c r="F963" s="20"/>
    </row>
    <row r="964">
      <c r="A964" s="13" t="str">
        <f>IFERROR(__xludf.DUMMYFUNCTION("""COMPUTED_VALUE"""),"ribka:anggina@gmail:com")</f>
        <v>ribka:anggina@gmail:com</v>
      </c>
      <c r="B964" s="13" t="str">
        <f>IFERROR(__xludf.DUMMYFUNCTION("""COMPUTED_VALUE"""),"Kabupaten Dairi Dalam Angka 2024")</f>
        <v>Kabupaten Dairi Dalam Angka 2024</v>
      </c>
      <c r="C964" s="13" t="str">
        <f>IFERROR(__xludf.DUMMYFUNCTION("""COMPUTED_VALUE"""),"Publikasi")</f>
        <v>Publikasi</v>
      </c>
      <c r="E964" s="19"/>
      <c r="F964" s="20"/>
    </row>
    <row r="965">
      <c r="A965" s="13" t="str">
        <f>IFERROR(__xludf.DUMMYFUNCTION("""COMPUTED_VALUE"""),"ribka:anggina@gmail:com")</f>
        <v>ribka:anggina@gmail:com</v>
      </c>
      <c r="B965" s="13" t="str">
        <f>IFERROR(__xludf.DUMMYFUNCTION("""COMPUTED_VALUE"""),"Profil Kependudukan dan Ketenagakerjaan Kabupaten Dairi 2021")</f>
        <v>Profil Kependudukan dan Ketenagakerjaan Kabupaten Dairi 2021</v>
      </c>
      <c r="C965" s="13" t="str">
        <f>IFERROR(__xludf.DUMMYFUNCTION("""COMPUTED_VALUE"""),"Publikasi")</f>
        <v>Publikasi</v>
      </c>
      <c r="E965" s="19"/>
      <c r="F965" s="20"/>
    </row>
    <row r="966">
      <c r="A966" s="13" t="str">
        <f>IFERROR(__xludf.DUMMYFUNCTION("""COMPUTED_VALUE"""),"ribka:anggina@gmail:com")</f>
        <v>ribka:anggina@gmail:com</v>
      </c>
      <c r="B966" s="13" t="str">
        <f>IFERROR(__xludf.DUMMYFUNCTION("""COMPUTED_VALUE"""),"Statistik Kesejahteraan Rakyat Kabupaten Dairi 2022")</f>
        <v>Statistik Kesejahteraan Rakyat Kabupaten Dairi 2022</v>
      </c>
      <c r="C966" s="13" t="str">
        <f>IFERROR(__xludf.DUMMYFUNCTION("""COMPUTED_VALUE"""),"Publikasi")</f>
        <v>Publikasi</v>
      </c>
      <c r="E966" s="19"/>
      <c r="F966" s="20"/>
    </row>
    <row r="967">
      <c r="A967" s="13" t="str">
        <f>IFERROR(__xludf.DUMMYFUNCTION("""COMPUTED_VALUE"""),"riduan:keloko@mail:com")</f>
        <v>riduan:keloko@mail:com</v>
      </c>
      <c r="B967" s="13" t="str">
        <f>IFERROR(__xludf.DUMMYFUNCTION("""COMPUTED_VALUE"""),"Statistik Tanaman Pangan (Padi dan Palawija) Kabupaten Dairi 2022")</f>
        <v>Statistik Tanaman Pangan (Padi dan Palawija) Kabupaten Dairi 2022</v>
      </c>
      <c r="C967" s="13" t="str">
        <f>IFERROR(__xludf.DUMMYFUNCTION("""COMPUTED_VALUE"""),"Publikasi")</f>
        <v>Publikasi</v>
      </c>
      <c r="E967" s="19"/>
      <c r="F967" s="20"/>
    </row>
    <row r="968">
      <c r="A968" s="13" t="str">
        <f>IFERROR(__xludf.DUMMYFUNCTION("""COMPUTED_VALUE"""),"rinamawardahbatubaraa@gmail:com")</f>
        <v>rinamawardahbatubaraa@gmail:com</v>
      </c>
      <c r="B968" s="13" t="str">
        <f>IFERROR(__xludf.DUMMYFUNCTION("""COMPUTED_VALUE"""),"Kabupaten Dairi Dalam Angka 2024")</f>
        <v>Kabupaten Dairi Dalam Angka 2024</v>
      </c>
      <c r="C968" s="13" t="str">
        <f>IFERROR(__xludf.DUMMYFUNCTION("""COMPUTED_VALUE"""),"Publikasi")</f>
        <v>Publikasi</v>
      </c>
      <c r="E968" s="19"/>
      <c r="F968" s="20"/>
    </row>
    <row r="969">
      <c r="A969" s="13" t="str">
        <f>IFERROR(__xludf.DUMMYFUNCTION("""COMPUTED_VALUE"""),"rinawati16sibuea@gmail:com")</f>
        <v>rinawati16sibuea@gmail:com</v>
      </c>
      <c r="B969" s="13" t="str">
        <f>IFERROR(__xludf.DUMMYFUNCTION("""COMPUTED_VALUE"""),"Kabupaten Dairi Dalam Angka 2024")</f>
        <v>Kabupaten Dairi Dalam Angka 2024</v>
      </c>
      <c r="C969" s="13" t="str">
        <f>IFERROR(__xludf.DUMMYFUNCTION("""COMPUTED_VALUE"""),"Publikasi")</f>
        <v>Publikasi</v>
      </c>
      <c r="E969" s="19"/>
      <c r="F969" s="20"/>
    </row>
    <row r="970">
      <c r="A970" s="13" t="str">
        <f>IFERROR(__xludf.DUMMYFUNCTION("""COMPUTED_VALUE"""),"rindianisanurr@gmail:com")</f>
        <v>rindianisanurr@gmail:com</v>
      </c>
      <c r="B970" s="13" t="str">
        <f>IFERROR(__xludf.DUMMYFUNCTION("""COMPUTED_VALUE"""),"Hasil Pencacahan Lengkap Sensus Pertanian 2024 - Tahap I Kabupaten Dairi")</f>
        <v>Hasil Pencacahan Lengkap Sensus Pertanian 2024 - Tahap I Kabupaten Dairi</v>
      </c>
      <c r="C970" s="13" t="str">
        <f>IFERROR(__xludf.DUMMYFUNCTION("""COMPUTED_VALUE"""),"Publikasi")</f>
        <v>Publikasi</v>
      </c>
      <c r="E970" s="19"/>
      <c r="F970" s="20"/>
    </row>
    <row r="971">
      <c r="A971" s="13" t="str">
        <f>IFERROR(__xludf.DUMMYFUNCTION("""COMPUTED_VALUE"""),"rindianisanurr@gmail:com")</f>
        <v>rindianisanurr@gmail:com</v>
      </c>
      <c r="B971" s="13" t="str">
        <f>IFERROR(__xludf.DUMMYFUNCTION("""COMPUTED_VALUE"""),"Kabupaten Dairi Dalam Angka 2019")</f>
        <v>Kabupaten Dairi Dalam Angka 2019</v>
      </c>
      <c r="C971" s="13" t="str">
        <f>IFERROR(__xludf.DUMMYFUNCTION("""COMPUTED_VALUE"""),"Publikasi")</f>
        <v>Publikasi</v>
      </c>
      <c r="E971" s="19"/>
      <c r="F971" s="20"/>
    </row>
    <row r="972">
      <c r="A972" s="13" t="str">
        <f>IFERROR(__xludf.DUMMYFUNCTION("""COMPUTED_VALUE"""),"rindianisanurr@gmail:com")</f>
        <v>rindianisanurr@gmail:com</v>
      </c>
      <c r="B972" s="13" t="str">
        <f>IFERROR(__xludf.DUMMYFUNCTION("""COMPUTED_VALUE"""),"Kabupaten Dairi Dalam Angka 2020")</f>
        <v>Kabupaten Dairi Dalam Angka 2020</v>
      </c>
      <c r="C972" s="13" t="str">
        <f>IFERROR(__xludf.DUMMYFUNCTION("""COMPUTED_VALUE"""),"Publikasi")</f>
        <v>Publikasi</v>
      </c>
      <c r="E972" s="19"/>
      <c r="F972" s="20"/>
    </row>
    <row r="973">
      <c r="A973" s="13" t="str">
        <f>IFERROR(__xludf.DUMMYFUNCTION("""COMPUTED_VALUE"""),"rindianisanurr@gmail:com")</f>
        <v>rindianisanurr@gmail:com</v>
      </c>
      <c r="B973" s="13" t="str">
        <f>IFERROR(__xludf.DUMMYFUNCTION("""COMPUTED_VALUE"""),"Kabupaten Dairi Dalam Angka 2021")</f>
        <v>Kabupaten Dairi Dalam Angka 2021</v>
      </c>
      <c r="C973" s="13" t="str">
        <f>IFERROR(__xludf.DUMMYFUNCTION("""COMPUTED_VALUE"""),"Publikasi")</f>
        <v>Publikasi</v>
      </c>
      <c r="E973" s="19"/>
      <c r="F973" s="20"/>
    </row>
    <row r="974">
      <c r="A974" s="13" t="str">
        <f>IFERROR(__xludf.DUMMYFUNCTION("""COMPUTED_VALUE"""),"rindianisanurr@gmail:com")</f>
        <v>rindianisanurr@gmail:com</v>
      </c>
      <c r="B974" s="13" t="str">
        <f>IFERROR(__xludf.DUMMYFUNCTION("""COMPUTED_VALUE"""),"Kabupaten Dairi Dalam Angka 2022")</f>
        <v>Kabupaten Dairi Dalam Angka 2022</v>
      </c>
      <c r="C974" s="13" t="str">
        <f>IFERROR(__xludf.DUMMYFUNCTION("""COMPUTED_VALUE"""),"Publikasi")</f>
        <v>Publikasi</v>
      </c>
      <c r="E974" s="19"/>
      <c r="F974" s="20"/>
    </row>
    <row r="975">
      <c r="A975" s="13" t="str">
        <f>IFERROR(__xludf.DUMMYFUNCTION("""COMPUTED_VALUE"""),"rindiwsimbolon@gmail:com")</f>
        <v>rindiwsimbolon@gmail:com</v>
      </c>
      <c r="B975" s="13" t="str">
        <f>IFERROR(__xludf.DUMMYFUNCTION("""COMPUTED_VALUE"""),"Indikator Kesejahteraan Rakyat Kabupaten Dairi Tahun 2024")</f>
        <v>Indikator Kesejahteraan Rakyat Kabupaten Dairi Tahun 2024</v>
      </c>
      <c r="C975" s="13" t="str">
        <f>IFERROR(__xludf.DUMMYFUNCTION("""COMPUTED_VALUE"""),"Publikasi")</f>
        <v>Publikasi</v>
      </c>
      <c r="E975" s="19"/>
      <c r="F975" s="20"/>
    </row>
    <row r="976">
      <c r="A976" s="13" t="str">
        <f>IFERROR(__xludf.DUMMYFUNCTION("""COMPUTED_VALUE"""),"rindiwsimbolon@gmail:com")</f>
        <v>rindiwsimbolon@gmail:com</v>
      </c>
      <c r="B976" s="13" t="str">
        <f>IFERROR(__xludf.DUMMYFUNCTION("""COMPUTED_VALUE"""),"Statistik Kesejahteraan Rakyat Kabupaten Dairi 2022")</f>
        <v>Statistik Kesejahteraan Rakyat Kabupaten Dairi 2022</v>
      </c>
      <c r="C976" s="13" t="str">
        <f>IFERROR(__xludf.DUMMYFUNCTION("""COMPUTED_VALUE"""),"Publikasi")</f>
        <v>Publikasi</v>
      </c>
      <c r="E976" s="19"/>
      <c r="F976" s="20"/>
    </row>
    <row r="977">
      <c r="A977" s="13" t="str">
        <f>IFERROR(__xludf.DUMMYFUNCTION("""COMPUTED_VALUE"""),"rindiwsimbolon@gmail:com")</f>
        <v>rindiwsimbolon@gmail:com</v>
      </c>
      <c r="B977" s="13" t="str">
        <f>IFERROR(__xludf.DUMMYFUNCTION("""COMPUTED_VALUE"""),"Statistik Tanaman Pangan (Padi dan Palawija) Kabupaten Dairi 2022")</f>
        <v>Statistik Tanaman Pangan (Padi dan Palawija) Kabupaten Dairi 2022</v>
      </c>
      <c r="C977" s="13" t="str">
        <f>IFERROR(__xludf.DUMMYFUNCTION("""COMPUTED_VALUE"""),"Publikasi")</f>
        <v>Publikasi</v>
      </c>
      <c r="E977" s="19"/>
      <c r="F977" s="20"/>
    </row>
    <row r="978">
      <c r="A978" s="13" t="str">
        <f>IFERROR(__xludf.DUMMYFUNCTION("""COMPUTED_VALUE"""),"ririoktavani@yahoo:co:id")</f>
        <v>ririoktavani@yahoo:co:id</v>
      </c>
      <c r="B978" s="13" t="str">
        <f>IFERROR(__xludf.DUMMYFUNCTION("""COMPUTED_VALUE"""),"Kabupaten Dairi Dalam Angka 2022")</f>
        <v>Kabupaten Dairi Dalam Angka 2022</v>
      </c>
      <c r="C978" s="13" t="str">
        <f>IFERROR(__xludf.DUMMYFUNCTION("""COMPUTED_VALUE"""),"Publikasi")</f>
        <v>Publikasi</v>
      </c>
      <c r="E978" s="19"/>
      <c r="F978" s="20"/>
    </row>
    <row r="979">
      <c r="A979" s="13" t="str">
        <f>IFERROR(__xludf.DUMMYFUNCTION("""COMPUTED_VALUE"""),"ririssilalahi933@gmail:com")</f>
        <v>ririssilalahi933@gmail:com</v>
      </c>
      <c r="B979" s="13" t="str">
        <f>IFERROR(__xludf.DUMMYFUNCTION("""COMPUTED_VALUE"""),"Analisis Survei Kebutuhan Data Kabupaten Dairi 2022")</f>
        <v>Analisis Survei Kebutuhan Data Kabupaten Dairi 2022</v>
      </c>
      <c r="C979" s="13" t="str">
        <f>IFERROR(__xludf.DUMMYFUNCTION("""COMPUTED_VALUE"""),"Publikasi")</f>
        <v>Publikasi</v>
      </c>
      <c r="E979" s="19"/>
      <c r="F979" s="20"/>
    </row>
    <row r="980">
      <c r="A980" s="13" t="str">
        <f>IFERROR(__xludf.DUMMYFUNCTION("""COMPUTED_VALUE"""),"ririssilalahi933@gmail:com")</f>
        <v>ririssilalahi933@gmail:com</v>
      </c>
      <c r="B980" s="13" t="str">
        <f>IFERROR(__xludf.DUMMYFUNCTION("""COMPUTED_VALUE"""),"Indikator Kesejahteraan Rakyat Kabupaten Dairi Tahun 2022")</f>
        <v>Indikator Kesejahteraan Rakyat Kabupaten Dairi Tahun 2022</v>
      </c>
      <c r="C980" s="13" t="str">
        <f>IFERROR(__xludf.DUMMYFUNCTION("""COMPUTED_VALUE"""),"Publikasi")</f>
        <v>Publikasi</v>
      </c>
      <c r="E980" s="19"/>
      <c r="F980" s="20"/>
    </row>
    <row r="981">
      <c r="A981" s="13" t="str">
        <f>IFERROR(__xludf.DUMMYFUNCTION("""COMPUTED_VALUE"""),"ririssilalahi933@gmail:com")</f>
        <v>ririssilalahi933@gmail:com</v>
      </c>
      <c r="B981" s="13" t="str">
        <f>IFERROR(__xludf.DUMMYFUNCTION("""COMPUTED_VALUE"""),"Kabupaten Dairi Dalam Angka 2021")</f>
        <v>Kabupaten Dairi Dalam Angka 2021</v>
      </c>
      <c r="C981" s="13" t="str">
        <f>IFERROR(__xludf.DUMMYFUNCTION("""COMPUTED_VALUE"""),"Publikasi")</f>
        <v>Publikasi</v>
      </c>
      <c r="E981" s="19"/>
      <c r="F981" s="20"/>
    </row>
    <row r="982">
      <c r="A982" s="13" t="str">
        <f>IFERROR(__xludf.DUMMYFUNCTION("""COMPUTED_VALUE"""),"ririssilalahi933@gmail:com")</f>
        <v>ririssilalahi933@gmail:com</v>
      </c>
      <c r="B982" s="13" t="str">
        <f>IFERROR(__xludf.DUMMYFUNCTION("""COMPUTED_VALUE"""),"Kabupaten Dairi Dalam Angka 2022")</f>
        <v>Kabupaten Dairi Dalam Angka 2022</v>
      </c>
      <c r="C982" s="13" t="str">
        <f>IFERROR(__xludf.DUMMYFUNCTION("""COMPUTED_VALUE"""),"Publikasi")</f>
        <v>Publikasi</v>
      </c>
      <c r="E982" s="19"/>
      <c r="F982" s="20"/>
    </row>
    <row r="983">
      <c r="A983" s="13" t="str">
        <f>IFERROR(__xludf.DUMMYFUNCTION("""COMPUTED_VALUE"""),"ririssilalahi933@gmail:com")</f>
        <v>ririssilalahi933@gmail:com</v>
      </c>
      <c r="B983" s="13" t="str">
        <f>IFERROR(__xludf.DUMMYFUNCTION("""COMPUTED_VALUE"""),"Profil Kependudukan dan Ketenagakerjaan Kabupaten Dairi 2021")</f>
        <v>Profil Kependudukan dan Ketenagakerjaan Kabupaten Dairi 2021</v>
      </c>
      <c r="C983" s="13" t="str">
        <f>IFERROR(__xludf.DUMMYFUNCTION("""COMPUTED_VALUE"""),"Publikasi")</f>
        <v>Publikasi</v>
      </c>
      <c r="E983" s="19"/>
      <c r="F983" s="20"/>
    </row>
    <row r="984">
      <c r="A984" s="13" t="str">
        <f>IFERROR(__xludf.DUMMYFUNCTION("""COMPUTED_VALUE"""),"ririssilalahi933@gmail:com")</f>
        <v>ririssilalahi933@gmail:com</v>
      </c>
      <c r="B984" s="13" t="str">
        <f>IFERROR(__xludf.DUMMYFUNCTION("""COMPUTED_VALUE"""),"Statistik Tanaman Pangan (Padi dan Palawija) Kabupaten Dairi 2022")</f>
        <v>Statistik Tanaman Pangan (Padi dan Palawija) Kabupaten Dairi 2022</v>
      </c>
      <c r="C984" s="13" t="str">
        <f>IFERROR(__xludf.DUMMYFUNCTION("""COMPUTED_VALUE"""),"Publikasi")</f>
        <v>Publikasi</v>
      </c>
      <c r="E984" s="19"/>
      <c r="F984" s="20"/>
    </row>
    <row r="985">
      <c r="A985" s="13" t="str">
        <f>IFERROR(__xludf.DUMMYFUNCTION("""COMPUTED_VALUE"""),"ritamawarsianturi:81@gmail:com")</f>
        <v>ritamawarsianturi:81@gmail:com</v>
      </c>
      <c r="B985" s="13" t="str">
        <f>IFERROR(__xludf.DUMMYFUNCTION("""COMPUTED_VALUE"""),"Kabupaten Dairi Dalam Angka 2024")</f>
        <v>Kabupaten Dairi Dalam Angka 2024</v>
      </c>
      <c r="C985" s="13" t="str">
        <f>IFERROR(__xludf.DUMMYFUNCTION("""COMPUTED_VALUE"""),"Publikasi")</f>
        <v>Publikasi</v>
      </c>
      <c r="E985" s="19"/>
      <c r="F985" s="20"/>
    </row>
    <row r="986">
      <c r="A986" s="13" t="str">
        <f>IFERROR(__xludf.DUMMYFUNCTION("""COMPUTED_VALUE"""),"ritamawarsianturi:81@gmail:com")</f>
        <v>ritamawarsianturi:81@gmail:com</v>
      </c>
      <c r="B986" s="13" t="str">
        <f>IFERROR(__xludf.DUMMYFUNCTION("""COMPUTED_VALUE"""),"Statistik Hortikultura Kabupaten Dairi Tahun 2022")</f>
        <v>Statistik Hortikultura Kabupaten Dairi Tahun 2022</v>
      </c>
      <c r="C986" s="13" t="str">
        <f>IFERROR(__xludf.DUMMYFUNCTION("""COMPUTED_VALUE"""),"Publikasi")</f>
        <v>Publikasi</v>
      </c>
      <c r="E986" s="19"/>
      <c r="F986" s="20"/>
    </row>
    <row r="987">
      <c r="A987" s="13" t="str">
        <f>IFERROR(__xludf.DUMMYFUNCTION("""COMPUTED_VALUE"""),"ritamawarsianturi:81@gmail:com")</f>
        <v>ritamawarsianturi:81@gmail:com</v>
      </c>
      <c r="B987" s="13" t="str">
        <f>IFERROR(__xludf.DUMMYFUNCTION("""COMPUTED_VALUE"""),"Statistik Tanaman Pangan (Padi dan Palawija) Kabupaten Dairi 2022")</f>
        <v>Statistik Tanaman Pangan (Padi dan Palawija) Kabupaten Dairi 2022</v>
      </c>
      <c r="C987" s="13" t="str">
        <f>IFERROR(__xludf.DUMMYFUNCTION("""COMPUTED_VALUE"""),"Publikasi")</f>
        <v>Publikasi</v>
      </c>
      <c r="E987" s="19"/>
      <c r="F987" s="20"/>
    </row>
    <row r="988">
      <c r="A988" s="13" t="str">
        <f>IFERROR(__xludf.DUMMYFUNCTION("""COMPUTED_VALUE"""),"rivaldi:s159@gmail:com")</f>
        <v>rivaldi:s159@gmail:com</v>
      </c>
      <c r="B988" s="13" t="str">
        <f>IFERROR(__xludf.DUMMYFUNCTION("""COMPUTED_VALUE"""),"Kabupaten Dairi Dalam Angka 2024")</f>
        <v>Kabupaten Dairi Dalam Angka 2024</v>
      </c>
      <c r="C988" s="13" t="str">
        <f>IFERROR(__xludf.DUMMYFUNCTION("""COMPUTED_VALUE"""),"Publikasi")</f>
        <v>Publikasi</v>
      </c>
      <c r="E988" s="19"/>
      <c r="F988" s="20"/>
    </row>
    <row r="989">
      <c r="A989" s="13" t="str">
        <f>IFERROR(__xludf.DUMMYFUNCTION("""COMPUTED_VALUE"""),"rivaldi@bps:go:id")</f>
        <v>rivaldi@bps:go:id</v>
      </c>
      <c r="B989" s="13" t="str">
        <f>IFERROR(__xludf.DUMMYFUNCTION("""COMPUTED_VALUE"""),"Analisis Hasil Survei Kebutuhan Data BPS Kabupaten Dairi 2024")</f>
        <v>Analisis Hasil Survei Kebutuhan Data BPS Kabupaten Dairi 2024</v>
      </c>
      <c r="C989" s="13" t="str">
        <f>IFERROR(__xludf.DUMMYFUNCTION("""COMPUTED_VALUE"""),"Publikasi")</f>
        <v>Publikasi</v>
      </c>
      <c r="E989" s="19"/>
      <c r="F989" s="20"/>
    </row>
    <row r="990">
      <c r="A990" s="13" t="str">
        <f>IFERROR(__xludf.DUMMYFUNCTION("""COMPUTED_VALUE"""),"rivaldi@bps:go:id")</f>
        <v>rivaldi@bps:go:id</v>
      </c>
      <c r="B990" s="13" t="str">
        <f>IFERROR(__xludf.DUMMYFUNCTION("""COMPUTED_VALUE"""),"Indikator Kesejahteraan Rakyat Kabupaten Dairi Tahun 2024")</f>
        <v>Indikator Kesejahteraan Rakyat Kabupaten Dairi Tahun 2024</v>
      </c>
      <c r="C990" s="13" t="str">
        <f>IFERROR(__xludf.DUMMYFUNCTION("""COMPUTED_VALUE"""),"Publikasi")</f>
        <v>Publikasi</v>
      </c>
      <c r="E990" s="19"/>
      <c r="F990" s="20"/>
    </row>
    <row r="991">
      <c r="A991" s="13" t="str">
        <f>IFERROR(__xludf.DUMMYFUNCTION("""COMPUTED_VALUE"""),"rivaldi@bps:go:id")</f>
        <v>rivaldi@bps:go:id</v>
      </c>
      <c r="B991" s="13" t="str">
        <f>IFERROR(__xludf.DUMMYFUNCTION("""COMPUTED_VALUE"""),"Kabupaten Dairi Dalam Angka 2024")</f>
        <v>Kabupaten Dairi Dalam Angka 2024</v>
      </c>
      <c r="C991" s="13" t="str">
        <f>IFERROR(__xludf.DUMMYFUNCTION("""COMPUTED_VALUE"""),"Publikasi")</f>
        <v>Publikasi</v>
      </c>
      <c r="E991" s="19"/>
      <c r="F991" s="20"/>
    </row>
    <row r="992">
      <c r="A992" s="13" t="str">
        <f>IFERROR(__xludf.DUMMYFUNCTION("""COMPUTED_VALUE"""),"rivaldi@bps:go:id")</f>
        <v>rivaldi@bps:go:id</v>
      </c>
      <c r="B992" s="13" t="str">
        <f>IFERROR(__xludf.DUMMYFUNCTION("""COMPUTED_VALUE"""),"Statistik Kesejahteraan Rakyat Kabupaten Dairi 2024")</f>
        <v>Statistik Kesejahteraan Rakyat Kabupaten Dairi 2024</v>
      </c>
      <c r="C992" s="13" t="str">
        <f>IFERROR(__xludf.DUMMYFUNCTION("""COMPUTED_VALUE"""),"Publikasi")</f>
        <v>Publikasi</v>
      </c>
      <c r="E992" s="19"/>
      <c r="F992" s="20"/>
    </row>
    <row r="993">
      <c r="A993" s="13" t="str">
        <f>IFERROR(__xludf.DUMMYFUNCTION("""COMPUTED_VALUE"""),"riyadma1000@gmail:com")</f>
        <v>riyadma1000@gmail:com</v>
      </c>
      <c r="B993" s="13" t="str">
        <f>IFERROR(__xludf.DUMMYFUNCTION("""COMPUTED_VALUE"""),"Booklet Hasil Long Form Sensus Penduduk 2020 Kabupaten Dairi")</f>
        <v>Booklet Hasil Long Form Sensus Penduduk 2020 Kabupaten Dairi</v>
      </c>
      <c r="C993" s="13" t="str">
        <f>IFERROR(__xludf.DUMMYFUNCTION("""COMPUTED_VALUE"""),"Publikasi")</f>
        <v>Publikasi</v>
      </c>
      <c r="E993" s="19"/>
      <c r="F993" s="20"/>
    </row>
    <row r="994">
      <c r="A994" s="13" t="str">
        <f>IFERROR(__xludf.DUMMYFUNCTION("""COMPUTED_VALUE"""),"rizkisamoramuliana24@gmail:com")</f>
        <v>rizkisamoramuliana24@gmail:com</v>
      </c>
      <c r="B994" s="13" t="str">
        <f>IFERROR(__xludf.DUMMYFUNCTION("""COMPUTED_VALUE"""),"Kabupaten Dairi Dalam Angka 2024")</f>
        <v>Kabupaten Dairi Dalam Angka 2024</v>
      </c>
      <c r="C994" s="13" t="str">
        <f>IFERROR(__xludf.DUMMYFUNCTION("""COMPUTED_VALUE"""),"Publikasi")</f>
        <v>Publikasi</v>
      </c>
      <c r="E994" s="19"/>
      <c r="F994" s="20"/>
    </row>
    <row r="995">
      <c r="A995" s="13" t="str">
        <f>IFERROR(__xludf.DUMMYFUNCTION("""COMPUTED_VALUE"""),"rizkyanandap304@gmail:com")</f>
        <v>rizkyanandap304@gmail:com</v>
      </c>
      <c r="B995" s="13" t="str">
        <f>IFERROR(__xludf.DUMMYFUNCTION("""COMPUTED_VALUE"""),"Kabupaten Dairi Dalam Angka 2018")</f>
        <v>Kabupaten Dairi Dalam Angka 2018</v>
      </c>
      <c r="C995" s="13" t="str">
        <f>IFERROR(__xludf.DUMMYFUNCTION("""COMPUTED_VALUE"""),"Publikasi")</f>
        <v>Publikasi</v>
      </c>
      <c r="E995" s="19"/>
      <c r="F995" s="20"/>
    </row>
    <row r="996">
      <c r="A996" s="13" t="str">
        <f>IFERROR(__xludf.DUMMYFUNCTION("""COMPUTED_VALUE"""),"rizkyanandap304@gmail:com")</f>
        <v>rizkyanandap304@gmail:com</v>
      </c>
      <c r="B996" s="13" t="str">
        <f>IFERROR(__xludf.DUMMYFUNCTION("""COMPUTED_VALUE"""),"Kabupaten Dairi Dalam Angka 2019")</f>
        <v>Kabupaten Dairi Dalam Angka 2019</v>
      </c>
      <c r="C996" s="13" t="str">
        <f>IFERROR(__xludf.DUMMYFUNCTION("""COMPUTED_VALUE"""),"Publikasi")</f>
        <v>Publikasi</v>
      </c>
      <c r="E996" s="19"/>
      <c r="F996" s="20"/>
    </row>
    <row r="997">
      <c r="A997" s="13" t="str">
        <f>IFERROR(__xludf.DUMMYFUNCTION("""COMPUTED_VALUE"""),"robert7tumorang@gmail:com")</f>
        <v>robert7tumorang@gmail:com</v>
      </c>
      <c r="B997" s="13" t="str">
        <f>IFERROR(__xludf.DUMMYFUNCTION("""COMPUTED_VALUE"""),"Kabupaten Dairi Dalam Angka 2022")</f>
        <v>Kabupaten Dairi Dalam Angka 2022</v>
      </c>
      <c r="C997" s="13" t="str">
        <f>IFERROR(__xludf.DUMMYFUNCTION("""COMPUTED_VALUE"""),"Publikasi")</f>
        <v>Publikasi</v>
      </c>
      <c r="E997" s="19"/>
      <c r="F997" s="20"/>
    </row>
    <row r="998">
      <c r="A998" s="13" t="str">
        <f>IFERROR(__xludf.DUMMYFUNCTION("""COMPUTED_VALUE"""),"robert7tumorang@gmail:com")</f>
        <v>robert7tumorang@gmail:com</v>
      </c>
      <c r="B998" s="13" t="str">
        <f>IFERROR(__xludf.DUMMYFUNCTION("""COMPUTED_VALUE"""),"Kecamatan Berampu Dalam Angka 2022")</f>
        <v>Kecamatan Berampu Dalam Angka 2022</v>
      </c>
      <c r="C998" s="13" t="str">
        <f>IFERROR(__xludf.DUMMYFUNCTION("""COMPUTED_VALUE"""),"Publikasi")</f>
        <v>Publikasi</v>
      </c>
      <c r="E998" s="19"/>
      <c r="F998" s="20"/>
    </row>
    <row r="999">
      <c r="A999" s="13" t="str">
        <f>IFERROR(__xludf.DUMMYFUNCTION("""COMPUTED_VALUE"""),"robert7tumorang@gmail:com")</f>
        <v>robert7tumorang@gmail:com</v>
      </c>
      <c r="B999" s="13" t="str">
        <f>IFERROR(__xludf.DUMMYFUNCTION("""COMPUTED_VALUE"""),"Kecamatan Gunung Sitember Dalam Angka 2022")</f>
        <v>Kecamatan Gunung Sitember Dalam Angka 2022</v>
      </c>
      <c r="C999" s="13" t="str">
        <f>IFERROR(__xludf.DUMMYFUNCTION("""COMPUTED_VALUE"""),"Publikasi")</f>
        <v>Publikasi</v>
      </c>
      <c r="E999" s="19"/>
      <c r="F999" s="20"/>
    </row>
    <row r="1000">
      <c r="A1000" s="13" t="str">
        <f>IFERROR(__xludf.DUMMYFUNCTION("""COMPUTED_VALUE"""),"robert7tumorang@gmail:com")</f>
        <v>robert7tumorang@gmail:com</v>
      </c>
      <c r="B1000" s="13" t="str">
        <f>IFERROR(__xludf.DUMMYFUNCTION("""COMPUTED_VALUE"""),"Kecamatan Lae Parira Dalam Angka 2022")</f>
        <v>Kecamatan Lae Parira Dalam Angka 2022</v>
      </c>
      <c r="C1000" s="13" t="str">
        <f>IFERROR(__xludf.DUMMYFUNCTION("""COMPUTED_VALUE"""),"Publikasi")</f>
        <v>Publikasi</v>
      </c>
      <c r="E1000" s="19"/>
      <c r="F1000" s="20"/>
    </row>
    <row r="1001">
      <c r="A1001" s="13" t="str">
        <f>IFERROR(__xludf.DUMMYFUNCTION("""COMPUTED_VALUE"""),"robert7tumorang@gmail:com")</f>
        <v>robert7tumorang@gmail:com</v>
      </c>
      <c r="B1001" s="13" t="str">
        <f>IFERROR(__xludf.DUMMYFUNCTION("""COMPUTED_VALUE"""),"Kecamatan Parbuluan Dalam Angka 2022")</f>
        <v>Kecamatan Parbuluan Dalam Angka 2022</v>
      </c>
      <c r="C1001" s="13" t="str">
        <f>IFERROR(__xludf.DUMMYFUNCTION("""COMPUTED_VALUE"""),"Publikasi")</f>
        <v>Publikasi</v>
      </c>
      <c r="E1001" s="19"/>
      <c r="F1001" s="20"/>
    </row>
    <row r="1002">
      <c r="A1002" s="13" t="str">
        <f>IFERROR(__xludf.DUMMYFUNCTION("""COMPUTED_VALUE"""),"robert7tumorang@gmail:com")</f>
        <v>robert7tumorang@gmail:com</v>
      </c>
      <c r="B1002" s="13" t="str">
        <f>IFERROR(__xludf.DUMMYFUNCTION("""COMPUTED_VALUE"""),"Kecamatan Pegagan Hilir Dalam Angka 2022")</f>
        <v>Kecamatan Pegagan Hilir Dalam Angka 2022</v>
      </c>
      <c r="C1002" s="13" t="str">
        <f>IFERROR(__xludf.DUMMYFUNCTION("""COMPUTED_VALUE"""),"Publikasi")</f>
        <v>Publikasi</v>
      </c>
      <c r="E1002" s="19"/>
      <c r="F1002" s="20"/>
    </row>
    <row r="1003">
      <c r="A1003" s="13" t="str">
        <f>IFERROR(__xludf.DUMMYFUNCTION("""COMPUTED_VALUE"""),"robert7tumorang@gmail:com")</f>
        <v>robert7tumorang@gmail:com</v>
      </c>
      <c r="B1003" s="13" t="str">
        <f>IFERROR(__xludf.DUMMYFUNCTION("""COMPUTED_VALUE"""),"Kecamatan Sidikalang Dalam Angka 2022")</f>
        <v>Kecamatan Sidikalang Dalam Angka 2022</v>
      </c>
      <c r="C1003" s="13" t="str">
        <f>IFERROR(__xludf.DUMMYFUNCTION("""COMPUTED_VALUE"""),"Publikasi")</f>
        <v>Publikasi</v>
      </c>
      <c r="E1003" s="19"/>
      <c r="F1003" s="20"/>
    </row>
    <row r="1004">
      <c r="A1004" s="13" t="str">
        <f>IFERROR(__xludf.DUMMYFUNCTION("""COMPUTED_VALUE"""),"robert7tumorang@gmail:com")</f>
        <v>robert7tumorang@gmail:com</v>
      </c>
      <c r="B1004" s="13" t="str">
        <f>IFERROR(__xludf.DUMMYFUNCTION("""COMPUTED_VALUE"""),"Kecamatan Siempat Nempu Dalam Angka 2022")</f>
        <v>Kecamatan Siempat Nempu Dalam Angka 2022</v>
      </c>
      <c r="C1004" s="13" t="str">
        <f>IFERROR(__xludf.DUMMYFUNCTION("""COMPUTED_VALUE"""),"Publikasi")</f>
        <v>Publikasi</v>
      </c>
      <c r="E1004" s="19"/>
      <c r="F1004" s="20"/>
    </row>
    <row r="1005">
      <c r="A1005" s="13" t="str">
        <f>IFERROR(__xludf.DUMMYFUNCTION("""COMPUTED_VALUE"""),"robert7tumorang@gmail:com")</f>
        <v>robert7tumorang@gmail:com</v>
      </c>
      <c r="B1005" s="13" t="str">
        <f>IFERROR(__xludf.DUMMYFUNCTION("""COMPUTED_VALUE"""),"Kecamatan Siempat Nempu Hilir Dalam Angka 2022")</f>
        <v>Kecamatan Siempat Nempu Hilir Dalam Angka 2022</v>
      </c>
      <c r="C1005" s="13" t="str">
        <f>IFERROR(__xludf.DUMMYFUNCTION("""COMPUTED_VALUE"""),"Publikasi")</f>
        <v>Publikasi</v>
      </c>
      <c r="E1005" s="19"/>
      <c r="F1005" s="20"/>
    </row>
    <row r="1006">
      <c r="A1006" s="13" t="str">
        <f>IFERROR(__xludf.DUMMYFUNCTION("""COMPUTED_VALUE"""),"robert7tumorang@gmail:com")</f>
        <v>robert7tumorang@gmail:com</v>
      </c>
      <c r="B1006" s="13" t="str">
        <f>IFERROR(__xludf.DUMMYFUNCTION("""COMPUTED_VALUE"""),"Kecamatan Siempat Nempu Hulu Dalam Angka 2022")</f>
        <v>Kecamatan Siempat Nempu Hulu Dalam Angka 2022</v>
      </c>
      <c r="C1006" s="13" t="str">
        <f>IFERROR(__xludf.DUMMYFUNCTION("""COMPUTED_VALUE"""),"Publikasi")</f>
        <v>Publikasi</v>
      </c>
      <c r="E1006" s="19"/>
      <c r="F1006" s="20"/>
    </row>
    <row r="1007">
      <c r="A1007" s="13" t="str">
        <f>IFERROR(__xludf.DUMMYFUNCTION("""COMPUTED_VALUE"""),"robert7tumorang@gmail:com")</f>
        <v>robert7tumorang@gmail:com</v>
      </c>
      <c r="B1007" s="13" t="str">
        <f>IFERROR(__xludf.DUMMYFUNCTION("""COMPUTED_VALUE"""),"Kecamatan Silahisabungan Dalam Angka 2022")</f>
        <v>Kecamatan Silahisabungan Dalam Angka 2022</v>
      </c>
      <c r="C1007" s="13" t="str">
        <f>IFERROR(__xludf.DUMMYFUNCTION("""COMPUTED_VALUE"""),"Publikasi")</f>
        <v>Publikasi</v>
      </c>
      <c r="E1007" s="19"/>
      <c r="F1007" s="20"/>
    </row>
    <row r="1008">
      <c r="A1008" s="13" t="str">
        <f>IFERROR(__xludf.DUMMYFUNCTION("""COMPUTED_VALUE"""),"robert7tumorang@gmail:com")</f>
        <v>robert7tumorang@gmail:com</v>
      </c>
      <c r="B1008" s="13" t="str">
        <f>IFERROR(__xludf.DUMMYFUNCTION("""COMPUTED_VALUE"""),"Kecamatan Silima Pungga-Pungga Dalam Angka 2022")</f>
        <v>Kecamatan Silima Pungga-Pungga Dalam Angka 2022</v>
      </c>
      <c r="C1008" s="13" t="str">
        <f>IFERROR(__xludf.DUMMYFUNCTION("""COMPUTED_VALUE"""),"Publikasi")</f>
        <v>Publikasi</v>
      </c>
      <c r="E1008" s="19"/>
      <c r="F1008" s="20"/>
    </row>
    <row r="1009">
      <c r="A1009" s="13" t="str">
        <f>IFERROR(__xludf.DUMMYFUNCTION("""COMPUTED_VALUE"""),"robert7tumorang@gmail:com")</f>
        <v>robert7tumorang@gmail:com</v>
      </c>
      <c r="B1009" s="13" t="str">
        <f>IFERROR(__xludf.DUMMYFUNCTION("""COMPUTED_VALUE"""),"Kecamatan Sitinjo Dalam Angka 2022")</f>
        <v>Kecamatan Sitinjo Dalam Angka 2022</v>
      </c>
      <c r="C1009" s="13" t="str">
        <f>IFERROR(__xludf.DUMMYFUNCTION("""COMPUTED_VALUE"""),"Publikasi")</f>
        <v>Publikasi</v>
      </c>
      <c r="E1009" s="19"/>
      <c r="F1009" s="20"/>
    </row>
    <row r="1010">
      <c r="A1010" s="13" t="str">
        <f>IFERROR(__xludf.DUMMYFUNCTION("""COMPUTED_VALUE"""),"robert7tumorang@gmail:com")</f>
        <v>robert7tumorang@gmail:com</v>
      </c>
      <c r="B1010" s="13" t="str">
        <f>IFERROR(__xludf.DUMMYFUNCTION("""COMPUTED_VALUE"""),"Kecamatan Sumbul Dalam Angka 2022")</f>
        <v>Kecamatan Sumbul Dalam Angka 2022</v>
      </c>
      <c r="C1010" s="13" t="str">
        <f>IFERROR(__xludf.DUMMYFUNCTION("""COMPUTED_VALUE"""),"Publikasi")</f>
        <v>Publikasi</v>
      </c>
      <c r="E1010" s="19"/>
      <c r="F1010" s="20"/>
    </row>
    <row r="1011">
      <c r="A1011" s="13" t="str">
        <f>IFERROR(__xludf.DUMMYFUNCTION("""COMPUTED_VALUE"""),"robert7tumorang@gmail:com")</f>
        <v>robert7tumorang@gmail:com</v>
      </c>
      <c r="B1011" s="13" t="str">
        <f>IFERROR(__xludf.DUMMYFUNCTION("""COMPUTED_VALUE"""),"Kecamatan Tanah Pinem Dalam Angka 2022")</f>
        <v>Kecamatan Tanah Pinem Dalam Angka 2022</v>
      </c>
      <c r="C1011" s="13" t="str">
        <f>IFERROR(__xludf.DUMMYFUNCTION("""COMPUTED_VALUE"""),"Publikasi")</f>
        <v>Publikasi</v>
      </c>
      <c r="E1011" s="19"/>
      <c r="F1011" s="20"/>
    </row>
    <row r="1012">
      <c r="A1012" s="13" t="str">
        <f>IFERROR(__xludf.DUMMYFUNCTION("""COMPUTED_VALUE"""),"robert7tumorang@gmail:com")</f>
        <v>robert7tumorang@gmail:com</v>
      </c>
      <c r="B1012" s="13" t="str">
        <f>IFERROR(__xludf.DUMMYFUNCTION("""COMPUTED_VALUE"""),"Kecamatan Tiga Lingga Dalam Angka 2022")</f>
        <v>Kecamatan Tiga Lingga Dalam Angka 2022</v>
      </c>
      <c r="C1012" s="13" t="str">
        <f>IFERROR(__xludf.DUMMYFUNCTION("""COMPUTED_VALUE"""),"Publikasi")</f>
        <v>Publikasi</v>
      </c>
      <c r="E1012" s="19"/>
      <c r="F1012" s="20"/>
    </row>
    <row r="1013">
      <c r="A1013" s="13" t="str">
        <f>IFERROR(__xludf.DUMMYFUNCTION("""COMPUTED_VALUE"""),"rolinasitumorang24@gmail:com")</f>
        <v>rolinasitumorang24@gmail:com</v>
      </c>
      <c r="B1013" s="13" t="str">
        <f>IFERROR(__xludf.DUMMYFUNCTION("""COMPUTED_VALUE"""),"Kecamatan Lae Parira Dalam Angka 2021")</f>
        <v>Kecamatan Lae Parira Dalam Angka 2021</v>
      </c>
      <c r="C1013" s="13" t="str">
        <f>IFERROR(__xludf.DUMMYFUNCTION("""COMPUTED_VALUE"""),"Publikasi")</f>
        <v>Publikasi</v>
      </c>
      <c r="E1013" s="19"/>
      <c r="F1013" s="20"/>
    </row>
    <row r="1014">
      <c r="A1014" s="13" t="str">
        <f>IFERROR(__xludf.DUMMYFUNCTION("""COMPUTED_VALUE"""),"romaapriandiharefa@gmail:com")</f>
        <v>romaapriandiharefa@gmail:com</v>
      </c>
      <c r="B1014" s="13" t="str">
        <f>IFERROR(__xludf.DUMMYFUNCTION("""COMPUTED_VALUE"""),"Kecamatan Silahisabungan Dalam Angka 2020")</f>
        <v>Kecamatan Silahisabungan Dalam Angka 2020</v>
      </c>
      <c r="C1014" s="13" t="str">
        <f>IFERROR(__xludf.DUMMYFUNCTION("""COMPUTED_VALUE"""),"Publikasi")</f>
        <v>Publikasi</v>
      </c>
      <c r="E1014" s="19"/>
      <c r="F1014" s="20"/>
    </row>
    <row r="1015">
      <c r="A1015" s="13" t="str">
        <f>IFERROR(__xludf.DUMMYFUNCTION("""COMPUTED_VALUE"""),"romaapriandiharefa@gmail:com")</f>
        <v>romaapriandiharefa@gmail:com</v>
      </c>
      <c r="B1015" s="13" t="str">
        <f>IFERROR(__xludf.DUMMYFUNCTION("""COMPUTED_VALUE"""),"Kecamatan Silahisabungan Dalam Angka 2021")</f>
        <v>Kecamatan Silahisabungan Dalam Angka 2021</v>
      </c>
      <c r="C1015" s="13" t="str">
        <f>IFERROR(__xludf.DUMMYFUNCTION("""COMPUTED_VALUE"""),"Publikasi")</f>
        <v>Publikasi</v>
      </c>
      <c r="E1015" s="19"/>
      <c r="F1015" s="20"/>
    </row>
    <row r="1016">
      <c r="A1016" s="13" t="str">
        <f>IFERROR(__xludf.DUMMYFUNCTION("""COMPUTED_VALUE"""),"romedib5@gmail:com")</f>
        <v>romedib5@gmail:com</v>
      </c>
      <c r="B1016" s="13" t="str">
        <f>IFERROR(__xludf.DUMMYFUNCTION("""COMPUTED_VALUE"""),"Kabupaten Dairi Dalam Angka 2024")</f>
        <v>Kabupaten Dairi Dalam Angka 2024</v>
      </c>
      <c r="C1016" s="13" t="str">
        <f>IFERROR(__xludf.DUMMYFUNCTION("""COMPUTED_VALUE"""),"Publikasi")</f>
        <v>Publikasi</v>
      </c>
      <c r="E1016" s="19"/>
      <c r="F1016" s="20"/>
    </row>
    <row r="1017">
      <c r="A1017" s="13" t="str">
        <f>IFERROR(__xludf.DUMMYFUNCTION("""COMPUTED_VALUE"""),"roni:afrianto83@gmail:com")</f>
        <v>roni:afrianto83@gmail:com</v>
      </c>
      <c r="B1017" s="13" t="str">
        <f>IFERROR(__xludf.DUMMYFUNCTION("""COMPUTED_VALUE"""),"Kabupaten Dairi Dalam Angka 2022")</f>
        <v>Kabupaten Dairi Dalam Angka 2022</v>
      </c>
      <c r="C1017" s="13" t="str">
        <f>IFERROR(__xludf.DUMMYFUNCTION("""COMPUTED_VALUE"""),"Publikasi")</f>
        <v>Publikasi</v>
      </c>
      <c r="E1017" s="19"/>
      <c r="F1017" s="20"/>
    </row>
    <row r="1018">
      <c r="A1018" s="13" t="str">
        <f>IFERROR(__xludf.DUMMYFUNCTION("""COMPUTED_VALUE"""),"roro:dyah@ymail:com")</f>
        <v>roro:dyah@ymail:com</v>
      </c>
      <c r="B1018" s="13" t="str">
        <f>IFERROR(__xludf.DUMMYFUNCTION("""COMPUTED_VALUE"""),"Kabupaten Dairi Dalam Angka 2022")</f>
        <v>Kabupaten Dairi Dalam Angka 2022</v>
      </c>
      <c r="C1018" s="13" t="str">
        <f>IFERROR(__xludf.DUMMYFUNCTION("""COMPUTED_VALUE"""),"Publikasi")</f>
        <v>Publikasi</v>
      </c>
      <c r="E1018" s="19"/>
      <c r="F1018" s="20"/>
    </row>
    <row r="1019">
      <c r="A1019" s="13" t="str">
        <f>IFERROR(__xludf.DUMMYFUNCTION("""COMPUTED_VALUE"""),"roro:dyah@ymail:com")</f>
        <v>roro:dyah@ymail:com</v>
      </c>
      <c r="B1019" s="13" t="str">
        <f>IFERROR(__xludf.DUMMYFUNCTION("""COMPUTED_VALUE"""),"Statistik Daerah Kabupaten Dairi 2022")</f>
        <v>Statistik Daerah Kabupaten Dairi 2022</v>
      </c>
      <c r="C1019" s="13" t="str">
        <f>IFERROR(__xludf.DUMMYFUNCTION("""COMPUTED_VALUE"""),"Publikasi")</f>
        <v>Publikasi</v>
      </c>
      <c r="E1019" s="19"/>
      <c r="F1019" s="20"/>
    </row>
    <row r="1020">
      <c r="A1020" s="13" t="str">
        <f>IFERROR(__xludf.DUMMYFUNCTION("""COMPUTED_VALUE"""),"rphasibuan@gmail:com")</f>
        <v>rphasibuan@gmail:com</v>
      </c>
      <c r="B1020" s="13" t="str">
        <f>IFERROR(__xludf.DUMMYFUNCTION("""COMPUTED_VALUE"""),"Profil Kependudukan dan Ketenagakerjaan Kabupaten Dairi 2021")</f>
        <v>Profil Kependudukan dan Ketenagakerjaan Kabupaten Dairi 2021</v>
      </c>
      <c r="C1020" s="13" t="str">
        <f>IFERROR(__xludf.DUMMYFUNCTION("""COMPUTED_VALUE"""),"Publikasi")</f>
        <v>Publikasi</v>
      </c>
      <c r="E1020" s="19"/>
      <c r="F1020" s="20"/>
    </row>
    <row r="1021">
      <c r="A1021" s="13" t="str">
        <f>IFERROR(__xludf.DUMMYFUNCTION("""COMPUTED_VALUE"""),"ruhmalemnasiburian@gmail:com")</f>
        <v>ruhmalemnasiburian@gmail:com</v>
      </c>
      <c r="B1021" s="13" t="str">
        <f>IFERROR(__xludf.DUMMYFUNCTION("""COMPUTED_VALUE"""),"Hasil Pencacahan Lengkap Sensus Pertanian 2024 - Tahap I Kabupaten Dairi")</f>
        <v>Hasil Pencacahan Lengkap Sensus Pertanian 2024 - Tahap I Kabupaten Dairi</v>
      </c>
      <c r="C1021" s="13" t="str">
        <f>IFERROR(__xludf.DUMMYFUNCTION("""COMPUTED_VALUE"""),"Publikasi")</f>
        <v>Publikasi</v>
      </c>
      <c r="E1021" s="19"/>
      <c r="F1021" s="20"/>
    </row>
    <row r="1022">
      <c r="A1022" s="13" t="str">
        <f>IFERROR(__xludf.DUMMYFUNCTION("""COMPUTED_VALUE"""),"ruhmalemnasiburian@gmail:com")</f>
        <v>ruhmalemnasiburian@gmail:com</v>
      </c>
      <c r="B1022" s="13" t="str">
        <f>IFERROR(__xludf.DUMMYFUNCTION("""COMPUTED_VALUE"""),"Indikator Kesejahteraan Rakyat Kabupaten Dairi Tahun 2024")</f>
        <v>Indikator Kesejahteraan Rakyat Kabupaten Dairi Tahun 2024</v>
      </c>
      <c r="C1022" s="13" t="str">
        <f>IFERROR(__xludf.DUMMYFUNCTION("""COMPUTED_VALUE"""),"Publikasi")</f>
        <v>Publikasi</v>
      </c>
      <c r="E1022" s="19"/>
      <c r="F1022" s="20"/>
    </row>
    <row r="1023">
      <c r="A1023" s="13" t="str">
        <f>IFERROR(__xludf.DUMMYFUNCTION("""COMPUTED_VALUE"""),"ruhmalemnasiburian@gmail:com")</f>
        <v>ruhmalemnasiburian@gmail:com</v>
      </c>
      <c r="B1023" s="13" t="str">
        <f>IFERROR(__xludf.DUMMYFUNCTION("""COMPUTED_VALUE"""),"Statistik Kesejahteraan Rakyat Kabupaten Dairi 2024")</f>
        <v>Statistik Kesejahteraan Rakyat Kabupaten Dairi 2024</v>
      </c>
      <c r="C1023" s="13" t="str">
        <f>IFERROR(__xludf.DUMMYFUNCTION("""COMPUTED_VALUE"""),"Publikasi")</f>
        <v>Publikasi</v>
      </c>
      <c r="E1023" s="19"/>
      <c r="F1023" s="20"/>
    </row>
    <row r="1024">
      <c r="A1024" s="13" t="str">
        <f>IFERROR(__xludf.DUMMYFUNCTION("""COMPUTED_VALUE"""),"rullymarbun012@gmail:com")</f>
        <v>rullymarbun012@gmail:com</v>
      </c>
      <c r="B1024" s="13" t="str">
        <f>IFERROR(__xludf.DUMMYFUNCTION("""COMPUTED_VALUE"""),"Kabupaten Dairi Dalam Angka 2019")</f>
        <v>Kabupaten Dairi Dalam Angka 2019</v>
      </c>
      <c r="C1024" s="13" t="str">
        <f>IFERROR(__xludf.DUMMYFUNCTION("""COMPUTED_VALUE"""),"Publikasi")</f>
        <v>Publikasi</v>
      </c>
      <c r="E1024" s="19"/>
      <c r="F1024" s="20"/>
    </row>
    <row r="1025">
      <c r="A1025" s="13" t="str">
        <f>IFERROR(__xludf.DUMMYFUNCTION("""COMPUTED_VALUE"""),"rullymarbun012@gmail:com")</f>
        <v>rullymarbun012@gmail:com</v>
      </c>
      <c r="B1025" s="13" t="str">
        <f>IFERROR(__xludf.DUMMYFUNCTION("""COMPUTED_VALUE"""),"Kabupaten Dairi Dalam Angka 2020")</f>
        <v>Kabupaten Dairi Dalam Angka 2020</v>
      </c>
      <c r="C1025" s="13" t="str">
        <f>IFERROR(__xludf.DUMMYFUNCTION("""COMPUTED_VALUE"""),"Publikasi")</f>
        <v>Publikasi</v>
      </c>
      <c r="E1025" s="19"/>
      <c r="F1025" s="20"/>
    </row>
    <row r="1026">
      <c r="A1026" s="13" t="str">
        <f>IFERROR(__xludf.DUMMYFUNCTION("""COMPUTED_VALUE"""),"rullymarbun012@gmail:com")</f>
        <v>rullymarbun012@gmail:com</v>
      </c>
      <c r="B1026" s="13" t="str">
        <f>IFERROR(__xludf.DUMMYFUNCTION("""COMPUTED_VALUE"""),"Kabupaten Dairi Dalam Angka 2022")</f>
        <v>Kabupaten Dairi Dalam Angka 2022</v>
      </c>
      <c r="C1026" s="13" t="str">
        <f>IFERROR(__xludf.DUMMYFUNCTION("""COMPUTED_VALUE"""),"Publikasi")</f>
        <v>Publikasi</v>
      </c>
      <c r="E1026" s="19"/>
      <c r="F1026" s="20"/>
    </row>
    <row r="1027">
      <c r="A1027" s="13" t="str">
        <f>IFERROR(__xludf.DUMMYFUNCTION("""COMPUTED_VALUE"""),"rullymarbun0@gmail:com")</f>
        <v>rullymarbun0@gmail:com</v>
      </c>
      <c r="B1027" s="13" t="str">
        <f>IFERROR(__xludf.DUMMYFUNCTION("""COMPUTED_VALUE"""),"Kabupaten Dairi Dalam Angka 2016")</f>
        <v>Kabupaten Dairi Dalam Angka 2016</v>
      </c>
      <c r="C1027" s="13" t="str">
        <f>IFERROR(__xludf.DUMMYFUNCTION("""COMPUTED_VALUE"""),"Publikasi")</f>
        <v>Publikasi</v>
      </c>
      <c r="E1027" s="19"/>
      <c r="F1027" s="20"/>
    </row>
    <row r="1028">
      <c r="A1028" s="13" t="str">
        <f>IFERROR(__xludf.DUMMYFUNCTION("""COMPUTED_VALUE"""),"rullymarbun0@gmail:com")</f>
        <v>rullymarbun0@gmail:com</v>
      </c>
      <c r="B1028" s="13" t="str">
        <f>IFERROR(__xludf.DUMMYFUNCTION("""COMPUTED_VALUE"""),"Kabupaten Dairi Dalam Angka 2017")</f>
        <v>Kabupaten Dairi Dalam Angka 2017</v>
      </c>
      <c r="C1028" s="13" t="str">
        <f>IFERROR(__xludf.DUMMYFUNCTION("""COMPUTED_VALUE"""),"Publikasi")</f>
        <v>Publikasi</v>
      </c>
      <c r="E1028" s="19"/>
      <c r="F1028" s="20"/>
    </row>
    <row r="1029">
      <c r="A1029" s="13" t="str">
        <f>IFERROR(__xludf.DUMMYFUNCTION("""COMPUTED_VALUE"""),"rullymarbun0@gmail:com")</f>
        <v>rullymarbun0@gmail:com</v>
      </c>
      <c r="B1029" s="13" t="str">
        <f>IFERROR(__xludf.DUMMYFUNCTION("""COMPUTED_VALUE"""),"Kabupaten Dairi Dalam Angka 2018")</f>
        <v>Kabupaten Dairi Dalam Angka 2018</v>
      </c>
      <c r="C1029" s="13" t="str">
        <f>IFERROR(__xludf.DUMMYFUNCTION("""COMPUTED_VALUE"""),"Publikasi")</f>
        <v>Publikasi</v>
      </c>
      <c r="E1029" s="19"/>
      <c r="F1029" s="20"/>
    </row>
    <row r="1030">
      <c r="A1030" s="13" t="str">
        <f>IFERROR(__xludf.DUMMYFUNCTION("""COMPUTED_VALUE"""),"rullymarbun0@gmail:com")</f>
        <v>rullymarbun0@gmail:com</v>
      </c>
      <c r="B1030" s="13" t="str">
        <f>IFERROR(__xludf.DUMMYFUNCTION("""COMPUTED_VALUE"""),"Kabupaten Dairi Dalam Angka 2019")</f>
        <v>Kabupaten Dairi Dalam Angka 2019</v>
      </c>
      <c r="C1030" s="13" t="str">
        <f>IFERROR(__xludf.DUMMYFUNCTION("""COMPUTED_VALUE"""),"Publikasi")</f>
        <v>Publikasi</v>
      </c>
      <c r="E1030" s="19"/>
      <c r="F1030" s="20"/>
    </row>
    <row r="1031">
      <c r="A1031" s="13" t="str">
        <f>IFERROR(__xludf.DUMMYFUNCTION("""COMPUTED_VALUE"""),"ruth@student:uhn:ac:id")</f>
        <v>ruth@student:uhn:ac:id</v>
      </c>
      <c r="B1031" s="13" t="str">
        <f>IFERROR(__xludf.DUMMYFUNCTION("""COMPUTED_VALUE"""),"Kabupaten Dairi Dalam Angka 2022")</f>
        <v>Kabupaten Dairi Dalam Angka 2022</v>
      </c>
      <c r="C1031" s="13" t="str">
        <f>IFERROR(__xludf.DUMMYFUNCTION("""COMPUTED_VALUE"""),"Publikasi")</f>
        <v>Publikasi</v>
      </c>
      <c r="E1031" s="19"/>
      <c r="F1031" s="20"/>
    </row>
    <row r="1032">
      <c r="A1032" s="13" t="str">
        <f>IFERROR(__xludf.DUMMYFUNCTION("""COMPUTED_VALUE"""),"ruth@student:uhn:ac:id")</f>
        <v>ruth@student:uhn:ac:id</v>
      </c>
      <c r="B1032" s="13" t="str">
        <f>IFERROR(__xludf.DUMMYFUNCTION("""COMPUTED_VALUE"""),"Kecamatan Siempat Nempu Dalam Angka 2024")</f>
        <v>Kecamatan Siempat Nempu Dalam Angka 2024</v>
      </c>
      <c r="C1032" s="13" t="str">
        <f>IFERROR(__xludf.DUMMYFUNCTION("""COMPUTED_VALUE"""),"Publikasi")</f>
        <v>Publikasi</v>
      </c>
      <c r="E1032" s="19"/>
      <c r="F1032" s="20"/>
    </row>
    <row r="1033">
      <c r="A1033" s="13" t="str">
        <f>IFERROR(__xludf.DUMMYFUNCTION("""COMPUTED_VALUE"""),"ruth@student:uhn:ac:id")</f>
        <v>ruth@student:uhn:ac:id</v>
      </c>
      <c r="B1033" s="13" t="str">
        <f>IFERROR(__xludf.DUMMYFUNCTION("""COMPUTED_VALUE"""),"Kecamatan Siempat Nempu Hilir Dalam Angka 2019")</f>
        <v>Kecamatan Siempat Nempu Hilir Dalam Angka 2019</v>
      </c>
      <c r="C1033" s="13" t="str">
        <f>IFERROR(__xludf.DUMMYFUNCTION("""COMPUTED_VALUE"""),"Publikasi")</f>
        <v>Publikasi</v>
      </c>
      <c r="E1033" s="19"/>
      <c r="F1033" s="20"/>
    </row>
    <row r="1034">
      <c r="A1034" s="13" t="str">
        <f>IFERROR(__xludf.DUMMYFUNCTION("""COMPUTED_VALUE"""),"ruth@student:uhn:ac:id")</f>
        <v>ruth@student:uhn:ac:id</v>
      </c>
      <c r="B1034" s="13" t="str">
        <f>IFERROR(__xludf.DUMMYFUNCTION("""COMPUTED_VALUE"""),"Kecamatan Siempat Nempu Hilir Dalam Angka 2021")</f>
        <v>Kecamatan Siempat Nempu Hilir Dalam Angka 2021</v>
      </c>
      <c r="C1034" s="13" t="str">
        <f>IFERROR(__xludf.DUMMYFUNCTION("""COMPUTED_VALUE"""),"Publikasi")</f>
        <v>Publikasi</v>
      </c>
      <c r="E1034" s="19"/>
      <c r="F1034" s="20"/>
    </row>
    <row r="1035">
      <c r="A1035" s="13" t="str">
        <f>IFERROR(__xludf.DUMMYFUNCTION("""COMPUTED_VALUE"""),"sabay_turi@yahoo:co:id")</f>
        <v>sabay_turi@yahoo:co:id</v>
      </c>
      <c r="B1035" s="13" t="str">
        <f>IFERROR(__xludf.DUMMYFUNCTION("""COMPUTED_VALUE"""),"Kabupaten Dairi Dalam Angka 2024")</f>
        <v>Kabupaten Dairi Dalam Angka 2024</v>
      </c>
      <c r="C1035" s="13" t="str">
        <f>IFERROR(__xludf.DUMMYFUNCTION("""COMPUTED_VALUE"""),"Publikasi")</f>
        <v>Publikasi</v>
      </c>
      <c r="E1035" s="19"/>
      <c r="F1035" s="20"/>
    </row>
    <row r="1036">
      <c r="A1036" s="13" t="str">
        <f>IFERROR(__xludf.DUMMYFUNCTION("""COMPUTED_VALUE"""),"safa2309@gmail:com")</f>
        <v>safa2309@gmail:com</v>
      </c>
      <c r="B1036" s="13" t="str">
        <f>IFERROR(__xludf.DUMMYFUNCTION("""COMPUTED_VALUE"""),"Kecamatan Lae Parira Dalam Angka 2022")</f>
        <v>Kecamatan Lae Parira Dalam Angka 2022</v>
      </c>
      <c r="C1036" s="13" t="str">
        <f>IFERROR(__xludf.DUMMYFUNCTION("""COMPUTED_VALUE"""),"Publikasi")</f>
        <v>Publikasi</v>
      </c>
      <c r="E1036" s="19"/>
      <c r="F1036" s="20"/>
    </row>
    <row r="1037">
      <c r="A1037" s="13" t="str">
        <f>IFERROR(__xludf.DUMMYFUNCTION("""COMPUTED_VALUE"""),"safa2309@gmail:com")</f>
        <v>safa2309@gmail:com</v>
      </c>
      <c r="B1037" s="13" t="str">
        <f>IFERROR(__xludf.DUMMYFUNCTION("""COMPUTED_VALUE"""),"Kecamatan Parbuluan Dalam Angka 2020")</f>
        <v>Kecamatan Parbuluan Dalam Angka 2020</v>
      </c>
      <c r="C1037" s="13" t="str">
        <f>IFERROR(__xludf.DUMMYFUNCTION("""COMPUTED_VALUE"""),"Publikasi")</f>
        <v>Publikasi</v>
      </c>
      <c r="E1037" s="19"/>
      <c r="F1037" s="20"/>
    </row>
    <row r="1038">
      <c r="A1038" s="13" t="str">
        <f>IFERROR(__xludf.DUMMYFUNCTION("""COMPUTED_VALUE"""),"safa2309@gmail:com")</f>
        <v>safa2309@gmail:com</v>
      </c>
      <c r="B1038" s="13" t="str">
        <f>IFERROR(__xludf.DUMMYFUNCTION("""COMPUTED_VALUE"""),"Kecamatan Pegagan Hilir Dalam Angka 2022")</f>
        <v>Kecamatan Pegagan Hilir Dalam Angka 2022</v>
      </c>
      <c r="C1038" s="13" t="str">
        <f>IFERROR(__xludf.DUMMYFUNCTION("""COMPUTED_VALUE"""),"Publikasi")</f>
        <v>Publikasi</v>
      </c>
      <c r="E1038" s="19"/>
      <c r="F1038" s="20"/>
    </row>
    <row r="1039">
      <c r="A1039" s="13" t="str">
        <f>IFERROR(__xludf.DUMMYFUNCTION("""COMPUTED_VALUE"""),"safa2309@gmail:com")</f>
        <v>safa2309@gmail:com</v>
      </c>
      <c r="B1039" s="13" t="str">
        <f>IFERROR(__xludf.DUMMYFUNCTION("""COMPUTED_VALUE"""),"Kecamatan Siempat Nempu Dalam Angka 2022")</f>
        <v>Kecamatan Siempat Nempu Dalam Angka 2022</v>
      </c>
      <c r="C1039" s="13" t="str">
        <f>IFERROR(__xludf.DUMMYFUNCTION("""COMPUTED_VALUE"""),"Publikasi")</f>
        <v>Publikasi</v>
      </c>
      <c r="E1039" s="19"/>
      <c r="F1039" s="20"/>
    </row>
    <row r="1040">
      <c r="A1040" s="13" t="str">
        <f>IFERROR(__xludf.DUMMYFUNCTION("""COMPUTED_VALUE"""),"safa2309@gmail:com")</f>
        <v>safa2309@gmail:com</v>
      </c>
      <c r="B1040" s="13" t="str">
        <f>IFERROR(__xludf.DUMMYFUNCTION("""COMPUTED_VALUE"""),"Kecamatan Siempat Nempu Hilir Dalam Angka 2022")</f>
        <v>Kecamatan Siempat Nempu Hilir Dalam Angka 2022</v>
      </c>
      <c r="C1040" s="13" t="str">
        <f>IFERROR(__xludf.DUMMYFUNCTION("""COMPUTED_VALUE"""),"Publikasi")</f>
        <v>Publikasi</v>
      </c>
      <c r="E1040" s="19"/>
      <c r="F1040" s="20"/>
    </row>
    <row r="1041">
      <c r="A1041" s="13" t="str">
        <f>IFERROR(__xludf.DUMMYFUNCTION("""COMPUTED_VALUE"""),"safa2309@gmail:com")</f>
        <v>safa2309@gmail:com</v>
      </c>
      <c r="B1041" s="13" t="str">
        <f>IFERROR(__xludf.DUMMYFUNCTION("""COMPUTED_VALUE"""),"Kecamatan Silahisabungan Dalam Angka 2022")</f>
        <v>Kecamatan Silahisabungan Dalam Angka 2022</v>
      </c>
      <c r="C1041" s="13" t="str">
        <f>IFERROR(__xludf.DUMMYFUNCTION("""COMPUTED_VALUE"""),"Publikasi")</f>
        <v>Publikasi</v>
      </c>
      <c r="E1041" s="19"/>
      <c r="F1041" s="20"/>
    </row>
    <row r="1042">
      <c r="A1042" s="13" t="str">
        <f>IFERROR(__xludf.DUMMYFUNCTION("""COMPUTED_VALUE"""),"safa2309@gmail:com")</f>
        <v>safa2309@gmail:com</v>
      </c>
      <c r="B1042" s="13" t="str">
        <f>IFERROR(__xludf.DUMMYFUNCTION("""COMPUTED_VALUE"""),"Kecamatan Silima Pungga-Pungga Dalam Angka 2022")</f>
        <v>Kecamatan Silima Pungga-Pungga Dalam Angka 2022</v>
      </c>
      <c r="C1042" s="13" t="str">
        <f>IFERROR(__xludf.DUMMYFUNCTION("""COMPUTED_VALUE"""),"Publikasi")</f>
        <v>Publikasi</v>
      </c>
      <c r="E1042" s="19"/>
      <c r="F1042" s="20"/>
    </row>
    <row r="1043">
      <c r="A1043" s="13" t="str">
        <f>IFERROR(__xludf.DUMMYFUNCTION("""COMPUTED_VALUE"""),"safa2309@gmail:com")</f>
        <v>safa2309@gmail:com</v>
      </c>
      <c r="B1043" s="13" t="str">
        <f>IFERROR(__xludf.DUMMYFUNCTION("""COMPUTED_VALUE"""),"Kecamatan Sumbul Dalam Angka 2021")</f>
        <v>Kecamatan Sumbul Dalam Angka 2021</v>
      </c>
      <c r="C1043" s="13" t="str">
        <f>IFERROR(__xludf.DUMMYFUNCTION("""COMPUTED_VALUE"""),"Publikasi")</f>
        <v>Publikasi</v>
      </c>
      <c r="E1043" s="19"/>
      <c r="F1043" s="20"/>
    </row>
    <row r="1044">
      <c r="A1044" s="13" t="str">
        <f>IFERROR(__xludf.DUMMYFUNCTION("""COMPUTED_VALUE"""),"safa2309@gmail:com")</f>
        <v>safa2309@gmail:com</v>
      </c>
      <c r="B1044" s="13" t="str">
        <f>IFERROR(__xludf.DUMMYFUNCTION("""COMPUTED_VALUE"""),"Kecamatan Tanah Pinem Dalam Angka 2022")</f>
        <v>Kecamatan Tanah Pinem Dalam Angka 2022</v>
      </c>
      <c r="C1044" s="13" t="str">
        <f>IFERROR(__xludf.DUMMYFUNCTION("""COMPUTED_VALUE"""),"Publikasi")</f>
        <v>Publikasi</v>
      </c>
      <c r="E1044" s="19"/>
      <c r="F1044" s="20"/>
    </row>
    <row r="1045">
      <c r="A1045" s="13" t="str">
        <f>IFERROR(__xludf.DUMMYFUNCTION("""COMPUTED_VALUE"""),"sahnasaisyiahmaha@gmail:com")</f>
        <v>sahnasaisyiahmaha@gmail:com</v>
      </c>
      <c r="B1045" s="13" t="str">
        <f>IFERROR(__xludf.DUMMYFUNCTION("""COMPUTED_VALUE"""),"Indikator Kesejahteraan Rakyat Kabupaten Dairi Tahun 2022")</f>
        <v>Indikator Kesejahteraan Rakyat Kabupaten Dairi Tahun 2022</v>
      </c>
      <c r="C1045" s="13" t="str">
        <f>IFERROR(__xludf.DUMMYFUNCTION("""COMPUTED_VALUE"""),"Publikasi")</f>
        <v>Publikasi</v>
      </c>
      <c r="E1045" s="19"/>
      <c r="F1045" s="20"/>
    </row>
    <row r="1046">
      <c r="A1046" s="13" t="str">
        <f>IFERROR(__xludf.DUMMYFUNCTION("""COMPUTED_VALUE"""),"sahnasaisyiahmaha@gmail:com")</f>
        <v>sahnasaisyiahmaha@gmail:com</v>
      </c>
      <c r="B1046" s="13" t="str">
        <f>IFERROR(__xludf.DUMMYFUNCTION("""COMPUTED_VALUE"""),"Indikator Kesejahteraan Rakyat Kabupaten Dairi Tahun 2024")</f>
        <v>Indikator Kesejahteraan Rakyat Kabupaten Dairi Tahun 2024</v>
      </c>
      <c r="C1046" s="13" t="str">
        <f>IFERROR(__xludf.DUMMYFUNCTION("""COMPUTED_VALUE"""),"Publikasi")</f>
        <v>Publikasi</v>
      </c>
      <c r="E1046" s="19"/>
      <c r="F1046" s="20"/>
    </row>
    <row r="1047">
      <c r="A1047" s="13" t="str">
        <f>IFERROR(__xludf.DUMMYFUNCTION("""COMPUTED_VALUE"""),"sahnasaisyiahmaha@gmail:com")</f>
        <v>sahnasaisyiahmaha@gmail:com</v>
      </c>
      <c r="B1047" s="13" t="str">
        <f>IFERROR(__xludf.DUMMYFUNCTION("""COMPUTED_VALUE"""),"Statistik Kesejahteraan Rakyat Kabupaten Dairi 2024")</f>
        <v>Statistik Kesejahteraan Rakyat Kabupaten Dairi 2024</v>
      </c>
      <c r="C1047" s="13" t="str">
        <f>IFERROR(__xludf.DUMMYFUNCTION("""COMPUTED_VALUE"""),"Publikasi")</f>
        <v>Publikasi</v>
      </c>
      <c r="E1047" s="19"/>
      <c r="F1047" s="20"/>
    </row>
    <row r="1048">
      <c r="A1048" s="13" t="str">
        <f>IFERROR(__xludf.DUMMYFUNCTION("""COMPUTED_VALUE"""),"sahnasmaha042@gmail:com")</f>
        <v>sahnasmaha042@gmail:com</v>
      </c>
      <c r="B1048" s="13" t="str">
        <f>IFERROR(__xludf.DUMMYFUNCTION("""COMPUTED_VALUE"""),"Indikator Kesejahteraan Rakyat Kabupaten Dairi Tahun 2022")</f>
        <v>Indikator Kesejahteraan Rakyat Kabupaten Dairi Tahun 2022</v>
      </c>
      <c r="C1048" s="13" t="str">
        <f>IFERROR(__xludf.DUMMYFUNCTION("""COMPUTED_VALUE"""),"Publikasi")</f>
        <v>Publikasi</v>
      </c>
      <c r="E1048" s="19"/>
      <c r="F1048" s="20"/>
    </row>
    <row r="1049">
      <c r="A1049" s="13" t="str">
        <f>IFERROR(__xludf.DUMMYFUNCTION("""COMPUTED_VALUE"""),"sahnasmaha042@gmail:com")</f>
        <v>sahnasmaha042@gmail:com</v>
      </c>
      <c r="B1049" s="13" t="str">
        <f>IFERROR(__xludf.DUMMYFUNCTION("""COMPUTED_VALUE"""),"Kabupaten Dairi Dalam Angka 2024")</f>
        <v>Kabupaten Dairi Dalam Angka 2024</v>
      </c>
      <c r="C1049" s="13" t="str">
        <f>IFERROR(__xludf.DUMMYFUNCTION("""COMPUTED_VALUE"""),"Publikasi")</f>
        <v>Publikasi</v>
      </c>
      <c r="E1049" s="19"/>
      <c r="F1049" s="20"/>
    </row>
    <row r="1050">
      <c r="A1050" s="13" t="str">
        <f>IFERROR(__xludf.DUMMYFUNCTION("""COMPUTED_VALUE"""),"sahnasmaha042@gmail:com")</f>
        <v>sahnasmaha042@gmail:com</v>
      </c>
      <c r="B1050" s="13" t="str">
        <f>IFERROR(__xludf.DUMMYFUNCTION("""COMPUTED_VALUE"""),"Statistik Kesejahteraan Rakyat Kabupaten Dairi 2024")</f>
        <v>Statistik Kesejahteraan Rakyat Kabupaten Dairi 2024</v>
      </c>
      <c r="C1050" s="13" t="str">
        <f>IFERROR(__xludf.DUMMYFUNCTION("""COMPUTED_VALUE"""),"Publikasi")</f>
        <v>Publikasi</v>
      </c>
      <c r="E1050" s="19"/>
      <c r="F1050" s="20"/>
    </row>
    <row r="1051">
      <c r="A1051" s="13" t="str">
        <f>IFERROR(__xludf.DUMMYFUNCTION("""COMPUTED_VALUE"""),"samosirlasma657@gmail:com")</f>
        <v>samosirlasma657@gmail:com</v>
      </c>
      <c r="B1051" s="13" t="str">
        <f>IFERROR(__xludf.DUMMYFUNCTION("""COMPUTED_VALUE"""),"Kabupaten Dairi Dalam Angka 2022")</f>
        <v>Kabupaten Dairi Dalam Angka 2022</v>
      </c>
      <c r="C1051" s="13" t="str">
        <f>IFERROR(__xludf.DUMMYFUNCTION("""COMPUTED_VALUE"""),"Publikasi")</f>
        <v>Publikasi</v>
      </c>
      <c r="E1051" s="19"/>
      <c r="F1051" s="20"/>
    </row>
    <row r="1052">
      <c r="A1052" s="13" t="str">
        <f>IFERROR(__xludf.DUMMYFUNCTION("""COMPUTED_VALUE"""),"sampeberutu@gmail:com")</f>
        <v>sampeberutu@gmail:com</v>
      </c>
      <c r="B1052" s="13" t="str">
        <f>IFERROR(__xludf.DUMMYFUNCTION("""COMPUTED_VALUE"""),"Indikator Kesejahteraan Rakyat Kabupaten Dairi Tahun 2022")</f>
        <v>Indikator Kesejahteraan Rakyat Kabupaten Dairi Tahun 2022</v>
      </c>
      <c r="C1052" s="13" t="str">
        <f>IFERROR(__xludf.DUMMYFUNCTION("""COMPUTED_VALUE"""),"Publikasi")</f>
        <v>Publikasi</v>
      </c>
      <c r="E1052" s="19"/>
      <c r="F1052" s="20"/>
    </row>
    <row r="1053">
      <c r="A1053" s="13" t="str">
        <f>IFERROR(__xludf.DUMMYFUNCTION("""COMPUTED_VALUE"""),"sampeberutu@gmail:com")</f>
        <v>sampeberutu@gmail:com</v>
      </c>
      <c r="B1053" s="13" t="str">
        <f>IFERROR(__xludf.DUMMYFUNCTION("""COMPUTED_VALUE"""),"Kabupaten Dairi Dalam Angka 2022")</f>
        <v>Kabupaten Dairi Dalam Angka 2022</v>
      </c>
      <c r="C1053" s="13" t="str">
        <f>IFERROR(__xludf.DUMMYFUNCTION("""COMPUTED_VALUE"""),"Publikasi")</f>
        <v>Publikasi</v>
      </c>
      <c r="E1053" s="19"/>
      <c r="F1053" s="20"/>
    </row>
    <row r="1054">
      <c r="A1054" s="13" t="str">
        <f>IFERROR(__xludf.DUMMYFUNCTION("""COMPUTED_VALUE"""),"sampeberutu@gmail:com")</f>
        <v>sampeberutu@gmail:com</v>
      </c>
      <c r="B1054" s="13" t="str">
        <f>IFERROR(__xludf.DUMMYFUNCTION("""COMPUTED_VALUE"""),"Kabupaten Dairi Dalam Angka 2024")</f>
        <v>Kabupaten Dairi Dalam Angka 2024</v>
      </c>
      <c r="C1054" s="13" t="str">
        <f>IFERROR(__xludf.DUMMYFUNCTION("""COMPUTED_VALUE"""),"Publikasi")</f>
        <v>Publikasi</v>
      </c>
      <c r="E1054" s="19"/>
      <c r="F1054" s="20"/>
    </row>
    <row r="1055">
      <c r="A1055" s="13" t="str">
        <f>IFERROR(__xludf.DUMMYFUNCTION("""COMPUTED_VALUE"""),"sampeberutu@gmail:com")</f>
        <v>sampeberutu@gmail:com</v>
      </c>
      <c r="B1055" s="13" t="str">
        <f>IFERROR(__xludf.DUMMYFUNCTION("""COMPUTED_VALUE"""),"Kecamatan Sitinjo Dalam Angka 2022")</f>
        <v>Kecamatan Sitinjo Dalam Angka 2022</v>
      </c>
      <c r="C1055" s="13" t="str">
        <f>IFERROR(__xludf.DUMMYFUNCTION("""COMPUTED_VALUE"""),"Publikasi")</f>
        <v>Publikasi</v>
      </c>
      <c r="E1055" s="19"/>
      <c r="F1055" s="20"/>
    </row>
    <row r="1056">
      <c r="A1056" s="13" t="str">
        <f>IFERROR(__xludf.DUMMYFUNCTION("""COMPUTED_VALUE"""),"sampeberutu@gmail:com")</f>
        <v>sampeberutu@gmail:com</v>
      </c>
      <c r="B1056" s="13" t="str">
        <f>IFERROR(__xludf.DUMMYFUNCTION("""COMPUTED_VALUE"""),"Profil Kependudukan dan Ketenagakerjaan Kabupaten Dairi 2021")</f>
        <v>Profil Kependudukan dan Ketenagakerjaan Kabupaten Dairi 2021</v>
      </c>
      <c r="C1056" s="13" t="str">
        <f>IFERROR(__xludf.DUMMYFUNCTION("""COMPUTED_VALUE"""),"Publikasi")</f>
        <v>Publikasi</v>
      </c>
      <c r="E1056" s="19"/>
      <c r="F1056" s="20"/>
    </row>
    <row r="1057">
      <c r="A1057" s="13" t="str">
        <f>IFERROR(__xludf.DUMMYFUNCTION("""COMPUTED_VALUE"""),"sampeberutu@gmail:com")</f>
        <v>sampeberutu@gmail:com</v>
      </c>
      <c r="B1057" s="13" t="str">
        <f>IFERROR(__xludf.DUMMYFUNCTION("""COMPUTED_VALUE"""),"Statistik Daerah Kabupaten Dairi 2021")</f>
        <v>Statistik Daerah Kabupaten Dairi 2021</v>
      </c>
      <c r="C1057" s="13" t="str">
        <f>IFERROR(__xludf.DUMMYFUNCTION("""COMPUTED_VALUE"""),"Publikasi")</f>
        <v>Publikasi</v>
      </c>
      <c r="E1057" s="19"/>
      <c r="F1057" s="20"/>
    </row>
    <row r="1058">
      <c r="A1058" s="13" t="str">
        <f>IFERROR(__xludf.DUMMYFUNCTION("""COMPUTED_VALUE"""),"santatamba24@gmail:com")</f>
        <v>santatamba24@gmail:com</v>
      </c>
      <c r="B1058" s="13" t="str">
        <f>IFERROR(__xludf.DUMMYFUNCTION("""COMPUTED_VALUE"""),"Kecamatan Sidikalang Dalam Angka 2021")</f>
        <v>Kecamatan Sidikalang Dalam Angka 2021</v>
      </c>
      <c r="C1058" s="13" t="str">
        <f>IFERROR(__xludf.DUMMYFUNCTION("""COMPUTED_VALUE"""),"Publikasi")</f>
        <v>Publikasi</v>
      </c>
      <c r="E1058" s="19"/>
      <c r="F1058" s="20"/>
    </row>
    <row r="1059">
      <c r="A1059" s="13" t="str">
        <f>IFERROR(__xludf.DUMMYFUNCTION("""COMPUTED_VALUE"""),"saptugala@gmail:com")</f>
        <v>saptugala@gmail:com</v>
      </c>
      <c r="B1059" s="13" t="str">
        <f>IFERROR(__xludf.DUMMYFUNCTION("""COMPUTED_VALUE"""),"Analisis Survei Kebutuhan Data Kabupaten Dairi 2022")</f>
        <v>Analisis Survei Kebutuhan Data Kabupaten Dairi 2022</v>
      </c>
      <c r="C1059" s="13" t="str">
        <f>IFERROR(__xludf.DUMMYFUNCTION("""COMPUTED_VALUE"""),"Publikasi")</f>
        <v>Publikasi</v>
      </c>
      <c r="E1059" s="19"/>
      <c r="F1059" s="20"/>
    </row>
    <row r="1060">
      <c r="A1060" s="13" t="str">
        <f>IFERROR(__xludf.DUMMYFUNCTION("""COMPUTED_VALUE"""),"saptugala@gmail:com")</f>
        <v>saptugala@gmail:com</v>
      </c>
      <c r="B1060" s="13" t="str">
        <f>IFERROR(__xludf.DUMMYFUNCTION("""COMPUTED_VALUE"""),"Indikator Kesejahteraan Rakyat Kabupaten Dairi 2021")</f>
        <v>Indikator Kesejahteraan Rakyat Kabupaten Dairi 2021</v>
      </c>
      <c r="C1060" s="13" t="str">
        <f>IFERROR(__xludf.DUMMYFUNCTION("""COMPUTED_VALUE"""),"Publikasi")</f>
        <v>Publikasi</v>
      </c>
      <c r="E1060" s="19"/>
      <c r="F1060" s="20"/>
    </row>
    <row r="1061">
      <c r="A1061" s="13" t="str">
        <f>IFERROR(__xludf.DUMMYFUNCTION("""COMPUTED_VALUE"""),"saptugala@gmail:com")</f>
        <v>saptugala@gmail:com</v>
      </c>
      <c r="B1061" s="13" t="str">
        <f>IFERROR(__xludf.DUMMYFUNCTION("""COMPUTED_VALUE"""),"Kabupaten Dairi Dalam Angka 2022")</f>
        <v>Kabupaten Dairi Dalam Angka 2022</v>
      </c>
      <c r="C1061" s="13" t="str">
        <f>IFERROR(__xludf.DUMMYFUNCTION("""COMPUTED_VALUE"""),"Publikasi")</f>
        <v>Publikasi</v>
      </c>
      <c r="E1061" s="19"/>
      <c r="F1061" s="20"/>
    </row>
    <row r="1062">
      <c r="A1062" s="13" t="str">
        <f>IFERROR(__xludf.DUMMYFUNCTION("""COMPUTED_VALUE"""),"saptugala@gmail:com")</f>
        <v>saptugala@gmail:com</v>
      </c>
      <c r="B1062" s="13" t="str">
        <f>IFERROR(__xludf.DUMMYFUNCTION("""COMPUTED_VALUE"""),"Kecamatan Sidikalang Dalam Angka 2022")</f>
        <v>Kecamatan Sidikalang Dalam Angka 2022</v>
      </c>
      <c r="C1062" s="13" t="str">
        <f>IFERROR(__xludf.DUMMYFUNCTION("""COMPUTED_VALUE"""),"Publikasi")</f>
        <v>Publikasi</v>
      </c>
      <c r="E1062" s="19"/>
      <c r="F1062" s="20"/>
    </row>
    <row r="1063">
      <c r="A1063" s="13" t="str">
        <f>IFERROR(__xludf.DUMMYFUNCTION("""COMPUTED_VALUE"""),"saptugala@gmail:com")</f>
        <v>saptugala@gmail:com</v>
      </c>
      <c r="B1063" s="13" t="str">
        <f>IFERROR(__xludf.DUMMYFUNCTION("""COMPUTED_VALUE"""),"Kecamatan Silahisabungan Dalam Angka 2022")</f>
        <v>Kecamatan Silahisabungan Dalam Angka 2022</v>
      </c>
      <c r="C1063" s="13" t="str">
        <f>IFERROR(__xludf.DUMMYFUNCTION("""COMPUTED_VALUE"""),"Publikasi")</f>
        <v>Publikasi</v>
      </c>
      <c r="E1063" s="19"/>
      <c r="F1063" s="20"/>
    </row>
    <row r="1064">
      <c r="A1064" s="13" t="str">
        <f>IFERROR(__xludf.DUMMYFUNCTION("""COMPUTED_VALUE"""),"saptugala@gmail:com")</f>
        <v>saptugala@gmail:com</v>
      </c>
      <c r="B1064" s="13" t="str">
        <f>IFERROR(__xludf.DUMMYFUNCTION("""COMPUTED_VALUE"""),"Kecamatan Sitinjo Dalam Angka 2022")</f>
        <v>Kecamatan Sitinjo Dalam Angka 2022</v>
      </c>
      <c r="C1064" s="13" t="str">
        <f>IFERROR(__xludf.DUMMYFUNCTION("""COMPUTED_VALUE"""),"Publikasi")</f>
        <v>Publikasi</v>
      </c>
      <c r="E1064" s="19"/>
      <c r="F1064" s="20"/>
    </row>
    <row r="1065">
      <c r="A1065" s="13" t="str">
        <f>IFERROR(__xludf.DUMMYFUNCTION("""COMPUTED_VALUE"""),"saptugala@gmail:com")</f>
        <v>saptugala@gmail:com</v>
      </c>
      <c r="B1065" s="13" t="str">
        <f>IFERROR(__xludf.DUMMYFUNCTION("""COMPUTED_VALUE"""),"Profil Kependudukan dan Ketenagakerjaan Kabupaten Dairi 2021")</f>
        <v>Profil Kependudukan dan Ketenagakerjaan Kabupaten Dairi 2021</v>
      </c>
      <c r="C1065" s="13" t="str">
        <f>IFERROR(__xludf.DUMMYFUNCTION("""COMPUTED_VALUE"""),"Publikasi")</f>
        <v>Publikasi</v>
      </c>
      <c r="E1065" s="19"/>
      <c r="F1065" s="20"/>
    </row>
    <row r="1066">
      <c r="A1066" s="13" t="str">
        <f>IFERROR(__xludf.DUMMYFUNCTION("""COMPUTED_VALUE"""),"saptugala@gmail:com")</f>
        <v>saptugala@gmail:com</v>
      </c>
      <c r="B1066" s="13" t="str">
        <f>IFERROR(__xludf.DUMMYFUNCTION("""COMPUTED_VALUE"""),"Statistik Kesejahteraan Rakyat Kabupaten Dairi 2022")</f>
        <v>Statistik Kesejahteraan Rakyat Kabupaten Dairi 2022</v>
      </c>
      <c r="C1066" s="13" t="str">
        <f>IFERROR(__xludf.DUMMYFUNCTION("""COMPUTED_VALUE"""),"Publikasi")</f>
        <v>Publikasi</v>
      </c>
      <c r="E1066" s="19"/>
      <c r="F1066" s="20"/>
    </row>
    <row r="1067">
      <c r="A1067" s="13" t="str">
        <f>IFERROR(__xludf.DUMMYFUNCTION("""COMPUTED_VALUE"""),"saragiholim@gmai:com")</f>
        <v>saragiholim@gmai:com</v>
      </c>
      <c r="B1067" s="13" t="str">
        <f>IFERROR(__xludf.DUMMYFUNCTION("""COMPUTED_VALUE"""),"Kecamatan Sidikalang Dalam Angka 2024")</f>
        <v>Kecamatan Sidikalang Dalam Angka 2024</v>
      </c>
      <c r="C1067" s="13" t="str">
        <f>IFERROR(__xludf.DUMMYFUNCTION("""COMPUTED_VALUE"""),"Publikasi")</f>
        <v>Publikasi</v>
      </c>
      <c r="E1067" s="19"/>
      <c r="F1067" s="20"/>
    </row>
    <row r="1068">
      <c r="A1068" s="13" t="str">
        <f>IFERROR(__xludf.DUMMYFUNCTION("""COMPUTED_VALUE"""),"sarmilaaregar@gmail:com")</f>
        <v>sarmilaaregar@gmail:com</v>
      </c>
      <c r="B1068" s="13" t="str">
        <f>IFERROR(__xludf.DUMMYFUNCTION("""COMPUTED_VALUE"""),"Indikator Kesejahteraan Rakyat Kabupaten Dairi Tahun 2024")</f>
        <v>Indikator Kesejahteraan Rakyat Kabupaten Dairi Tahun 2024</v>
      </c>
      <c r="C1068" s="13" t="str">
        <f>IFERROR(__xludf.DUMMYFUNCTION("""COMPUTED_VALUE"""),"Publikasi")</f>
        <v>Publikasi</v>
      </c>
      <c r="E1068" s="19"/>
      <c r="F1068" s="20"/>
    </row>
    <row r="1069">
      <c r="A1069" s="13" t="str">
        <f>IFERROR(__xludf.DUMMYFUNCTION("""COMPUTED_VALUE"""),"sarmilaaregar@gmail:com")</f>
        <v>sarmilaaregar@gmail:com</v>
      </c>
      <c r="B1069" s="13" t="str">
        <f>IFERROR(__xludf.DUMMYFUNCTION("""COMPUTED_VALUE"""),"Statistik Kesejahteraan Rakyat Kabupaten Dairi 2024")</f>
        <v>Statistik Kesejahteraan Rakyat Kabupaten Dairi 2024</v>
      </c>
      <c r="C1069" s="13" t="str">
        <f>IFERROR(__xludf.DUMMYFUNCTION("""COMPUTED_VALUE"""),"Publikasi")</f>
        <v>Publikasi</v>
      </c>
      <c r="E1069" s="19"/>
      <c r="F1069" s="20"/>
    </row>
    <row r="1070">
      <c r="A1070" s="13" t="str">
        <f>IFERROR(__xludf.DUMMYFUNCTION("""COMPUTED_VALUE"""),"sartikapdng@gmail:com")</f>
        <v>sartikapdng@gmail:com</v>
      </c>
      <c r="B1070" s="13" t="str">
        <f>IFERROR(__xludf.DUMMYFUNCTION("""COMPUTED_VALUE"""),"Kabupaten Dairi Dalam Angka 2024")</f>
        <v>Kabupaten Dairi Dalam Angka 2024</v>
      </c>
      <c r="C1070" s="13" t="str">
        <f>IFERROR(__xludf.DUMMYFUNCTION("""COMPUTED_VALUE"""),"Publikasi")</f>
        <v>Publikasi</v>
      </c>
      <c r="E1070" s="19"/>
      <c r="F1070" s="20"/>
    </row>
    <row r="1071">
      <c r="A1071" s="13" t="str">
        <f>IFERROR(__xludf.DUMMYFUNCTION("""COMPUTED_VALUE"""),"septina109silalahi@gmail:com")</f>
        <v>septina109silalahi@gmail:com</v>
      </c>
      <c r="B1071" s="13" t="str">
        <f>IFERROR(__xludf.DUMMYFUNCTION("""COMPUTED_VALUE"""),"Hasil Pencacahan Lengkap Sensus Pertanian 2024 - Tahap I Kabupaten Dairi")</f>
        <v>Hasil Pencacahan Lengkap Sensus Pertanian 2024 - Tahap I Kabupaten Dairi</v>
      </c>
      <c r="C1071" s="13" t="str">
        <f>IFERROR(__xludf.DUMMYFUNCTION("""COMPUTED_VALUE"""),"Publikasi")</f>
        <v>Publikasi</v>
      </c>
      <c r="E1071" s="19"/>
      <c r="F1071" s="20"/>
    </row>
    <row r="1072">
      <c r="A1072" s="13" t="str">
        <f>IFERROR(__xludf.DUMMYFUNCTION("""COMPUTED_VALUE"""),"septina109silalahi@gmail:com")</f>
        <v>septina109silalahi@gmail:com</v>
      </c>
      <c r="B1072" s="13" t="str">
        <f>IFERROR(__xludf.DUMMYFUNCTION("""COMPUTED_VALUE"""),"Indeks Pembangunan Manusia Kabupaten Dairi 2024")</f>
        <v>Indeks Pembangunan Manusia Kabupaten Dairi 2024</v>
      </c>
      <c r="C1072" s="13" t="str">
        <f>IFERROR(__xludf.DUMMYFUNCTION("""COMPUTED_VALUE"""),"Publikasi")</f>
        <v>Publikasi</v>
      </c>
      <c r="E1072" s="19"/>
      <c r="F1072" s="20"/>
    </row>
    <row r="1073">
      <c r="A1073" s="13" t="str">
        <f>IFERROR(__xludf.DUMMYFUNCTION("""COMPUTED_VALUE"""),"septina109silalahi@gmail:com")</f>
        <v>septina109silalahi@gmail:com</v>
      </c>
      <c r="B1073" s="13" t="str">
        <f>IFERROR(__xludf.DUMMYFUNCTION("""COMPUTED_VALUE"""),"Indikator Kesejahteraan Rakyat Kabupaten Dairi Tahun 2024")</f>
        <v>Indikator Kesejahteraan Rakyat Kabupaten Dairi Tahun 2024</v>
      </c>
      <c r="C1073" s="13" t="str">
        <f>IFERROR(__xludf.DUMMYFUNCTION("""COMPUTED_VALUE"""),"Publikasi")</f>
        <v>Publikasi</v>
      </c>
      <c r="E1073" s="19"/>
      <c r="F1073" s="20"/>
    </row>
    <row r="1074">
      <c r="A1074" s="13" t="str">
        <f>IFERROR(__xludf.DUMMYFUNCTION("""COMPUTED_VALUE"""),"septina109silalahi@gmail:com")</f>
        <v>septina109silalahi@gmail:com</v>
      </c>
      <c r="B1074" s="13" t="str">
        <f>IFERROR(__xludf.DUMMYFUNCTION("""COMPUTED_VALUE"""),"Statistik Kesejahteraan Rakyat Kabupaten Dairi 2024")</f>
        <v>Statistik Kesejahteraan Rakyat Kabupaten Dairi 2024</v>
      </c>
      <c r="C1074" s="13" t="str">
        <f>IFERROR(__xludf.DUMMYFUNCTION("""COMPUTED_VALUE"""),"Publikasi")</f>
        <v>Publikasi</v>
      </c>
      <c r="E1074" s="19"/>
      <c r="F1074" s="20"/>
    </row>
    <row r="1075">
      <c r="A1075" s="13" t="str">
        <f>IFERROR(__xludf.DUMMYFUNCTION("""COMPUTED_VALUE"""),"serlymonikasembiring@yahoo:co:id")</f>
        <v>serlymonikasembiring@yahoo:co:id</v>
      </c>
      <c r="B1075" s="13" t="str">
        <f>IFERROR(__xludf.DUMMYFUNCTION("""COMPUTED_VALUE"""),"Statistik Kesejahteraan Rakyat Kabupaten Dairi 2022")</f>
        <v>Statistik Kesejahteraan Rakyat Kabupaten Dairi 2022</v>
      </c>
      <c r="C1075" s="13" t="str">
        <f>IFERROR(__xludf.DUMMYFUNCTION("""COMPUTED_VALUE"""),"Publikasi")</f>
        <v>Publikasi</v>
      </c>
      <c r="E1075" s="19"/>
      <c r="F1075" s="20"/>
    </row>
    <row r="1076">
      <c r="A1076" s="13" t="str">
        <f>IFERROR(__xludf.DUMMYFUNCTION("""COMPUTED_VALUE"""),"siburiananne@gmail:com")</f>
        <v>siburiananne@gmail:com</v>
      </c>
      <c r="B1076" s="13" t="str">
        <f>IFERROR(__xludf.DUMMYFUNCTION("""COMPUTED_VALUE"""),"Hasil Pencacahan Lengkap Sensus Pertanian 2024 - Tahap I Kabupaten Dairi")</f>
        <v>Hasil Pencacahan Lengkap Sensus Pertanian 2024 - Tahap I Kabupaten Dairi</v>
      </c>
      <c r="C1076" s="13" t="str">
        <f>IFERROR(__xludf.DUMMYFUNCTION("""COMPUTED_VALUE"""),"Publikasi")</f>
        <v>Publikasi</v>
      </c>
      <c r="E1076" s="19"/>
      <c r="F1076" s="20"/>
    </row>
    <row r="1077">
      <c r="A1077" s="13" t="str">
        <f>IFERROR(__xludf.DUMMYFUNCTION("""COMPUTED_VALUE"""),"siburiananne@gmail:com")</f>
        <v>siburiananne@gmail:com</v>
      </c>
      <c r="B1077" s="13" t="str">
        <f>IFERROR(__xludf.DUMMYFUNCTION("""COMPUTED_VALUE"""),"Indeks Pembangunan Manusia Kabupaten Dairi 2024")</f>
        <v>Indeks Pembangunan Manusia Kabupaten Dairi 2024</v>
      </c>
      <c r="C1077" s="13" t="str">
        <f>IFERROR(__xludf.DUMMYFUNCTION("""COMPUTED_VALUE"""),"Publikasi")</f>
        <v>Publikasi</v>
      </c>
      <c r="E1077" s="19"/>
      <c r="F1077" s="20"/>
    </row>
    <row r="1078">
      <c r="A1078" s="13" t="str">
        <f>IFERROR(__xludf.DUMMYFUNCTION("""COMPUTED_VALUE"""),"siburiananne@gmail:com")</f>
        <v>siburiananne@gmail:com</v>
      </c>
      <c r="B1078" s="13" t="str">
        <f>IFERROR(__xludf.DUMMYFUNCTION("""COMPUTED_VALUE"""),"Indikator Kesejahteraan Rakyat Kabupaten Dairi Tahun 2024")</f>
        <v>Indikator Kesejahteraan Rakyat Kabupaten Dairi Tahun 2024</v>
      </c>
      <c r="C1078" s="13" t="str">
        <f>IFERROR(__xludf.DUMMYFUNCTION("""COMPUTED_VALUE"""),"Publikasi")</f>
        <v>Publikasi</v>
      </c>
      <c r="E1078" s="19"/>
      <c r="F1078" s="20"/>
    </row>
    <row r="1079">
      <c r="A1079" s="13" t="str">
        <f>IFERROR(__xludf.DUMMYFUNCTION("""COMPUTED_VALUE"""),"siburiananne@gmail:com")</f>
        <v>siburiananne@gmail:com</v>
      </c>
      <c r="B1079" s="13" t="str">
        <f>IFERROR(__xludf.DUMMYFUNCTION("""COMPUTED_VALUE"""),"Statistik Kesejahteraan Rakyat Kabupaten Dairi 2024")</f>
        <v>Statistik Kesejahteraan Rakyat Kabupaten Dairi 2024</v>
      </c>
      <c r="C1079" s="13" t="str">
        <f>IFERROR(__xludf.DUMMYFUNCTION("""COMPUTED_VALUE"""),"Publikasi")</f>
        <v>Publikasi</v>
      </c>
      <c r="E1079" s="19"/>
      <c r="F1079" s="20"/>
    </row>
    <row r="1080">
      <c r="A1080" s="13" t="str">
        <f>IFERROR(__xludf.DUMMYFUNCTION("""COMPUTED_VALUE"""),"siburiananne@gmail:com")</f>
        <v>siburiananne@gmail:com</v>
      </c>
      <c r="B1080" s="13" t="str">
        <f>IFERROR(__xludf.DUMMYFUNCTION("""COMPUTED_VALUE"""),"Statistik Tanaman Pangan (Padi dan Palawija) Kabupaten Dairi 2022")</f>
        <v>Statistik Tanaman Pangan (Padi dan Palawija) Kabupaten Dairi 2022</v>
      </c>
      <c r="C1080" s="13" t="str">
        <f>IFERROR(__xludf.DUMMYFUNCTION("""COMPUTED_VALUE"""),"Publikasi")</f>
        <v>Publikasi</v>
      </c>
      <c r="E1080" s="19"/>
      <c r="F1080" s="20"/>
    </row>
    <row r="1081">
      <c r="A1081" s="13" t="str">
        <f>IFERROR(__xludf.DUMMYFUNCTION("""COMPUTED_VALUE"""),"sidomidcen@gmail:com")</f>
        <v>sidomidcen@gmail:com</v>
      </c>
      <c r="B1081" s="13" t="str">
        <f>IFERROR(__xludf.DUMMYFUNCTION("""COMPUTED_VALUE"""),"Hasil Pencacahan Lengkap Sensus Pertanian 2024 - Tahap I Kabupaten Dairi")</f>
        <v>Hasil Pencacahan Lengkap Sensus Pertanian 2024 - Tahap I Kabupaten Dairi</v>
      </c>
      <c r="C1081" s="13" t="str">
        <f>IFERROR(__xludf.DUMMYFUNCTION("""COMPUTED_VALUE"""),"Publikasi")</f>
        <v>Publikasi</v>
      </c>
      <c r="E1081" s="19"/>
      <c r="F1081" s="20"/>
    </row>
    <row r="1082">
      <c r="A1082" s="13" t="str">
        <f>IFERROR(__xludf.DUMMYFUNCTION("""COMPUTED_VALUE"""),"sidomidcen@gmail:com")</f>
        <v>sidomidcen@gmail:com</v>
      </c>
      <c r="B1082" s="13" t="str">
        <f>IFERROR(__xludf.DUMMYFUNCTION("""COMPUTED_VALUE"""),"Statistik Hortikultura Kabupaten Dairi Tahun 2022")</f>
        <v>Statistik Hortikultura Kabupaten Dairi Tahun 2022</v>
      </c>
      <c r="C1082" s="13" t="str">
        <f>IFERROR(__xludf.DUMMYFUNCTION("""COMPUTED_VALUE"""),"Publikasi")</f>
        <v>Publikasi</v>
      </c>
      <c r="E1082" s="19"/>
      <c r="F1082" s="20"/>
    </row>
    <row r="1083">
      <c r="A1083" s="13" t="str">
        <f>IFERROR(__xludf.DUMMYFUNCTION("""COMPUTED_VALUE"""),"sihombingagusto@gmail:com")</f>
        <v>sihombingagusto@gmail:com</v>
      </c>
      <c r="B1083" s="13" t="str">
        <f>IFERROR(__xludf.DUMMYFUNCTION("""COMPUTED_VALUE"""),"Kabupaten Dairi Dalam Angka 2024")</f>
        <v>Kabupaten Dairi Dalam Angka 2024</v>
      </c>
      <c r="C1083" s="13" t="str">
        <f>IFERROR(__xludf.DUMMYFUNCTION("""COMPUTED_VALUE"""),"Publikasi")</f>
        <v>Publikasi</v>
      </c>
      <c r="E1083" s="19"/>
      <c r="F1083" s="20"/>
    </row>
    <row r="1084">
      <c r="A1084" s="13" t="str">
        <f>IFERROR(__xludf.DUMMYFUNCTION("""COMPUTED_VALUE"""),"sihombingeriko@gmail:com")</f>
        <v>sihombingeriko@gmail:com</v>
      </c>
      <c r="B1084" s="13" t="str">
        <f>IFERROR(__xludf.DUMMYFUNCTION("""COMPUTED_VALUE"""),"Kabupaten Dairi Dalam Angka 2024")</f>
        <v>Kabupaten Dairi Dalam Angka 2024</v>
      </c>
      <c r="C1084" s="13" t="str">
        <f>IFERROR(__xludf.DUMMYFUNCTION("""COMPUTED_VALUE"""),"Publikasi")</f>
        <v>Publikasi</v>
      </c>
      <c r="E1084" s="19"/>
      <c r="F1084" s="20"/>
    </row>
    <row r="1085">
      <c r="A1085" s="13" t="str">
        <f>IFERROR(__xludf.DUMMYFUNCTION("""COMPUTED_VALUE"""),"simamoraaaidrisss@gmail:com")</f>
        <v>simamoraaaidrisss@gmail:com</v>
      </c>
      <c r="B1085" s="13" t="str">
        <f>IFERROR(__xludf.DUMMYFUNCTION("""COMPUTED_VALUE"""),"Kabupaten Dairi Dalam Angka 2018")</f>
        <v>Kabupaten Dairi Dalam Angka 2018</v>
      </c>
      <c r="C1085" s="13" t="str">
        <f>IFERROR(__xludf.DUMMYFUNCTION("""COMPUTED_VALUE"""),"Publikasi")</f>
        <v>Publikasi</v>
      </c>
      <c r="E1085" s="19"/>
      <c r="F1085" s="20"/>
    </row>
    <row r="1086">
      <c r="A1086" s="13" t="str">
        <f>IFERROR(__xludf.DUMMYFUNCTION("""COMPUTED_VALUE"""),"simanjuntaknaya7@gmail:com")</f>
        <v>simanjuntaknaya7@gmail:com</v>
      </c>
      <c r="B1086" s="13" t="str">
        <f>IFERROR(__xludf.DUMMYFUNCTION("""COMPUTED_VALUE"""),"Kabupaten Dairi Dalam Angka 2022")</f>
        <v>Kabupaten Dairi Dalam Angka 2022</v>
      </c>
      <c r="C1086" s="13" t="str">
        <f>IFERROR(__xludf.DUMMYFUNCTION("""COMPUTED_VALUE"""),"Publikasi")</f>
        <v>Publikasi</v>
      </c>
      <c r="E1086" s="19"/>
      <c r="F1086" s="20"/>
    </row>
    <row r="1087">
      <c r="A1087" s="13" t="str">
        <f>IFERROR(__xludf.DUMMYFUNCTION("""COMPUTED_VALUE"""),"sinaga:gunawan@gmail:com")</f>
        <v>sinaga:gunawan@gmail:com</v>
      </c>
      <c r="B1087" s="13" t="str">
        <f>IFERROR(__xludf.DUMMYFUNCTION("""COMPUTED_VALUE"""),"Kabupaten Dairi Dalam Angka 2024")</f>
        <v>Kabupaten Dairi Dalam Angka 2024</v>
      </c>
      <c r="C1087" s="13" t="str">
        <f>IFERROR(__xludf.DUMMYFUNCTION("""COMPUTED_VALUE"""),"Publikasi")</f>
        <v>Publikasi</v>
      </c>
      <c r="E1087" s="19"/>
      <c r="F1087" s="20"/>
    </row>
    <row r="1088">
      <c r="A1088" s="13" t="str">
        <f>IFERROR(__xludf.DUMMYFUNCTION("""COMPUTED_VALUE"""),"sirait:rosdiana@gmail:com")</f>
        <v>sirait:rosdiana@gmail:com</v>
      </c>
      <c r="B1088" s="13" t="str">
        <f>IFERROR(__xludf.DUMMYFUNCTION("""COMPUTED_VALUE"""),"Kabupaten Dairi Dalam Angka 2021")</f>
        <v>Kabupaten Dairi Dalam Angka 2021</v>
      </c>
      <c r="C1088" s="13" t="str">
        <f>IFERROR(__xludf.DUMMYFUNCTION("""COMPUTED_VALUE"""),"Publikasi")</f>
        <v>Publikasi</v>
      </c>
      <c r="E1088" s="19"/>
      <c r="F1088" s="20"/>
    </row>
    <row r="1089">
      <c r="A1089" s="13" t="str">
        <f>IFERROR(__xludf.DUMMYFUNCTION("""COMPUTED_VALUE"""),"siraitgihon@gmail:com")</f>
        <v>siraitgihon@gmail:com</v>
      </c>
      <c r="B1089" s="13" t="str">
        <f>IFERROR(__xludf.DUMMYFUNCTION("""COMPUTED_VALUE"""),"Kecamatan Parbuluan Dalam Angka 2024")</f>
        <v>Kecamatan Parbuluan Dalam Angka 2024</v>
      </c>
      <c r="C1089" s="13" t="str">
        <f>IFERROR(__xludf.DUMMYFUNCTION("""COMPUTED_VALUE"""),"Publikasi")</f>
        <v>Publikasi</v>
      </c>
      <c r="E1089" s="19"/>
      <c r="F1089" s="20"/>
    </row>
    <row r="1090">
      <c r="A1090" s="13" t="str">
        <f>IFERROR(__xludf.DUMMYFUNCTION("""COMPUTED_VALUE"""),"siregarrio21@gmail:com")</f>
        <v>siregarrio21@gmail:com</v>
      </c>
      <c r="B1090" s="13" t="str">
        <f>IFERROR(__xludf.DUMMYFUNCTION("""COMPUTED_VALUE"""),"Kabupaten Dairi Dalam Angka 2024")</f>
        <v>Kabupaten Dairi Dalam Angka 2024</v>
      </c>
      <c r="C1090" s="13" t="str">
        <f>IFERROR(__xludf.DUMMYFUNCTION("""COMPUTED_VALUE"""),"Publikasi")</f>
        <v>Publikasi</v>
      </c>
      <c r="E1090" s="19"/>
      <c r="F1090" s="20"/>
    </row>
    <row r="1091">
      <c r="A1091" s="13" t="str">
        <f>IFERROR(__xludf.DUMMYFUNCTION("""COMPUTED_VALUE"""),"siskapratiwi2018m@gmail:com")</f>
        <v>siskapratiwi2018m@gmail:com</v>
      </c>
      <c r="B1091" s="13" t="str">
        <f>IFERROR(__xludf.DUMMYFUNCTION("""COMPUTED_VALUE"""),"Statistik Hortikultura Kabupaten Dairi Tahun 2021")</f>
        <v>Statistik Hortikultura Kabupaten Dairi Tahun 2021</v>
      </c>
      <c r="C1091" s="13" t="str">
        <f>IFERROR(__xludf.DUMMYFUNCTION("""COMPUTED_VALUE"""),"Publikasi")</f>
        <v>Publikasi</v>
      </c>
      <c r="E1091" s="19"/>
      <c r="F1091" s="20"/>
    </row>
    <row r="1092">
      <c r="A1092" s="13" t="str">
        <f>IFERROR(__xludf.DUMMYFUNCTION("""COMPUTED_VALUE"""),"siskapratiwi2018m@gmail:com")</f>
        <v>siskapratiwi2018m@gmail:com</v>
      </c>
      <c r="B1092" s="13" t="str">
        <f>IFERROR(__xludf.DUMMYFUNCTION("""COMPUTED_VALUE"""),"Statistik Tanaman Pangan (Padi dan Palawija) Kabupaten Dairi 2020")</f>
        <v>Statistik Tanaman Pangan (Padi dan Palawija) Kabupaten Dairi 2020</v>
      </c>
      <c r="C1092" s="13" t="str">
        <f>IFERROR(__xludf.DUMMYFUNCTION("""COMPUTED_VALUE"""),"Publikasi")</f>
        <v>Publikasi</v>
      </c>
      <c r="E1092" s="19"/>
      <c r="F1092" s="20"/>
    </row>
    <row r="1093">
      <c r="A1093" s="13" t="str">
        <f>IFERROR(__xludf.DUMMYFUNCTION("""COMPUTED_VALUE"""),"siskapratiwi2018m@gmail:com")</f>
        <v>siskapratiwi2018m@gmail:com</v>
      </c>
      <c r="B1093" s="13" t="str">
        <f>IFERROR(__xludf.DUMMYFUNCTION("""COMPUTED_VALUE"""),"Statistik Tanaman Pangan (Padi dan Palawija) Kabupaten Dairi 2021")</f>
        <v>Statistik Tanaman Pangan (Padi dan Palawija) Kabupaten Dairi 2021</v>
      </c>
      <c r="C1093" s="13" t="str">
        <f>IFERROR(__xludf.DUMMYFUNCTION("""COMPUTED_VALUE"""),"Publikasi")</f>
        <v>Publikasi</v>
      </c>
      <c r="E1093" s="19"/>
      <c r="F1093" s="20"/>
    </row>
    <row r="1094">
      <c r="A1094" s="13" t="str">
        <f>IFERROR(__xludf.DUMMYFUNCTION("""COMPUTED_VALUE"""),"siswatisolin11@gmail:com")</f>
        <v>siswatisolin11@gmail:com</v>
      </c>
      <c r="B1094" s="13" t="str">
        <f>IFERROR(__xludf.DUMMYFUNCTION("""COMPUTED_VALUE"""),"Statistik Kesejahteraan Rakyat Kabupaten Dairi 2022")</f>
        <v>Statistik Kesejahteraan Rakyat Kabupaten Dairi 2022</v>
      </c>
      <c r="C1094" s="13" t="str">
        <f>IFERROR(__xludf.DUMMYFUNCTION("""COMPUTED_VALUE"""),"Publikasi")</f>
        <v>Publikasi</v>
      </c>
      <c r="E1094" s="19"/>
      <c r="F1094" s="20"/>
    </row>
    <row r="1095">
      <c r="A1095" s="13" t="str">
        <f>IFERROR(__xludf.DUMMYFUNCTION("""COMPUTED_VALUE"""),"sitepuharmonis@gmail:com")</f>
        <v>sitepuharmonis@gmail:com</v>
      </c>
      <c r="B1095" s="13" t="str">
        <f>IFERROR(__xludf.DUMMYFUNCTION("""COMPUTED_VALUE"""),"Indikator Kesejahteraan Rakyat Kabupaten Dairi Tahun 2024")</f>
        <v>Indikator Kesejahteraan Rakyat Kabupaten Dairi Tahun 2024</v>
      </c>
      <c r="C1095" s="13" t="str">
        <f>IFERROR(__xludf.DUMMYFUNCTION("""COMPUTED_VALUE"""),"Publikasi")</f>
        <v>Publikasi</v>
      </c>
      <c r="E1095" s="19"/>
      <c r="F1095" s="20"/>
    </row>
    <row r="1096">
      <c r="A1096" s="13" t="str">
        <f>IFERROR(__xludf.DUMMYFUNCTION("""COMPUTED_VALUE"""),"sitibasyariahputri@gmail:com")</f>
        <v>sitibasyariahputri@gmail:com</v>
      </c>
      <c r="B1096" s="13" t="str">
        <f>IFERROR(__xludf.DUMMYFUNCTION("""COMPUTED_VALUE"""),"Kabupaten Dairi Dalam Angka 2024")</f>
        <v>Kabupaten Dairi Dalam Angka 2024</v>
      </c>
      <c r="C1096" s="13" t="str">
        <f>IFERROR(__xludf.DUMMYFUNCTION("""COMPUTED_VALUE"""),"Publikasi")</f>
        <v>Publikasi</v>
      </c>
      <c r="E1096" s="19"/>
      <c r="F1096" s="20"/>
    </row>
    <row r="1097">
      <c r="A1097" s="13" t="str">
        <f>IFERROR(__xludf.DUMMYFUNCTION("""COMPUTED_VALUE"""),"sitibasyariahputri@gmail:com")</f>
        <v>sitibasyariahputri@gmail:com</v>
      </c>
      <c r="B1097" s="13" t="str">
        <f>IFERROR(__xludf.DUMMYFUNCTION("""COMPUTED_VALUE"""),"Kecamatan Sidikalang Dalam Angka 2024")</f>
        <v>Kecamatan Sidikalang Dalam Angka 2024</v>
      </c>
      <c r="C1097" s="13" t="str">
        <f>IFERROR(__xludf.DUMMYFUNCTION("""COMPUTED_VALUE"""),"Publikasi")</f>
        <v>Publikasi</v>
      </c>
      <c r="E1097" s="19"/>
      <c r="F1097" s="20"/>
    </row>
    <row r="1098">
      <c r="A1098" s="13" t="str">
        <f>IFERROR(__xludf.DUMMYFUNCTION("""COMPUTED_VALUE"""),"situmorangellys4@gmail:com")</f>
        <v>situmorangellys4@gmail:com</v>
      </c>
      <c r="B1098" s="13" t="str">
        <f>IFERROR(__xludf.DUMMYFUNCTION("""COMPUTED_VALUE"""),"Kabupaten Dairi Dalam Angka 2024")</f>
        <v>Kabupaten Dairi Dalam Angka 2024</v>
      </c>
      <c r="C1098" s="13" t="str">
        <f>IFERROR(__xludf.DUMMYFUNCTION("""COMPUTED_VALUE"""),"Publikasi")</f>
        <v>Publikasi</v>
      </c>
      <c r="E1098" s="19"/>
      <c r="F1098" s="20"/>
    </row>
    <row r="1099">
      <c r="A1099" s="13" t="str">
        <f>IFERROR(__xludf.DUMMYFUNCTION("""COMPUTED_VALUE"""),"skripsiwr@gmail:com")</f>
        <v>skripsiwr@gmail:com</v>
      </c>
      <c r="B1099" s="13" t="str">
        <f>IFERROR(__xludf.DUMMYFUNCTION("""COMPUTED_VALUE"""),"Kabupaten Dairi Dalam Angka 2020")</f>
        <v>Kabupaten Dairi Dalam Angka 2020</v>
      </c>
      <c r="C1099" s="13" t="str">
        <f>IFERROR(__xludf.DUMMYFUNCTION("""COMPUTED_VALUE"""),"Publikasi")</f>
        <v>Publikasi</v>
      </c>
      <c r="E1099" s="19"/>
      <c r="F1099" s="20"/>
    </row>
    <row r="1100">
      <c r="A1100" s="13" t="str">
        <f>IFERROR(__xludf.DUMMYFUNCTION("""COMPUTED_VALUE"""),"skripsiwr@gmail:com")</f>
        <v>skripsiwr@gmail:com</v>
      </c>
      <c r="B1100" s="13" t="str">
        <f>IFERROR(__xludf.DUMMYFUNCTION("""COMPUTED_VALUE"""),"Kabupaten Dairi Dalam Angka 2022")</f>
        <v>Kabupaten Dairi Dalam Angka 2022</v>
      </c>
      <c r="C1100" s="13" t="str">
        <f>IFERROR(__xludf.DUMMYFUNCTION("""COMPUTED_VALUE"""),"Publikasi")</f>
        <v>Publikasi</v>
      </c>
      <c r="E1100" s="19"/>
      <c r="F1100" s="20"/>
    </row>
    <row r="1101">
      <c r="A1101" s="13" t="str">
        <f>IFERROR(__xludf.DUMMYFUNCTION("""COMPUTED_VALUE"""),"skripsiwr@gmail:com")</f>
        <v>skripsiwr@gmail:com</v>
      </c>
      <c r="B1101" s="13" t="str">
        <f>IFERROR(__xludf.DUMMYFUNCTION("""COMPUTED_VALUE"""),"Kecamatan Lae Parira Dalam Angka 2021")</f>
        <v>Kecamatan Lae Parira Dalam Angka 2021</v>
      </c>
      <c r="C1101" s="13" t="str">
        <f>IFERROR(__xludf.DUMMYFUNCTION("""COMPUTED_VALUE"""),"Publikasi")</f>
        <v>Publikasi</v>
      </c>
      <c r="E1101" s="19"/>
      <c r="F1101" s="20"/>
    </row>
    <row r="1102">
      <c r="A1102" s="13" t="str">
        <f>IFERROR(__xludf.DUMMYFUNCTION("""COMPUTED_VALUE"""),"smartinaelfira@gmail:com")</f>
        <v>smartinaelfira@gmail:com</v>
      </c>
      <c r="B1102" s="13" t="str">
        <f>IFERROR(__xludf.DUMMYFUNCTION("""COMPUTED_VALUE"""),"Kecamatan Parbuluan Dalam Angka 2024")</f>
        <v>Kecamatan Parbuluan Dalam Angka 2024</v>
      </c>
      <c r="C1102" s="13" t="str">
        <f>IFERROR(__xludf.DUMMYFUNCTION("""COMPUTED_VALUE"""),"Publikasi")</f>
        <v>Publikasi</v>
      </c>
      <c r="E1102" s="19"/>
      <c r="F1102" s="20"/>
    </row>
    <row r="1103">
      <c r="A1103" s="13" t="str">
        <f>IFERROR(__xludf.DUMMYFUNCTION("""COMPUTED_VALUE"""),"soeurveous@gmail:com")</f>
        <v>soeurveous@gmail:com</v>
      </c>
      <c r="B1103" s="13" t="str">
        <f>IFERROR(__xludf.DUMMYFUNCTION("""COMPUTED_VALUE"""),"Kecamatan Sumbul Dalam Angka 2024")</f>
        <v>Kecamatan Sumbul Dalam Angka 2024</v>
      </c>
      <c r="C1103" s="13" t="str">
        <f>IFERROR(__xludf.DUMMYFUNCTION("""COMPUTED_VALUE"""),"Publikasi")</f>
        <v>Publikasi</v>
      </c>
      <c r="E1103" s="19"/>
      <c r="F1103" s="20"/>
    </row>
    <row r="1104">
      <c r="A1104" s="13" t="str">
        <f>IFERROR(__xludf.DUMMYFUNCTION("""COMPUTED_VALUE"""),"sondangtpb84@gmail:com")</f>
        <v>sondangtpb84@gmail:com</v>
      </c>
      <c r="B1104" s="13" t="str">
        <f>IFERROR(__xludf.DUMMYFUNCTION("""COMPUTED_VALUE"""),"Kecamatan Sitinjo Dalam Angka 2021")</f>
        <v>Kecamatan Sitinjo Dalam Angka 2021</v>
      </c>
      <c r="C1104" s="13" t="str">
        <f>IFERROR(__xludf.DUMMYFUNCTION("""COMPUTED_VALUE"""),"Publikasi")</f>
        <v>Publikasi</v>
      </c>
      <c r="E1104" s="19"/>
      <c r="F1104" s="20"/>
    </row>
    <row r="1105">
      <c r="A1105" s="13" t="str">
        <f>IFERROR(__xludf.DUMMYFUNCTION("""COMPUTED_VALUE"""),"soparb:marpaung@gmail:com")</f>
        <v>soparb:marpaung@gmail:com</v>
      </c>
      <c r="B1105" s="13" t="str">
        <f>IFERROR(__xludf.DUMMYFUNCTION("""COMPUTED_VALUE"""),"Indikator Kesejahteraan Rakyat Kabupaten Dairi Tahun 2022")</f>
        <v>Indikator Kesejahteraan Rakyat Kabupaten Dairi Tahun 2022</v>
      </c>
      <c r="C1105" s="13" t="str">
        <f>IFERROR(__xludf.DUMMYFUNCTION("""COMPUTED_VALUE"""),"Publikasi")</f>
        <v>Publikasi</v>
      </c>
      <c r="E1105" s="19"/>
      <c r="F1105" s="20"/>
    </row>
    <row r="1106">
      <c r="A1106" s="13" t="str">
        <f>IFERROR(__xludf.DUMMYFUNCTION("""COMPUTED_VALUE"""),"soparb:marpaung@gmail:com")</f>
        <v>soparb:marpaung@gmail:com</v>
      </c>
      <c r="B1106" s="13" t="str">
        <f>IFERROR(__xludf.DUMMYFUNCTION("""COMPUTED_VALUE"""),"Kabupaten Dairi Dalam Angka 2024")</f>
        <v>Kabupaten Dairi Dalam Angka 2024</v>
      </c>
      <c r="C1106" s="13" t="str">
        <f>IFERROR(__xludf.DUMMYFUNCTION("""COMPUTED_VALUE"""),"Publikasi")</f>
        <v>Publikasi</v>
      </c>
      <c r="E1106" s="19"/>
      <c r="F1106" s="20"/>
    </row>
    <row r="1107">
      <c r="A1107" s="13" t="str">
        <f>IFERROR(__xludf.DUMMYFUNCTION("""COMPUTED_VALUE"""),"soparb:marpaung@gmail:com")</f>
        <v>soparb:marpaung@gmail:com</v>
      </c>
      <c r="B1107" s="13" t="str">
        <f>IFERROR(__xludf.DUMMYFUNCTION("""COMPUTED_VALUE"""),"Statistik Kesejahteraan Rakyat Kabupaten Dairi 2022")</f>
        <v>Statistik Kesejahteraan Rakyat Kabupaten Dairi 2022</v>
      </c>
      <c r="C1107" s="13" t="str">
        <f>IFERROR(__xludf.DUMMYFUNCTION("""COMPUTED_VALUE"""),"Publikasi")</f>
        <v>Publikasi</v>
      </c>
      <c r="E1107" s="19"/>
      <c r="F1107" s="20"/>
    </row>
    <row r="1108">
      <c r="A1108" s="13" t="str">
        <f>IFERROR(__xludf.DUMMYFUNCTION("""COMPUTED_VALUE"""),"sorrie_muda@yahoo:co:id")</f>
        <v>sorrie_muda@yahoo:co:id</v>
      </c>
      <c r="B1108" s="13" t="str">
        <f>IFERROR(__xludf.DUMMYFUNCTION("""COMPUTED_VALUE"""),"Kabupaten Dairi Dalam Angka 2022")</f>
        <v>Kabupaten Dairi Dalam Angka 2022</v>
      </c>
      <c r="C1108" s="13" t="str">
        <f>IFERROR(__xludf.DUMMYFUNCTION("""COMPUTED_VALUE"""),"Publikasi")</f>
        <v>Publikasi</v>
      </c>
      <c r="E1108" s="19"/>
      <c r="F1108" s="20"/>
    </row>
    <row r="1109">
      <c r="A1109" s="13" t="str">
        <f>IFERROR(__xludf.DUMMYFUNCTION("""COMPUTED_VALUE"""),"sotung:tum@gmail:com")</f>
        <v>sotung:tum@gmail:com</v>
      </c>
      <c r="B1109" s="13" t="str">
        <f>IFERROR(__xludf.DUMMYFUNCTION("""COMPUTED_VALUE"""),"Kabupaten Dairi Dalam Angka 2024")</f>
        <v>Kabupaten Dairi Dalam Angka 2024</v>
      </c>
      <c r="C1109" s="13" t="str">
        <f>IFERROR(__xludf.DUMMYFUNCTION("""COMPUTED_VALUE"""),"Publikasi")</f>
        <v>Publikasi</v>
      </c>
      <c r="E1109" s="19"/>
      <c r="F1109" s="20"/>
    </row>
    <row r="1110">
      <c r="A1110" s="13" t="str">
        <f>IFERROR(__xludf.DUMMYFUNCTION("""COMPUTED_VALUE"""),"sriarina81@gmail:com")</f>
        <v>sriarina81@gmail:com</v>
      </c>
      <c r="B1110" s="13" t="str">
        <f>IFERROR(__xludf.DUMMYFUNCTION("""COMPUTED_VALUE"""),"Kabupaten Dairi Dalam Angka 2024")</f>
        <v>Kabupaten Dairi Dalam Angka 2024</v>
      </c>
      <c r="C1110" s="13" t="str">
        <f>IFERROR(__xludf.DUMMYFUNCTION("""COMPUTED_VALUE"""),"Publikasi")</f>
        <v>Publikasi</v>
      </c>
      <c r="E1110" s="19"/>
      <c r="F1110" s="20"/>
    </row>
    <row r="1111">
      <c r="A1111" s="13" t="str">
        <f>IFERROR(__xludf.DUMMYFUNCTION("""COMPUTED_VALUE"""),"srichardo762@gmail:com")</f>
        <v>srichardo762@gmail:com</v>
      </c>
      <c r="B1111" s="13" t="str">
        <f>IFERROR(__xludf.DUMMYFUNCTION("""COMPUTED_VALUE"""),"Analisis Hasil Survei Kebutuhan Data BPS Kabupaten Dairi 2024")</f>
        <v>Analisis Hasil Survei Kebutuhan Data BPS Kabupaten Dairi 2024</v>
      </c>
      <c r="C1111" s="13" t="str">
        <f>IFERROR(__xludf.DUMMYFUNCTION("""COMPUTED_VALUE"""),"Publikasi")</f>
        <v>Publikasi</v>
      </c>
      <c r="E1111" s="19"/>
      <c r="F1111" s="20"/>
    </row>
    <row r="1112">
      <c r="A1112" s="13" t="str">
        <f>IFERROR(__xludf.DUMMYFUNCTION("""COMPUTED_VALUE"""),"srichardo762@gmail:com")</f>
        <v>srichardo762@gmail:com</v>
      </c>
      <c r="B1112" s="13" t="str">
        <f>IFERROR(__xludf.DUMMYFUNCTION("""COMPUTED_VALUE"""),"Indikator Kesejahteraan Rakyat Kabupaten Dairi Tahun 2022")</f>
        <v>Indikator Kesejahteraan Rakyat Kabupaten Dairi Tahun 2022</v>
      </c>
      <c r="C1112" s="13" t="str">
        <f>IFERROR(__xludf.DUMMYFUNCTION("""COMPUTED_VALUE"""),"Publikasi")</f>
        <v>Publikasi</v>
      </c>
      <c r="E1112" s="19"/>
      <c r="F1112" s="20"/>
    </row>
    <row r="1113">
      <c r="A1113" s="13" t="str">
        <f>IFERROR(__xludf.DUMMYFUNCTION("""COMPUTED_VALUE"""),"srichardo762@gmail:com")</f>
        <v>srichardo762@gmail:com</v>
      </c>
      <c r="B1113" s="13" t="str">
        <f>IFERROR(__xludf.DUMMYFUNCTION("""COMPUTED_VALUE"""),"Kabupaten Dairi Dalam Angka 2024")</f>
        <v>Kabupaten Dairi Dalam Angka 2024</v>
      </c>
      <c r="C1113" s="13" t="str">
        <f>IFERROR(__xludf.DUMMYFUNCTION("""COMPUTED_VALUE"""),"Publikasi")</f>
        <v>Publikasi</v>
      </c>
      <c r="E1113" s="19"/>
      <c r="F1113" s="20"/>
    </row>
    <row r="1114">
      <c r="A1114" s="13" t="str">
        <f>IFERROR(__xludf.DUMMYFUNCTION("""COMPUTED_VALUE"""),"sultanfaishal60@gmail:com")</f>
        <v>sultanfaishal60@gmail:com</v>
      </c>
      <c r="B1114" s="13" t="str">
        <f>IFERROR(__xludf.DUMMYFUNCTION("""COMPUTED_VALUE"""),"Kabupaten Dairi Dalam Angka 2024")</f>
        <v>Kabupaten Dairi Dalam Angka 2024</v>
      </c>
      <c r="C1114" s="13" t="str">
        <f>IFERROR(__xludf.DUMMYFUNCTION("""COMPUTED_VALUE"""),"Publikasi")</f>
        <v>Publikasi</v>
      </c>
      <c r="E1114" s="19"/>
      <c r="F1114" s="20"/>
    </row>
    <row r="1115">
      <c r="A1115" s="13" t="str">
        <f>IFERROR(__xludf.DUMMYFUNCTION("""COMPUTED_VALUE"""),"suprialiyansah06@gmail:com")</f>
        <v>suprialiyansah06@gmail:com</v>
      </c>
      <c r="B1115" s="13" t="str">
        <f>IFERROR(__xludf.DUMMYFUNCTION("""COMPUTED_VALUE"""),"Kabupaten Dairi Dalam Angka 2020")</f>
        <v>Kabupaten Dairi Dalam Angka 2020</v>
      </c>
      <c r="C1115" s="13" t="str">
        <f>IFERROR(__xludf.DUMMYFUNCTION("""COMPUTED_VALUE"""),"Publikasi")</f>
        <v>Publikasi</v>
      </c>
      <c r="E1115" s="19"/>
      <c r="F1115" s="20"/>
    </row>
    <row r="1116">
      <c r="A1116" s="13" t="str">
        <f>IFERROR(__xludf.DUMMYFUNCTION("""COMPUTED_VALUE"""),"suri@bps:go:id")</f>
        <v>suri@bps:go:id</v>
      </c>
      <c r="B1116" s="13" t="str">
        <f>IFERROR(__xludf.DUMMYFUNCTION("""COMPUTED_VALUE"""),"Kabupaten Dairi Dalam Angka 2022")</f>
        <v>Kabupaten Dairi Dalam Angka 2022</v>
      </c>
      <c r="C1116" s="13" t="str">
        <f>IFERROR(__xludf.DUMMYFUNCTION("""COMPUTED_VALUE"""),"Publikasi")</f>
        <v>Publikasi</v>
      </c>
      <c r="E1116" s="19"/>
      <c r="F1116" s="20"/>
    </row>
    <row r="1117">
      <c r="A1117" s="13" t="str">
        <f>IFERROR(__xludf.DUMMYFUNCTION("""COMPUTED_VALUE"""),"surya07909@gmail:com")</f>
        <v>surya07909@gmail:com</v>
      </c>
      <c r="B1117" s="13" t="str">
        <f>IFERROR(__xludf.DUMMYFUNCTION("""COMPUTED_VALUE"""),"Kabupaten Dairi Dalam Angka 2022")</f>
        <v>Kabupaten Dairi Dalam Angka 2022</v>
      </c>
      <c r="C1117" s="13" t="str">
        <f>IFERROR(__xludf.DUMMYFUNCTION("""COMPUTED_VALUE"""),"Publikasi")</f>
        <v>Publikasi</v>
      </c>
      <c r="E1117" s="19"/>
      <c r="F1117" s="20"/>
    </row>
    <row r="1118">
      <c r="A1118" s="13" t="str">
        <f>IFERROR(__xludf.DUMMYFUNCTION("""COMPUTED_VALUE"""),"suryaninaibaho25@gmail:com")</f>
        <v>suryaninaibaho25@gmail:com</v>
      </c>
      <c r="B1118" s="13" t="str">
        <f>IFERROR(__xludf.DUMMYFUNCTION("""COMPUTED_VALUE"""),"Kecamatan Parbuluan Dalam Angka 2022")</f>
        <v>Kecamatan Parbuluan Dalam Angka 2022</v>
      </c>
      <c r="C1118" s="13" t="str">
        <f>IFERROR(__xludf.DUMMYFUNCTION("""COMPUTED_VALUE"""),"Publikasi")</f>
        <v>Publikasi</v>
      </c>
      <c r="E1118" s="19"/>
      <c r="F1118" s="20"/>
    </row>
    <row r="1119">
      <c r="A1119" s="13" t="str">
        <f>IFERROR(__xludf.DUMMYFUNCTION("""COMPUTED_VALUE"""),"suryaninaibaho25@gmail:com")</f>
        <v>suryaninaibaho25@gmail:com</v>
      </c>
      <c r="B1119" s="13" t="str">
        <f>IFERROR(__xludf.DUMMYFUNCTION("""COMPUTED_VALUE"""),"Kecamatan Sitinjo Dalam Angka 2021")</f>
        <v>Kecamatan Sitinjo Dalam Angka 2021</v>
      </c>
      <c r="C1119" s="13" t="str">
        <f>IFERROR(__xludf.DUMMYFUNCTION("""COMPUTED_VALUE"""),"Publikasi")</f>
        <v>Publikasi</v>
      </c>
      <c r="E1119" s="19"/>
      <c r="F1119" s="20"/>
    </row>
    <row r="1120">
      <c r="A1120" s="13" t="str">
        <f>IFERROR(__xludf.DUMMYFUNCTION("""COMPUTED_VALUE"""),"suryaninaibaho25@gmail:com")</f>
        <v>suryaninaibaho25@gmail:com</v>
      </c>
      <c r="B1120" s="13" t="str">
        <f>IFERROR(__xludf.DUMMYFUNCTION("""COMPUTED_VALUE"""),"Kecamatan Sitinjo Dalam Angka 2022")</f>
        <v>Kecamatan Sitinjo Dalam Angka 2022</v>
      </c>
      <c r="C1120" s="13" t="str">
        <f>IFERROR(__xludf.DUMMYFUNCTION("""COMPUTED_VALUE"""),"Publikasi")</f>
        <v>Publikasi</v>
      </c>
      <c r="E1120" s="19"/>
      <c r="F1120" s="20"/>
    </row>
    <row r="1121">
      <c r="A1121" s="13" t="str">
        <f>IFERROR(__xludf.DUMMYFUNCTION("""COMPUTED_VALUE"""),"syafrilabs@gmail:com")</f>
        <v>syafrilabs@gmail:com</v>
      </c>
      <c r="B1121" s="13" t="str">
        <f>IFERROR(__xludf.DUMMYFUNCTION("""COMPUTED_VALUE"""),"Kabupaten Dairi Dalam Angka 2022")</f>
        <v>Kabupaten Dairi Dalam Angka 2022</v>
      </c>
      <c r="C1121" s="13" t="str">
        <f>IFERROR(__xludf.DUMMYFUNCTION("""COMPUTED_VALUE"""),"Publikasi")</f>
        <v>Publikasi</v>
      </c>
      <c r="E1121" s="19"/>
      <c r="F1121" s="20"/>
    </row>
    <row r="1122">
      <c r="A1122" s="13" t="str">
        <f>IFERROR(__xludf.DUMMYFUNCTION("""COMPUTED_VALUE"""),"Tabithahutabarar24@gmail:com")</f>
        <v>Tabithahutabarar24@gmail:com</v>
      </c>
      <c r="B1122" s="13" t="str">
        <f>IFERROR(__xludf.DUMMYFUNCTION("""COMPUTED_VALUE"""),"Kabupaten Dairi Dalam Angka 2024")</f>
        <v>Kabupaten Dairi Dalam Angka 2024</v>
      </c>
      <c r="C1122" s="13" t="str">
        <f>IFERROR(__xludf.DUMMYFUNCTION("""COMPUTED_VALUE"""),"Publikasi")</f>
        <v>Publikasi</v>
      </c>
      <c r="E1122" s="19"/>
      <c r="F1122" s="20"/>
    </row>
    <row r="1123">
      <c r="A1123" s="13" t="str">
        <f>IFERROR(__xludf.DUMMYFUNCTION("""COMPUTED_VALUE"""),"tapanuliutara:sitinjo@amartha:com")</f>
        <v>tapanuliutara:sitinjo@amartha:com</v>
      </c>
      <c r="B1123" s="13" t="str">
        <f>IFERROR(__xludf.DUMMYFUNCTION("""COMPUTED_VALUE"""),"Kecamatan Parbuluan Dalam Angka 2016")</f>
        <v>Kecamatan Parbuluan Dalam Angka 2016</v>
      </c>
      <c r="C1123" s="13" t="str">
        <f>IFERROR(__xludf.DUMMYFUNCTION("""COMPUTED_VALUE"""),"Publikasi")</f>
        <v>Publikasi</v>
      </c>
      <c r="E1123" s="19"/>
      <c r="F1123" s="20"/>
    </row>
    <row r="1124">
      <c r="A1124" s="13" t="str">
        <f>IFERROR(__xludf.DUMMYFUNCTION("""COMPUTED_VALUE"""),"tapanuliutara:sitinjo@amartha:com")</f>
        <v>tapanuliutara:sitinjo@amartha:com</v>
      </c>
      <c r="B1124" s="13" t="str">
        <f>IFERROR(__xludf.DUMMYFUNCTION("""COMPUTED_VALUE"""),"Kecamatan Pegagan Hilir Dalam Angka 2021")</f>
        <v>Kecamatan Pegagan Hilir Dalam Angka 2021</v>
      </c>
      <c r="C1124" s="13" t="str">
        <f>IFERROR(__xludf.DUMMYFUNCTION("""COMPUTED_VALUE"""),"Publikasi")</f>
        <v>Publikasi</v>
      </c>
      <c r="E1124" s="19"/>
      <c r="F1124" s="20"/>
    </row>
    <row r="1125">
      <c r="A1125" s="13" t="str">
        <f>IFERROR(__xludf.DUMMYFUNCTION("""COMPUTED_VALUE"""),"tapanuliutara:sitinjo@amartha:com")</f>
        <v>tapanuliutara:sitinjo@amartha:com</v>
      </c>
      <c r="B1125" s="13" t="str">
        <f>IFERROR(__xludf.DUMMYFUNCTION("""COMPUTED_VALUE"""),"Kecamatan Sitinjo Dalam Angka 2016")</f>
        <v>Kecamatan Sitinjo Dalam Angka 2016</v>
      </c>
      <c r="C1125" s="13" t="str">
        <f>IFERROR(__xludf.DUMMYFUNCTION("""COMPUTED_VALUE"""),"Publikasi")</f>
        <v>Publikasi</v>
      </c>
      <c r="E1125" s="19"/>
      <c r="F1125" s="20"/>
    </row>
    <row r="1126">
      <c r="A1126" s="13" t="str">
        <f>IFERROR(__xludf.DUMMYFUNCTION("""COMPUTED_VALUE"""),"tapanuliutara:sitinjo@amartha:com")</f>
        <v>tapanuliutara:sitinjo@amartha:com</v>
      </c>
      <c r="B1126" s="13" t="str">
        <f>IFERROR(__xludf.DUMMYFUNCTION("""COMPUTED_VALUE"""),"Kecamatan Sitinjo Dalam Angka 2019")</f>
        <v>Kecamatan Sitinjo Dalam Angka 2019</v>
      </c>
      <c r="C1126" s="13" t="str">
        <f>IFERROR(__xludf.DUMMYFUNCTION("""COMPUTED_VALUE"""),"Publikasi")</f>
        <v>Publikasi</v>
      </c>
      <c r="E1126" s="19"/>
      <c r="F1126" s="20"/>
    </row>
    <row r="1127">
      <c r="A1127" s="13" t="str">
        <f>IFERROR(__xludf.DUMMYFUNCTION("""COMPUTED_VALUE"""),"tapanuliutara:sitinjo@amartha:com")</f>
        <v>tapanuliutara:sitinjo@amartha:com</v>
      </c>
      <c r="B1127" s="13" t="str">
        <f>IFERROR(__xludf.DUMMYFUNCTION("""COMPUTED_VALUE"""),"Kecamatan Sumbul Dalam Angka 2016")</f>
        <v>Kecamatan Sumbul Dalam Angka 2016</v>
      </c>
      <c r="C1127" s="13" t="str">
        <f>IFERROR(__xludf.DUMMYFUNCTION("""COMPUTED_VALUE"""),"Publikasi")</f>
        <v>Publikasi</v>
      </c>
      <c r="E1127" s="19"/>
      <c r="F1127" s="20"/>
    </row>
    <row r="1128">
      <c r="A1128" s="13" t="str">
        <f>IFERROR(__xludf.DUMMYFUNCTION("""COMPUTED_VALUE"""),"tatimalau153@gmail:com")</f>
        <v>tatimalau153@gmail:com</v>
      </c>
      <c r="B1128" s="13" t="str">
        <f>IFERROR(__xludf.DUMMYFUNCTION("""COMPUTED_VALUE"""),"Kecamatan Sidikalang Dalam Angka 2022")</f>
        <v>Kecamatan Sidikalang Dalam Angka 2022</v>
      </c>
      <c r="C1128" s="13" t="str">
        <f>IFERROR(__xludf.DUMMYFUNCTION("""COMPUTED_VALUE"""),"Publikasi")</f>
        <v>Publikasi</v>
      </c>
      <c r="E1128" s="19"/>
      <c r="F1128" s="20"/>
    </row>
    <row r="1129">
      <c r="A1129" s="13" t="str">
        <f>IFERROR(__xludf.DUMMYFUNCTION("""COMPUTED_VALUE"""),"taufiq@gmail:com")</f>
        <v>taufiq@gmail:com</v>
      </c>
      <c r="B1129" s="13" t="str">
        <f>IFERROR(__xludf.DUMMYFUNCTION("""COMPUTED_VALUE"""),"Kabupaten Dairi Dalam Angka 2015")</f>
        <v>Kabupaten Dairi Dalam Angka 2015</v>
      </c>
      <c r="C1129" s="13" t="str">
        <f>IFERROR(__xludf.DUMMYFUNCTION("""COMPUTED_VALUE"""),"Publikasi")</f>
        <v>Publikasi</v>
      </c>
      <c r="E1129" s="19"/>
      <c r="F1129" s="20"/>
    </row>
    <row r="1130">
      <c r="A1130" s="13" t="str">
        <f>IFERROR(__xludf.DUMMYFUNCTION("""COMPUTED_VALUE"""),"taufiq@gmail:com")</f>
        <v>taufiq@gmail:com</v>
      </c>
      <c r="B1130" s="13" t="str">
        <f>IFERROR(__xludf.DUMMYFUNCTION("""COMPUTED_VALUE"""),"Kabupaten Dairi Dalam Angka 2017")</f>
        <v>Kabupaten Dairi Dalam Angka 2017</v>
      </c>
      <c r="C1130" s="13" t="str">
        <f>IFERROR(__xludf.DUMMYFUNCTION("""COMPUTED_VALUE"""),"Publikasi")</f>
        <v>Publikasi</v>
      </c>
      <c r="E1130" s="19"/>
      <c r="F1130" s="20"/>
    </row>
    <row r="1131">
      <c r="A1131" s="13" t="str">
        <f>IFERROR(__xludf.DUMMYFUNCTION("""COMPUTED_VALUE"""),"tegguhpratama4@gmail:com")</f>
        <v>tegguhpratama4@gmail:com</v>
      </c>
      <c r="B1131" s="13" t="str">
        <f>IFERROR(__xludf.DUMMYFUNCTION("""COMPUTED_VALUE"""),"Kabupaten Dairi Dalam Angka 2019")</f>
        <v>Kabupaten Dairi Dalam Angka 2019</v>
      </c>
      <c r="C1131" s="13" t="str">
        <f>IFERROR(__xludf.DUMMYFUNCTION("""COMPUTED_VALUE"""),"Publikasi")</f>
        <v>Publikasi</v>
      </c>
      <c r="E1131" s="19"/>
      <c r="F1131" s="20"/>
    </row>
    <row r="1132">
      <c r="A1132" s="13" t="str">
        <f>IFERROR(__xludf.DUMMYFUNCTION("""COMPUTED_VALUE"""),"tegguhpratama4@gmail:com")</f>
        <v>tegguhpratama4@gmail:com</v>
      </c>
      <c r="B1132" s="13" t="str">
        <f>IFERROR(__xludf.DUMMYFUNCTION("""COMPUTED_VALUE"""),"Kabupaten Dairi Dalam Angka 2020")</f>
        <v>Kabupaten Dairi Dalam Angka 2020</v>
      </c>
      <c r="C1132" s="13" t="str">
        <f>IFERROR(__xludf.DUMMYFUNCTION("""COMPUTED_VALUE"""),"Publikasi")</f>
        <v>Publikasi</v>
      </c>
      <c r="E1132" s="19"/>
      <c r="F1132" s="20"/>
    </row>
    <row r="1133">
      <c r="A1133" s="13" t="str">
        <f>IFERROR(__xludf.DUMMYFUNCTION("""COMPUTED_VALUE"""),"tegguhpratama4@gmail:com")</f>
        <v>tegguhpratama4@gmail:com</v>
      </c>
      <c r="B1133" s="13" t="str">
        <f>IFERROR(__xludf.DUMMYFUNCTION("""COMPUTED_VALUE"""),"Kabupaten Dairi Dalam Angka 2021")</f>
        <v>Kabupaten Dairi Dalam Angka 2021</v>
      </c>
      <c r="C1133" s="13" t="str">
        <f>IFERROR(__xludf.DUMMYFUNCTION("""COMPUTED_VALUE"""),"Publikasi")</f>
        <v>Publikasi</v>
      </c>
      <c r="E1133" s="19"/>
      <c r="F1133" s="20"/>
    </row>
    <row r="1134">
      <c r="A1134" s="13" t="str">
        <f>IFERROR(__xludf.DUMMYFUNCTION("""COMPUTED_VALUE"""),"tegguhpratama4@gmail:com")</f>
        <v>tegguhpratama4@gmail:com</v>
      </c>
      <c r="B1134" s="13" t="str">
        <f>IFERROR(__xludf.DUMMYFUNCTION("""COMPUTED_VALUE"""),"Kabupaten Dairi Dalam Angka 2022")</f>
        <v>Kabupaten Dairi Dalam Angka 2022</v>
      </c>
      <c r="C1134" s="13" t="str">
        <f>IFERROR(__xludf.DUMMYFUNCTION("""COMPUTED_VALUE"""),"Publikasi")</f>
        <v>Publikasi</v>
      </c>
      <c r="E1134" s="19"/>
      <c r="F1134" s="20"/>
    </row>
    <row r="1135">
      <c r="A1135" s="13" t="str">
        <f>IFERROR(__xludf.DUMMYFUNCTION("""COMPUTED_VALUE"""),"tegguhpratama4@gmail:com")</f>
        <v>tegguhpratama4@gmail:com</v>
      </c>
      <c r="B1135" s="13" t="str">
        <f>IFERROR(__xludf.DUMMYFUNCTION("""COMPUTED_VALUE"""),"Kabupaten Dairi Dalam Angka 2024")</f>
        <v>Kabupaten Dairi Dalam Angka 2024</v>
      </c>
      <c r="C1135" s="13" t="str">
        <f>IFERROR(__xludf.DUMMYFUNCTION("""COMPUTED_VALUE"""),"Publikasi")</f>
        <v>Publikasi</v>
      </c>
      <c r="E1135" s="19"/>
      <c r="F1135" s="20"/>
    </row>
    <row r="1136">
      <c r="A1136" s="13" t="str">
        <f>IFERROR(__xludf.DUMMYFUNCTION("""COMPUTED_VALUE"""),"tengkuakbar6@gmail:com")</f>
        <v>tengkuakbar6@gmail:com</v>
      </c>
      <c r="B1136" s="13" t="str">
        <f>IFERROR(__xludf.DUMMYFUNCTION("""COMPUTED_VALUE"""),"Statistik Daerah Kabupaten Dairi 2021")</f>
        <v>Statistik Daerah Kabupaten Dairi 2021</v>
      </c>
      <c r="C1136" s="13" t="str">
        <f>IFERROR(__xludf.DUMMYFUNCTION("""COMPUTED_VALUE"""),"Publikasi")</f>
        <v>Publikasi</v>
      </c>
      <c r="E1136" s="19"/>
      <c r="F1136" s="20"/>
    </row>
    <row r="1137">
      <c r="A1137" s="13" t="str">
        <f>IFERROR(__xludf.DUMMYFUNCTION("""COMPUTED_VALUE"""),"tengkuakbar6@gmail:com")</f>
        <v>tengkuakbar6@gmail:com</v>
      </c>
      <c r="B1137" s="13" t="str">
        <f>IFERROR(__xludf.DUMMYFUNCTION("""COMPUTED_VALUE"""),"Statistik Hortikultura Kabupaten Dairi Tahun 2021")</f>
        <v>Statistik Hortikultura Kabupaten Dairi Tahun 2021</v>
      </c>
      <c r="C1137" s="13" t="str">
        <f>IFERROR(__xludf.DUMMYFUNCTION("""COMPUTED_VALUE"""),"Publikasi")</f>
        <v>Publikasi</v>
      </c>
      <c r="E1137" s="19"/>
      <c r="F1137" s="20"/>
    </row>
    <row r="1138">
      <c r="A1138" s="13" t="str">
        <f>IFERROR(__xludf.DUMMYFUNCTION("""COMPUTED_VALUE"""),"teriyaniyulas@gmail:com")</f>
        <v>teriyaniyulas@gmail:com</v>
      </c>
      <c r="B1138" s="13" t="str">
        <f>IFERROR(__xludf.DUMMYFUNCTION("""COMPUTED_VALUE"""),"Kabupaten Dairi Dalam Angka 2018")</f>
        <v>Kabupaten Dairi Dalam Angka 2018</v>
      </c>
      <c r="C1138" s="13" t="str">
        <f>IFERROR(__xludf.DUMMYFUNCTION("""COMPUTED_VALUE"""),"Publikasi")</f>
        <v>Publikasi</v>
      </c>
      <c r="E1138" s="19"/>
      <c r="F1138" s="20"/>
    </row>
    <row r="1139">
      <c r="A1139" s="13" t="str">
        <f>IFERROR(__xludf.DUMMYFUNCTION("""COMPUTED_VALUE"""),"tes@gmail:com")</f>
        <v>tes@gmail:com</v>
      </c>
      <c r="B1139" s="13" t="str">
        <f>IFERROR(__xludf.DUMMYFUNCTION("""COMPUTED_VALUE"""),"Profil Kependudukan dan Ketenagakerjaan Kabupaten Dairi 2022")</f>
        <v>Profil Kependudukan dan Ketenagakerjaan Kabupaten Dairi 2022</v>
      </c>
      <c r="C1139" s="13" t="str">
        <f>IFERROR(__xludf.DUMMYFUNCTION("""COMPUTED_VALUE"""),"Publikasi")</f>
        <v>Publikasi</v>
      </c>
      <c r="E1139" s="19"/>
      <c r="F1139" s="20"/>
    </row>
    <row r="1140">
      <c r="A1140" s="13" t="str">
        <f>IFERROR(__xludf.DUMMYFUNCTION("""COMPUTED_VALUE"""),"tetty71situmorang@gmail:com")</f>
        <v>tetty71situmorang@gmail:com</v>
      </c>
      <c r="B1140" s="13" t="str">
        <f>IFERROR(__xludf.DUMMYFUNCTION("""COMPUTED_VALUE"""),"Produk Domestik Regional Bruto Kabupaten Dairi Menurut Lapangan Usaha 2014 - 2018")</f>
        <v>Produk Domestik Regional Bruto Kabupaten Dairi Menurut Lapangan Usaha 2014 - 2018</v>
      </c>
      <c r="C1140" s="13" t="str">
        <f>IFERROR(__xludf.DUMMYFUNCTION("""COMPUTED_VALUE"""),"Publikasi")</f>
        <v>Publikasi</v>
      </c>
      <c r="E1140" s="19"/>
      <c r="F1140" s="20"/>
    </row>
    <row r="1141">
      <c r="A1141" s="13" t="str">
        <f>IFERROR(__xludf.DUMMYFUNCTION("""COMPUTED_VALUE"""),"tettysaorma2024@gmail:com")</f>
        <v>tettysaorma2024@gmail:com</v>
      </c>
      <c r="B1141" s="13" t="str">
        <f>IFERROR(__xludf.DUMMYFUNCTION("""COMPUTED_VALUE"""),"Kecamatan Silima Pungga-Pungga Dalam Angka 2024")</f>
        <v>Kecamatan Silima Pungga-Pungga Dalam Angka 2024</v>
      </c>
      <c r="C1141" s="13" t="str">
        <f>IFERROR(__xludf.DUMMYFUNCTION("""COMPUTED_VALUE"""),"Publikasi")</f>
        <v>Publikasi</v>
      </c>
      <c r="E1141" s="19"/>
      <c r="F1141" s="20"/>
    </row>
    <row r="1142">
      <c r="A1142" s="13" t="str">
        <f>IFERROR(__xludf.DUMMYFUNCTION("""COMPUTED_VALUE"""),"tettysaorma@bps:go:id")</f>
        <v>tettysaorma@bps:go:id</v>
      </c>
      <c r="B1142" s="13" t="str">
        <f>IFERROR(__xludf.DUMMYFUNCTION("""COMPUTED_VALUE"""),"Kecamatan Silima Pungga-Pungga Dalam Angka 2024")</f>
        <v>Kecamatan Silima Pungga-Pungga Dalam Angka 2024</v>
      </c>
      <c r="C1142" s="13" t="str">
        <f>IFERROR(__xludf.DUMMYFUNCTION("""COMPUTED_VALUE"""),"Publikasi")</f>
        <v>Publikasi</v>
      </c>
      <c r="E1142" s="19"/>
      <c r="F1142" s="20"/>
    </row>
    <row r="1143">
      <c r="A1143" s="13" t="str">
        <f>IFERROR(__xludf.DUMMYFUNCTION("""COMPUTED_VALUE"""),"thinking24@ymail:com")</f>
        <v>thinking24@ymail:com</v>
      </c>
      <c r="B1143" s="13" t="str">
        <f>IFERROR(__xludf.DUMMYFUNCTION("""COMPUTED_VALUE"""),"Buklet Hasil Pencacahan Lengkap Sensus Pertanian 2024 - Tahap I Kabupaten Dairi")</f>
        <v>Buklet Hasil Pencacahan Lengkap Sensus Pertanian 2024 - Tahap I Kabupaten Dairi</v>
      </c>
      <c r="C1143" s="13" t="str">
        <f>IFERROR(__xludf.DUMMYFUNCTION("""COMPUTED_VALUE"""),"Publikasi")</f>
        <v>Publikasi</v>
      </c>
      <c r="E1143" s="19"/>
      <c r="F1143" s="20"/>
    </row>
    <row r="1144">
      <c r="A1144" s="13" t="str">
        <f>IFERROR(__xludf.DUMMYFUNCTION("""COMPUTED_VALUE"""),"thiomchi@yahoo:co:id")</f>
        <v>thiomchi@yahoo:co:id</v>
      </c>
      <c r="B1144" s="13" t="str">
        <f>IFERROR(__xludf.DUMMYFUNCTION("""COMPUTED_VALUE"""),"Kabupaten Dairi Dalam Angka 2021")</f>
        <v>Kabupaten Dairi Dalam Angka 2021</v>
      </c>
      <c r="C1144" s="13" t="str">
        <f>IFERROR(__xludf.DUMMYFUNCTION("""COMPUTED_VALUE"""),"Publikasi")</f>
        <v>Publikasi</v>
      </c>
      <c r="E1144" s="19"/>
      <c r="F1144" s="20"/>
    </row>
    <row r="1145">
      <c r="A1145" s="13" t="str">
        <f>IFERROR(__xludf.DUMMYFUNCTION("""COMPUTED_VALUE"""),"thiomchi@yahoo:co:id")</f>
        <v>thiomchi@yahoo:co:id</v>
      </c>
      <c r="B1145" s="13" t="str">
        <f>IFERROR(__xludf.DUMMYFUNCTION("""COMPUTED_VALUE"""),"Kabupaten Dairi Dalam Angka 2022")</f>
        <v>Kabupaten Dairi Dalam Angka 2022</v>
      </c>
      <c r="C1145" s="13" t="str">
        <f>IFERROR(__xludf.DUMMYFUNCTION("""COMPUTED_VALUE"""),"Publikasi")</f>
        <v>Publikasi</v>
      </c>
      <c r="E1145" s="19"/>
      <c r="F1145" s="20"/>
    </row>
    <row r="1146">
      <c r="A1146" s="13" t="str">
        <f>IFERROR(__xludf.DUMMYFUNCTION("""COMPUTED_VALUE"""),"tiar123malau@gmail:com")</f>
        <v>tiar123malau@gmail:com</v>
      </c>
      <c r="B1146" s="13" t="str">
        <f>IFERROR(__xludf.DUMMYFUNCTION("""COMPUTED_VALUE"""),"Analisis Hasil Survei Kebutuhan Data BPS Kabupaten Dairi 2024")</f>
        <v>Analisis Hasil Survei Kebutuhan Data BPS Kabupaten Dairi 2024</v>
      </c>
      <c r="C1146" s="13" t="str">
        <f>IFERROR(__xludf.DUMMYFUNCTION("""COMPUTED_VALUE"""),"Publikasi")</f>
        <v>Publikasi</v>
      </c>
      <c r="E1146" s="19"/>
      <c r="F1146" s="20"/>
    </row>
    <row r="1147">
      <c r="A1147" s="13" t="str">
        <f>IFERROR(__xludf.DUMMYFUNCTION("""COMPUTED_VALUE"""),"tiar123malau@gmail:com")</f>
        <v>tiar123malau@gmail:com</v>
      </c>
      <c r="B1147" s="13" t="str">
        <f>IFERROR(__xludf.DUMMYFUNCTION("""COMPUTED_VALUE"""),"Indeks Pembangunan Manusia Kabupaten Dairi 2024")</f>
        <v>Indeks Pembangunan Manusia Kabupaten Dairi 2024</v>
      </c>
      <c r="C1147" s="13" t="str">
        <f>IFERROR(__xludf.DUMMYFUNCTION("""COMPUTED_VALUE"""),"Publikasi")</f>
        <v>Publikasi</v>
      </c>
      <c r="E1147" s="19"/>
      <c r="F1147" s="20"/>
    </row>
    <row r="1148">
      <c r="A1148" s="13" t="str">
        <f>IFERROR(__xludf.DUMMYFUNCTION("""COMPUTED_VALUE"""),"tiar123malau@gmail:com")</f>
        <v>tiar123malau@gmail:com</v>
      </c>
      <c r="B1148" s="13" t="str">
        <f>IFERROR(__xludf.DUMMYFUNCTION("""COMPUTED_VALUE"""),"Kabupaten Dairi Dalam Angka 2024")</f>
        <v>Kabupaten Dairi Dalam Angka 2024</v>
      </c>
      <c r="C1148" s="13" t="str">
        <f>IFERROR(__xludf.DUMMYFUNCTION("""COMPUTED_VALUE"""),"Publikasi")</f>
        <v>Publikasi</v>
      </c>
      <c r="E1148" s="19"/>
      <c r="F1148" s="20"/>
    </row>
    <row r="1149">
      <c r="A1149" s="13" t="str">
        <f>IFERROR(__xludf.DUMMYFUNCTION("""COMPUTED_VALUE"""),"tigohmursa@gmail:com")</f>
        <v>tigohmursa@gmail:com</v>
      </c>
      <c r="B1149" s="13" t="str">
        <f>IFERROR(__xludf.DUMMYFUNCTION("""COMPUTED_VALUE"""),"Kabupaten Dairi Dalam Angka 2024")</f>
        <v>Kabupaten Dairi Dalam Angka 2024</v>
      </c>
      <c r="C1149" s="13" t="str">
        <f>IFERROR(__xludf.DUMMYFUNCTION("""COMPUTED_VALUE"""),"Publikasi")</f>
        <v>Publikasi</v>
      </c>
      <c r="E1149" s="19"/>
      <c r="F1149" s="20"/>
    </row>
    <row r="1150">
      <c r="A1150" s="13" t="str">
        <f>IFERROR(__xludf.DUMMYFUNCTION("""COMPUTED_VALUE"""),"tigohmursa@gmail:com")</f>
        <v>tigohmursa@gmail:com</v>
      </c>
      <c r="B1150" s="13" t="str">
        <f>IFERROR(__xludf.DUMMYFUNCTION("""COMPUTED_VALUE"""),"Kecamatan Sidikalang Dalam Angka 2024")</f>
        <v>Kecamatan Sidikalang Dalam Angka 2024</v>
      </c>
      <c r="C1150" s="13" t="str">
        <f>IFERROR(__xludf.DUMMYFUNCTION("""COMPUTED_VALUE"""),"Publikasi")</f>
        <v>Publikasi</v>
      </c>
      <c r="E1150" s="19"/>
      <c r="F1150" s="20"/>
    </row>
    <row r="1151">
      <c r="A1151" s="13" t="str">
        <f>IFERROR(__xludf.DUMMYFUNCTION("""COMPUTED_VALUE"""),"timaelman@gmail:com")</f>
        <v>timaelman@gmail:com</v>
      </c>
      <c r="B1151" s="13" t="str">
        <f>IFERROR(__xludf.DUMMYFUNCTION("""COMPUTED_VALUE"""),"Kabupaten Dairi Dalam Angka 2024")</f>
        <v>Kabupaten Dairi Dalam Angka 2024</v>
      </c>
      <c r="C1151" s="13" t="str">
        <f>IFERROR(__xludf.DUMMYFUNCTION("""COMPUTED_VALUE"""),"Publikasi")</f>
        <v>Publikasi</v>
      </c>
      <c r="E1151" s="19"/>
      <c r="F1151" s="20"/>
    </row>
    <row r="1152">
      <c r="A1152" s="13" t="str">
        <f>IFERROR(__xludf.DUMMYFUNCTION("""COMPUTED_VALUE"""),"tinendungjaya@gmail:com")</f>
        <v>tinendungjaya@gmail:com</v>
      </c>
      <c r="B1152" s="13" t="str">
        <f>IFERROR(__xludf.DUMMYFUNCTION("""COMPUTED_VALUE"""),"Kabupaten Dairi Dalam Angka 2022")</f>
        <v>Kabupaten Dairi Dalam Angka 2022</v>
      </c>
      <c r="C1152" s="13" t="str">
        <f>IFERROR(__xludf.DUMMYFUNCTION("""COMPUTED_VALUE"""),"Publikasi")</f>
        <v>Publikasi</v>
      </c>
      <c r="E1152" s="19"/>
      <c r="F1152" s="20"/>
    </row>
    <row r="1153">
      <c r="A1153" s="13" t="str">
        <f>IFERROR(__xludf.DUMMYFUNCTION("""COMPUTED_VALUE"""),"tiranlestariagroforestry@gmail:com")</f>
        <v>tiranlestariagroforestry@gmail:com</v>
      </c>
      <c r="B1153" s="13" t="str">
        <f>IFERROR(__xludf.DUMMYFUNCTION("""COMPUTED_VALUE"""),"Kecamatan Sumbul Dalam Angka 2024")</f>
        <v>Kecamatan Sumbul Dalam Angka 2024</v>
      </c>
      <c r="C1153" s="13" t="str">
        <f>IFERROR(__xludf.DUMMYFUNCTION("""COMPUTED_VALUE"""),"Publikasi")</f>
        <v>Publikasi</v>
      </c>
      <c r="E1153" s="19"/>
      <c r="F1153" s="20"/>
    </row>
    <row r="1154">
      <c r="A1154" s="13" t="str">
        <f>IFERROR(__xludf.DUMMYFUNCTION("""COMPUTED_VALUE"""),"titosiagian2@gmail:com")</f>
        <v>titosiagian2@gmail:com</v>
      </c>
      <c r="B1154" s="13" t="str">
        <f>IFERROR(__xludf.DUMMYFUNCTION("""COMPUTED_VALUE"""),"Kabupaten Dairi Dalam Angka 2024")</f>
        <v>Kabupaten Dairi Dalam Angka 2024</v>
      </c>
      <c r="C1154" s="13" t="str">
        <f>IFERROR(__xludf.DUMMYFUNCTION("""COMPUTED_VALUE"""),"Publikasi")</f>
        <v>Publikasi</v>
      </c>
      <c r="E1154" s="19"/>
      <c r="F1154" s="20"/>
    </row>
    <row r="1155">
      <c r="A1155" s="13" t="str">
        <f>IFERROR(__xludf.DUMMYFUNCTION("""COMPUTED_VALUE"""),"titosiagian2@gmail:com")</f>
        <v>titosiagian2@gmail:com</v>
      </c>
      <c r="B1155" s="13" t="str">
        <f>IFERROR(__xludf.DUMMYFUNCTION("""COMPUTED_VALUE"""),"Statistik Kesejahteraan Rakyat Kabupaten Dairi 2024")</f>
        <v>Statistik Kesejahteraan Rakyat Kabupaten Dairi 2024</v>
      </c>
      <c r="C1155" s="13" t="str">
        <f>IFERROR(__xludf.DUMMYFUNCTION("""COMPUTED_VALUE"""),"Publikasi")</f>
        <v>Publikasi</v>
      </c>
      <c r="E1155" s="19"/>
      <c r="F1155" s="20"/>
    </row>
    <row r="1156">
      <c r="A1156" s="13" t="str">
        <f>IFERROR(__xludf.DUMMYFUNCTION("""COMPUTED_VALUE"""),"tobingmurniati@gmail:com")</f>
        <v>tobingmurniati@gmail:com</v>
      </c>
      <c r="B1156" s="13" t="str">
        <f>IFERROR(__xludf.DUMMYFUNCTION("""COMPUTED_VALUE"""),"Kabupaten Dairi Dalam Angka 2024")</f>
        <v>Kabupaten Dairi Dalam Angka 2024</v>
      </c>
      <c r="C1156" s="13" t="str">
        <f>IFERROR(__xludf.DUMMYFUNCTION("""COMPUTED_VALUE"""),"Publikasi")</f>
        <v>Publikasi</v>
      </c>
      <c r="E1156" s="19"/>
      <c r="F1156" s="20"/>
    </row>
    <row r="1157">
      <c r="A1157" s="13" t="str">
        <f>IFERROR(__xludf.DUMMYFUNCTION("""COMPUTED_VALUE"""),"tomi:situmorang@gmail:com")</f>
        <v>tomi:situmorang@gmail:com</v>
      </c>
      <c r="B1157" s="13" t="str">
        <f>IFERROR(__xludf.DUMMYFUNCTION("""COMPUTED_VALUE"""),"Kabupaten Dairi Dalam Angka 2022")</f>
        <v>Kabupaten Dairi Dalam Angka 2022</v>
      </c>
      <c r="C1157" s="13" t="str">
        <f>IFERROR(__xludf.DUMMYFUNCTION("""COMPUTED_VALUE"""),"Publikasi")</f>
        <v>Publikasi</v>
      </c>
      <c r="E1157" s="19"/>
      <c r="F1157" s="20"/>
    </row>
    <row r="1158">
      <c r="A1158" s="13" t="str">
        <f>IFERROR(__xludf.DUMMYFUNCTION("""COMPUTED_VALUE"""),"tomi:situmorang@gmail:com")</f>
        <v>tomi:situmorang@gmail:com</v>
      </c>
      <c r="B1158" s="13" t="str">
        <f>IFERROR(__xludf.DUMMYFUNCTION("""COMPUTED_VALUE"""),"Kabupaten Dairi Dalam Angka 2024")</f>
        <v>Kabupaten Dairi Dalam Angka 2024</v>
      </c>
      <c r="C1158" s="13" t="str">
        <f>IFERROR(__xludf.DUMMYFUNCTION("""COMPUTED_VALUE"""),"Publikasi")</f>
        <v>Publikasi</v>
      </c>
      <c r="E1158" s="19"/>
      <c r="F1158" s="20"/>
    </row>
    <row r="1159">
      <c r="A1159" s="13" t="str">
        <f>IFERROR(__xludf.DUMMYFUNCTION("""COMPUTED_VALUE"""),"toom766hi@gmail:com")</f>
        <v>toom766hi@gmail:com</v>
      </c>
      <c r="B1159" s="13" t="str">
        <f>IFERROR(__xludf.DUMMYFUNCTION("""COMPUTED_VALUE"""),"Kecamatan Tiga Lingga Dalam Angka 2024")</f>
        <v>Kecamatan Tiga Lingga Dalam Angka 2024</v>
      </c>
      <c r="C1159" s="13" t="str">
        <f>IFERROR(__xludf.DUMMYFUNCTION("""COMPUTED_VALUE"""),"Publikasi")</f>
        <v>Publikasi</v>
      </c>
      <c r="E1159" s="19"/>
      <c r="F1159" s="20"/>
    </row>
    <row r="1160">
      <c r="A1160" s="13" t="str">
        <f>IFERROR(__xludf.DUMMYFUNCTION("""COMPUTED_VALUE"""),"trivaulfami1906@gmail:com")</f>
        <v>trivaulfami1906@gmail:com</v>
      </c>
      <c r="B1160" s="13" t="str">
        <f>IFERROR(__xludf.DUMMYFUNCTION("""COMPUTED_VALUE"""),"Kecamatan Sumbul Dalam Angka 2021")</f>
        <v>Kecamatan Sumbul Dalam Angka 2021</v>
      </c>
      <c r="C1160" s="13" t="str">
        <f>IFERROR(__xludf.DUMMYFUNCTION("""COMPUTED_VALUE"""),"Publikasi")</f>
        <v>Publikasi</v>
      </c>
      <c r="E1160" s="19"/>
      <c r="F1160" s="20"/>
    </row>
    <row r="1161">
      <c r="A1161" s="13" t="str">
        <f>IFERROR(__xludf.DUMMYFUNCTION("""COMPUTED_VALUE"""),"tsabina2701@gmail:com")</f>
        <v>tsabina2701@gmail:com</v>
      </c>
      <c r="B1161" s="13" t="str">
        <f>IFERROR(__xludf.DUMMYFUNCTION("""COMPUTED_VALUE"""),"Produk Domestik Regional Bruto Kabupaten Dairi Menurut Lapangan Usaha 2018 - 2022")</f>
        <v>Produk Domestik Regional Bruto Kabupaten Dairi Menurut Lapangan Usaha 2018 - 2022</v>
      </c>
      <c r="C1161" s="13" t="str">
        <f>IFERROR(__xludf.DUMMYFUNCTION("""COMPUTED_VALUE"""),"Publikasi")</f>
        <v>Publikasi</v>
      </c>
      <c r="E1161" s="19"/>
      <c r="F1161" s="20"/>
    </row>
    <row r="1162">
      <c r="A1162" s="13" t="str">
        <f>IFERROR(__xludf.DUMMYFUNCTION("""COMPUTED_VALUE"""),"turedopardede28@gmail:com")</f>
        <v>turedopardede28@gmail:com</v>
      </c>
      <c r="B1162" s="13" t="str">
        <f>IFERROR(__xludf.DUMMYFUNCTION("""COMPUTED_VALUE"""),"Kabupaten Dairi Dalam Angka 2022")</f>
        <v>Kabupaten Dairi Dalam Angka 2022</v>
      </c>
      <c r="C1162" s="13" t="str">
        <f>IFERROR(__xludf.DUMMYFUNCTION("""COMPUTED_VALUE"""),"Publikasi")</f>
        <v>Publikasi</v>
      </c>
      <c r="E1162" s="19"/>
      <c r="F1162" s="20"/>
    </row>
    <row r="1163">
      <c r="A1163" s="13" t="str">
        <f>IFERROR(__xludf.DUMMYFUNCTION("""COMPUTED_VALUE"""),"turedopardede28@gmail:com")</f>
        <v>turedopardede28@gmail:com</v>
      </c>
      <c r="B1163" s="13" t="str">
        <f>IFERROR(__xludf.DUMMYFUNCTION("""COMPUTED_VALUE"""),"Kabupaten Dairi Dalam Angka 2024")</f>
        <v>Kabupaten Dairi Dalam Angka 2024</v>
      </c>
      <c r="C1163" s="13" t="str">
        <f>IFERROR(__xludf.DUMMYFUNCTION("""COMPUTED_VALUE"""),"Publikasi")</f>
        <v>Publikasi</v>
      </c>
      <c r="E1163" s="19"/>
      <c r="F1163" s="20"/>
    </row>
    <row r="1164">
      <c r="A1164" s="13" t="str">
        <f>IFERROR(__xludf.DUMMYFUNCTION("""COMPUTED_VALUE"""),"ulinasembiring81@gmail:com")</f>
        <v>ulinasembiring81@gmail:com</v>
      </c>
      <c r="B1164" s="13" t="str">
        <f>IFERROR(__xludf.DUMMYFUNCTION("""COMPUTED_VALUE"""),"Indikator Kesejahteraan Rakyat Kabupaten Dairi Tahun 2024")</f>
        <v>Indikator Kesejahteraan Rakyat Kabupaten Dairi Tahun 2024</v>
      </c>
      <c r="C1164" s="13" t="str">
        <f>IFERROR(__xludf.DUMMYFUNCTION("""COMPUTED_VALUE"""),"Publikasi")</f>
        <v>Publikasi</v>
      </c>
      <c r="E1164" s="19"/>
      <c r="F1164" s="20"/>
    </row>
    <row r="1165">
      <c r="A1165" s="13" t="str">
        <f>IFERROR(__xludf.DUMMYFUNCTION("""COMPUTED_VALUE"""),"ulinasembiring81@gmail:com")</f>
        <v>ulinasembiring81@gmail:com</v>
      </c>
      <c r="B1165" s="13" t="str">
        <f>IFERROR(__xludf.DUMMYFUNCTION("""COMPUTED_VALUE"""),"Kabupaten Dairi Dalam Angka 2024")</f>
        <v>Kabupaten Dairi Dalam Angka 2024</v>
      </c>
      <c r="C1165" s="13" t="str">
        <f>IFERROR(__xludf.DUMMYFUNCTION("""COMPUTED_VALUE"""),"Publikasi")</f>
        <v>Publikasi</v>
      </c>
      <c r="E1165" s="19"/>
      <c r="F1165" s="20"/>
    </row>
    <row r="1166">
      <c r="A1166" s="13" t="str">
        <f>IFERROR(__xludf.DUMMYFUNCTION("""COMPUTED_VALUE"""),"ulinasembiring81@gmail:com")</f>
        <v>ulinasembiring81@gmail:com</v>
      </c>
      <c r="B1166" s="13" t="str">
        <f>IFERROR(__xludf.DUMMYFUNCTION("""COMPUTED_VALUE"""),"Tingkat Penghunian Kamar Akomodasi Dairi 2022")</f>
        <v>Tingkat Penghunian Kamar Akomodasi Dairi 2022</v>
      </c>
      <c r="C1166" s="13" t="str">
        <f>IFERROR(__xludf.DUMMYFUNCTION("""COMPUTED_VALUE"""),"Publikasi")</f>
        <v>Publikasi</v>
      </c>
      <c r="E1166" s="19"/>
      <c r="F1166" s="20"/>
    </row>
    <row r="1167">
      <c r="A1167" s="13" t="str">
        <f>IFERROR(__xludf.DUMMYFUNCTION("""COMPUTED_VALUE"""),"velixferli@gmail:com")</f>
        <v>velixferli@gmail:com</v>
      </c>
      <c r="B1167" s="13" t="str">
        <f>IFERROR(__xludf.DUMMYFUNCTION("""COMPUTED_VALUE"""),"Kabupaten Dairi Dalam Angka 2016")</f>
        <v>Kabupaten Dairi Dalam Angka 2016</v>
      </c>
      <c r="C1167" s="13" t="str">
        <f>IFERROR(__xludf.DUMMYFUNCTION("""COMPUTED_VALUE"""),"Publikasi")</f>
        <v>Publikasi</v>
      </c>
      <c r="E1167" s="19"/>
      <c r="F1167" s="20"/>
    </row>
    <row r="1168">
      <c r="A1168" s="13" t="str">
        <f>IFERROR(__xludf.DUMMYFUNCTION("""COMPUTED_VALUE"""),"velixferli@gmail:com")</f>
        <v>velixferli@gmail:com</v>
      </c>
      <c r="B1168" s="13" t="str">
        <f>IFERROR(__xludf.DUMMYFUNCTION("""COMPUTED_VALUE"""),"Kabupaten Dairi Dalam Angka 2017")</f>
        <v>Kabupaten Dairi Dalam Angka 2017</v>
      </c>
      <c r="C1168" s="13" t="str">
        <f>IFERROR(__xludf.DUMMYFUNCTION("""COMPUTED_VALUE"""),"Publikasi")</f>
        <v>Publikasi</v>
      </c>
      <c r="E1168" s="19"/>
      <c r="F1168" s="20"/>
    </row>
    <row r="1169">
      <c r="A1169" s="13" t="str">
        <f>IFERROR(__xludf.DUMMYFUNCTION("""COMPUTED_VALUE"""),"velixferli@gmail:com")</f>
        <v>velixferli@gmail:com</v>
      </c>
      <c r="B1169" s="13" t="str">
        <f>IFERROR(__xludf.DUMMYFUNCTION("""COMPUTED_VALUE"""),"Kabupaten Dairi Dalam Angka 2018")</f>
        <v>Kabupaten Dairi Dalam Angka 2018</v>
      </c>
      <c r="C1169" s="13" t="str">
        <f>IFERROR(__xludf.DUMMYFUNCTION("""COMPUTED_VALUE"""),"Publikasi")</f>
        <v>Publikasi</v>
      </c>
      <c r="E1169" s="19"/>
      <c r="F1169" s="20"/>
    </row>
    <row r="1170">
      <c r="A1170" s="13" t="str">
        <f>IFERROR(__xludf.DUMMYFUNCTION("""COMPUTED_VALUE"""),"velixferli@gmail:com")</f>
        <v>velixferli@gmail:com</v>
      </c>
      <c r="B1170" s="13" t="str">
        <f>IFERROR(__xludf.DUMMYFUNCTION("""COMPUTED_VALUE"""),"Kabupaten Dairi Dalam Angka 2019")</f>
        <v>Kabupaten Dairi Dalam Angka 2019</v>
      </c>
      <c r="C1170" s="13" t="str">
        <f>IFERROR(__xludf.DUMMYFUNCTION("""COMPUTED_VALUE"""),"Publikasi")</f>
        <v>Publikasi</v>
      </c>
      <c r="E1170" s="19"/>
      <c r="F1170" s="20"/>
    </row>
    <row r="1171">
      <c r="A1171" s="13" t="str">
        <f>IFERROR(__xludf.DUMMYFUNCTION("""COMPUTED_VALUE"""),"velixferli@gmail:com")</f>
        <v>velixferli@gmail:com</v>
      </c>
      <c r="B1171" s="13" t="str">
        <f>IFERROR(__xludf.DUMMYFUNCTION("""COMPUTED_VALUE"""),"Kabupaten Dairi Dalam Angka 2020")</f>
        <v>Kabupaten Dairi Dalam Angka 2020</v>
      </c>
      <c r="C1171" s="13" t="str">
        <f>IFERROR(__xludf.DUMMYFUNCTION("""COMPUTED_VALUE"""),"Publikasi")</f>
        <v>Publikasi</v>
      </c>
      <c r="E1171" s="19"/>
      <c r="F1171" s="20"/>
    </row>
    <row r="1172">
      <c r="A1172" s="13" t="str">
        <f>IFERROR(__xludf.DUMMYFUNCTION("""COMPUTED_VALUE"""),"velixferli@gmail:com")</f>
        <v>velixferli@gmail:com</v>
      </c>
      <c r="B1172" s="13" t="str">
        <f>IFERROR(__xludf.DUMMYFUNCTION("""COMPUTED_VALUE"""),"Produk Domestik Regional Bruto Menurut Pengeluaran Kabupaten Dairi  2016 - 2020")</f>
        <v>Produk Domestik Regional Bruto Menurut Pengeluaran Kabupaten Dairi  2016 - 2020</v>
      </c>
      <c r="C1172" s="13" t="str">
        <f>IFERROR(__xludf.DUMMYFUNCTION("""COMPUTED_VALUE"""),"Publikasi")</f>
        <v>Publikasi</v>
      </c>
      <c r="E1172" s="19"/>
      <c r="F1172" s="20"/>
    </row>
    <row r="1173">
      <c r="A1173" s="13" t="str">
        <f>IFERROR(__xludf.DUMMYFUNCTION("""COMPUTED_VALUE"""),"velixferli@gmail:com")</f>
        <v>velixferli@gmail:com</v>
      </c>
      <c r="B1173" s="13" t="str">
        <f>IFERROR(__xludf.DUMMYFUNCTION("""COMPUTED_VALUE"""),"Statistik Daerah Kabupaten Dairi 2016")</f>
        <v>Statistik Daerah Kabupaten Dairi 2016</v>
      </c>
      <c r="C1173" s="13" t="str">
        <f>IFERROR(__xludf.DUMMYFUNCTION("""COMPUTED_VALUE"""),"Publikasi")</f>
        <v>Publikasi</v>
      </c>
      <c r="E1173" s="19"/>
      <c r="F1173" s="20"/>
    </row>
    <row r="1174">
      <c r="A1174" s="13" t="str">
        <f>IFERROR(__xludf.DUMMYFUNCTION("""COMPUTED_VALUE"""),"velixferli@gmail:com")</f>
        <v>velixferli@gmail:com</v>
      </c>
      <c r="B1174" s="13" t="str">
        <f>IFERROR(__xludf.DUMMYFUNCTION("""COMPUTED_VALUE"""),"Statistik Hortikultura Kabupaten Dairi Tahun 2021")</f>
        <v>Statistik Hortikultura Kabupaten Dairi Tahun 2021</v>
      </c>
      <c r="C1174" s="13" t="str">
        <f>IFERROR(__xludf.DUMMYFUNCTION("""COMPUTED_VALUE"""),"Publikasi")</f>
        <v>Publikasi</v>
      </c>
      <c r="E1174" s="19"/>
      <c r="F1174" s="20"/>
    </row>
    <row r="1175">
      <c r="A1175" s="13" t="str">
        <f>IFERROR(__xludf.DUMMYFUNCTION("""COMPUTED_VALUE"""),"viazputry@gmail:com")</f>
        <v>viazputry@gmail:com</v>
      </c>
      <c r="B1175" s="13" t="str">
        <f>IFERROR(__xludf.DUMMYFUNCTION("""COMPUTED_VALUE"""),"Kabupaten Dairi Dalam Angka 2010")</f>
        <v>Kabupaten Dairi Dalam Angka 2010</v>
      </c>
      <c r="C1175" s="13" t="str">
        <f>IFERROR(__xludf.DUMMYFUNCTION("""COMPUTED_VALUE"""),"Publikasi")</f>
        <v>Publikasi</v>
      </c>
      <c r="E1175" s="19"/>
      <c r="F1175" s="20"/>
    </row>
    <row r="1176">
      <c r="A1176" s="13" t="str">
        <f>IFERROR(__xludf.DUMMYFUNCTION("""COMPUTED_VALUE"""),"viazputry@gmail:com")</f>
        <v>viazputry@gmail:com</v>
      </c>
      <c r="B1176" s="13" t="str">
        <f>IFERROR(__xludf.DUMMYFUNCTION("""COMPUTED_VALUE"""),"Kabupaten Dairi Dalam Angka 2021")</f>
        <v>Kabupaten Dairi Dalam Angka 2021</v>
      </c>
      <c r="C1176" s="13" t="str">
        <f>IFERROR(__xludf.DUMMYFUNCTION("""COMPUTED_VALUE"""),"Publikasi")</f>
        <v>Publikasi</v>
      </c>
      <c r="E1176" s="19"/>
      <c r="F1176" s="20"/>
    </row>
    <row r="1177">
      <c r="A1177" s="13" t="str">
        <f>IFERROR(__xludf.DUMMYFUNCTION("""COMPUTED_VALUE"""),"viazputry@gmail:com")</f>
        <v>viazputry@gmail:com</v>
      </c>
      <c r="B1177" s="13" t="str">
        <f>IFERROR(__xludf.DUMMYFUNCTION("""COMPUTED_VALUE"""),"Kabupaten Dairi Dalam Angka 2022")</f>
        <v>Kabupaten Dairi Dalam Angka 2022</v>
      </c>
      <c r="C1177" s="13" t="str">
        <f>IFERROR(__xludf.DUMMYFUNCTION("""COMPUTED_VALUE"""),"Publikasi")</f>
        <v>Publikasi</v>
      </c>
      <c r="E1177" s="19"/>
      <c r="F1177" s="20"/>
    </row>
    <row r="1178">
      <c r="A1178" s="13" t="str">
        <f>IFERROR(__xludf.DUMMYFUNCTION("""COMPUTED_VALUE"""),"wasikcool2000@gmail:com")</f>
        <v>wasikcool2000@gmail:com</v>
      </c>
      <c r="B1178" s="13" t="str">
        <f>IFERROR(__xludf.DUMMYFUNCTION("""COMPUTED_VALUE"""),"Profil Kependudukan dan Ketenagakerjaan Kabupaten Dairi 2022")</f>
        <v>Profil Kependudukan dan Ketenagakerjaan Kabupaten Dairi 2022</v>
      </c>
      <c r="C1178" s="13" t="str">
        <f>IFERROR(__xludf.DUMMYFUNCTION("""COMPUTED_VALUE"""),"Publikasi")</f>
        <v>Publikasi</v>
      </c>
      <c r="E1178" s="19"/>
      <c r="F1178" s="20"/>
    </row>
    <row r="1179">
      <c r="A1179" s="13" t="str">
        <f>IFERROR(__xludf.DUMMYFUNCTION("""COMPUTED_VALUE"""),"widjaya:harahap@gmail:com")</f>
        <v>widjaya:harahap@gmail:com</v>
      </c>
      <c r="B1179" s="13" t="str">
        <f>IFERROR(__xludf.DUMMYFUNCTION("""COMPUTED_VALUE"""),"Kabupaten Dairi Dalam Angka 2024")</f>
        <v>Kabupaten Dairi Dalam Angka 2024</v>
      </c>
      <c r="C1179" s="13" t="str">
        <f>IFERROR(__xludf.DUMMYFUNCTION("""COMPUTED_VALUE"""),"Publikasi")</f>
        <v>Publikasi</v>
      </c>
      <c r="E1179" s="19"/>
      <c r="F1179" s="20"/>
    </row>
    <row r="1180">
      <c r="A1180" s="13" t="str">
        <f>IFERROR(__xludf.DUMMYFUNCTION("""COMPUTED_VALUE"""),"william:rawson:bredemeyer@census:gov")</f>
        <v>william:rawson:bredemeyer@census:gov</v>
      </c>
      <c r="B1180" s="13" t="str">
        <f>IFERROR(__xludf.DUMMYFUNCTION("""COMPUTED_VALUE"""),"Booklet Hasil Long Form Sensus Penduduk 2020 Kabupaten Dairi")</f>
        <v>Booklet Hasil Long Form Sensus Penduduk 2020 Kabupaten Dairi</v>
      </c>
      <c r="C1180" s="13" t="str">
        <f>IFERROR(__xludf.DUMMYFUNCTION("""COMPUTED_VALUE"""),"Publikasi")</f>
        <v>Publikasi</v>
      </c>
      <c r="E1180" s="19"/>
      <c r="F1180" s="20"/>
    </row>
    <row r="1181">
      <c r="A1181" s="13" t="str">
        <f>IFERROR(__xludf.DUMMYFUNCTION("""COMPUTED_VALUE"""),"williamiskandarsihombing@gmail:com")</f>
        <v>williamiskandarsihombing@gmail:com</v>
      </c>
      <c r="B1181" s="13" t="str">
        <f>IFERROR(__xludf.DUMMYFUNCTION("""COMPUTED_VALUE"""),"Kecamatan Sidikalang Dalam Angka 2022")</f>
        <v>Kecamatan Sidikalang Dalam Angka 2022</v>
      </c>
      <c r="C1181" s="13" t="str">
        <f>IFERROR(__xludf.DUMMYFUNCTION("""COMPUTED_VALUE"""),"Publikasi")</f>
        <v>Publikasi</v>
      </c>
      <c r="E1181" s="19"/>
      <c r="F1181" s="20"/>
    </row>
    <row r="1182">
      <c r="A1182" s="13" t="str">
        <f>IFERROR(__xludf.DUMMYFUNCTION("""COMPUTED_VALUE"""),"williamsihombing@bankmandiri:co:id")</f>
        <v>williamsihombing@bankmandiri:co:id</v>
      </c>
      <c r="B1182" s="13" t="str">
        <f>IFERROR(__xludf.DUMMYFUNCTION("""COMPUTED_VALUE"""),"Kabupaten Dairi Dalam Angka 2022")</f>
        <v>Kabupaten Dairi Dalam Angka 2022</v>
      </c>
      <c r="C1182" s="13" t="str">
        <f>IFERROR(__xludf.DUMMYFUNCTION("""COMPUTED_VALUE"""),"Publikasi")</f>
        <v>Publikasi</v>
      </c>
      <c r="E1182" s="19"/>
      <c r="F1182" s="20"/>
    </row>
    <row r="1183">
      <c r="A1183" s="13" t="str">
        <f>IFERROR(__xludf.DUMMYFUNCTION("""COMPUTED_VALUE"""),"willy:haqiqi24@gmail:com")</f>
        <v>willy:haqiqi24@gmail:com</v>
      </c>
      <c r="B1183" s="13" t="str">
        <f>IFERROR(__xludf.DUMMYFUNCTION("""COMPUTED_VALUE"""),"Kabupaten Dairi Dalam Angka 2024")</f>
        <v>Kabupaten Dairi Dalam Angka 2024</v>
      </c>
      <c r="C1183" s="13" t="str">
        <f>IFERROR(__xludf.DUMMYFUNCTION("""COMPUTED_VALUE"""),"Publikasi")</f>
        <v>Publikasi</v>
      </c>
      <c r="E1183" s="19"/>
      <c r="F1183" s="20"/>
    </row>
    <row r="1184">
      <c r="A1184" s="13" t="str">
        <f>IFERROR(__xludf.DUMMYFUNCTION("""COMPUTED_VALUE"""),"wirabintang007@gmail:com")</f>
        <v>wirabintang007@gmail:com</v>
      </c>
      <c r="B1184" s="13" t="str">
        <f>IFERROR(__xludf.DUMMYFUNCTION("""COMPUTED_VALUE"""),"Kabupaten Dairi Dalam Angka 2022")</f>
        <v>Kabupaten Dairi Dalam Angka 2022</v>
      </c>
      <c r="C1184" s="13" t="str">
        <f>IFERROR(__xludf.DUMMYFUNCTION("""COMPUTED_VALUE"""),"Publikasi")</f>
        <v>Publikasi</v>
      </c>
      <c r="E1184" s="19"/>
      <c r="F1184" s="20"/>
    </row>
    <row r="1185">
      <c r="A1185" s="13" t="str">
        <f>IFERROR(__xludf.DUMMYFUNCTION("""COMPUTED_VALUE"""),"wiwikrahayunilumbangaol@gmail:com")</f>
        <v>wiwikrahayunilumbangaol@gmail:com</v>
      </c>
      <c r="B1185" s="13" t="str">
        <f>IFERROR(__xludf.DUMMYFUNCTION("""COMPUTED_VALUE"""),"Analisis Survei Kebutuhan Data Kabupaten Dairi 2022")</f>
        <v>Analisis Survei Kebutuhan Data Kabupaten Dairi 2022</v>
      </c>
      <c r="C1185" s="13" t="str">
        <f>IFERROR(__xludf.DUMMYFUNCTION("""COMPUTED_VALUE"""),"Publikasi")</f>
        <v>Publikasi</v>
      </c>
      <c r="E1185" s="19"/>
      <c r="F1185" s="20"/>
    </row>
    <row r="1186">
      <c r="A1186" s="13" t="str">
        <f>IFERROR(__xludf.DUMMYFUNCTION("""COMPUTED_VALUE"""),"wmahardika20@gmail:com")</f>
        <v>wmahardika20@gmail:com</v>
      </c>
      <c r="B1186" s="13" t="str">
        <f>IFERROR(__xludf.DUMMYFUNCTION("""COMPUTED_VALUE"""),"Kabupaten Dairi Dalam Angka 2022")</f>
        <v>Kabupaten Dairi Dalam Angka 2022</v>
      </c>
      <c r="C1186" s="13" t="str">
        <f>IFERROR(__xludf.DUMMYFUNCTION("""COMPUTED_VALUE"""),"Publikasi")</f>
        <v>Publikasi</v>
      </c>
      <c r="E1186" s="19"/>
      <c r="F1186" s="20"/>
    </row>
    <row r="1187">
      <c r="A1187" s="13" t="str">
        <f>IFERROR(__xludf.DUMMYFUNCTION("""COMPUTED_VALUE"""),"wsakbar81@gmail:com")</f>
        <v>wsakbar81@gmail:com</v>
      </c>
      <c r="B1187" s="13" t="str">
        <f>IFERROR(__xludf.DUMMYFUNCTION("""COMPUTED_VALUE"""),"Kabupaten Dairi Dalam Angka 2024")</f>
        <v>Kabupaten Dairi Dalam Angka 2024</v>
      </c>
      <c r="C1187" s="13" t="str">
        <f>IFERROR(__xludf.DUMMYFUNCTION("""COMPUTED_VALUE"""),"Publikasi")</f>
        <v>Publikasi</v>
      </c>
      <c r="E1187" s="19"/>
      <c r="F1187" s="20"/>
    </row>
    <row r="1188">
      <c r="A1188" s="13" t="str">
        <f>IFERROR(__xludf.DUMMYFUNCTION("""COMPUTED_VALUE"""),"yantoniuslase30@gmail:com")</f>
        <v>yantoniuslase30@gmail:com</v>
      </c>
      <c r="B1188" s="13" t="str">
        <f>IFERROR(__xludf.DUMMYFUNCTION("""COMPUTED_VALUE"""),"Kecamatan Tanah Pinem Dalam Angka 2020")</f>
        <v>Kecamatan Tanah Pinem Dalam Angka 2020</v>
      </c>
      <c r="C1188" s="13" t="str">
        <f>IFERROR(__xludf.DUMMYFUNCTION("""COMPUTED_VALUE"""),"Publikasi")</f>
        <v>Publikasi</v>
      </c>
      <c r="E1188" s="19"/>
      <c r="F1188" s="20"/>
    </row>
    <row r="1189">
      <c r="A1189" s="13" t="str">
        <f>IFERROR(__xludf.DUMMYFUNCTION("""COMPUTED_VALUE"""),"yantoniuslase30@gmail:com")</f>
        <v>yantoniuslase30@gmail:com</v>
      </c>
      <c r="B1189" s="13" t="str">
        <f>IFERROR(__xludf.DUMMYFUNCTION("""COMPUTED_VALUE"""),"Kecamatan Tiga Lingga Dalam Angka 2020")</f>
        <v>Kecamatan Tiga Lingga Dalam Angka 2020</v>
      </c>
      <c r="C1189" s="13" t="str">
        <f>IFERROR(__xludf.DUMMYFUNCTION("""COMPUTED_VALUE"""),"Publikasi")</f>
        <v>Publikasi</v>
      </c>
      <c r="E1189" s="19"/>
      <c r="F1189" s="20"/>
    </row>
    <row r="1190">
      <c r="A1190" s="13" t="str">
        <f>IFERROR(__xludf.DUMMYFUNCTION("""COMPUTED_VALUE"""),"ym15092000@gmail:com")</f>
        <v>ym15092000@gmail:com</v>
      </c>
      <c r="B1190" s="13" t="str">
        <f>IFERROR(__xludf.DUMMYFUNCTION("""COMPUTED_VALUE"""),"Indikator Kesejahteraan Rakyat Kabupaten Dairi Tahun 2022")</f>
        <v>Indikator Kesejahteraan Rakyat Kabupaten Dairi Tahun 2022</v>
      </c>
      <c r="C1190" s="13" t="str">
        <f>IFERROR(__xludf.DUMMYFUNCTION("""COMPUTED_VALUE"""),"Publikasi")</f>
        <v>Publikasi</v>
      </c>
      <c r="E1190" s="19"/>
      <c r="F1190" s="20"/>
    </row>
    <row r="1191">
      <c r="A1191" s="13" t="str">
        <f>IFERROR(__xludf.DUMMYFUNCTION("""COMPUTED_VALUE"""),"yosephine:2010@gmail:com")</f>
        <v>yosephine:2010@gmail:com</v>
      </c>
      <c r="B1191" s="13" t="str">
        <f>IFERROR(__xludf.DUMMYFUNCTION("""COMPUTED_VALUE"""),"Kabupaten Dairi Dalam Angka 2024")</f>
        <v>Kabupaten Dairi Dalam Angka 2024</v>
      </c>
      <c r="C1191" s="13" t="str">
        <f>IFERROR(__xludf.DUMMYFUNCTION("""COMPUTED_VALUE"""),"Publikasi")</f>
        <v>Publikasi</v>
      </c>
      <c r="E1191" s="19"/>
      <c r="F1191" s="20"/>
    </row>
    <row r="1192">
      <c r="A1192" s="13" t="str">
        <f>IFERROR(__xludf.DUMMYFUNCTION("""COMPUTED_VALUE"""),"yosialubis1@gmail:com")</f>
        <v>yosialubis1@gmail:com</v>
      </c>
      <c r="B1192" s="13" t="str">
        <f>IFERROR(__xludf.DUMMYFUNCTION("""COMPUTED_VALUE"""),"Indikator Kesejahteraan Rakyat Kabupaten Dairi 2019")</f>
        <v>Indikator Kesejahteraan Rakyat Kabupaten Dairi 2019</v>
      </c>
      <c r="C1192" s="13" t="str">
        <f>IFERROR(__xludf.DUMMYFUNCTION("""COMPUTED_VALUE"""),"Publikasi")</f>
        <v>Publikasi</v>
      </c>
      <c r="E1192" s="19"/>
      <c r="F1192" s="20"/>
    </row>
    <row r="1193">
      <c r="A1193" s="13" t="str">
        <f>IFERROR(__xludf.DUMMYFUNCTION("""COMPUTED_VALUE"""),"yosialubis1@gmail:com")</f>
        <v>yosialubis1@gmail:com</v>
      </c>
      <c r="B1193" s="13" t="str">
        <f>IFERROR(__xludf.DUMMYFUNCTION("""COMPUTED_VALUE"""),"Profil Kependudukan dan Ketenagakerjaan Kabupaten Dairi 2020")</f>
        <v>Profil Kependudukan dan Ketenagakerjaan Kabupaten Dairi 2020</v>
      </c>
      <c r="C1193" s="13" t="str">
        <f>IFERROR(__xludf.DUMMYFUNCTION("""COMPUTED_VALUE"""),"Publikasi")</f>
        <v>Publikasi</v>
      </c>
      <c r="E1193" s="19"/>
      <c r="F1193" s="20"/>
    </row>
    <row r="1194">
      <c r="A1194" s="13" t="str">
        <f>IFERROR(__xludf.DUMMYFUNCTION("""COMPUTED_VALUE"""),"Yuli:matondang:ym@gmail:com")</f>
        <v>Yuli:matondang:ym@gmail:com</v>
      </c>
      <c r="B1194" s="13" t="str">
        <f>IFERROR(__xludf.DUMMYFUNCTION("""COMPUTED_VALUE"""),"Hasil Pencacahan Lengkap Sensus Pertanian 2024 - Tahap I Kabupaten Dairi")</f>
        <v>Hasil Pencacahan Lengkap Sensus Pertanian 2024 - Tahap I Kabupaten Dairi</v>
      </c>
      <c r="C1194" s="13" t="str">
        <f>IFERROR(__xludf.DUMMYFUNCTION("""COMPUTED_VALUE"""),"Publikasi")</f>
        <v>Publikasi</v>
      </c>
      <c r="E1194" s="19"/>
      <c r="F1194" s="20"/>
    </row>
    <row r="1195">
      <c r="A1195" s="13" t="str">
        <f>IFERROR(__xludf.DUMMYFUNCTION("""COMPUTED_VALUE"""),"Yuli:matondang:ym@gmail:com")</f>
        <v>Yuli:matondang:ym@gmail:com</v>
      </c>
      <c r="B1195" s="13" t="str">
        <f>IFERROR(__xludf.DUMMYFUNCTION("""COMPUTED_VALUE"""),"Indikator Kesejahteraan Rakyat Kabupaten Dairi Tahun 2024")</f>
        <v>Indikator Kesejahteraan Rakyat Kabupaten Dairi Tahun 2024</v>
      </c>
      <c r="C1195" s="13" t="str">
        <f>IFERROR(__xludf.DUMMYFUNCTION("""COMPUTED_VALUE"""),"Publikasi")</f>
        <v>Publikasi</v>
      </c>
      <c r="E1195" s="19"/>
      <c r="F1195" s="20"/>
    </row>
    <row r="1196">
      <c r="A1196" s="13" t="str">
        <f>IFERROR(__xludf.DUMMYFUNCTION("""COMPUTED_VALUE"""),"Yuli:matondang:ym@gmail:com")</f>
        <v>Yuli:matondang:ym@gmail:com</v>
      </c>
      <c r="B1196" s="13" t="str">
        <f>IFERROR(__xludf.DUMMYFUNCTION("""COMPUTED_VALUE"""),"Statistik Kesejahteraan Rakyat Kabupaten Dairi 2024")</f>
        <v>Statistik Kesejahteraan Rakyat Kabupaten Dairi 2024</v>
      </c>
      <c r="C1196" s="13" t="str">
        <f>IFERROR(__xludf.DUMMYFUNCTION("""COMPUTED_VALUE"""),"Publikasi")</f>
        <v>Publikasi</v>
      </c>
      <c r="E1196" s="19"/>
      <c r="F1196" s="20"/>
    </row>
    <row r="1197">
      <c r="A1197" s="13" t="str">
        <f>IFERROR(__xludf.DUMMYFUNCTION("""COMPUTED_VALUE"""),"yuniatimonica@gmail:com")</f>
        <v>yuniatimonica@gmail:com</v>
      </c>
      <c r="B1197" s="13" t="str">
        <f>IFERROR(__xludf.DUMMYFUNCTION("""COMPUTED_VALUE"""),"Kabupaten Dairi Dalam Angka 2022")</f>
        <v>Kabupaten Dairi Dalam Angka 2022</v>
      </c>
      <c r="C1197" s="13" t="str">
        <f>IFERROR(__xludf.DUMMYFUNCTION("""COMPUTED_VALUE"""),"Publikasi")</f>
        <v>Publikasi</v>
      </c>
      <c r="E1197" s="19"/>
      <c r="F1197" s="20"/>
    </row>
    <row r="1198">
      <c r="A1198" s="13" t="str">
        <f>IFERROR(__xludf.DUMMYFUNCTION("""COMPUTED_VALUE"""),"yuniatimonica@gmail:com")</f>
        <v>yuniatimonica@gmail:com</v>
      </c>
      <c r="B1198" s="13" t="str">
        <f>IFERROR(__xludf.DUMMYFUNCTION("""COMPUTED_VALUE"""),"Kabupaten Dairi Dalam Angka 2024")</f>
        <v>Kabupaten Dairi Dalam Angka 2024</v>
      </c>
      <c r="C1198" s="13" t="str">
        <f>IFERROR(__xludf.DUMMYFUNCTION("""COMPUTED_VALUE"""),"Publikasi")</f>
        <v>Publikasi</v>
      </c>
      <c r="E1198" s="19"/>
      <c r="F1198" s="20"/>
    </row>
    <row r="1199">
      <c r="A1199" s="13" t="str">
        <f>IFERROR(__xludf.DUMMYFUNCTION("""COMPUTED_VALUE"""),"yuniatimonica@gmail:com")</f>
        <v>yuniatimonica@gmail:com</v>
      </c>
      <c r="B1199" s="13" t="str">
        <f>IFERROR(__xludf.DUMMYFUNCTION("""COMPUTED_VALUE"""),"Kecamatan Pegagan Hilir Dalam Angka 2022")</f>
        <v>Kecamatan Pegagan Hilir Dalam Angka 2022</v>
      </c>
      <c r="C1199" s="13" t="str">
        <f>IFERROR(__xludf.DUMMYFUNCTION("""COMPUTED_VALUE"""),"Publikasi")</f>
        <v>Publikasi</v>
      </c>
      <c r="E1199" s="19"/>
      <c r="F1199" s="20"/>
    </row>
    <row r="1200">
      <c r="A1200" s="13" t="str">
        <f>IFERROR(__xludf.DUMMYFUNCTION("""COMPUTED_VALUE"""),"yuniatimonica@gmail:com")</f>
        <v>yuniatimonica@gmail:com</v>
      </c>
      <c r="B1200" s="13" t="str">
        <f>IFERROR(__xludf.DUMMYFUNCTION("""COMPUTED_VALUE"""),"Statistik Daerah Kabupaten Dairi 2024")</f>
        <v>Statistik Daerah Kabupaten Dairi 2024</v>
      </c>
      <c r="C1200" s="13" t="str">
        <f>IFERROR(__xludf.DUMMYFUNCTION("""COMPUTED_VALUE"""),"Publikasi")</f>
        <v>Publikasi</v>
      </c>
      <c r="E1200" s="19"/>
      <c r="F1200" s="20"/>
    </row>
    <row r="1201">
      <c r="A1201" s="13" t="str">
        <f>IFERROR(__xludf.DUMMYFUNCTION("""COMPUTED_VALUE"""),"yusufelu@gmail:com")</f>
        <v>yusufelu@gmail:com</v>
      </c>
      <c r="B1201" s="13" t="str">
        <f>IFERROR(__xludf.DUMMYFUNCTION("""COMPUTED_VALUE"""),"Direktori Perusahaan Konstruksi Tahun 2021")</f>
        <v>Direktori Perusahaan Konstruksi Tahun 2021</v>
      </c>
      <c r="C1201" s="13" t="str">
        <f>IFERROR(__xludf.DUMMYFUNCTION("""COMPUTED_VALUE"""),"Publikasi")</f>
        <v>Publikasi</v>
      </c>
      <c r="E1201" s="19"/>
      <c r="F1201" s="20"/>
    </row>
    <row r="1202">
      <c r="A1202" s="13" t="str">
        <f>IFERROR(__xludf.DUMMYFUNCTION("""COMPUTED_VALUE"""),"zaratul:saputri@bni:co:id")</f>
        <v>zaratul:saputri@bni:co:id</v>
      </c>
      <c r="B1202" s="13" t="str">
        <f>IFERROR(__xludf.DUMMYFUNCTION("""COMPUTED_VALUE"""),"Kecamatan Parbuluan Dalam Angka 2024")</f>
        <v>Kecamatan Parbuluan Dalam Angka 2024</v>
      </c>
      <c r="C1202" s="13" t="str">
        <f>IFERROR(__xludf.DUMMYFUNCTION("""COMPUTED_VALUE"""),"Publikasi")</f>
        <v>Publikasi</v>
      </c>
      <c r="E1202" s="19"/>
      <c r="F1202" s="20"/>
    </row>
    <row r="1203">
      <c r="A1203" s="13" t="str">
        <f>IFERROR(__xludf.DUMMYFUNCTION("""COMPUTED_VALUE"""),"zefamora02@gmail:com")</f>
        <v>zefamora02@gmail:com</v>
      </c>
      <c r="B1203" s="13" t="str">
        <f>IFERROR(__xludf.DUMMYFUNCTION("""COMPUTED_VALUE"""),"Kabupaten Dairi Dalam Angka 2024")</f>
        <v>Kabupaten Dairi Dalam Angka 2024</v>
      </c>
      <c r="C1203" s="13" t="str">
        <f>IFERROR(__xludf.DUMMYFUNCTION("""COMPUTED_VALUE"""),"Publikasi")</f>
        <v>Publikasi</v>
      </c>
      <c r="E1203" s="19"/>
      <c r="F1203" s="20"/>
    </row>
    <row r="1204">
      <c r="A1204" s="13" t="str">
        <f>IFERROR(__xludf.DUMMYFUNCTION("""COMPUTED_VALUE"""),"zefamora02@gmail:com")</f>
        <v>zefamora02@gmail:com</v>
      </c>
      <c r="B1204" s="13" t="str">
        <f>IFERROR(__xludf.DUMMYFUNCTION("""COMPUTED_VALUE"""),"Kecamatan Sidikalang Dalam Angka 2024")</f>
        <v>Kecamatan Sidikalang Dalam Angka 2024</v>
      </c>
      <c r="C1204" s="13" t="str">
        <f>IFERROR(__xludf.DUMMYFUNCTION("""COMPUTED_VALUE"""),"Publikasi")</f>
        <v>Publikasi</v>
      </c>
      <c r="E1204" s="19"/>
      <c r="F1204" s="20"/>
    </row>
    <row r="1205">
      <c r="A1205" s="13" t="str">
        <f>IFERROR(__xludf.DUMMYFUNCTION("""COMPUTED_VALUE"""),"zendratoTEAM@gmail:com")</f>
        <v>zendratoTEAM@gmail:com</v>
      </c>
      <c r="B1205" s="13" t="str">
        <f>IFERROR(__xludf.DUMMYFUNCTION("""COMPUTED_VALUE"""),"Kecamatan Silahisabungan Dalam Angka 2021")</f>
        <v>Kecamatan Silahisabungan Dalam Angka 2021</v>
      </c>
      <c r="C1205" s="13" t="str">
        <f>IFERROR(__xludf.DUMMYFUNCTION("""COMPUTED_VALUE"""),"Publikasi")</f>
        <v>Publikasi</v>
      </c>
      <c r="E1205" s="19"/>
      <c r="F1205" s="20"/>
    </row>
    <row r="1206">
      <c r="A1206" s="13" t="str">
        <f>IFERROR(__xludf.DUMMYFUNCTION("""COMPUTED_VALUE"""),"ziziakenia@gmail:com")</f>
        <v>ziziakenia@gmail:com</v>
      </c>
      <c r="B1206" s="13" t="str">
        <f>IFERROR(__xludf.DUMMYFUNCTION("""COMPUTED_VALUE"""),"Kabupaten Dairi Dalam Angka 2024")</f>
        <v>Kabupaten Dairi Dalam Angka 2024</v>
      </c>
      <c r="C1206" s="13" t="str">
        <f>IFERROR(__xludf.DUMMYFUNCTION("""COMPUTED_VALUE"""),"Publikasi")</f>
        <v>Publikasi</v>
      </c>
      <c r="E1206" s="19"/>
      <c r="F1206" s="20"/>
    </row>
    <row r="1207">
      <c r="A1207" s="13" t="str">
        <f>IFERROR(__xludf.DUMMYFUNCTION("""COMPUTED_VALUE"""),"zulfanroy7@gmail:com")</f>
        <v>zulfanroy7@gmail:com</v>
      </c>
      <c r="B1207" s="13" t="str">
        <f>IFERROR(__xludf.DUMMYFUNCTION("""COMPUTED_VALUE"""),"Indeks Pembangunan Manusia Kabupaten Dairi 2024")</f>
        <v>Indeks Pembangunan Manusia Kabupaten Dairi 2024</v>
      </c>
      <c r="C1207" s="13" t="str">
        <f>IFERROR(__xludf.DUMMYFUNCTION("""COMPUTED_VALUE"""),"Publikasi")</f>
        <v>Publikasi</v>
      </c>
      <c r="E1207" s="19"/>
      <c r="F1207" s="20"/>
    </row>
    <row r="1208">
      <c r="A1208" s="13" t="str">
        <f>IFERROR(__xludf.DUMMYFUNCTION("""COMPUTED_VALUE"""),"zulfanroy7@gmail:com")</f>
        <v>zulfanroy7@gmail:com</v>
      </c>
      <c r="B1208" s="13" t="str">
        <f>IFERROR(__xludf.DUMMYFUNCTION("""COMPUTED_VALUE"""),"Indikator Kesejahteraan Rakyat Kabupaten Dairi Tahun 2022")</f>
        <v>Indikator Kesejahteraan Rakyat Kabupaten Dairi Tahun 2022</v>
      </c>
      <c r="C1208" s="13" t="str">
        <f>IFERROR(__xludf.DUMMYFUNCTION("""COMPUTED_VALUE"""),"Publikasi")</f>
        <v>Publikasi</v>
      </c>
      <c r="E1208" s="19"/>
      <c r="F1208" s="20"/>
    </row>
    <row r="1209">
      <c r="A1209" s="13" t="str">
        <f>IFERROR(__xludf.DUMMYFUNCTION("""COMPUTED_VALUE"""),"zulfanroy7@gmail:com")</f>
        <v>zulfanroy7@gmail:com</v>
      </c>
      <c r="B1209" s="13" t="str">
        <f>IFERROR(__xludf.DUMMYFUNCTION("""COMPUTED_VALUE"""),"Indikator Kesejahteraan Rakyat Kabupaten Dairi Tahun 2024")</f>
        <v>Indikator Kesejahteraan Rakyat Kabupaten Dairi Tahun 2024</v>
      </c>
      <c r="C1209" s="13" t="str">
        <f>IFERROR(__xludf.DUMMYFUNCTION("""COMPUTED_VALUE"""),"Publikasi")</f>
        <v>Publikasi</v>
      </c>
      <c r="E1209" s="19"/>
      <c r="F1209" s="20"/>
    </row>
    <row r="1210">
      <c r="A1210" s="13" t="str">
        <f>IFERROR(__xludf.DUMMYFUNCTION("""COMPUTED_VALUE"""),"zunkiflisiahaan80@gmail:com")</f>
        <v>zunkiflisiahaan80@gmail:com</v>
      </c>
      <c r="B1210" s="13" t="str">
        <f>IFERROR(__xludf.DUMMYFUNCTION("""COMPUTED_VALUE"""),"Hasil Pencacahan Lengkap Sensus Pertanian 2024 - Tahap I Kabupaten Dairi")</f>
        <v>Hasil Pencacahan Lengkap Sensus Pertanian 2024 - Tahap I Kabupaten Dairi</v>
      </c>
      <c r="C1210" s="13" t="str">
        <f>IFERROR(__xludf.DUMMYFUNCTION("""COMPUTED_VALUE"""),"Publikasi")</f>
        <v>Publikasi</v>
      </c>
      <c r="E1210" s="19"/>
      <c r="F1210" s="20"/>
    </row>
    <row r="1211">
      <c r="A1211" s="13" t="str">
        <f>IFERROR(__xludf.DUMMYFUNCTION("""COMPUTED_VALUE"""),"zunkiflisiahaan80@gmail:com")</f>
        <v>zunkiflisiahaan80@gmail:com</v>
      </c>
      <c r="B1211" s="13" t="str">
        <f>IFERROR(__xludf.DUMMYFUNCTION("""COMPUTED_VALUE"""),"Indikator Kesejahteraan Rakyat Kabupaten Dairi Tahun 2024")</f>
        <v>Indikator Kesejahteraan Rakyat Kabupaten Dairi Tahun 2024</v>
      </c>
      <c r="C1211" s="13" t="str">
        <f>IFERROR(__xludf.DUMMYFUNCTION("""COMPUTED_VALUE"""),"Publikasi")</f>
        <v>Publikasi</v>
      </c>
      <c r="E1211" s="19"/>
      <c r="F1211" s="20"/>
    </row>
    <row r="1212">
      <c r="A1212" s="13" t="str">
        <f>IFERROR(__xludf.DUMMYFUNCTION("""COMPUTED_VALUE"""),"zunkiflisiahaan80@gmail:com")</f>
        <v>zunkiflisiahaan80@gmail:com</v>
      </c>
      <c r="B1212" s="13" t="str">
        <f>IFERROR(__xludf.DUMMYFUNCTION("""COMPUTED_VALUE"""),"Kecamatan Sumbul Dalam Angka 2022")</f>
        <v>Kecamatan Sumbul Dalam Angka 2022</v>
      </c>
      <c r="C1212" s="13" t="str">
        <f>IFERROR(__xludf.DUMMYFUNCTION("""COMPUTED_VALUE"""),"Publikasi")</f>
        <v>Publikasi</v>
      </c>
      <c r="E1212" s="19"/>
      <c r="F1212" s="20"/>
    </row>
    <row r="1213">
      <c r="A1213" s="13" t="str">
        <f>IFERROR(__xludf.DUMMYFUNCTION("""COMPUTED_VALUE"""),"zunkiflisiahaan80@gmail:com")</f>
        <v>zunkiflisiahaan80@gmail:com</v>
      </c>
      <c r="B1213" s="13" t="str">
        <f>IFERROR(__xludf.DUMMYFUNCTION("""COMPUTED_VALUE"""),"Statistik Kesejahteraan Rakyat Kabupaten Dairi 2024")</f>
        <v>Statistik Kesejahteraan Rakyat Kabupaten Dairi 2024</v>
      </c>
      <c r="C1213" s="13" t="str">
        <f>IFERROR(__xludf.DUMMYFUNCTION("""COMPUTED_VALUE"""),"Publikasi")</f>
        <v>Publikasi</v>
      </c>
      <c r="E1213" s="19"/>
      <c r="F1213" s="20"/>
    </row>
    <row r="1214">
      <c r="E1214" s="19"/>
      <c r="F1214" s="20"/>
    </row>
    <row r="1215">
      <c r="E1215" s="19"/>
      <c r="F1215" s="20"/>
    </row>
    <row r="1216">
      <c r="E1216" s="19"/>
      <c r="F1216" s="20"/>
    </row>
    <row r="1217">
      <c r="E1217" s="19"/>
      <c r="F1217" s="20"/>
    </row>
    <row r="1218">
      <c r="E1218" s="19"/>
      <c r="F1218" s="20"/>
    </row>
    <row r="1219">
      <c r="E1219" s="19"/>
      <c r="F1219" s="20"/>
    </row>
    <row r="1220">
      <c r="E1220" s="19"/>
      <c r="F1220" s="20"/>
    </row>
    <row r="1221">
      <c r="E1221" s="19"/>
      <c r="F1221" s="20"/>
    </row>
    <row r="1222">
      <c r="E1222" s="19"/>
      <c r="F1222" s="20"/>
    </row>
    <row r="1223">
      <c r="E1223" s="19"/>
      <c r="F1223" s="20"/>
    </row>
    <row r="1224">
      <c r="E1224" s="19"/>
      <c r="F1224" s="20"/>
    </row>
    <row r="1225">
      <c r="E1225" s="19"/>
      <c r="F1225" s="20"/>
    </row>
    <row r="1226">
      <c r="E1226" s="19"/>
      <c r="F1226" s="20"/>
    </row>
    <row r="1227">
      <c r="E1227" s="19"/>
      <c r="F1227" s="20"/>
    </row>
    <row r="1228">
      <c r="E1228" s="19"/>
      <c r="F1228" s="20"/>
    </row>
    <row r="1229">
      <c r="E1229" s="19"/>
      <c r="F1229" s="20"/>
    </row>
    <row r="1230">
      <c r="E1230" s="19"/>
      <c r="F1230" s="20"/>
    </row>
    <row r="1231">
      <c r="E1231" s="19"/>
      <c r="F1231" s="20"/>
    </row>
    <row r="1232">
      <c r="E1232" s="19"/>
      <c r="F1232" s="20"/>
    </row>
    <row r="1233">
      <c r="E1233" s="19"/>
      <c r="F1233" s="20"/>
    </row>
    <row r="1234">
      <c r="E1234" s="19"/>
      <c r="F1234" s="20"/>
    </row>
    <row r="1235">
      <c r="E1235" s="19"/>
      <c r="F1235" s="20"/>
    </row>
    <row r="1236">
      <c r="E1236" s="19"/>
      <c r="F1236" s="20"/>
    </row>
    <row r="1237">
      <c r="E1237" s="19"/>
      <c r="F1237" s="20"/>
    </row>
    <row r="1238">
      <c r="E1238" s="19"/>
      <c r="F1238" s="20"/>
    </row>
    <row r="1239">
      <c r="E1239" s="19"/>
      <c r="F1239" s="20"/>
    </row>
    <row r="1240">
      <c r="E1240" s="19"/>
      <c r="F1240" s="20"/>
    </row>
    <row r="1241">
      <c r="E1241" s="19"/>
      <c r="F1241" s="20"/>
    </row>
    <row r="1242">
      <c r="E1242" s="19"/>
      <c r="F1242" s="20"/>
    </row>
    <row r="1243">
      <c r="E1243" s="19"/>
      <c r="F1243" s="20"/>
    </row>
    <row r="1244">
      <c r="E1244" s="19"/>
      <c r="F1244" s="20"/>
    </row>
    <row r="1245">
      <c r="E1245" s="19"/>
      <c r="F1245" s="20"/>
    </row>
    <row r="1246">
      <c r="E1246" s="19"/>
      <c r="F1246" s="20"/>
    </row>
    <row r="1247">
      <c r="E1247" s="19"/>
      <c r="F1247" s="20"/>
    </row>
    <row r="1248">
      <c r="E1248" s="19"/>
      <c r="F1248" s="20"/>
    </row>
    <row r="1249">
      <c r="E1249" s="19"/>
      <c r="F1249" s="20"/>
    </row>
    <row r="1250">
      <c r="E1250" s="19"/>
      <c r="F1250" s="20"/>
    </row>
    <row r="1251">
      <c r="E1251" s="19"/>
      <c r="F1251" s="20"/>
    </row>
    <row r="1252">
      <c r="E1252" s="19"/>
      <c r="F1252" s="20"/>
    </row>
    <row r="1253">
      <c r="E1253" s="19"/>
      <c r="F1253" s="20"/>
    </row>
    <row r="1254">
      <c r="E1254" s="19"/>
      <c r="F1254" s="20"/>
    </row>
    <row r="1255">
      <c r="E1255" s="19"/>
      <c r="F1255" s="20"/>
    </row>
    <row r="1256">
      <c r="E1256" s="19"/>
      <c r="F1256" s="20"/>
    </row>
    <row r="1257">
      <c r="E1257" s="19"/>
      <c r="F1257" s="20"/>
    </row>
    <row r="1258">
      <c r="E1258" s="19"/>
      <c r="F1258" s="20"/>
    </row>
    <row r="1259">
      <c r="E1259" s="19"/>
      <c r="F1259" s="20"/>
    </row>
    <row r="1260">
      <c r="E1260" s="19"/>
      <c r="F1260" s="20"/>
    </row>
    <row r="1261">
      <c r="E1261" s="19"/>
      <c r="F1261" s="20"/>
    </row>
    <row r="1262">
      <c r="E1262" s="19"/>
      <c r="F1262" s="20"/>
    </row>
    <row r="1263">
      <c r="E1263" s="19"/>
      <c r="F1263" s="20"/>
    </row>
    <row r="1264">
      <c r="E1264" s="19"/>
      <c r="F1264" s="20"/>
    </row>
    <row r="1265">
      <c r="E1265" s="19"/>
      <c r="F1265" s="20"/>
    </row>
    <row r="1266">
      <c r="E1266" s="19"/>
      <c r="F1266" s="20"/>
    </row>
    <row r="1267">
      <c r="E1267" s="19"/>
      <c r="F1267" s="20"/>
    </row>
    <row r="1268">
      <c r="E1268" s="19"/>
      <c r="F1268" s="20"/>
    </row>
    <row r="1269">
      <c r="E1269" s="19"/>
      <c r="F1269" s="20"/>
    </row>
    <row r="1270">
      <c r="E1270" s="19"/>
      <c r="F1270" s="20"/>
    </row>
    <row r="1271">
      <c r="E1271" s="19"/>
      <c r="F1271" s="20"/>
    </row>
    <row r="1272">
      <c r="E1272" s="19"/>
      <c r="F1272" s="20"/>
    </row>
    <row r="1273">
      <c r="E1273" s="19"/>
      <c r="F1273" s="20"/>
    </row>
    <row r="1274">
      <c r="E1274" s="19"/>
      <c r="F1274" s="20"/>
    </row>
    <row r="1275">
      <c r="E1275" s="19"/>
      <c r="F1275" s="20"/>
    </row>
    <row r="1276">
      <c r="E1276" s="19"/>
      <c r="F1276" s="20"/>
    </row>
    <row r="1277">
      <c r="E1277" s="19"/>
      <c r="F1277" s="20"/>
    </row>
    <row r="1278">
      <c r="E1278" s="19"/>
      <c r="F1278" s="20"/>
    </row>
    <row r="1279">
      <c r="E1279" s="19"/>
      <c r="F1279" s="20"/>
    </row>
    <row r="1280">
      <c r="E1280" s="19"/>
      <c r="F1280" s="20"/>
    </row>
    <row r="1281">
      <c r="E1281" s="19"/>
      <c r="F1281" s="20"/>
    </row>
    <row r="1282">
      <c r="E1282" s="19"/>
      <c r="F1282" s="20"/>
    </row>
    <row r="1283">
      <c r="E1283" s="19"/>
      <c r="F1283" s="20"/>
    </row>
    <row r="1284">
      <c r="E1284" s="19"/>
      <c r="F1284" s="20"/>
    </row>
    <row r="1285">
      <c r="E1285" s="19"/>
      <c r="F1285" s="20"/>
    </row>
    <row r="1286">
      <c r="E1286" s="19"/>
      <c r="F1286" s="20"/>
    </row>
    <row r="1287">
      <c r="E1287" s="19"/>
      <c r="F1287" s="20"/>
    </row>
    <row r="1288">
      <c r="E1288" s="19"/>
      <c r="F1288" s="20"/>
    </row>
    <row r="1289">
      <c r="E1289" s="19"/>
      <c r="F1289" s="20"/>
    </row>
    <row r="1290">
      <c r="E1290" s="19"/>
      <c r="F1290" s="20"/>
    </row>
    <row r="1291">
      <c r="E1291" s="19"/>
      <c r="F1291" s="20"/>
    </row>
    <row r="1292">
      <c r="E1292" s="19"/>
      <c r="F1292" s="20"/>
    </row>
    <row r="1293">
      <c r="E1293" s="19"/>
      <c r="F1293" s="20"/>
    </row>
    <row r="1294">
      <c r="E1294" s="19"/>
      <c r="F1294" s="20"/>
    </row>
    <row r="1295">
      <c r="E1295" s="19"/>
      <c r="F1295" s="20"/>
    </row>
    <row r="1296">
      <c r="E1296" s="19"/>
      <c r="F1296" s="20"/>
    </row>
    <row r="1297">
      <c r="E1297" s="19"/>
      <c r="F1297" s="20"/>
    </row>
    <row r="1298">
      <c r="E1298" s="19"/>
      <c r="F1298" s="20"/>
    </row>
    <row r="1299">
      <c r="E1299" s="19"/>
      <c r="F1299" s="20"/>
    </row>
    <row r="1300">
      <c r="E1300" s="19"/>
      <c r="F1300"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hidden="1" min="1" max="1" width="30.75"/>
    <col customWidth="1" hidden="1" min="2" max="2" width="86.25"/>
    <col customWidth="1" hidden="1" min="3" max="3" width="4.38"/>
    <col hidden="1" min="4" max="4" width="12.63"/>
    <col customWidth="1" min="5" max="5" width="30.75"/>
    <col customWidth="1" min="6" max="6" width="86.25"/>
    <col customWidth="1" min="7" max="7" width="29.38"/>
  </cols>
  <sheetData>
    <row r="1">
      <c r="A1" s="22"/>
      <c r="E1" s="23" t="s">
        <v>1762</v>
      </c>
      <c r="F1" s="24" t="s">
        <v>1769</v>
      </c>
      <c r="G1" s="25" t="s">
        <v>1764</v>
      </c>
    </row>
    <row r="2">
      <c r="A2" s="22" t="str">
        <f>IFERROR(__xludf.DUMMYFUNCTION("UNIQUE(query('DB Web'!B:D,""Select * where D='BRS' order by B ASC, C ASC""))"),"a@bps:go")</f>
        <v>a@bps:go</v>
      </c>
      <c r="B2" s="13" t="str">
        <f>IFERROR(__xludf.DUMMYFUNCTION("""COMPUTED_VALUE"""),"Keadaan Ketenagakerjaan Dairi Agustus 2024")</f>
        <v>Keadaan Ketenagakerjaan Dairi Agustus 2024</v>
      </c>
      <c r="C2" s="13" t="str">
        <f>IFERROR(__xludf.DUMMYFUNCTION("""COMPUTED_VALUE"""),"BRS")</f>
        <v>BRS</v>
      </c>
      <c r="E2" s="26" t="str">
        <f t="array" ref="E2:E57">UNIQUE(A2:A1717)</f>
        <v>a@bps:go</v>
      </c>
      <c r="F2" s="27" t="str">
        <f>IFERROR(__xludf.DUMMYFUNCTION("JOIN(""
"",FILTER($B2:$B1717,$A2:$A1717=E2))"),"Keadaan Ketenagakerjaan Dairi Agustus 2024")</f>
        <v>Keadaan Ketenagakerjaan Dairi Agustus 2024</v>
      </c>
      <c r="G2" s="28"/>
    </row>
    <row r="3">
      <c r="A3" s="13" t="str">
        <f>IFERROR(__xludf.DUMMYFUNCTION("""COMPUTED_VALUE"""),"a@bps:go:id")</f>
        <v>a@bps:go:id</v>
      </c>
      <c r="B3" s="13" t="str">
        <f>IFERROR(__xludf.DUMMYFUNCTION("""COMPUTED_VALUE"""),"Keadaan Ketenagakerjaan Dairi Agustus 2024")</f>
        <v>Keadaan Ketenagakerjaan Dairi Agustus 2024</v>
      </c>
      <c r="C3" s="13" t="str">
        <f>IFERROR(__xludf.DUMMYFUNCTION("""COMPUTED_VALUE"""),"BRS")</f>
        <v>BRS</v>
      </c>
      <c r="E3" s="26" t="s">
        <v>1240</v>
      </c>
      <c r="F3" s="27" t="str">
        <f>IFERROR(__xludf.DUMMYFUNCTION("JOIN(""
"",FILTER($B:$B,$A:$A=E3))"),"Keadaan Ketenagakerjaan Dairi Agustus 2024")</f>
        <v>Keadaan Ketenagakerjaan Dairi Agustus 2024</v>
      </c>
      <c r="G3" s="28"/>
    </row>
    <row r="4">
      <c r="A4" s="13" t="str">
        <f>IFERROR(__xludf.DUMMYFUNCTION("""COMPUTED_VALUE"""),"a@bps:god")</f>
        <v>a@bps:god</v>
      </c>
      <c r="B4" s="13" t="str">
        <f>IFERROR(__xludf.DUMMYFUNCTION("""COMPUTED_VALUE"""),"Keadaan Ketenagakerjaan Dairi Agustus 2024")</f>
        <v>Keadaan Ketenagakerjaan Dairi Agustus 2024</v>
      </c>
      <c r="C4" s="13" t="str">
        <f>IFERROR(__xludf.DUMMYFUNCTION("""COMPUTED_VALUE"""),"BRS")</f>
        <v>BRS</v>
      </c>
      <c r="E4" s="26" t="s">
        <v>1315</v>
      </c>
      <c r="F4" s="27" t="str">
        <f>IFERROR(__xludf.DUMMYFUNCTION("JOIN(""
"",FILTER($B:$B,$A:$A=E4))"),"Keadaan Ketenagakerjaan Dairi Agustus 2024")</f>
        <v>Keadaan Ketenagakerjaan Dairi Agustus 2024</v>
      </c>
      <c r="G4" s="28"/>
    </row>
    <row r="5">
      <c r="A5" s="13" t="str">
        <f>IFERROR(__xludf.DUMMYFUNCTION("""COMPUTED_VALUE"""),"angrenisiska066@gmail:com")</f>
        <v>angrenisiska066@gmail:com</v>
      </c>
      <c r="B5" s="13" t="str">
        <f>IFERROR(__xludf.DUMMYFUNCTION("""COMPUTED_VALUE"""),"Indeks Pembangunan Manusia (IPM) Kabupaten Dairi 2022 mencapai 72,56")</f>
        <v>Indeks Pembangunan Manusia (IPM) Kabupaten Dairi 2022 mencapai 72,56</v>
      </c>
      <c r="C5" s="13" t="str">
        <f>IFERROR(__xludf.DUMMYFUNCTION("""COMPUTED_VALUE"""),"BRS")</f>
        <v>BRS</v>
      </c>
      <c r="E5" s="26" t="s">
        <v>1733</v>
      </c>
      <c r="F5" s="27" t="str">
        <f>IFERROR(__xludf.DUMMYFUNCTION("JOIN(""
"",FILTER($B:$B,$A:$A=E5))"),"Indeks Pembangunan Manusia (IPM) Kabupaten Dairi 2022 mencapai 72,56
Nilai Tukar Petani Provinsi Sumatera Utara Oktober 2022 sebesar 121,12")</f>
        <v>Indeks Pembangunan Manusia (IPM) Kabupaten Dairi 2022 mencapai 72,56
Nilai Tukar Petani Provinsi Sumatera Utara Oktober 2022 sebesar 121,12</v>
      </c>
      <c r="G5" s="28"/>
    </row>
    <row r="6">
      <c r="A6" s="13" t="str">
        <f>IFERROR(__xludf.DUMMYFUNCTION("""COMPUTED_VALUE"""),"angrenisiska066@gmail:com")</f>
        <v>angrenisiska066@gmail:com</v>
      </c>
      <c r="B6" s="13" t="str">
        <f>IFERROR(__xludf.DUMMYFUNCTION("""COMPUTED_VALUE"""),"Nilai Tukar Petani Provinsi Sumatera Utara Oktober 2022 sebesar 121,12")</f>
        <v>Nilai Tukar Petani Provinsi Sumatera Utara Oktober 2022 sebesar 121,12</v>
      </c>
      <c r="C6" s="13" t="str">
        <f>IFERROR(__xludf.DUMMYFUNCTION("""COMPUTED_VALUE"""),"BRS")</f>
        <v>BRS</v>
      </c>
      <c r="E6" s="26" t="s">
        <v>1454</v>
      </c>
      <c r="F6" s="27" t="str">
        <f>IFERROR(__xludf.DUMMYFUNCTION("JOIN(""
"",FILTER($B:$B,$A:$A=E6))"),"Ekonomi Kabupaten Dairi Tahun-2022 terhadap Tahun-2021 mengalami pertumbuhan sebesar 4,21 persen (y-on-y)")</f>
        <v>Ekonomi Kabupaten Dairi Tahun-2022 terhadap Tahun-2021 mengalami pertumbuhan sebesar 4,21 persen (y-on-y)</v>
      </c>
      <c r="G6" s="28"/>
    </row>
    <row r="7">
      <c r="A7" s="13" t="str">
        <f>IFERROR(__xludf.DUMMYFUNCTION("""COMPUTED_VALUE"""),"anjelezanias@gmail:com")</f>
        <v>anjelezanias@gmail:com</v>
      </c>
      <c r="B7" s="13" t="str">
        <f>IFERROR(__xludf.DUMMYFUNCTION("""COMPUTED_VALUE"""),"Ekonomi Kabupaten Dairi Tahun-2022 terhadap Tahun-2021 mengalami pertumbuhan sebesar 4,21 persen (y-on-y)")</f>
        <v>Ekonomi Kabupaten Dairi Tahun-2022 terhadap Tahun-2021 mengalami pertumbuhan sebesar 4,21 persen (y-on-y)</v>
      </c>
      <c r="C7" s="13" t="str">
        <f>IFERROR(__xludf.DUMMYFUNCTION("""COMPUTED_VALUE"""),"BRS")</f>
        <v>BRS</v>
      </c>
      <c r="E7" s="26" t="s">
        <v>1643</v>
      </c>
      <c r="F7" s="27" t="str">
        <f>IFERROR(__xludf.DUMMYFUNCTION("JOIN(""
"",FILTER($B:$B,$A:$A=E7))"),"Jumlah Wisman ke Sumatera Utara pada Oktober 2022 sebanyak 11:454 Kunjungan
Oktober 2022, Ekspor Sumatera Utara mengalami penurunan sebesar 6,27 persen
Tingkat Pengangguran Terbuka Kabupaten Dairi 2022 sebesar 0,88 persen")</f>
        <v>Jumlah Wisman ke Sumatera Utara pada Oktober 2022 sebanyak 11:454 Kunjungan
Oktober 2022, Ekspor Sumatera Utara mengalami penurunan sebesar 6,27 persen
Tingkat Pengangguran Terbuka Kabupaten Dairi 2022 sebesar 0,88 persen</v>
      </c>
      <c r="G7" s="28"/>
    </row>
    <row r="8">
      <c r="A8" s="13" t="str">
        <f>IFERROR(__xludf.DUMMYFUNCTION("""COMPUTED_VALUE"""),"anrisinaga12@yahoo:com")</f>
        <v>anrisinaga12@yahoo:com</v>
      </c>
      <c r="B8" s="13" t="str">
        <f>IFERROR(__xludf.DUMMYFUNCTION("""COMPUTED_VALUE"""),"Jumlah Wisman ke Sumatera Utara pada Oktober 2022 sebanyak 11:454 Kunjungan")</f>
        <v>Jumlah Wisman ke Sumatera Utara pada Oktober 2022 sebanyak 11:454 Kunjungan</v>
      </c>
      <c r="C8" s="13" t="str">
        <f>IFERROR(__xludf.DUMMYFUNCTION("""COMPUTED_VALUE"""),"BRS")</f>
        <v>BRS</v>
      </c>
      <c r="E8" s="26" t="s">
        <v>368</v>
      </c>
      <c r="F8" s="27" t="str">
        <f>IFERROR(__xludf.DUMMYFUNCTION("JOIN(""
"",FILTER($B:$B,$A:$A=E8))"),"Tingkat Pengangguran Terbuka Kabupaten Dairi 2022 sebesar 0,88 persen")</f>
        <v>Tingkat Pengangguran Terbuka Kabupaten Dairi 2022 sebesar 0,88 persen</v>
      </c>
      <c r="G8" s="28"/>
    </row>
    <row r="9">
      <c r="A9" s="13" t="str">
        <f>IFERROR(__xludf.DUMMYFUNCTION("""COMPUTED_VALUE"""),"anrisinaga12@yahoo:com")</f>
        <v>anrisinaga12@yahoo:com</v>
      </c>
      <c r="B9" s="13" t="str">
        <f>IFERROR(__xludf.DUMMYFUNCTION("""COMPUTED_VALUE"""),"Oktober 2022, Ekspor Sumatera Utara mengalami penurunan sebesar 6,27 persen")</f>
        <v>Oktober 2022, Ekspor Sumatera Utara mengalami penurunan sebesar 6,27 persen</v>
      </c>
      <c r="C9" s="13" t="str">
        <f>IFERROR(__xludf.DUMMYFUNCTION("""COMPUTED_VALUE"""),"BRS")</f>
        <v>BRS</v>
      </c>
      <c r="E9" s="26" t="s">
        <v>1288</v>
      </c>
      <c r="F9" s="27" t="str">
        <f>IFERROR(__xludf.DUMMYFUNCTION("JOIN(""
"",FILTER($B:$B,$A:$A=E9))"),"Indeks Pembangunan Manusia (IPM) Kabupaten Dairi Tahun 2024
Keadaan Ketenagakerjaan Dairi Agustus 2024
Kemiskinan Kabupaten Dairi Tahun 2024")</f>
        <v>Indeks Pembangunan Manusia (IPM) Kabupaten Dairi Tahun 2024
Keadaan Ketenagakerjaan Dairi Agustus 2024
Kemiskinan Kabupaten Dairi Tahun 2024</v>
      </c>
      <c r="G9" s="28"/>
    </row>
    <row r="10">
      <c r="A10" s="13" t="str">
        <f>IFERROR(__xludf.DUMMYFUNCTION("""COMPUTED_VALUE"""),"anrisinaga12@yahoo:com")</f>
        <v>anrisinaga12@yahoo:com</v>
      </c>
      <c r="B10" s="13" t="str">
        <f>IFERROR(__xludf.DUMMYFUNCTION("""COMPUTED_VALUE"""),"Tingkat Pengangguran Terbuka Kabupaten Dairi 2022 sebesar 0,88 persen")</f>
        <v>Tingkat Pengangguran Terbuka Kabupaten Dairi 2022 sebesar 0,88 persen</v>
      </c>
      <c r="C10" s="13" t="str">
        <f>IFERROR(__xludf.DUMMYFUNCTION("""COMPUTED_VALUE"""),"BRS")</f>
        <v>BRS</v>
      </c>
      <c r="E10" s="26" t="s">
        <v>1163</v>
      </c>
      <c r="F10" s="27" t="str">
        <f>IFERROR(__xludf.DUMMYFUNCTION("JOIN(""
"",FILTER($B:$B,$A:$A=E10))"),"Ekonomi Kabupaten Dairi Tahun-2022 terhadap Tahun-2021 mengalami pertumbuhan sebesar 4,21 persen (y-on-y)
Indeks Pembangunan Manusia (IPM) Kabupaten Dairi Tahun 2024")</f>
        <v>Ekonomi Kabupaten Dairi Tahun-2022 terhadap Tahun-2021 mengalami pertumbuhan sebesar 4,21 persen (y-on-y)
Indeks Pembangunan Manusia (IPM) Kabupaten Dairi Tahun 2024</v>
      </c>
      <c r="G10" s="28"/>
    </row>
    <row r="11">
      <c r="A11" s="13" t="str">
        <f>IFERROR(__xludf.DUMMYFUNCTION("""COMPUTED_VALUE"""),"bantjincharles@gmail:com")</f>
        <v>bantjincharles@gmail:com</v>
      </c>
      <c r="B11" s="13" t="str">
        <f>IFERROR(__xludf.DUMMYFUNCTION("""COMPUTED_VALUE"""),"Tingkat Pengangguran Terbuka Kabupaten Dairi 2022 sebesar 0,88 persen")</f>
        <v>Tingkat Pengangguran Terbuka Kabupaten Dairi 2022 sebesar 0,88 persen</v>
      </c>
      <c r="C11" s="13" t="str">
        <f>IFERROR(__xludf.DUMMYFUNCTION("""COMPUTED_VALUE"""),"BRS")</f>
        <v>BRS</v>
      </c>
      <c r="E11" s="26" t="s">
        <v>1274</v>
      </c>
      <c r="F11" s="27" t="str">
        <f>IFERROR(__xludf.DUMMYFUNCTION("JOIN(""
"",FILTER($B:$B,$A:$A=E11))"),"Indeks Pembangunan Manusia (IPM) Kabupaten Dairi Tahun 2024")</f>
        <v>Indeks Pembangunan Manusia (IPM) Kabupaten Dairi Tahun 2024</v>
      </c>
      <c r="G11" s="28"/>
    </row>
    <row r="12">
      <c r="A12" s="13" t="str">
        <f>IFERROR(__xludf.DUMMYFUNCTION("""COMPUTED_VALUE"""),"bps1210@bps:go:id")</f>
        <v>bps1210@bps:go:id</v>
      </c>
      <c r="B12" s="13" t="str">
        <f>IFERROR(__xludf.DUMMYFUNCTION("""COMPUTED_VALUE"""),"Indeks Pembangunan Manusia (IPM) Kabupaten Dairi Tahun 2024")</f>
        <v>Indeks Pembangunan Manusia (IPM) Kabupaten Dairi Tahun 2024</v>
      </c>
      <c r="C12" s="13" t="str">
        <f>IFERROR(__xludf.DUMMYFUNCTION("""COMPUTED_VALUE"""),"BRS")</f>
        <v>BRS</v>
      </c>
      <c r="E12" s="26" t="s">
        <v>1297</v>
      </c>
      <c r="F12" s="27" t="str">
        <f>IFERROR(__xludf.DUMMYFUNCTION("JOIN(""
"",FILTER($B:$B,$A:$A=E12))"),"[Sumatera Utara] Ekonomi Sumatera Utara Tahun 2024 tumbuh sebesar 5,01 persen (c-to-c)
[Sumatera Utara] Nilai Tukar Petani Provinsi Sumatera Utara Desember 2024 sebesar 129,04
Nilai Tukar Petani Provinsi Sumatera Utara November 2024 sebesar 127,81:")</f>
        <v>[Sumatera Utara] Ekonomi Sumatera Utara Tahun 2024 tumbuh sebesar 5,01 persen (c-to-c)
[Sumatera Utara] Nilai Tukar Petani Provinsi Sumatera Utara Desember 2024 sebesar 129,04
Nilai Tukar Petani Provinsi Sumatera Utara November 2024 sebesar 127,81:</v>
      </c>
      <c r="G12" s="28"/>
    </row>
    <row r="13">
      <c r="A13" s="13" t="str">
        <f>IFERROR(__xludf.DUMMYFUNCTION("""COMPUTED_VALUE"""),"bps1210@bps:go:id")</f>
        <v>bps1210@bps:go:id</v>
      </c>
      <c r="B13" s="13" t="str">
        <f>IFERROR(__xludf.DUMMYFUNCTION("""COMPUTED_VALUE"""),"Keadaan Ketenagakerjaan Dairi Agustus 2024")</f>
        <v>Keadaan Ketenagakerjaan Dairi Agustus 2024</v>
      </c>
      <c r="C13" s="13" t="str">
        <f>IFERROR(__xludf.DUMMYFUNCTION("""COMPUTED_VALUE"""),"BRS")</f>
        <v>BRS</v>
      </c>
      <c r="E13" s="26" t="s">
        <v>1151</v>
      </c>
      <c r="F13" s="27" t="str">
        <f>IFERROR(__xludf.DUMMYFUNCTION("JOIN(""
"",FILTER($B:$B,$A:$A=E13))"),"Ekonomi Kabupaten Dairi Tahun 2021 Meningkat Sebesar 2,05 Persen
Indeks Pembangunan Manusia (IPM) Kabupaten Dairi pada tahun 2021 mencapai 71,84
Indeks Pembangunan Manusia (IPM) Kabupaten Dairi Tahun 2024")</f>
        <v>Ekonomi Kabupaten Dairi Tahun 2021 Meningkat Sebesar 2,05 Persen
Indeks Pembangunan Manusia (IPM) Kabupaten Dairi pada tahun 2021 mencapai 71,84
Indeks Pembangunan Manusia (IPM) Kabupaten Dairi Tahun 2024</v>
      </c>
      <c r="G13" s="28"/>
    </row>
    <row r="14">
      <c r="A14" s="13" t="str">
        <f>IFERROR(__xludf.DUMMYFUNCTION("""COMPUTED_VALUE"""),"bps1210@bps:go:id")</f>
        <v>bps1210@bps:go:id</v>
      </c>
      <c r="B14" s="13" t="str">
        <f>IFERROR(__xludf.DUMMYFUNCTION("""COMPUTED_VALUE"""),"Kemiskinan Kabupaten Dairi Tahun 2024")</f>
        <v>Kemiskinan Kabupaten Dairi Tahun 2024</v>
      </c>
      <c r="C14" s="13" t="str">
        <f>IFERROR(__xludf.DUMMYFUNCTION("""COMPUTED_VALUE"""),"BRS")</f>
        <v>BRS</v>
      </c>
      <c r="E14" s="26" t="s">
        <v>1166</v>
      </c>
      <c r="F14" s="27" t="str">
        <f>IFERROR(__xludf.DUMMYFUNCTION("JOIN(""
"",FILTER($B:$B,$A:$A=E14))"),"Indeks Pembangunan Manusia (IPM) Kabupaten Dairi 2022 mencapai 72,56
Indeks Pembangunan Manusia (IPM) Kabupaten Dairi Tahun 2024")</f>
        <v>Indeks Pembangunan Manusia (IPM) Kabupaten Dairi 2022 mencapai 72,56
Indeks Pembangunan Manusia (IPM) Kabupaten Dairi Tahun 2024</v>
      </c>
      <c r="G14" s="28"/>
    </row>
    <row r="15">
      <c r="A15" s="13" t="str">
        <f>IFERROR(__xludf.DUMMYFUNCTION("""COMPUTED_VALUE"""),"bps1216@gmail:com")</f>
        <v>bps1216@gmail:com</v>
      </c>
      <c r="B15" s="13" t="str">
        <f>IFERROR(__xludf.DUMMYFUNCTION("""COMPUTED_VALUE"""),"Ekonomi Kabupaten Dairi Tahun-2022 terhadap Tahun-2021 mengalami pertumbuhan sebesar 4,21 persen (y-on-y)")</f>
        <v>Ekonomi Kabupaten Dairi Tahun-2022 terhadap Tahun-2021 mengalami pertumbuhan sebesar 4,21 persen (y-on-y)</v>
      </c>
      <c r="C15" s="13" t="str">
        <f>IFERROR(__xludf.DUMMYFUNCTION("""COMPUTED_VALUE"""),"BRS")</f>
        <v>BRS</v>
      </c>
      <c r="E15" s="26" t="s">
        <v>1426</v>
      </c>
      <c r="F15" s="27" t="str">
        <f>IFERROR(__xludf.DUMMYFUNCTION("JOIN(""
"",FILTER($B:$B,$A:$A=E15))"),"Indeks Pembangunan Manusia (IPM) Kabupaten Dairi 2022 mencapai 72,56
Indeks Pembangunan Manusia (IPM) Kabupaten Dairi Tahun 2024")</f>
        <v>Indeks Pembangunan Manusia (IPM) Kabupaten Dairi 2022 mencapai 72,56
Indeks Pembangunan Manusia (IPM) Kabupaten Dairi Tahun 2024</v>
      </c>
      <c r="G15" s="28"/>
    </row>
    <row r="16">
      <c r="A16" s="13" t="str">
        <f>IFERROR(__xludf.DUMMYFUNCTION("""COMPUTED_VALUE"""),"bps1216@gmail:com")</f>
        <v>bps1216@gmail:com</v>
      </c>
      <c r="B16" s="13" t="str">
        <f>IFERROR(__xludf.DUMMYFUNCTION("""COMPUTED_VALUE"""),"Indeks Pembangunan Manusia (IPM) Kabupaten Dairi Tahun 2024")</f>
        <v>Indeks Pembangunan Manusia (IPM) Kabupaten Dairi Tahun 2024</v>
      </c>
      <c r="C16" s="13" t="str">
        <f>IFERROR(__xludf.DUMMYFUNCTION("""COMPUTED_VALUE"""),"BRS")</f>
        <v>BRS</v>
      </c>
      <c r="E16" s="26" t="s">
        <v>1526</v>
      </c>
      <c r="F16" s="27" t="str">
        <f>IFERROR(__xludf.DUMMYFUNCTION("JOIN(""
"",FILTER($B:$B,$A:$A=E16))"),"[Sumatera Utara] November 2024, Ekspor Sumatera Utara mengalami penurunan sebesar 6,80 persen dan , Impor Sumatera Utara mengalami kenaikan sebesar 17,70 persen")</f>
        <v>[Sumatera Utara] November 2024, Ekspor Sumatera Utara mengalami penurunan sebesar 6,80 persen dan , Impor Sumatera Utara mengalami kenaikan sebesar 17,70 persen</v>
      </c>
      <c r="G16" s="28"/>
    </row>
    <row r="17">
      <c r="A17" s="13" t="str">
        <f>IFERROR(__xludf.DUMMYFUNCTION("""COMPUTED_VALUE"""),"carolineyessica@gmail:com")</f>
        <v>carolineyessica@gmail:com</v>
      </c>
      <c r="B17" s="13" t="str">
        <f>IFERROR(__xludf.DUMMYFUNCTION("""COMPUTED_VALUE"""),"Indeks Pembangunan Manusia (IPM) Kabupaten Dairi Tahun 2024")</f>
        <v>Indeks Pembangunan Manusia (IPM) Kabupaten Dairi Tahun 2024</v>
      </c>
      <c r="C17" s="13" t="str">
        <f>IFERROR(__xludf.DUMMYFUNCTION("""COMPUTED_VALUE"""),"BRS")</f>
        <v>BRS</v>
      </c>
      <c r="E17" s="26" t="s">
        <v>1503</v>
      </c>
      <c r="F17" s="27" t="str">
        <f>IFERROR(__xludf.DUMMYFUNCTION("JOIN(""
"",FILTER($B:$B,$A:$A=E17))"),"Indeks Pembangunan Manusia (IPM) Kabupaten Dairi Tahun 2024")</f>
        <v>Indeks Pembangunan Manusia (IPM) Kabupaten Dairi Tahun 2024</v>
      </c>
      <c r="G17" s="28"/>
    </row>
    <row r="18">
      <c r="A18" s="13" t="str">
        <f>IFERROR(__xludf.DUMMYFUNCTION("""COMPUTED_VALUE"""),"dadad@koko:com")</f>
        <v>dadad@koko:com</v>
      </c>
      <c r="B18" s="13" t="str">
        <f>IFERROR(__xludf.DUMMYFUNCTION("""COMPUTED_VALUE"""),"[Sumatera Utara] Ekonomi Sumatera Utara Tahun 2024 tumbuh sebesar 5,01 persen (c-to-c)")</f>
        <v>[Sumatera Utara] Ekonomi Sumatera Utara Tahun 2024 tumbuh sebesar 5,01 persen (c-to-c)</v>
      </c>
      <c r="C18" s="13" t="str">
        <f>IFERROR(__xludf.DUMMYFUNCTION("""COMPUTED_VALUE"""),"BRS")</f>
        <v>BRS</v>
      </c>
      <c r="E18" s="26" t="s">
        <v>1329</v>
      </c>
      <c r="F18" s="27" t="str">
        <f>IFERROR(__xludf.DUMMYFUNCTION("JOIN(""
"",FILTER($B:$B,$A:$A=E18))"),"Ekonomi Kabupaten Dairi Tahun-2022 terhadap Tahun-2021 mengalami pertumbuhan sebesar 4,21 persen (y-on-y)
Tingkat Pengangguran Terbuka (TPT) sebesar 5,24 persen")</f>
        <v>Ekonomi Kabupaten Dairi Tahun-2022 terhadap Tahun-2021 mengalami pertumbuhan sebesar 4,21 persen (y-on-y)
Tingkat Pengangguran Terbuka (TPT) sebesar 5,24 persen</v>
      </c>
      <c r="G18" s="28"/>
    </row>
    <row r="19">
      <c r="A19" s="13" t="str">
        <f>IFERROR(__xludf.DUMMYFUNCTION("""COMPUTED_VALUE"""),"dadad@koko:com")</f>
        <v>dadad@koko:com</v>
      </c>
      <c r="B19" s="13" t="str">
        <f>IFERROR(__xludf.DUMMYFUNCTION("""COMPUTED_VALUE"""),"[Sumatera Utara] Nilai Tukar Petani Provinsi Sumatera Utara Desember 2024 sebesar 129,04")</f>
        <v>[Sumatera Utara] Nilai Tukar Petani Provinsi Sumatera Utara Desember 2024 sebesar 129,04</v>
      </c>
      <c r="C19" s="13" t="str">
        <f>IFERROR(__xludf.DUMMYFUNCTION("""COMPUTED_VALUE"""),"BRS")</f>
        <v>BRS</v>
      </c>
      <c r="E19" s="26" t="s">
        <v>1176</v>
      </c>
      <c r="F19" s="27" t="str">
        <f>IFERROR(__xludf.DUMMYFUNCTION("JOIN(""
"",FILTER($B:$B,$A:$A=E19))"),"Ekonomi Kabupaten Dairi Tahun-2022 terhadap Tahun-2021 mengalami pertumbuhan sebesar 4,21 persen (y-on-y)
Tingkat Pengangguran Terbuka (TPT) sebesar 5,24 persen
Tingkat Pengangguran Terbuka (TPT) sebesar 5,47 persen
Tingkat Pengangguran Terbuka (TPT) Suma"&amp;"tera Utara 2021 sebesar 6,33 persen")</f>
        <v>Ekonomi Kabupaten Dairi Tahun-2022 terhadap Tahun-2021 mengalami pertumbuhan sebesar 4,21 persen (y-on-y)
Tingkat Pengangguran Terbuka (TPT) sebesar 5,24 persen
Tingkat Pengangguran Terbuka (TPT) sebesar 5,47 persen
Tingkat Pengangguran Terbuka (TPT) Sumatera Utara 2021 sebesar 6,33 persen</v>
      </c>
      <c r="G19" s="28"/>
    </row>
    <row r="20">
      <c r="A20" s="13" t="str">
        <f>IFERROR(__xludf.DUMMYFUNCTION("""COMPUTED_VALUE"""),"dadad@koko:com")</f>
        <v>dadad@koko:com</v>
      </c>
      <c r="B20" s="13" t="str">
        <f>IFERROR(__xludf.DUMMYFUNCTION("""COMPUTED_VALUE"""),"Nilai Tukar Petani Provinsi Sumatera Utara November 2024 sebesar 127,81:")</f>
        <v>Nilai Tukar Petani Provinsi Sumatera Utara November 2024 sebesar 127,81:</v>
      </c>
      <c r="C20" s="13" t="str">
        <f>IFERROR(__xludf.DUMMYFUNCTION("""COMPUTED_VALUE"""),"BRS")</f>
        <v>BRS</v>
      </c>
      <c r="E20" s="26" t="s">
        <v>1165</v>
      </c>
      <c r="F20" s="27" t="str">
        <f>IFERROR(__xludf.DUMMYFUNCTION("JOIN(""
"",FILTER($B:$B,$A:$A=E20))"),"Ekonomi Kabupaten Dairi Tahun-2022 terhadap Tahun-2021 mengalami pertumbuhan sebesar 4,21 persen (y-on-y)")</f>
        <v>Ekonomi Kabupaten Dairi Tahun-2022 terhadap Tahun-2021 mengalami pertumbuhan sebesar 4,21 persen (y-on-y)</v>
      </c>
      <c r="G20" s="28"/>
    </row>
    <row r="21">
      <c r="A21" s="13" t="str">
        <f>IFERROR(__xludf.DUMMYFUNCTION("""COMPUTED_VALUE"""),"david:pasaribu@bps:go:id")</f>
        <v>david:pasaribu@bps:go:id</v>
      </c>
      <c r="B21" s="13" t="str">
        <f>IFERROR(__xludf.DUMMYFUNCTION("""COMPUTED_VALUE"""),"Ekonomi Kabupaten Dairi Tahun 2021 Meningkat Sebesar 2,05 Persen")</f>
        <v>Ekonomi Kabupaten Dairi Tahun 2021 Meningkat Sebesar 2,05 Persen</v>
      </c>
      <c r="C21" s="13" t="str">
        <f>IFERROR(__xludf.DUMMYFUNCTION("""COMPUTED_VALUE"""),"BRS")</f>
        <v>BRS</v>
      </c>
      <c r="E21" s="26" t="s">
        <v>1651</v>
      </c>
      <c r="F21" s="27" t="str">
        <f>IFERROR(__xludf.DUMMYFUNCTION("JOIN(""
"",FILTER($B:$B,$A:$A=E21))"),"Persentase Penduduk Miskin (Po) Kabupaten Dairi Maret 2022 sebesar 7,88 persen")</f>
        <v>Persentase Penduduk Miskin (Po) Kabupaten Dairi Maret 2022 sebesar 7,88 persen</v>
      </c>
      <c r="G21" s="28"/>
    </row>
    <row r="22">
      <c r="A22" s="13" t="str">
        <f>IFERROR(__xludf.DUMMYFUNCTION("""COMPUTED_VALUE"""),"david:pasaribu@bps:go:id")</f>
        <v>david:pasaribu@bps:go:id</v>
      </c>
      <c r="B22" s="13" t="str">
        <f>IFERROR(__xludf.DUMMYFUNCTION("""COMPUTED_VALUE"""),"Indeks Pembangunan Manusia (IPM) Kabupaten Dairi pada tahun 2021 mencapai 71,84")</f>
        <v>Indeks Pembangunan Manusia (IPM) Kabupaten Dairi pada tahun 2021 mencapai 71,84</v>
      </c>
      <c r="C22" s="13" t="str">
        <f>IFERROR(__xludf.DUMMYFUNCTION("""COMPUTED_VALUE"""),"BRS")</f>
        <v>BRS</v>
      </c>
      <c r="E22" s="26" t="s">
        <v>1671</v>
      </c>
      <c r="F22" s="27" t="str">
        <f>IFERROR(__xludf.DUMMYFUNCTION("JOIN(""
"",FILTER($B:$B,$A:$A=E22))"),"Persentase Penduduk Miskin (Po) Kabupaten Dairi Maret 2022 sebesar 7,88 persen")</f>
        <v>Persentase Penduduk Miskin (Po) Kabupaten Dairi Maret 2022 sebesar 7,88 persen</v>
      </c>
      <c r="G22" s="28"/>
    </row>
    <row r="23">
      <c r="A23" s="13" t="str">
        <f>IFERROR(__xludf.DUMMYFUNCTION("""COMPUTED_VALUE"""),"david:pasaribu@bps:go:id")</f>
        <v>david:pasaribu@bps:go:id</v>
      </c>
      <c r="B23" s="13" t="str">
        <f>IFERROR(__xludf.DUMMYFUNCTION("""COMPUTED_VALUE"""),"Indeks Pembangunan Manusia (IPM) Kabupaten Dairi Tahun 2024")</f>
        <v>Indeks Pembangunan Manusia (IPM) Kabupaten Dairi Tahun 2024</v>
      </c>
      <c r="C23" s="13" t="str">
        <f>IFERROR(__xludf.DUMMYFUNCTION("""COMPUTED_VALUE"""),"BRS")</f>
        <v>BRS</v>
      </c>
      <c r="E23" s="26" t="s">
        <v>1351</v>
      </c>
      <c r="F23" s="27" t="str">
        <f>IFERROR(__xludf.DUMMYFUNCTION("JOIN(""
"",FILTER($B:$B,$A:$A=E23))"),"[Sumatera Utara] Nilai Tukar Petani Provinsi Sumatera Utara Desember 2024 sebesar 129,04")</f>
        <v>[Sumatera Utara] Nilai Tukar Petani Provinsi Sumatera Utara Desember 2024 sebesar 129,04</v>
      </c>
      <c r="G23" s="28"/>
    </row>
    <row r="24">
      <c r="A24" s="13" t="str">
        <f>IFERROR(__xludf.DUMMYFUNCTION("""COMPUTED_VALUE"""),"davidpasaribu1982@gmail:com")</f>
        <v>davidpasaribu1982@gmail:com</v>
      </c>
      <c r="B24" s="13" t="str">
        <f>IFERROR(__xludf.DUMMYFUNCTION("""COMPUTED_VALUE"""),"Indeks Pembangunan Manusia (IPM) Kabupaten Dairi 2022 mencapai 72,56")</f>
        <v>Indeks Pembangunan Manusia (IPM) Kabupaten Dairi 2022 mencapai 72,56</v>
      </c>
      <c r="C24" s="13" t="str">
        <f>IFERROR(__xludf.DUMMYFUNCTION("""COMPUTED_VALUE"""),"BRS")</f>
        <v>BRS</v>
      </c>
      <c r="E24" s="26" t="s">
        <v>1558</v>
      </c>
      <c r="F24" s="27" t="str">
        <f>IFERROR(__xludf.DUMMYFUNCTION("JOIN(""
"",FILTER($B:$B,$A:$A=E24))"),"Tingkat Pengangguran Terbuka Kabupaten Dairi 2022 sebesar 0,88 persen")</f>
        <v>Tingkat Pengangguran Terbuka Kabupaten Dairi 2022 sebesar 0,88 persen</v>
      </c>
      <c r="G24" s="28"/>
    </row>
    <row r="25">
      <c r="A25" s="13" t="str">
        <f>IFERROR(__xludf.DUMMYFUNCTION("""COMPUTED_VALUE"""),"davidpasaribu1982@gmail:com")</f>
        <v>davidpasaribu1982@gmail:com</v>
      </c>
      <c r="B25" s="13" t="str">
        <f>IFERROR(__xludf.DUMMYFUNCTION("""COMPUTED_VALUE"""),"Indeks Pembangunan Manusia (IPM) Kabupaten Dairi Tahun 2024")</f>
        <v>Indeks Pembangunan Manusia (IPM) Kabupaten Dairi Tahun 2024</v>
      </c>
      <c r="C25" s="13" t="str">
        <f>IFERROR(__xludf.DUMMYFUNCTION("""COMPUTED_VALUE"""),"BRS")</f>
        <v>BRS</v>
      </c>
      <c r="E25" s="26" t="s">
        <v>1679</v>
      </c>
      <c r="F25" s="27" t="str">
        <f>IFERROR(__xludf.DUMMYFUNCTION("JOIN(""
"",FILTER($B:$B,$A:$A=E25))"),"Persentase Penduduk Miskin (Po) Kabupaten Dairi Maret 2022 sebesar 7,88 persen")</f>
        <v>Persentase Penduduk Miskin (Po) Kabupaten Dairi Maret 2022 sebesar 7,88 persen</v>
      </c>
      <c r="G25" s="28"/>
    </row>
    <row r="26">
      <c r="A26" s="13" t="str">
        <f>IFERROR(__xludf.DUMMYFUNCTION("""COMPUTED_VALUE"""),"davidsimbolon84@gmail:com")</f>
        <v>davidsimbolon84@gmail:com</v>
      </c>
      <c r="B26" s="13" t="str">
        <f>IFERROR(__xludf.DUMMYFUNCTION("""COMPUTED_VALUE"""),"Indeks Pembangunan Manusia (IPM) Kabupaten Dairi 2022 mencapai 72,56")</f>
        <v>Indeks Pembangunan Manusia (IPM) Kabupaten Dairi 2022 mencapai 72,56</v>
      </c>
      <c r="C26" s="13" t="str">
        <f>IFERROR(__xludf.DUMMYFUNCTION("""COMPUTED_VALUE"""),"BRS")</f>
        <v>BRS</v>
      </c>
      <c r="E26" s="26" t="s">
        <v>1622</v>
      </c>
      <c r="F26" s="27" t="str">
        <f>IFERROR(__xludf.DUMMYFUNCTION("JOIN(""
"",FILTER($B:$B,$A:$A=E26))"),"Oktober 2022, inflasi Year on Year (yoy) gabungan lima kota IHK di Sumatera Utara sebesar 5,66 persen")</f>
        <v>Oktober 2022, inflasi Year on Year (yoy) gabungan lima kota IHK di Sumatera Utara sebesar 5,66 persen</v>
      </c>
      <c r="G26" s="28"/>
    </row>
    <row r="27">
      <c r="A27" s="13" t="str">
        <f>IFERROR(__xludf.DUMMYFUNCTION("""COMPUTED_VALUE"""),"davidsimbolon84@gmail:com")</f>
        <v>davidsimbolon84@gmail:com</v>
      </c>
      <c r="B27" s="13" t="str">
        <f>IFERROR(__xludf.DUMMYFUNCTION("""COMPUTED_VALUE"""),"Indeks Pembangunan Manusia (IPM) Kabupaten Dairi Tahun 2024")</f>
        <v>Indeks Pembangunan Manusia (IPM) Kabupaten Dairi Tahun 2024</v>
      </c>
      <c r="C27" s="13" t="str">
        <f>IFERROR(__xludf.DUMMYFUNCTION("""COMPUTED_VALUE"""),"BRS")</f>
        <v>BRS</v>
      </c>
      <c r="E27" s="26" t="s">
        <v>1501</v>
      </c>
      <c r="F27" s="27" t="str">
        <f>IFERROR(__xludf.DUMMYFUNCTION("JOIN(""
"",FILTER($B:$B,$A:$A=E27))"),"Indeks Pembangunan Manusia (IPM) Kabupaten Dairi Tahun 2024
Keadaan Ketenagakerjaan Dairi Agustus 2024
Kemiskinan Kabupaten Dairi Tahun 2024")</f>
        <v>Indeks Pembangunan Manusia (IPM) Kabupaten Dairi Tahun 2024
Keadaan Ketenagakerjaan Dairi Agustus 2024
Kemiskinan Kabupaten Dairi Tahun 2024</v>
      </c>
      <c r="G27" s="28"/>
    </row>
    <row r="28">
      <c r="A28" s="13" t="str">
        <f>IFERROR(__xludf.DUMMYFUNCTION("""COMPUTED_VALUE"""),"dellaindriana21@gmail:com")</f>
        <v>dellaindriana21@gmail:com</v>
      </c>
      <c r="B28" s="13" t="str">
        <f>IFERROR(__xludf.DUMMYFUNCTION("""COMPUTED_VALUE"""),"[Sumatera Utara] November 2024, Ekspor Sumatera Utara mengalami penurunan sebesar 6,80 persen dan , Impor Sumatera Utara mengalami kenaikan sebesar 17,70 persen")</f>
        <v>[Sumatera Utara] November 2024, Ekspor Sumatera Utara mengalami penurunan sebesar 6,80 persen dan , Impor Sumatera Utara mengalami kenaikan sebesar 17,70 persen</v>
      </c>
      <c r="C28" s="13" t="str">
        <f>IFERROR(__xludf.DUMMYFUNCTION("""COMPUTED_VALUE"""),"BRS")</f>
        <v>BRS</v>
      </c>
      <c r="E28" s="26" t="s">
        <v>1150</v>
      </c>
      <c r="F28" s="27" t="str">
        <f>IFERROR(__xludf.DUMMYFUNCTION("JOIN(""
"",FILTER($B:$B,$A:$A=E28))"),"Indeks Pembangunan Manusia (IPM) Kabupaten Dairi 2022 mencapai 72,56
Pada 2022, luas panen padi diperkirakan sebesar 423,52 ribu hektare dengan produksi sekitar 2,13 juta ton GKG
Persentase Penduduk Miskin (Po) Kabupaten Dairi Maret 2022 sebesar 7,88 pers"&amp;"en")</f>
        <v>Indeks Pembangunan Manusia (IPM) Kabupaten Dairi 2022 mencapai 72,56
Pada 2022, luas panen padi diperkirakan sebesar 423,52 ribu hektare dengan produksi sekitar 2,13 juta ton GKG
Persentase Penduduk Miskin (Po) Kabupaten Dairi Maret 2022 sebesar 7,88 persen</v>
      </c>
      <c r="G28" s="28"/>
    </row>
    <row r="29">
      <c r="A29" s="13" t="str">
        <f>IFERROR(__xludf.DUMMYFUNCTION("""COMPUTED_VALUE"""),"deo:datus@bps:go:id")</f>
        <v>deo:datus@bps:go:id</v>
      </c>
      <c r="B29" s="13" t="str">
        <f>IFERROR(__xludf.DUMMYFUNCTION("""COMPUTED_VALUE"""),"Indeks Pembangunan Manusia (IPM) Kabupaten Dairi Tahun 2024")</f>
        <v>Indeks Pembangunan Manusia (IPM) Kabupaten Dairi Tahun 2024</v>
      </c>
      <c r="C29" s="13" t="str">
        <f>IFERROR(__xludf.DUMMYFUNCTION("""COMPUTED_VALUE"""),"BRS")</f>
        <v>BRS</v>
      </c>
      <c r="E29" s="26" t="s">
        <v>1118</v>
      </c>
      <c r="F29" s="27" t="str">
        <f>IFERROR(__xludf.DUMMYFUNCTION("JOIN(""
"",FILTER($B:$B,$A:$A=E29))"),"Indeks Pembangunan Manusia (IPM) Kabupaten Dairi Tahun 2024
Indeks Pembangunan Manusia (IPM) Sumatera Utara tahun 2024 mencapai 75,13, meningkat 0,62 (0,83 persen) dibandingkan tahun sebelumnya (74,51):
Keadaan Ketenagakerjaan Dairi Agustus 2024")</f>
        <v>Indeks Pembangunan Manusia (IPM) Kabupaten Dairi Tahun 2024
Indeks Pembangunan Manusia (IPM) Sumatera Utara tahun 2024 mencapai 75,13, meningkat 0,62 (0,83 persen) dibandingkan tahun sebelumnya (74,51):
Keadaan Ketenagakerjaan Dairi Agustus 2024</v>
      </c>
      <c r="G29" s="28"/>
    </row>
    <row r="30">
      <c r="A30" s="13" t="str">
        <f>IFERROR(__xludf.DUMMYFUNCTION("""COMPUTED_VALUE"""),"deshot:sh@gmail:com")</f>
        <v>deshot:sh@gmail:com</v>
      </c>
      <c r="B30" s="13" t="str">
        <f>IFERROR(__xludf.DUMMYFUNCTION("""COMPUTED_VALUE"""),"Ekonomi Kabupaten Dairi Tahun-2022 terhadap Tahun-2021 mengalami pertumbuhan sebesar 4,21 persen (y-on-y)")</f>
        <v>Ekonomi Kabupaten Dairi Tahun-2022 terhadap Tahun-2021 mengalami pertumbuhan sebesar 4,21 persen (y-on-y)</v>
      </c>
      <c r="C30" s="13" t="str">
        <f>IFERROR(__xludf.DUMMYFUNCTION("""COMPUTED_VALUE"""),"BRS")</f>
        <v>BRS</v>
      </c>
      <c r="E30" s="26" t="s">
        <v>1177</v>
      </c>
      <c r="F30" s="27" t="str">
        <f>IFERROR(__xludf.DUMMYFUNCTION("JOIN(""
"",FILTER($B:$B,$A:$A=E30))"),"Indeks Pembangunan Manusia (IPM) Kabupaten Dairi Tahun 2024
Kemiskinan Kabupaten Dairi Tahun 2024
Nilai Tukar Petani Provinsi Sumatera Utara November 2024 sebesar 127,81:")</f>
        <v>Indeks Pembangunan Manusia (IPM) Kabupaten Dairi Tahun 2024
Kemiskinan Kabupaten Dairi Tahun 2024
Nilai Tukar Petani Provinsi Sumatera Utara November 2024 sebesar 127,81:</v>
      </c>
      <c r="G30" s="28"/>
    </row>
    <row r="31">
      <c r="A31" s="13" t="str">
        <f>IFERROR(__xludf.DUMMYFUNCTION("""COMPUTED_VALUE"""),"deshot:sh@gmail:com")</f>
        <v>deshot:sh@gmail:com</v>
      </c>
      <c r="B31" s="13" t="str">
        <f>IFERROR(__xludf.DUMMYFUNCTION("""COMPUTED_VALUE"""),"Tingkat Pengangguran Terbuka (TPT) sebesar 5,24 persen")</f>
        <v>Tingkat Pengangguran Terbuka (TPT) sebesar 5,24 persen</v>
      </c>
      <c r="C31" s="13" t="str">
        <f>IFERROR(__xludf.DUMMYFUNCTION("""COMPUTED_VALUE"""),"BRS")</f>
        <v>BRS</v>
      </c>
      <c r="E31" s="26" t="s">
        <v>1198</v>
      </c>
      <c r="F31" s="27" t="str">
        <f>IFERROR(__xludf.DUMMYFUNCTION("JOIN(""
"",FILTER($B:$B,$A:$A=E31))"),"Tingkat Pengangguran Terbuka Kabupaten Dairi 2022 sebesar 0,88 persen")</f>
        <v>Tingkat Pengangguran Terbuka Kabupaten Dairi 2022 sebesar 0,88 persen</v>
      </c>
      <c r="G31" s="28"/>
    </row>
    <row r="32">
      <c r="A32" s="13" t="str">
        <f>IFERROR(__xludf.DUMMYFUNCTION("""COMPUTED_VALUE"""),"DJJAL@DADKJ:COM")</f>
        <v>DJJAL@DADKJ:COM</v>
      </c>
      <c r="B32" s="13" t="str">
        <f>IFERROR(__xludf.DUMMYFUNCTION("""COMPUTED_VALUE"""),"Ekonomi Kabupaten Dairi Tahun-2022 terhadap Tahun-2021 mengalami pertumbuhan sebesar 4,21 persen (y-on-y)")</f>
        <v>Ekonomi Kabupaten Dairi Tahun-2022 terhadap Tahun-2021 mengalami pertumbuhan sebesar 4,21 persen (y-on-y)</v>
      </c>
      <c r="C32" s="13" t="str">
        <f>IFERROR(__xludf.DUMMYFUNCTION("""COMPUTED_VALUE"""),"BRS")</f>
        <v>BRS</v>
      </c>
      <c r="E32" s="26" t="s">
        <v>1242</v>
      </c>
      <c r="F32" s="27" t="str">
        <f>IFERROR(__xludf.DUMMYFUNCTION("JOIN(""
"",FILTER($B:$B,$A:$A=E32))"),"Indeks Pembangunan Manusia (IPM) Kabupaten Dairi Tahun 2024
Tingkat Pengangguran Terbuka (TPT) sebesar 6,16 persen
Tingkat Pengangguran Terbuka Kabupaten Dairi 2022 sebesar 0,88 persen")</f>
        <v>Indeks Pembangunan Manusia (IPM) Kabupaten Dairi Tahun 2024
Tingkat Pengangguran Terbuka (TPT) sebesar 6,16 persen
Tingkat Pengangguran Terbuka Kabupaten Dairi 2022 sebesar 0,88 persen</v>
      </c>
      <c r="G32" s="28"/>
    </row>
    <row r="33">
      <c r="A33" s="13" t="str">
        <f>IFERROR(__xludf.DUMMYFUNCTION("""COMPUTED_VALUE"""),"DJJAL@DADKJ:COM")</f>
        <v>DJJAL@DADKJ:COM</v>
      </c>
      <c r="B33" s="13" t="str">
        <f>IFERROR(__xludf.DUMMYFUNCTION("""COMPUTED_VALUE"""),"Tingkat Pengangguran Terbuka (TPT) sebesar 5,24 persen")</f>
        <v>Tingkat Pengangguran Terbuka (TPT) sebesar 5,24 persen</v>
      </c>
      <c r="C33" s="13" t="str">
        <f>IFERROR(__xludf.DUMMYFUNCTION("""COMPUTED_VALUE"""),"BRS")</f>
        <v>BRS</v>
      </c>
      <c r="E33" s="26" t="s">
        <v>1327</v>
      </c>
      <c r="F33" s="27" t="str">
        <f>IFERROR(__xludf.DUMMYFUNCTION("JOIN(""
"",FILTER($B:$B,$A:$A=E33))"),"Indeks Pembangunan Manusia (IPM) Kabupaten Dairi Tahun 2024
Kemiskinan Kabupaten Dairi Tahun 2024")</f>
        <v>Indeks Pembangunan Manusia (IPM) Kabupaten Dairi Tahun 2024
Kemiskinan Kabupaten Dairi Tahun 2024</v>
      </c>
      <c r="G33" s="28"/>
    </row>
    <row r="34">
      <c r="A34" s="13" t="str">
        <f>IFERROR(__xludf.DUMMYFUNCTION("""COMPUTED_VALUE"""),"DJJAL@DADKJ:COM")</f>
        <v>DJJAL@DADKJ:COM</v>
      </c>
      <c r="B34" s="13" t="str">
        <f>IFERROR(__xludf.DUMMYFUNCTION("""COMPUTED_VALUE"""),"Tingkat Pengangguran Terbuka (TPT) sebesar 5,47 persen")</f>
        <v>Tingkat Pengangguran Terbuka (TPT) sebesar 5,47 persen</v>
      </c>
      <c r="C34" s="13" t="str">
        <f>IFERROR(__xludf.DUMMYFUNCTION("""COMPUTED_VALUE"""),"BRS")</f>
        <v>BRS</v>
      </c>
      <c r="E34" s="26" t="s">
        <v>1469</v>
      </c>
      <c r="F34" s="27" t="str">
        <f>IFERROR(__xludf.DUMMYFUNCTION("JOIN(""
"",FILTER($B:$B,$A:$A=E34))"),"Ekonomi Sumatera Utara Triwulan I 2024 Terkontraksi 0,45 persen (q-to-q)
Indeks Pembangunan Manusia (IPM) Kabupaten Dairi Tahun 2024
Keadaan Ketenagakerjaan Dairi Agustus 2024")</f>
        <v>Ekonomi Sumatera Utara Triwulan I 2024 Terkontraksi 0,45 persen (q-to-q)
Indeks Pembangunan Manusia (IPM) Kabupaten Dairi Tahun 2024
Keadaan Ketenagakerjaan Dairi Agustus 2024</v>
      </c>
      <c r="G34" s="28"/>
    </row>
    <row r="35">
      <c r="A35" s="13" t="str">
        <f>IFERROR(__xludf.DUMMYFUNCTION("""COMPUTED_VALUE"""),"DJJAL@DADKJ:COM")</f>
        <v>DJJAL@DADKJ:COM</v>
      </c>
      <c r="B35" s="13" t="str">
        <f>IFERROR(__xludf.DUMMYFUNCTION("""COMPUTED_VALUE"""),"Tingkat Pengangguran Terbuka (TPT) Sumatera Utara 2021 sebesar 6,33 persen")</f>
        <v>Tingkat Pengangguran Terbuka (TPT) Sumatera Utara 2021 sebesar 6,33 persen</v>
      </c>
      <c r="C35" s="13" t="str">
        <f>IFERROR(__xludf.DUMMYFUNCTION("""COMPUTED_VALUE"""),"BRS")</f>
        <v>BRS</v>
      </c>
      <c r="E35" s="26" t="s">
        <v>1502</v>
      </c>
      <c r="F35" s="27" t="str">
        <f>IFERROR(__xludf.DUMMYFUNCTION("JOIN(""
"",FILTER($B:$B,$A:$A=E35))"),"Kemiskinan Kabupaten Dairi Tahun 2024")</f>
        <v>Kemiskinan Kabupaten Dairi Tahun 2024</v>
      </c>
      <c r="G35" s="28"/>
    </row>
    <row r="36">
      <c r="A36" s="13" t="str">
        <f>IFERROR(__xludf.DUMMYFUNCTION("""COMPUTED_VALUE"""),"ekahermawan1991@gmail:com")</f>
        <v>ekahermawan1991@gmail:com</v>
      </c>
      <c r="B36" s="13" t="str">
        <f>IFERROR(__xludf.DUMMYFUNCTION("""COMPUTED_VALUE"""),"Ekonomi Kabupaten Dairi Tahun-2022 terhadap Tahun-2021 mengalami pertumbuhan sebesar 4,21 persen (y-on-y)")</f>
        <v>Ekonomi Kabupaten Dairi Tahun-2022 terhadap Tahun-2021 mengalami pertumbuhan sebesar 4,21 persen (y-on-y)</v>
      </c>
      <c r="C36" s="13" t="str">
        <f>IFERROR(__xludf.DUMMYFUNCTION("""COMPUTED_VALUE"""),"BRS")</f>
        <v>BRS</v>
      </c>
      <c r="E36" s="26" t="s">
        <v>1292</v>
      </c>
      <c r="F36" s="27" t="str">
        <f>IFERROR(__xludf.DUMMYFUNCTION("JOIN(""
"",FILTER($B:$B,$A:$A=E36))"),"[Sumatera Utara] Januari 2024 inflasi Year on Year (y-on-y) Provinsi Sumatera Utara sebesar 2,16 persen
Kenaikan Harga Beras Pemicu Inflasi Tahunan Oktober 2024
November 2024, inflasi Year on Year (yoy) gabungan lima kota IHK di Sumatera Utara sebesar 3,2"&amp;"0 persen")</f>
        <v>[Sumatera Utara] Januari 2024 inflasi Year on Year (y-on-y) Provinsi Sumatera Utara sebesar 2,16 persen
Kenaikan Harga Beras Pemicu Inflasi Tahunan Oktober 2024
November 2024, inflasi Year on Year (yoy) gabungan lima kota IHK di Sumatera Utara sebesar 3,20 persen</v>
      </c>
      <c r="G36" s="28"/>
    </row>
    <row r="37">
      <c r="A37" s="13" t="str">
        <f>IFERROR(__xludf.DUMMYFUNCTION("""COMPUTED_VALUE"""),"gajahtobanews@gmail:com")</f>
        <v>gajahtobanews@gmail:com</v>
      </c>
      <c r="B37" s="13" t="str">
        <f>IFERROR(__xludf.DUMMYFUNCTION("""COMPUTED_VALUE"""),"Persentase Penduduk Miskin (Po) Kabupaten Dairi Maret 2022 sebesar 7,88 persen")</f>
        <v>Persentase Penduduk Miskin (Po) Kabupaten Dairi Maret 2022 sebesar 7,88 persen</v>
      </c>
      <c r="C37" s="13" t="str">
        <f>IFERROR(__xludf.DUMMYFUNCTION("""COMPUTED_VALUE"""),"BRS")</f>
        <v>BRS</v>
      </c>
      <c r="E37" s="26" t="s">
        <v>1310</v>
      </c>
      <c r="F37" s="27" t="str">
        <f>IFERROR(__xludf.DUMMYFUNCTION("JOIN(""
"",FILTER($B:$B,$A:$A=E37))"),"Kemiskinan Kabupaten Dairi Tahun 2024")</f>
        <v>Kemiskinan Kabupaten Dairi Tahun 2024</v>
      </c>
      <c r="G37" s="28"/>
    </row>
    <row r="38">
      <c r="A38" s="13" t="str">
        <f>IFERROR(__xludf.DUMMYFUNCTION("""COMPUTED_VALUE"""),"ginsuflora1269@gmail:com")</f>
        <v>ginsuflora1269@gmail:com</v>
      </c>
      <c r="B38" s="13" t="str">
        <f>IFERROR(__xludf.DUMMYFUNCTION("""COMPUTED_VALUE"""),"Persentase Penduduk Miskin (Po) Kabupaten Dairi Maret 2022 sebesar 7,88 persen")</f>
        <v>Persentase Penduduk Miskin (Po) Kabupaten Dairi Maret 2022 sebesar 7,88 persen</v>
      </c>
      <c r="C38" s="13" t="str">
        <f>IFERROR(__xludf.DUMMYFUNCTION("""COMPUTED_VALUE"""),"BRS")</f>
        <v>BRS</v>
      </c>
      <c r="E38" s="26" t="s">
        <v>1311</v>
      </c>
      <c r="F38" s="27" t="str">
        <f>IFERROR(__xludf.DUMMYFUNCTION("JOIN(""
"",FILTER($B:$B,$A:$A=E38))"),"Keadaan Ketenagakerjaan Dairi Agustus 2024
Kemiskinan Kabupaten Dairi Tahun 2024
Persentase Penduduk Miskin (Po) Kabupaten Dairi Maret 2022 sebesar 7,88 persen
Tingkat Pengangguran Terbuka Kabupaten Dairi 2022 sebesar 0,88 persen")</f>
        <v>Keadaan Ketenagakerjaan Dairi Agustus 2024
Kemiskinan Kabupaten Dairi Tahun 2024
Persentase Penduduk Miskin (Po) Kabupaten Dairi Maret 2022 sebesar 7,88 persen
Tingkat Pengangguran Terbuka Kabupaten Dairi 2022 sebesar 0,88 persen</v>
      </c>
      <c r="G38" s="28"/>
    </row>
    <row r="39">
      <c r="A39" s="13" t="str">
        <f>IFERROR(__xludf.DUMMYFUNCTION("""COMPUTED_VALUE"""),"greekplasmona@gmail:com")</f>
        <v>greekplasmona@gmail:com</v>
      </c>
      <c r="B39" s="13" t="str">
        <f>IFERROR(__xludf.DUMMYFUNCTION("""COMPUTED_VALUE"""),"[Sumatera Utara] Nilai Tukar Petani Provinsi Sumatera Utara Desember 2024 sebesar 129,04")</f>
        <v>[Sumatera Utara] Nilai Tukar Petani Provinsi Sumatera Utara Desember 2024 sebesar 129,04</v>
      </c>
      <c r="C39" s="13" t="str">
        <f>IFERROR(__xludf.DUMMYFUNCTION("""COMPUTED_VALUE"""),"BRS")</f>
        <v>BRS</v>
      </c>
      <c r="E39" s="26" t="s">
        <v>1537</v>
      </c>
      <c r="F39" s="27" t="str">
        <f>IFERROR(__xludf.DUMMYFUNCTION("JOIN(""
"",FILTER($B:$B,$A:$A=E39))"),"Keadaan Ketenagakerjaan Dairi Agustus 2024")</f>
        <v>Keadaan Ketenagakerjaan Dairi Agustus 2024</v>
      </c>
      <c r="G39" s="28"/>
    </row>
    <row r="40">
      <c r="A40" s="13" t="str">
        <f>IFERROR(__xludf.DUMMYFUNCTION("""COMPUTED_VALUE"""),"hananirahel21@gmail:com")</f>
        <v>hananirahel21@gmail:com</v>
      </c>
      <c r="B40" s="13" t="str">
        <f>IFERROR(__xludf.DUMMYFUNCTION("""COMPUTED_VALUE"""),"Tingkat Pengangguran Terbuka Kabupaten Dairi 2022 sebesar 0,88 persen")</f>
        <v>Tingkat Pengangguran Terbuka Kabupaten Dairi 2022 sebesar 0,88 persen</v>
      </c>
      <c r="C40" s="13" t="str">
        <f>IFERROR(__xludf.DUMMYFUNCTION("""COMPUTED_VALUE"""),"BRS")</f>
        <v>BRS</v>
      </c>
      <c r="E40" s="26" t="s">
        <v>1525</v>
      </c>
      <c r="F40" s="27" t="str">
        <f>IFERROR(__xludf.DUMMYFUNCTION("JOIN(""
"",FILTER($B:$B,$A:$A=E40))"),"Keadaan Ketenagakerjaan Dairi Agustus 2024")</f>
        <v>Keadaan Ketenagakerjaan Dairi Agustus 2024</v>
      </c>
      <c r="G40" s="28"/>
    </row>
    <row r="41">
      <c r="A41" s="13" t="str">
        <f>IFERROR(__xludf.DUMMYFUNCTION("""COMPUTED_VALUE"""),"happy:julius@ymail:com")</f>
        <v>happy:julius@ymail:com</v>
      </c>
      <c r="B41" s="13" t="str">
        <f>IFERROR(__xludf.DUMMYFUNCTION("""COMPUTED_VALUE"""),"Persentase Penduduk Miskin (Po) Kabupaten Dairi Maret 2022 sebesar 7,88 persen")</f>
        <v>Persentase Penduduk Miskin (Po) Kabupaten Dairi Maret 2022 sebesar 7,88 persen</v>
      </c>
      <c r="C41" s="13" t="str">
        <f>IFERROR(__xludf.DUMMYFUNCTION("""COMPUTED_VALUE"""),"BRS")</f>
        <v>BRS</v>
      </c>
      <c r="E41" s="26" t="s">
        <v>1515</v>
      </c>
      <c r="F41" s="27" t="str">
        <f>IFERROR(__xludf.DUMMYFUNCTION("JOIN(""
"",FILTER($B:$B,$A:$A=E41))"),"Keadaan Ketenagakerjaan Dairi Agustus 2024")</f>
        <v>Keadaan Ketenagakerjaan Dairi Agustus 2024</v>
      </c>
      <c r="G41" s="28"/>
    </row>
    <row r="42">
      <c r="A42" s="13" t="str">
        <f>IFERROR(__xludf.DUMMYFUNCTION("""COMPUTED_VALUE"""),"hendra:sda@gmail:com")</f>
        <v>hendra:sda@gmail:com</v>
      </c>
      <c r="B42" s="13" t="str">
        <f>IFERROR(__xludf.DUMMYFUNCTION("""COMPUTED_VALUE"""),"Oktober 2022, inflasi Year on Year (yoy) gabungan lima kota IHK di Sumatera Utara sebesar 5,66 persen")</f>
        <v>Oktober 2022, inflasi Year on Year (yoy) gabungan lima kota IHK di Sumatera Utara sebesar 5,66 persen</v>
      </c>
      <c r="C42" s="13" t="str">
        <f>IFERROR(__xludf.DUMMYFUNCTION("""COMPUTED_VALUE"""),"BRS")</f>
        <v>BRS</v>
      </c>
      <c r="E42" s="26" t="s">
        <v>1407</v>
      </c>
      <c r="F42" s="27" t="str">
        <f>IFERROR(__xludf.DUMMYFUNCTION("JOIN(""
"",FILTER($B:$B,$A:$A=E42))"),"Ekonomi Kabupaten Dairi Tahun 2021 Meningkat Sebesar 2,05 Persen
Tingkat Pengangguran Terbuka Kabupaten Dairi 2022 sebesar 0,88 persen")</f>
        <v>Ekonomi Kabupaten Dairi Tahun 2021 Meningkat Sebesar 2,05 Persen
Tingkat Pengangguran Terbuka Kabupaten Dairi 2022 sebesar 0,88 persen</v>
      </c>
      <c r="G42" s="28"/>
    </row>
    <row r="43">
      <c r="A43" s="13" t="str">
        <f>IFERROR(__xludf.DUMMYFUNCTION("""COMPUTED_VALUE"""),"hotliana:lumbanbatu@student:uhn:ac:id")</f>
        <v>hotliana:lumbanbatu@student:uhn:ac:id</v>
      </c>
      <c r="B43" s="13" t="str">
        <f>IFERROR(__xludf.DUMMYFUNCTION("""COMPUTED_VALUE"""),"Indeks Pembangunan Manusia (IPM) Kabupaten Dairi Tahun 2024")</f>
        <v>Indeks Pembangunan Manusia (IPM) Kabupaten Dairi Tahun 2024</v>
      </c>
      <c r="C43" s="13" t="str">
        <f>IFERROR(__xludf.DUMMYFUNCTION("""COMPUTED_VALUE"""),"BRS")</f>
        <v>BRS</v>
      </c>
      <c r="E43" s="26" t="s">
        <v>1528</v>
      </c>
      <c r="F43" s="27" t="str">
        <f>IFERROR(__xludf.DUMMYFUNCTION("JOIN(""
"",FILTER($B:$B,$A:$A=E43))"),"Ekonomi Dairi Tahun 2020 mengalami Kontraksi Sebesar 0,94 Persen")</f>
        <v>Ekonomi Dairi Tahun 2020 mengalami Kontraksi Sebesar 0,94 Persen</v>
      </c>
      <c r="G43" s="28"/>
    </row>
    <row r="44">
      <c r="A44" s="13" t="str">
        <f>IFERROR(__xludf.DUMMYFUNCTION("""COMPUTED_VALUE"""),"hotliana:lumbanbatu@student:uhn:ac:id")</f>
        <v>hotliana:lumbanbatu@student:uhn:ac:id</v>
      </c>
      <c r="B44" s="13" t="str">
        <f>IFERROR(__xludf.DUMMYFUNCTION("""COMPUTED_VALUE"""),"Keadaan Ketenagakerjaan Dairi Agustus 2024")</f>
        <v>Keadaan Ketenagakerjaan Dairi Agustus 2024</v>
      </c>
      <c r="C44" s="13" t="str">
        <f>IFERROR(__xludf.DUMMYFUNCTION("""COMPUTED_VALUE"""),"BRS")</f>
        <v>BRS</v>
      </c>
      <c r="E44" s="26" t="s">
        <v>1133</v>
      </c>
      <c r="F44" s="27" t="str">
        <f>IFERROR(__xludf.DUMMYFUNCTION("JOIN(""
"",FILTER($B:$B,$A:$A=E44))"),"Ekonomi Kabupaten Dairi Tahun-2022 terhadap Tahun-2021 mengalami pertumbuhan sebesar 4,21 persen (y-on-y)
Indeks Pembangunan Manusia (IPM) Kabupaten Dairi Tahun 2024
Indeks Pembangunan Manusia (IPM) Sumatera Utara tahun 2024 mencapai 75,13, meningkat 0,62"&amp;" (0,83 persen) dibandingkan tahun sebelumnya (74,51):
Keadaan Ketenagakerjaan Dairi Agustus 2024
Kemiskinan Kabupaten Dairi Tahun 2024")</f>
        <v>Ekonomi Kabupaten Dairi Tahun-2022 terhadap Tahun-2021 mengalami pertumbuhan sebesar 4,21 persen (y-on-y)
Indeks Pembangunan Manusia (IPM) Kabupaten Dairi Tahun 2024
Indeks Pembangunan Manusia (IPM) Sumatera Utara tahun 2024 mencapai 75,13, meningkat 0,62 (0,83 persen) dibandingkan tahun sebelumnya (74,51):
Keadaan Ketenagakerjaan Dairi Agustus 2024
Kemiskinan Kabupaten Dairi Tahun 2024</v>
      </c>
      <c r="G44" s="28"/>
    </row>
    <row r="45">
      <c r="A45" s="13" t="str">
        <f>IFERROR(__xludf.DUMMYFUNCTION("""COMPUTED_VALUE"""),"hotliana:lumbanbatu@student:uhn:ac:id")</f>
        <v>hotliana:lumbanbatu@student:uhn:ac:id</v>
      </c>
      <c r="B45" s="13" t="str">
        <f>IFERROR(__xludf.DUMMYFUNCTION("""COMPUTED_VALUE"""),"Kemiskinan Kabupaten Dairi Tahun 2024")</f>
        <v>Kemiskinan Kabupaten Dairi Tahun 2024</v>
      </c>
      <c r="C45" s="13" t="str">
        <f>IFERROR(__xludf.DUMMYFUNCTION("""COMPUTED_VALUE"""),"BRS")</f>
        <v>BRS</v>
      </c>
      <c r="E45" s="26" t="s">
        <v>1701</v>
      </c>
      <c r="F45" s="27" t="str">
        <f>IFERROR(__xludf.DUMMYFUNCTION("JOIN(""
"",FILTER($B:$B,$A:$A=E45))"),"Indeks Pembangunan Manusia (IPM) Kabupaten Dairi 2022 mencapai 72,56")</f>
        <v>Indeks Pembangunan Manusia (IPM) Kabupaten Dairi 2022 mencapai 72,56</v>
      </c>
      <c r="G45" s="28"/>
    </row>
    <row r="46">
      <c r="A46" s="13" t="str">
        <f>IFERROR(__xludf.DUMMYFUNCTION("""COMPUTED_VALUE"""),"ipdsdairikab@gmail:com")</f>
        <v>ipdsdairikab@gmail:com</v>
      </c>
      <c r="B46" s="13" t="str">
        <f>IFERROR(__xludf.DUMMYFUNCTION("""COMPUTED_VALUE"""),"Indeks Pembangunan Manusia (IPM) Kabupaten Dairi 2022 mencapai 72,56")</f>
        <v>Indeks Pembangunan Manusia (IPM) Kabupaten Dairi 2022 mencapai 72,56</v>
      </c>
      <c r="C46" s="13" t="str">
        <f>IFERROR(__xludf.DUMMYFUNCTION("""COMPUTED_VALUE"""),"BRS")</f>
        <v>BRS</v>
      </c>
      <c r="E46" s="26" t="s">
        <v>1324</v>
      </c>
      <c r="F46" s="27" t="str">
        <f>IFERROR(__xludf.DUMMYFUNCTION("JOIN(""
"",FILTER($B:$B,$A:$A=E46))"),"Kemiskinan Kabupaten Dairi Tahun 2024")</f>
        <v>Kemiskinan Kabupaten Dairi Tahun 2024</v>
      </c>
      <c r="G46" s="28"/>
    </row>
    <row r="47">
      <c r="A47" s="13" t="str">
        <f>IFERROR(__xludf.DUMMYFUNCTION("""COMPUTED_VALUE"""),"ipdsdairikab@gmail:com")</f>
        <v>ipdsdairikab@gmail:com</v>
      </c>
      <c r="B47" s="13" t="str">
        <f>IFERROR(__xludf.DUMMYFUNCTION("""COMPUTED_VALUE"""),"Pada 2022, luas panen padi diperkirakan sebesar 423,52 ribu hektare dengan produksi sekitar 2,13 juta ton GKG")</f>
        <v>Pada 2022, luas panen padi diperkirakan sebesar 423,52 ribu hektare dengan produksi sekitar 2,13 juta ton GKG</v>
      </c>
      <c r="C47" s="13" t="str">
        <f>IFERROR(__xludf.DUMMYFUNCTION("""COMPUTED_VALUE"""),"BRS")</f>
        <v>BRS</v>
      </c>
      <c r="E47" s="26" t="s">
        <v>1267</v>
      </c>
      <c r="F47" s="27" t="str">
        <f>IFERROR(__xludf.DUMMYFUNCTION("JOIN(""
"",FILTER($B:$B,$A:$A=E47))"),"[Sumatera Utara] Jumlah penumpang domestik yang berangkat dari Sumatera Utara melalui Bandara Internasional Kualanamu selama Desember 2024 mencapai 187:584 orang, atau naik 0,19 persen dibanding November 2024
Keadaan Ketenagakerjaan Dairi Agustus 2024
Kem"&amp;"iskinan Kabupaten Dairi Tahun 2024
Persentase Penduduk Miskin (Po) Kabupaten Dairi Maret 2022 sebesar 7,88 persen
Tingkat Pengangguran Terbuka Kabupaten Dairi 2022 sebesar 0,88 persen")</f>
        <v>[Sumatera Utara] Jumlah penumpang domestik yang berangkat dari Sumatera Utara melalui Bandara Internasional Kualanamu selama Desember 2024 mencapai 187:584 orang, atau naik 0,19 persen dibanding November 2024
Keadaan Ketenagakerjaan Dairi Agustus 2024
Kemiskinan Kabupaten Dairi Tahun 2024
Persentase Penduduk Miskin (Po) Kabupaten Dairi Maret 2022 sebesar 7,88 persen
Tingkat Pengangguran Terbuka Kabupaten Dairi 2022 sebesar 0,88 persen</v>
      </c>
      <c r="G47" s="28"/>
    </row>
    <row r="48">
      <c r="A48" s="13" t="str">
        <f>IFERROR(__xludf.DUMMYFUNCTION("""COMPUTED_VALUE"""),"ipdsdairikab@gmail:com")</f>
        <v>ipdsdairikab@gmail:com</v>
      </c>
      <c r="B48" s="13" t="str">
        <f>IFERROR(__xludf.DUMMYFUNCTION("""COMPUTED_VALUE"""),"Persentase Penduduk Miskin (Po) Kabupaten Dairi Maret 2022 sebesar 7,88 persen")</f>
        <v>Persentase Penduduk Miskin (Po) Kabupaten Dairi Maret 2022 sebesar 7,88 persen</v>
      </c>
      <c r="C48" s="13" t="str">
        <f>IFERROR(__xludf.DUMMYFUNCTION("""COMPUTED_VALUE"""),"BRS")</f>
        <v>BRS</v>
      </c>
      <c r="E48" s="26" t="s">
        <v>1647</v>
      </c>
      <c r="F48" s="27" t="str">
        <f>IFERROR(__xludf.DUMMYFUNCTION("JOIN(""
"",FILTER($B:$B,$A:$A=E48))"),"Persentase Penduduk Miskin (Po) Kabupaten Dairi Maret 2022 sebesar 7,88 persen")</f>
        <v>Persentase Penduduk Miskin (Po) Kabupaten Dairi Maret 2022 sebesar 7,88 persen</v>
      </c>
      <c r="G48" s="28"/>
    </row>
    <row r="49">
      <c r="A49" s="13" t="str">
        <f>IFERROR(__xludf.DUMMYFUNCTION("""COMPUTED_VALUE"""),"juando:siallagan@bps:go:id")</f>
        <v>juando:siallagan@bps:go:id</v>
      </c>
      <c r="B49" s="13" t="str">
        <f>IFERROR(__xludf.DUMMYFUNCTION("""COMPUTED_VALUE"""),"Indeks Pembangunan Manusia (IPM) Kabupaten Dairi Tahun 2024")</f>
        <v>Indeks Pembangunan Manusia (IPM) Kabupaten Dairi Tahun 2024</v>
      </c>
      <c r="C49" s="13" t="str">
        <f>IFERROR(__xludf.DUMMYFUNCTION("""COMPUTED_VALUE"""),"BRS")</f>
        <v>BRS</v>
      </c>
      <c r="E49" s="26" t="s">
        <v>1414</v>
      </c>
      <c r="F49" s="27" t="str">
        <f>IFERROR(__xludf.DUMMYFUNCTION("JOIN(""
"",FILTER($B:$B,$A:$A=E49))"),"[Sumatera Utara] Nilai Tukar Petani Provinsi Sumatera Utara Desember 2024 sebesar 129,04")</f>
        <v>[Sumatera Utara] Nilai Tukar Petani Provinsi Sumatera Utara Desember 2024 sebesar 129,04</v>
      </c>
      <c r="G49" s="28"/>
    </row>
    <row r="50">
      <c r="A50" s="13" t="str">
        <f>IFERROR(__xludf.DUMMYFUNCTION("""COMPUTED_VALUE"""),"juando:siallagan@bps:go:id")</f>
        <v>juando:siallagan@bps:go:id</v>
      </c>
      <c r="B50" s="13" t="str">
        <f>IFERROR(__xludf.DUMMYFUNCTION("""COMPUTED_VALUE"""),"Indeks Pembangunan Manusia (IPM) Sumatera Utara tahun 2024 mencapai 75,13, meningkat 0,62 (0,83 persen) dibandingkan tahun sebelumnya (74,51):")</f>
        <v>Indeks Pembangunan Manusia (IPM) Sumatera Utara tahun 2024 mencapai 75,13, meningkat 0,62 (0,83 persen) dibandingkan tahun sebelumnya (74,51):</v>
      </c>
      <c r="C50" s="13" t="str">
        <f>IFERROR(__xludf.DUMMYFUNCTION("""COMPUTED_VALUE"""),"BRS")</f>
        <v>BRS</v>
      </c>
      <c r="E50" s="26" t="s">
        <v>1105</v>
      </c>
      <c r="F50" s="27" t="str">
        <f>IFERROR(__xludf.DUMMYFUNCTION("JOIN(""
"",FILTER($B:$B,$A:$A=E50))"),"Indeks Pembangunan Manusia (IPM) Kabupaten Dairi Tahun 2024")</f>
        <v>Indeks Pembangunan Manusia (IPM) Kabupaten Dairi Tahun 2024</v>
      </c>
      <c r="G50" s="28"/>
    </row>
    <row r="51">
      <c r="A51" s="13" t="str">
        <f>IFERROR(__xludf.DUMMYFUNCTION("""COMPUTED_VALUE"""),"juando:siallagan@bps:go:id")</f>
        <v>juando:siallagan@bps:go:id</v>
      </c>
      <c r="B51" s="13" t="str">
        <f>IFERROR(__xludf.DUMMYFUNCTION("""COMPUTED_VALUE"""),"Keadaan Ketenagakerjaan Dairi Agustus 2024")</f>
        <v>Keadaan Ketenagakerjaan Dairi Agustus 2024</v>
      </c>
      <c r="C51" s="13" t="str">
        <f>IFERROR(__xludf.DUMMYFUNCTION("""COMPUTED_VALUE"""),"BRS")</f>
        <v>BRS</v>
      </c>
      <c r="E51" s="26" t="s">
        <v>1627</v>
      </c>
      <c r="F51" s="27" t="str">
        <f>IFERROR(__xludf.DUMMYFUNCTION("JOIN(""
"",FILTER($B:$B,$A:$A=E51))"),"Indeks Pembangunan Manusia (IPM) Kabupaten Dairi 2022 mencapai 72,56")</f>
        <v>Indeks Pembangunan Manusia (IPM) Kabupaten Dairi 2022 mencapai 72,56</v>
      </c>
      <c r="G51" s="28"/>
    </row>
    <row r="52">
      <c r="A52" s="13" t="str">
        <f>IFERROR(__xludf.DUMMYFUNCTION("""COMPUTED_VALUE"""),"juliawansamsir@yahoo:com")</f>
        <v>juliawansamsir@yahoo:com</v>
      </c>
      <c r="B52" s="13" t="str">
        <f>IFERROR(__xludf.DUMMYFUNCTION("""COMPUTED_VALUE"""),"Indeks Pembangunan Manusia (IPM) Kabupaten Dairi Tahun 2024")</f>
        <v>Indeks Pembangunan Manusia (IPM) Kabupaten Dairi Tahun 2024</v>
      </c>
      <c r="C52" s="13" t="str">
        <f>IFERROR(__xludf.DUMMYFUNCTION("""COMPUTED_VALUE"""),"BRS")</f>
        <v>BRS</v>
      </c>
      <c r="E52" s="26" t="s">
        <v>688</v>
      </c>
      <c r="F52" s="27" t="str">
        <f>IFERROR(__xludf.DUMMYFUNCTION("JOIN(""
"",FILTER($B:$B,$A:$A=E52))"),"Persentase Penduduk Miskin (Po) Kabupaten Dairi Maret 2022 sebesar 7,88 persen")</f>
        <v>Persentase Penduduk Miskin (Po) Kabupaten Dairi Maret 2022 sebesar 7,88 persen</v>
      </c>
      <c r="G52" s="28"/>
    </row>
    <row r="53">
      <c r="A53" s="13" t="str">
        <f>IFERROR(__xludf.DUMMYFUNCTION("""COMPUTED_VALUE"""),"juliawansamsir@yahoo:com")</f>
        <v>juliawansamsir@yahoo:com</v>
      </c>
      <c r="B53" s="13" t="str">
        <f>IFERROR(__xludf.DUMMYFUNCTION("""COMPUTED_VALUE"""),"Kemiskinan Kabupaten Dairi Tahun 2024")</f>
        <v>Kemiskinan Kabupaten Dairi Tahun 2024</v>
      </c>
      <c r="C53" s="13" t="str">
        <f>IFERROR(__xludf.DUMMYFUNCTION("""COMPUTED_VALUE"""),"BRS")</f>
        <v>BRS</v>
      </c>
      <c r="E53" s="26" t="s">
        <v>1291</v>
      </c>
      <c r="F53" s="27"/>
      <c r="G53" s="28"/>
    </row>
    <row r="54">
      <c r="A54" s="13" t="str">
        <f>IFERROR(__xludf.DUMMYFUNCTION("""COMPUTED_VALUE"""),"juliawansamsir@yahoo:com")</f>
        <v>juliawansamsir@yahoo:com</v>
      </c>
      <c r="B54" s="13" t="str">
        <f>IFERROR(__xludf.DUMMYFUNCTION("""COMPUTED_VALUE"""),"Nilai Tukar Petani Provinsi Sumatera Utara November 2024 sebesar 127,81:")</f>
        <v>Nilai Tukar Petani Provinsi Sumatera Utara November 2024 sebesar 127,81:</v>
      </c>
      <c r="C54" s="13" t="str">
        <f>IFERROR(__xludf.DUMMYFUNCTION("""COMPUTED_VALUE"""),"BRS")</f>
        <v>BRS</v>
      </c>
      <c r="E54" s="26" t="s">
        <v>1230</v>
      </c>
      <c r="F54" s="27"/>
      <c r="G54" s="28"/>
    </row>
    <row r="55">
      <c r="A55" s="13" t="str">
        <f>IFERROR(__xludf.DUMMYFUNCTION("""COMPUTED_VALUE"""),"junitaputrisagala@gmail:com")</f>
        <v>junitaputrisagala@gmail:com</v>
      </c>
      <c r="B55" s="13" t="str">
        <f>IFERROR(__xludf.DUMMYFUNCTION("""COMPUTED_VALUE"""),"Tingkat Pengangguran Terbuka Kabupaten Dairi 2022 sebesar 0,88 persen")</f>
        <v>Tingkat Pengangguran Terbuka Kabupaten Dairi 2022 sebesar 0,88 persen</v>
      </c>
      <c r="C55" s="13" t="str">
        <f>IFERROR(__xludf.DUMMYFUNCTION("""COMPUTED_VALUE"""),"BRS")</f>
        <v>BRS</v>
      </c>
      <c r="E55" s="26" t="s">
        <v>1684</v>
      </c>
      <c r="F55" s="27"/>
      <c r="G55" s="28"/>
    </row>
    <row r="56">
      <c r="A56" s="13" t="str">
        <f>IFERROR(__xludf.DUMMYFUNCTION("""COMPUTED_VALUE"""),"junjun:wijaya@bps:go:id")</f>
        <v>junjun:wijaya@bps:go:id</v>
      </c>
      <c r="B56" s="13" t="str">
        <f>IFERROR(__xludf.DUMMYFUNCTION("""COMPUTED_VALUE"""),"Indeks Pembangunan Manusia (IPM) Kabupaten Dairi Tahun 2024")</f>
        <v>Indeks Pembangunan Manusia (IPM) Kabupaten Dairi Tahun 2024</v>
      </c>
      <c r="C56" s="13" t="str">
        <f>IFERROR(__xludf.DUMMYFUNCTION("""COMPUTED_VALUE"""),"BRS")</f>
        <v>BRS</v>
      </c>
      <c r="E56" s="26" t="s">
        <v>1530</v>
      </c>
      <c r="F56" s="27"/>
      <c r="G56" s="28"/>
    </row>
    <row r="57">
      <c r="A57" s="13" t="str">
        <f>IFERROR(__xludf.DUMMYFUNCTION("""COMPUTED_VALUE"""),"junjun:wijaya@bps:go:id")</f>
        <v>junjun:wijaya@bps:go:id</v>
      </c>
      <c r="B57" s="13" t="str">
        <f>IFERROR(__xludf.DUMMYFUNCTION("""COMPUTED_VALUE"""),"Tingkat Pengangguran Terbuka (TPT) sebesar 6,16 persen")</f>
        <v>Tingkat Pengangguran Terbuka (TPT) sebesar 6,16 persen</v>
      </c>
      <c r="C57" s="13" t="str">
        <f>IFERROR(__xludf.DUMMYFUNCTION("""COMPUTED_VALUE"""),"BRS")</f>
        <v>BRS</v>
      </c>
      <c r="E57" s="26"/>
      <c r="F57" s="27"/>
      <c r="G57" s="28"/>
    </row>
    <row r="58">
      <c r="A58" s="13" t="str">
        <f>IFERROR(__xludf.DUMMYFUNCTION("""COMPUTED_VALUE"""),"junjun:wijaya@bps:go:id")</f>
        <v>junjun:wijaya@bps:go:id</v>
      </c>
      <c r="B58" s="13" t="str">
        <f>IFERROR(__xludf.DUMMYFUNCTION("""COMPUTED_VALUE"""),"Tingkat Pengangguran Terbuka Kabupaten Dairi 2022 sebesar 0,88 persen")</f>
        <v>Tingkat Pengangguran Terbuka Kabupaten Dairi 2022 sebesar 0,88 persen</v>
      </c>
      <c r="C58" s="13" t="str">
        <f>IFERROR(__xludf.DUMMYFUNCTION("""COMPUTED_VALUE"""),"BRS")</f>
        <v>BRS</v>
      </c>
      <c r="E58" s="26"/>
      <c r="F58" s="27"/>
      <c r="G58" s="28"/>
    </row>
    <row r="59">
      <c r="A59" s="13" t="str">
        <f>IFERROR(__xludf.DUMMYFUNCTION("""COMPUTED_VALUE"""),"kutanangka74@gmail:com")</f>
        <v>kutanangka74@gmail:com</v>
      </c>
      <c r="B59" s="13" t="str">
        <f>IFERROR(__xludf.DUMMYFUNCTION("""COMPUTED_VALUE"""),"Indeks Pembangunan Manusia (IPM) Kabupaten Dairi Tahun 2024")</f>
        <v>Indeks Pembangunan Manusia (IPM) Kabupaten Dairi Tahun 2024</v>
      </c>
      <c r="C59" s="13" t="str">
        <f>IFERROR(__xludf.DUMMYFUNCTION("""COMPUTED_VALUE"""),"BRS")</f>
        <v>BRS</v>
      </c>
      <c r="E59" s="26"/>
      <c r="F59" s="27"/>
      <c r="G59" s="28"/>
    </row>
    <row r="60">
      <c r="A60" s="13" t="str">
        <f>IFERROR(__xludf.DUMMYFUNCTION("""COMPUTED_VALUE"""),"kutanangka74@gmail:com")</f>
        <v>kutanangka74@gmail:com</v>
      </c>
      <c r="B60" s="13" t="str">
        <f>IFERROR(__xludf.DUMMYFUNCTION("""COMPUTED_VALUE"""),"Kemiskinan Kabupaten Dairi Tahun 2024")</f>
        <v>Kemiskinan Kabupaten Dairi Tahun 2024</v>
      </c>
      <c r="C60" s="13" t="str">
        <f>IFERROR(__xludf.DUMMYFUNCTION("""COMPUTED_VALUE"""),"BRS")</f>
        <v>BRS</v>
      </c>
      <c r="E60" s="26"/>
      <c r="F60" s="27"/>
      <c r="G60" s="28"/>
    </row>
    <row r="61">
      <c r="A61" s="13" t="str">
        <f>IFERROR(__xludf.DUMMYFUNCTION("""COMPUTED_VALUE"""),"liana_jusminari_pde@yahoo:com")</f>
        <v>liana_jusminari_pde@yahoo:com</v>
      </c>
      <c r="B61" s="13" t="str">
        <f>IFERROR(__xludf.DUMMYFUNCTION("""COMPUTED_VALUE"""),"Ekonomi Sumatera Utara Triwulan I 2024 Terkontraksi 0,45 persen (q-to-q)")</f>
        <v>Ekonomi Sumatera Utara Triwulan I 2024 Terkontraksi 0,45 persen (q-to-q)</v>
      </c>
      <c r="C61" s="13" t="str">
        <f>IFERROR(__xludf.DUMMYFUNCTION("""COMPUTED_VALUE"""),"BRS")</f>
        <v>BRS</v>
      </c>
      <c r="E61" s="26"/>
      <c r="F61" s="27"/>
      <c r="G61" s="28"/>
    </row>
    <row r="62">
      <c r="A62" s="13" t="str">
        <f>IFERROR(__xludf.DUMMYFUNCTION("""COMPUTED_VALUE"""),"liana_jusminari_pde@yahoo:com")</f>
        <v>liana_jusminari_pde@yahoo:com</v>
      </c>
      <c r="B62" s="13" t="str">
        <f>IFERROR(__xludf.DUMMYFUNCTION("""COMPUTED_VALUE"""),"Indeks Pembangunan Manusia (IPM) Kabupaten Dairi Tahun 2024")</f>
        <v>Indeks Pembangunan Manusia (IPM) Kabupaten Dairi Tahun 2024</v>
      </c>
      <c r="C62" s="13" t="str">
        <f>IFERROR(__xludf.DUMMYFUNCTION("""COMPUTED_VALUE"""),"BRS")</f>
        <v>BRS</v>
      </c>
      <c r="E62" s="26"/>
      <c r="F62" s="27"/>
      <c r="G62" s="28"/>
    </row>
    <row r="63">
      <c r="A63" s="13" t="str">
        <f>IFERROR(__xludf.DUMMYFUNCTION("""COMPUTED_VALUE"""),"liana_jusminari_pde@yahoo:com")</f>
        <v>liana_jusminari_pde@yahoo:com</v>
      </c>
      <c r="B63" s="13" t="str">
        <f>IFERROR(__xludf.DUMMYFUNCTION("""COMPUTED_VALUE"""),"Keadaan Ketenagakerjaan Dairi Agustus 2024")</f>
        <v>Keadaan Ketenagakerjaan Dairi Agustus 2024</v>
      </c>
      <c r="C63" s="13" t="str">
        <f>IFERROR(__xludf.DUMMYFUNCTION("""COMPUTED_VALUE"""),"BRS")</f>
        <v>BRS</v>
      </c>
      <c r="E63" s="26"/>
      <c r="F63" s="27"/>
      <c r="G63" s="28"/>
    </row>
    <row r="64">
      <c r="A64" s="13" t="str">
        <f>IFERROR(__xludf.DUMMYFUNCTION("""COMPUTED_VALUE"""),"lisbetrizonasianturi@gmail:com")</f>
        <v>lisbetrizonasianturi@gmail:com</v>
      </c>
      <c r="B64" s="13" t="str">
        <f>IFERROR(__xludf.DUMMYFUNCTION("""COMPUTED_VALUE"""),"Kemiskinan Kabupaten Dairi Tahun 2024")</f>
        <v>Kemiskinan Kabupaten Dairi Tahun 2024</v>
      </c>
      <c r="C64" s="13" t="str">
        <f>IFERROR(__xludf.DUMMYFUNCTION("""COMPUTED_VALUE"""),"BRS")</f>
        <v>BRS</v>
      </c>
      <c r="E64" s="26"/>
      <c r="F64" s="27"/>
      <c r="G64" s="28"/>
    </row>
    <row r="65">
      <c r="A65" s="13" t="str">
        <f>IFERROR(__xludf.DUMMYFUNCTION("""COMPUTED_VALUE"""),"lisna_chox@yahoo:com")</f>
        <v>lisna_chox@yahoo:com</v>
      </c>
      <c r="B65" s="13" t="str">
        <f>IFERROR(__xludf.DUMMYFUNCTION("""COMPUTED_VALUE"""),"[Sumatera Utara] Januari 2024 inflasi Year on Year (y-on-y) Provinsi Sumatera Utara sebesar 2,16 persen")</f>
        <v>[Sumatera Utara] Januari 2024 inflasi Year on Year (y-on-y) Provinsi Sumatera Utara sebesar 2,16 persen</v>
      </c>
      <c r="C65" s="13" t="str">
        <f>IFERROR(__xludf.DUMMYFUNCTION("""COMPUTED_VALUE"""),"BRS")</f>
        <v>BRS</v>
      </c>
      <c r="E65" s="26"/>
      <c r="F65" s="27"/>
      <c r="G65" s="28"/>
    </row>
    <row r="66">
      <c r="A66" s="13" t="str">
        <f>IFERROR(__xludf.DUMMYFUNCTION("""COMPUTED_VALUE"""),"lisna_chox@yahoo:com")</f>
        <v>lisna_chox@yahoo:com</v>
      </c>
      <c r="B66" s="13" t="str">
        <f>IFERROR(__xludf.DUMMYFUNCTION("""COMPUTED_VALUE"""),"Kenaikan Harga Beras Pemicu Inflasi Tahunan Oktober 2024")</f>
        <v>Kenaikan Harga Beras Pemicu Inflasi Tahunan Oktober 2024</v>
      </c>
      <c r="C66" s="13" t="str">
        <f>IFERROR(__xludf.DUMMYFUNCTION("""COMPUTED_VALUE"""),"BRS")</f>
        <v>BRS</v>
      </c>
      <c r="E66" s="26"/>
      <c r="F66" s="27"/>
      <c r="G66" s="28"/>
    </row>
    <row r="67">
      <c r="A67" s="13" t="str">
        <f>IFERROR(__xludf.DUMMYFUNCTION("""COMPUTED_VALUE"""),"lisna_chox@yahoo:com")</f>
        <v>lisna_chox@yahoo:com</v>
      </c>
      <c r="B67" s="13" t="str">
        <f>IFERROR(__xludf.DUMMYFUNCTION("""COMPUTED_VALUE"""),"November 2024, inflasi Year on Year (yoy) gabungan lima kota IHK di Sumatera Utara sebesar 3,20 persen")</f>
        <v>November 2024, inflasi Year on Year (yoy) gabungan lima kota IHK di Sumatera Utara sebesar 3,20 persen</v>
      </c>
      <c r="C67" s="13" t="str">
        <f>IFERROR(__xludf.DUMMYFUNCTION("""COMPUTED_VALUE"""),"BRS")</f>
        <v>BRS</v>
      </c>
      <c r="E67" s="26"/>
      <c r="F67" s="27"/>
      <c r="G67" s="28"/>
    </row>
    <row r="68">
      <c r="A68" s="13" t="str">
        <f>IFERROR(__xludf.DUMMYFUNCTION("""COMPUTED_VALUE"""),"marinaitosinaga@gmail:com")</f>
        <v>marinaitosinaga@gmail:com</v>
      </c>
      <c r="B68" s="13" t="str">
        <f>IFERROR(__xludf.DUMMYFUNCTION("""COMPUTED_VALUE"""),"Kemiskinan Kabupaten Dairi Tahun 2024")</f>
        <v>Kemiskinan Kabupaten Dairi Tahun 2024</v>
      </c>
      <c r="C68" s="13" t="str">
        <f>IFERROR(__xludf.DUMMYFUNCTION("""COMPUTED_VALUE"""),"BRS")</f>
        <v>BRS</v>
      </c>
      <c r="E68" s="26"/>
      <c r="F68" s="27"/>
      <c r="G68" s="28"/>
    </row>
    <row r="69">
      <c r="A69" s="13" t="str">
        <f>IFERROR(__xludf.DUMMYFUNCTION("""COMPUTED_VALUE"""),"marlonaritonang@bps:go:id")</f>
        <v>marlonaritonang@bps:go:id</v>
      </c>
      <c r="B69" s="13" t="str">
        <f>IFERROR(__xludf.DUMMYFUNCTION("""COMPUTED_VALUE"""),"Keadaan Ketenagakerjaan Dairi Agustus 2024")</f>
        <v>Keadaan Ketenagakerjaan Dairi Agustus 2024</v>
      </c>
      <c r="C69" s="13" t="str">
        <f>IFERROR(__xludf.DUMMYFUNCTION("""COMPUTED_VALUE"""),"BRS")</f>
        <v>BRS</v>
      </c>
      <c r="E69" s="26"/>
      <c r="F69" s="27"/>
      <c r="G69" s="28"/>
    </row>
    <row r="70">
      <c r="A70" s="13" t="str">
        <f>IFERROR(__xludf.DUMMYFUNCTION("""COMPUTED_VALUE"""),"marlonaritonang@bps:go:id")</f>
        <v>marlonaritonang@bps:go:id</v>
      </c>
      <c r="B70" s="13" t="str">
        <f>IFERROR(__xludf.DUMMYFUNCTION("""COMPUTED_VALUE"""),"Kemiskinan Kabupaten Dairi Tahun 2024")</f>
        <v>Kemiskinan Kabupaten Dairi Tahun 2024</v>
      </c>
      <c r="C70" s="13" t="str">
        <f>IFERROR(__xludf.DUMMYFUNCTION("""COMPUTED_VALUE"""),"BRS")</f>
        <v>BRS</v>
      </c>
      <c r="E70" s="26"/>
      <c r="F70" s="27"/>
      <c r="G70" s="28"/>
    </row>
    <row r="71">
      <c r="A71" s="13" t="str">
        <f>IFERROR(__xludf.DUMMYFUNCTION("""COMPUTED_VALUE"""),"marlonaritonang@bps:go:id")</f>
        <v>marlonaritonang@bps:go:id</v>
      </c>
      <c r="B71" s="13" t="str">
        <f>IFERROR(__xludf.DUMMYFUNCTION("""COMPUTED_VALUE"""),"Persentase Penduduk Miskin (Po) Kabupaten Dairi Maret 2022 sebesar 7,88 persen")</f>
        <v>Persentase Penduduk Miskin (Po) Kabupaten Dairi Maret 2022 sebesar 7,88 persen</v>
      </c>
      <c r="C71" s="13" t="str">
        <f>IFERROR(__xludf.DUMMYFUNCTION("""COMPUTED_VALUE"""),"BRS")</f>
        <v>BRS</v>
      </c>
      <c r="E71" s="26"/>
      <c r="F71" s="27"/>
      <c r="G71" s="28"/>
    </row>
    <row r="72">
      <c r="A72" s="13" t="str">
        <f>IFERROR(__xludf.DUMMYFUNCTION("""COMPUTED_VALUE"""),"marlonaritonang@bps:go:id")</f>
        <v>marlonaritonang@bps:go:id</v>
      </c>
      <c r="B72" s="13" t="str">
        <f>IFERROR(__xludf.DUMMYFUNCTION("""COMPUTED_VALUE"""),"Tingkat Pengangguran Terbuka Kabupaten Dairi 2022 sebesar 0,88 persen")</f>
        <v>Tingkat Pengangguran Terbuka Kabupaten Dairi 2022 sebesar 0,88 persen</v>
      </c>
      <c r="C72" s="13" t="str">
        <f>IFERROR(__xludf.DUMMYFUNCTION("""COMPUTED_VALUE"""),"BRS")</f>
        <v>BRS</v>
      </c>
      <c r="E72" s="26"/>
      <c r="F72" s="27"/>
      <c r="G72" s="28"/>
    </row>
    <row r="73">
      <c r="A73" s="13" t="str">
        <f>IFERROR(__xludf.DUMMYFUNCTION("""COMPUTED_VALUE"""),"marlonartonang@bps:go:id")</f>
        <v>marlonartonang@bps:go:id</v>
      </c>
      <c r="B73" s="13" t="str">
        <f>IFERROR(__xludf.DUMMYFUNCTION("""COMPUTED_VALUE"""),"Keadaan Ketenagakerjaan Dairi Agustus 2024")</f>
        <v>Keadaan Ketenagakerjaan Dairi Agustus 2024</v>
      </c>
      <c r="C73" s="13" t="str">
        <f>IFERROR(__xludf.DUMMYFUNCTION("""COMPUTED_VALUE"""),"BRS")</f>
        <v>BRS</v>
      </c>
      <c r="E73" s="26"/>
      <c r="F73" s="27"/>
      <c r="G73" s="28"/>
    </row>
    <row r="74">
      <c r="A74" s="13" t="str">
        <f>IFERROR(__xludf.DUMMYFUNCTION("""COMPUTED_VALUE"""),"mhdayub793@gmail:com")</f>
        <v>mhdayub793@gmail:com</v>
      </c>
      <c r="B74" s="13" t="str">
        <f>IFERROR(__xludf.DUMMYFUNCTION("""COMPUTED_VALUE"""),"Keadaan Ketenagakerjaan Dairi Agustus 2024")</f>
        <v>Keadaan Ketenagakerjaan Dairi Agustus 2024</v>
      </c>
      <c r="C74" s="13" t="str">
        <f>IFERROR(__xludf.DUMMYFUNCTION("""COMPUTED_VALUE"""),"BRS")</f>
        <v>BRS</v>
      </c>
      <c r="E74" s="26"/>
      <c r="F74" s="27"/>
      <c r="G74" s="28"/>
    </row>
    <row r="75">
      <c r="A75" s="13" t="str">
        <f>IFERROR(__xludf.DUMMYFUNCTION("""COMPUTED_VALUE"""),"mikaelpurba98@yahoo:co:id")</f>
        <v>mikaelpurba98@yahoo:co:id</v>
      </c>
      <c r="B75" s="13" t="str">
        <f>IFERROR(__xludf.DUMMYFUNCTION("""COMPUTED_VALUE"""),"Keadaan Ketenagakerjaan Dairi Agustus 2024")</f>
        <v>Keadaan Ketenagakerjaan Dairi Agustus 2024</v>
      </c>
      <c r="C75" s="13" t="str">
        <f>IFERROR(__xludf.DUMMYFUNCTION("""COMPUTED_VALUE"""),"BRS")</f>
        <v>BRS</v>
      </c>
      <c r="E75" s="26"/>
      <c r="F75" s="27"/>
      <c r="G75" s="28"/>
    </row>
    <row r="76">
      <c r="A76" s="13" t="str">
        <f>IFERROR(__xludf.DUMMYFUNCTION("""COMPUTED_VALUE"""),"monikasvymm@gmail:com")</f>
        <v>monikasvymm@gmail:com</v>
      </c>
      <c r="B76" s="13" t="str">
        <f>IFERROR(__xludf.DUMMYFUNCTION("""COMPUTED_VALUE"""),"Ekonomi Kabupaten Dairi Tahun 2021 Meningkat Sebesar 2,05 Persen")</f>
        <v>Ekonomi Kabupaten Dairi Tahun 2021 Meningkat Sebesar 2,05 Persen</v>
      </c>
      <c r="C76" s="13" t="str">
        <f>IFERROR(__xludf.DUMMYFUNCTION("""COMPUTED_VALUE"""),"BRS")</f>
        <v>BRS</v>
      </c>
      <c r="E76" s="26"/>
      <c r="F76" s="27"/>
      <c r="G76" s="28"/>
    </row>
    <row r="77">
      <c r="A77" s="13" t="str">
        <f>IFERROR(__xludf.DUMMYFUNCTION("""COMPUTED_VALUE"""),"monikasvymm@gmail:com")</f>
        <v>monikasvymm@gmail:com</v>
      </c>
      <c r="B77" s="13" t="str">
        <f>IFERROR(__xludf.DUMMYFUNCTION("""COMPUTED_VALUE"""),"Tingkat Pengangguran Terbuka Kabupaten Dairi 2022 sebesar 0,88 persen")</f>
        <v>Tingkat Pengangguran Terbuka Kabupaten Dairi 2022 sebesar 0,88 persen</v>
      </c>
      <c r="C77" s="13" t="str">
        <f>IFERROR(__xludf.DUMMYFUNCTION("""COMPUTED_VALUE"""),"BRS")</f>
        <v>BRS</v>
      </c>
      <c r="E77" s="26"/>
      <c r="F77" s="27"/>
      <c r="G77" s="28"/>
    </row>
    <row r="78">
      <c r="A78" s="13" t="str">
        <f>IFERROR(__xludf.DUMMYFUNCTION("""COMPUTED_VALUE"""),"muhammadzuhriadi9@gmail:com")</f>
        <v>muhammadzuhriadi9@gmail:com</v>
      </c>
      <c r="B78" s="13" t="str">
        <f>IFERROR(__xludf.DUMMYFUNCTION("""COMPUTED_VALUE"""),"Ekonomi Dairi Tahun 2020 mengalami Kontraksi Sebesar 0,94 Persen")</f>
        <v>Ekonomi Dairi Tahun 2020 mengalami Kontraksi Sebesar 0,94 Persen</v>
      </c>
      <c r="C78" s="13" t="str">
        <f>IFERROR(__xludf.DUMMYFUNCTION("""COMPUTED_VALUE"""),"BRS")</f>
        <v>BRS</v>
      </c>
      <c r="E78" s="26"/>
      <c r="F78" s="27"/>
      <c r="G78" s="28"/>
    </row>
    <row r="79">
      <c r="A79" s="13" t="str">
        <f>IFERROR(__xludf.DUMMYFUNCTION("""COMPUTED_VALUE"""),"pengawas1210@gmail:com")</f>
        <v>pengawas1210@gmail:com</v>
      </c>
      <c r="B79" s="13" t="str">
        <f>IFERROR(__xludf.DUMMYFUNCTION("""COMPUTED_VALUE"""),"Ekonomi Kabupaten Dairi Tahun-2022 terhadap Tahun-2021 mengalami pertumbuhan sebesar 4,21 persen (y-on-y)")</f>
        <v>Ekonomi Kabupaten Dairi Tahun-2022 terhadap Tahun-2021 mengalami pertumbuhan sebesar 4,21 persen (y-on-y)</v>
      </c>
      <c r="C79" s="13" t="str">
        <f>IFERROR(__xludf.DUMMYFUNCTION("""COMPUTED_VALUE"""),"BRS")</f>
        <v>BRS</v>
      </c>
      <c r="E79" s="26"/>
      <c r="F79" s="27"/>
      <c r="G79" s="28"/>
    </row>
    <row r="80">
      <c r="A80" s="13" t="str">
        <f>IFERROR(__xludf.DUMMYFUNCTION("""COMPUTED_VALUE"""),"pengawas1210@gmail:com")</f>
        <v>pengawas1210@gmail:com</v>
      </c>
      <c r="B80" s="13" t="str">
        <f>IFERROR(__xludf.DUMMYFUNCTION("""COMPUTED_VALUE"""),"Indeks Pembangunan Manusia (IPM) Kabupaten Dairi Tahun 2024")</f>
        <v>Indeks Pembangunan Manusia (IPM) Kabupaten Dairi Tahun 2024</v>
      </c>
      <c r="C80" s="13" t="str">
        <f>IFERROR(__xludf.DUMMYFUNCTION("""COMPUTED_VALUE"""),"BRS")</f>
        <v>BRS</v>
      </c>
      <c r="E80" s="26"/>
      <c r="F80" s="27"/>
      <c r="G80" s="28"/>
    </row>
    <row r="81">
      <c r="A81" s="13" t="str">
        <f>IFERROR(__xludf.DUMMYFUNCTION("""COMPUTED_VALUE"""),"pengawas1210@gmail:com")</f>
        <v>pengawas1210@gmail:com</v>
      </c>
      <c r="B81" s="13" t="str">
        <f>IFERROR(__xludf.DUMMYFUNCTION("""COMPUTED_VALUE"""),"Indeks Pembangunan Manusia (IPM) Sumatera Utara tahun 2024 mencapai 75,13, meningkat 0,62 (0,83 persen) dibandingkan tahun sebelumnya (74,51):")</f>
        <v>Indeks Pembangunan Manusia (IPM) Sumatera Utara tahun 2024 mencapai 75,13, meningkat 0,62 (0,83 persen) dibandingkan tahun sebelumnya (74,51):</v>
      </c>
      <c r="C81" s="13" t="str">
        <f>IFERROR(__xludf.DUMMYFUNCTION("""COMPUTED_VALUE"""),"BRS")</f>
        <v>BRS</v>
      </c>
      <c r="E81" s="26"/>
      <c r="F81" s="27"/>
      <c r="G81" s="28"/>
    </row>
    <row r="82">
      <c r="A82" s="13" t="str">
        <f>IFERROR(__xludf.DUMMYFUNCTION("""COMPUTED_VALUE"""),"pengawas1210@gmail:com")</f>
        <v>pengawas1210@gmail:com</v>
      </c>
      <c r="B82" s="13" t="str">
        <f>IFERROR(__xludf.DUMMYFUNCTION("""COMPUTED_VALUE"""),"Keadaan Ketenagakerjaan Dairi Agustus 2024")</f>
        <v>Keadaan Ketenagakerjaan Dairi Agustus 2024</v>
      </c>
      <c r="C82" s="13" t="str">
        <f>IFERROR(__xludf.DUMMYFUNCTION("""COMPUTED_VALUE"""),"BRS")</f>
        <v>BRS</v>
      </c>
      <c r="E82" s="26"/>
      <c r="F82" s="27"/>
      <c r="G82" s="28"/>
    </row>
    <row r="83">
      <c r="A83" s="13" t="str">
        <f>IFERROR(__xludf.DUMMYFUNCTION("""COMPUTED_VALUE"""),"pengawas1210@gmail:com")</f>
        <v>pengawas1210@gmail:com</v>
      </c>
      <c r="B83" s="13" t="str">
        <f>IFERROR(__xludf.DUMMYFUNCTION("""COMPUTED_VALUE"""),"Kemiskinan Kabupaten Dairi Tahun 2024")</f>
        <v>Kemiskinan Kabupaten Dairi Tahun 2024</v>
      </c>
      <c r="C83" s="13" t="str">
        <f>IFERROR(__xludf.DUMMYFUNCTION("""COMPUTED_VALUE"""),"BRS")</f>
        <v>BRS</v>
      </c>
      <c r="E83" s="26"/>
      <c r="F83" s="27"/>
      <c r="G83" s="28"/>
    </row>
    <row r="84">
      <c r="A84" s="13" t="str">
        <f>IFERROR(__xludf.DUMMYFUNCTION("""COMPUTED_VALUE"""),"prolapdairi@gmail:com")</f>
        <v>prolapdairi@gmail:com</v>
      </c>
      <c r="B84" s="13" t="str">
        <f>IFERROR(__xludf.DUMMYFUNCTION("""COMPUTED_VALUE"""),"Indeks Pembangunan Manusia (IPM) Kabupaten Dairi 2022 mencapai 72,56")</f>
        <v>Indeks Pembangunan Manusia (IPM) Kabupaten Dairi 2022 mencapai 72,56</v>
      </c>
      <c r="C84" s="13" t="str">
        <f>IFERROR(__xludf.DUMMYFUNCTION("""COMPUTED_VALUE"""),"BRS")</f>
        <v>BRS</v>
      </c>
      <c r="E84" s="26"/>
      <c r="F84" s="27"/>
      <c r="G84" s="28"/>
    </row>
    <row r="85">
      <c r="A85" s="13" t="str">
        <f>IFERROR(__xludf.DUMMYFUNCTION("""COMPUTED_VALUE"""),"ratnauli@bps:go:id")</f>
        <v>ratnauli@bps:go:id</v>
      </c>
      <c r="B85" s="13" t="str">
        <f>IFERROR(__xludf.DUMMYFUNCTION("""COMPUTED_VALUE"""),"Kemiskinan Kabupaten Dairi Tahun 2024")</f>
        <v>Kemiskinan Kabupaten Dairi Tahun 2024</v>
      </c>
      <c r="C85" s="13" t="str">
        <f>IFERROR(__xludf.DUMMYFUNCTION("""COMPUTED_VALUE"""),"BRS")</f>
        <v>BRS</v>
      </c>
      <c r="E85" s="26"/>
      <c r="F85" s="27"/>
      <c r="G85" s="28"/>
    </row>
    <row r="86">
      <c r="A86" s="13" t="str">
        <f>IFERROR(__xludf.DUMMYFUNCTION("""COMPUTED_VALUE"""),"ribka:anggina@gmail:com")</f>
        <v>ribka:anggina@gmail:com</v>
      </c>
      <c r="B86" s="13" t="str">
        <f>IFERROR(__xludf.DUMMYFUNCTION("""COMPUTED_VALUE"""),"[Sumatera Utara] Jumlah penumpang domestik yang berangkat dari Sumatera Utara melalui Bandara Internasional Kualanamu selama Desember 2024 mencapai 187:584 orang, atau naik 0,19 persen dibanding November 2024")</f>
        <v>[Sumatera Utara] Jumlah penumpang domestik yang berangkat dari Sumatera Utara melalui Bandara Internasional Kualanamu selama Desember 2024 mencapai 187:584 orang, atau naik 0,19 persen dibanding November 2024</v>
      </c>
      <c r="C86" s="13" t="str">
        <f>IFERROR(__xludf.DUMMYFUNCTION("""COMPUTED_VALUE"""),"BRS")</f>
        <v>BRS</v>
      </c>
      <c r="E86" s="26"/>
      <c r="F86" s="27"/>
      <c r="G86" s="28"/>
    </row>
    <row r="87">
      <c r="A87" s="13" t="str">
        <f>IFERROR(__xludf.DUMMYFUNCTION("""COMPUTED_VALUE"""),"ribka:anggina@gmail:com")</f>
        <v>ribka:anggina@gmail:com</v>
      </c>
      <c r="B87" s="13" t="str">
        <f>IFERROR(__xludf.DUMMYFUNCTION("""COMPUTED_VALUE"""),"Keadaan Ketenagakerjaan Dairi Agustus 2024")</f>
        <v>Keadaan Ketenagakerjaan Dairi Agustus 2024</v>
      </c>
      <c r="C87" s="13" t="str">
        <f>IFERROR(__xludf.DUMMYFUNCTION("""COMPUTED_VALUE"""),"BRS")</f>
        <v>BRS</v>
      </c>
      <c r="E87" s="26"/>
      <c r="F87" s="27"/>
      <c r="G87" s="28"/>
    </row>
    <row r="88">
      <c r="A88" s="13" t="str">
        <f>IFERROR(__xludf.DUMMYFUNCTION("""COMPUTED_VALUE"""),"ribka:anggina@gmail:com")</f>
        <v>ribka:anggina@gmail:com</v>
      </c>
      <c r="B88" s="13" t="str">
        <f>IFERROR(__xludf.DUMMYFUNCTION("""COMPUTED_VALUE"""),"Kemiskinan Kabupaten Dairi Tahun 2024")</f>
        <v>Kemiskinan Kabupaten Dairi Tahun 2024</v>
      </c>
      <c r="C88" s="13" t="str">
        <f>IFERROR(__xludf.DUMMYFUNCTION("""COMPUTED_VALUE"""),"BRS")</f>
        <v>BRS</v>
      </c>
      <c r="E88" s="26"/>
      <c r="F88" s="27"/>
      <c r="G88" s="28"/>
    </row>
    <row r="89">
      <c r="A89" s="13" t="str">
        <f>IFERROR(__xludf.DUMMYFUNCTION("""COMPUTED_VALUE"""),"ribka:anggina@gmail:com")</f>
        <v>ribka:anggina@gmail:com</v>
      </c>
      <c r="B89" s="13" t="str">
        <f>IFERROR(__xludf.DUMMYFUNCTION("""COMPUTED_VALUE"""),"Persentase Penduduk Miskin (Po) Kabupaten Dairi Maret 2022 sebesar 7,88 persen")</f>
        <v>Persentase Penduduk Miskin (Po) Kabupaten Dairi Maret 2022 sebesar 7,88 persen</v>
      </c>
      <c r="C89" s="13" t="str">
        <f>IFERROR(__xludf.DUMMYFUNCTION("""COMPUTED_VALUE"""),"BRS")</f>
        <v>BRS</v>
      </c>
      <c r="E89" s="26"/>
      <c r="F89" s="27"/>
      <c r="G89" s="28"/>
    </row>
    <row r="90">
      <c r="A90" s="13" t="str">
        <f>IFERROR(__xludf.DUMMYFUNCTION("""COMPUTED_VALUE"""),"ribka:anggina@gmail:com")</f>
        <v>ribka:anggina@gmail:com</v>
      </c>
      <c r="B90" s="13" t="str">
        <f>IFERROR(__xludf.DUMMYFUNCTION("""COMPUTED_VALUE"""),"Tingkat Pengangguran Terbuka Kabupaten Dairi 2022 sebesar 0,88 persen")</f>
        <v>Tingkat Pengangguran Terbuka Kabupaten Dairi 2022 sebesar 0,88 persen</v>
      </c>
      <c r="C90" s="13" t="str">
        <f>IFERROR(__xludf.DUMMYFUNCTION("""COMPUTED_VALUE"""),"BRS")</f>
        <v>BRS</v>
      </c>
      <c r="E90" s="26"/>
      <c r="F90" s="27"/>
      <c r="G90" s="28"/>
    </row>
    <row r="91">
      <c r="A91" s="13" t="str">
        <f>IFERROR(__xludf.DUMMYFUNCTION("""COMPUTED_VALUE"""),"saptugala@gmail:com")</f>
        <v>saptugala@gmail:com</v>
      </c>
      <c r="B91" s="13" t="str">
        <f>IFERROR(__xludf.DUMMYFUNCTION("""COMPUTED_VALUE"""),"Persentase Penduduk Miskin (Po) Kabupaten Dairi Maret 2022 sebesar 7,88 persen")</f>
        <v>Persentase Penduduk Miskin (Po) Kabupaten Dairi Maret 2022 sebesar 7,88 persen</v>
      </c>
      <c r="C91" s="13" t="str">
        <f>IFERROR(__xludf.DUMMYFUNCTION("""COMPUTED_VALUE"""),"BRS")</f>
        <v>BRS</v>
      </c>
      <c r="E91" s="26"/>
      <c r="F91" s="27"/>
      <c r="G91" s="28"/>
    </row>
    <row r="92">
      <c r="A92" s="13" t="str">
        <f>IFERROR(__xludf.DUMMYFUNCTION("""COMPUTED_VALUE"""),"sitepuharmonis@gmail:com")</f>
        <v>sitepuharmonis@gmail:com</v>
      </c>
      <c r="B92" s="13" t="str">
        <f>IFERROR(__xludf.DUMMYFUNCTION("""COMPUTED_VALUE"""),"[Sumatera Utara] Nilai Tukar Petani Provinsi Sumatera Utara Desember 2024 sebesar 129,04")</f>
        <v>[Sumatera Utara] Nilai Tukar Petani Provinsi Sumatera Utara Desember 2024 sebesar 129,04</v>
      </c>
      <c r="C92" s="13" t="str">
        <f>IFERROR(__xludf.DUMMYFUNCTION("""COMPUTED_VALUE"""),"BRS")</f>
        <v>BRS</v>
      </c>
      <c r="E92" s="26"/>
      <c r="F92" s="27"/>
      <c r="G92" s="28"/>
    </row>
    <row r="93">
      <c r="A93" s="13" t="str">
        <f>IFERROR(__xludf.DUMMYFUNCTION("""COMPUTED_VALUE"""),"srichardo762@gmail:com")</f>
        <v>srichardo762@gmail:com</v>
      </c>
      <c r="B93" s="13" t="str">
        <f>IFERROR(__xludf.DUMMYFUNCTION("""COMPUTED_VALUE"""),"Indeks Pembangunan Manusia (IPM) Kabupaten Dairi Tahun 2024")</f>
        <v>Indeks Pembangunan Manusia (IPM) Kabupaten Dairi Tahun 2024</v>
      </c>
      <c r="C93" s="13" t="str">
        <f>IFERROR(__xludf.DUMMYFUNCTION("""COMPUTED_VALUE"""),"BRS")</f>
        <v>BRS</v>
      </c>
      <c r="E93" s="26"/>
      <c r="F93" s="27"/>
      <c r="G93" s="28"/>
    </row>
    <row r="94">
      <c r="A94" s="13" t="str">
        <f>IFERROR(__xludf.DUMMYFUNCTION("""COMPUTED_VALUE"""),"statsektoraldariri@gmail:com")</f>
        <v>statsektoraldariri@gmail:com</v>
      </c>
      <c r="B94" s="13" t="str">
        <f>IFERROR(__xludf.DUMMYFUNCTION("""COMPUTED_VALUE"""),"Indeks Pembangunan Manusia (IPM) Kabupaten Dairi 2022 mencapai 72,56")</f>
        <v>Indeks Pembangunan Manusia (IPM) Kabupaten Dairi 2022 mencapai 72,56</v>
      </c>
      <c r="C94" s="13" t="str">
        <f>IFERROR(__xludf.DUMMYFUNCTION("""COMPUTED_VALUE"""),"BRS")</f>
        <v>BRS</v>
      </c>
      <c r="E94" s="26"/>
      <c r="F94" s="27"/>
      <c r="G94" s="28"/>
    </row>
    <row r="95">
      <c r="A95" s="13" t="str">
        <f>IFERROR(__xludf.DUMMYFUNCTION("""COMPUTED_VALUE"""),"tarihoran455@gmail:com")</f>
        <v>tarihoran455@gmail:com</v>
      </c>
      <c r="B95" s="13" t="str">
        <f>IFERROR(__xludf.DUMMYFUNCTION("""COMPUTED_VALUE"""),"Persentase Penduduk Miskin (Po) Kabupaten Dairi Maret 2022 sebesar 7,88 persen")</f>
        <v>Persentase Penduduk Miskin (Po) Kabupaten Dairi Maret 2022 sebesar 7,88 persen</v>
      </c>
      <c r="C95" s="13" t="str">
        <f>IFERROR(__xludf.DUMMYFUNCTION("""COMPUTED_VALUE"""),"BRS")</f>
        <v>BRS</v>
      </c>
      <c r="E95" s="26"/>
      <c r="F95" s="27"/>
      <c r="G95" s="28"/>
    </row>
    <row r="96">
      <c r="A96" s="13" t="str">
        <f>IFERROR(__xludf.DUMMYFUNCTION("""COMPUTED_VALUE"""),"tettysaorma@bps:go:id")</f>
        <v>tettysaorma@bps:go:id</v>
      </c>
      <c r="B96" s="13" t="str">
        <f>IFERROR(__xludf.DUMMYFUNCTION("""COMPUTED_VALUE"""),"Tingkat Pengangguran Terbuka Kabupaten Dairi 2022 sebesar 0,88 persen")</f>
        <v>Tingkat Pengangguran Terbuka Kabupaten Dairi 2022 sebesar 0,88 persen</v>
      </c>
      <c r="C96" s="13" t="str">
        <f>IFERROR(__xludf.DUMMYFUNCTION("""COMPUTED_VALUE"""),"BRS")</f>
        <v>BRS</v>
      </c>
      <c r="E96" s="26"/>
      <c r="F96" s="27"/>
      <c r="G96" s="28"/>
    </row>
    <row r="97">
      <c r="A97" s="13" t="str">
        <f>IFERROR(__xludf.DUMMYFUNCTION("""COMPUTED_VALUE"""),"titosiagian2@gmail:com")</f>
        <v>titosiagian2@gmail:com</v>
      </c>
      <c r="B97" s="13" t="str">
        <f>IFERROR(__xludf.DUMMYFUNCTION("""COMPUTED_VALUE"""),"Kemiskinan Kabupaten Dairi Tahun 2024")</f>
        <v>Kemiskinan Kabupaten Dairi Tahun 2024</v>
      </c>
      <c r="C97" s="13" t="str">
        <f>IFERROR(__xludf.DUMMYFUNCTION("""COMPUTED_VALUE"""),"BRS")</f>
        <v>BRS</v>
      </c>
      <c r="E97" s="26"/>
      <c r="F97" s="27"/>
      <c r="G97" s="28"/>
    </row>
    <row r="98">
      <c r="A98" s="13" t="str">
        <f>IFERROR(__xludf.DUMMYFUNCTION("""COMPUTED_VALUE"""),"wiwikrahayunilumbangaol@gmail:com")</f>
        <v>wiwikrahayunilumbangaol@gmail:com</v>
      </c>
      <c r="B98" s="13" t="str">
        <f>IFERROR(__xludf.DUMMYFUNCTION("""COMPUTED_VALUE"""),"Tingkat Pengangguran Terbuka Kabupaten Dairi 2022 sebesar 0,88 persen")</f>
        <v>Tingkat Pengangguran Terbuka Kabupaten Dairi 2022 sebesar 0,88 persen</v>
      </c>
      <c r="C98" s="13" t="str">
        <f>IFERROR(__xludf.DUMMYFUNCTION("""COMPUTED_VALUE"""),"BRS")</f>
        <v>BRS</v>
      </c>
      <c r="E98" s="26"/>
      <c r="F98" s="27"/>
      <c r="G98" s="28"/>
    </row>
    <row r="99">
      <c r="A99" s="13" t="str">
        <f>IFERROR(__xludf.DUMMYFUNCTION("""COMPUTED_VALUE"""),"zulfanroy7@gmail:com")</f>
        <v>zulfanroy7@gmail:com</v>
      </c>
      <c r="B99" s="13" t="str">
        <f>IFERROR(__xludf.DUMMYFUNCTION("""COMPUTED_VALUE"""),"Tingkat Pengangguran Terbuka Kabupaten Dairi 2022 sebesar 0,88 persen")</f>
        <v>Tingkat Pengangguran Terbuka Kabupaten Dairi 2022 sebesar 0,88 persen</v>
      </c>
      <c r="C99" s="13" t="str">
        <f>IFERROR(__xludf.DUMMYFUNCTION("""COMPUTED_VALUE"""),"BRS")</f>
        <v>BRS</v>
      </c>
      <c r="E99" s="26"/>
      <c r="F99" s="27"/>
      <c r="G99" s="28"/>
    </row>
    <row r="100">
      <c r="E100" s="26"/>
      <c r="F100" s="27"/>
      <c r="G100" s="28"/>
    </row>
    <row r="101">
      <c r="E101" s="26"/>
      <c r="F101" s="27"/>
      <c r="G101" s="28"/>
    </row>
    <row r="102">
      <c r="E102" s="26"/>
      <c r="F102" s="27"/>
      <c r="G102" s="28"/>
    </row>
    <row r="103">
      <c r="E103" s="26"/>
      <c r="F103" s="27"/>
      <c r="G103" s="28"/>
    </row>
    <row r="104">
      <c r="E104" s="26"/>
      <c r="F104" s="27"/>
      <c r="G104" s="28"/>
    </row>
    <row r="105">
      <c r="E105" s="26"/>
      <c r="F105" s="27"/>
      <c r="G105" s="28"/>
    </row>
    <row r="106">
      <c r="E106" s="26"/>
      <c r="F106" s="27"/>
      <c r="G106" s="28"/>
    </row>
    <row r="107">
      <c r="E107" s="26"/>
      <c r="F107" s="27"/>
      <c r="G107" s="28"/>
    </row>
    <row r="108">
      <c r="E108" s="26"/>
      <c r="F108" s="27"/>
      <c r="G108" s="28"/>
    </row>
    <row r="109">
      <c r="E109" s="26"/>
      <c r="F109" s="27"/>
      <c r="G109" s="28"/>
    </row>
    <row r="110">
      <c r="E110" s="26"/>
      <c r="F110" s="27"/>
      <c r="G110" s="28"/>
    </row>
    <row r="111">
      <c r="E111" s="26"/>
      <c r="F111" s="27"/>
      <c r="G111" s="28"/>
    </row>
    <row r="112">
      <c r="E112" s="26"/>
      <c r="F112" s="27"/>
      <c r="G112" s="28"/>
    </row>
    <row r="113">
      <c r="E113" s="26"/>
      <c r="F113" s="27"/>
      <c r="G113" s="28"/>
    </row>
    <row r="114">
      <c r="E114" s="26"/>
      <c r="F114" s="27"/>
      <c r="G114" s="28"/>
    </row>
    <row r="115">
      <c r="E115" s="26"/>
      <c r="F115" s="27"/>
      <c r="G115" s="28"/>
    </row>
    <row r="116">
      <c r="E116" s="26"/>
      <c r="F116" s="27"/>
      <c r="G116" s="28"/>
    </row>
    <row r="117">
      <c r="E117" s="26"/>
      <c r="F117" s="27"/>
      <c r="G117" s="28"/>
    </row>
    <row r="118">
      <c r="E118" s="26"/>
      <c r="F118" s="27"/>
      <c r="G118" s="28"/>
    </row>
    <row r="119">
      <c r="E119" s="26"/>
      <c r="F119" s="27"/>
      <c r="G119" s="28"/>
    </row>
    <row r="120">
      <c r="E120" s="26"/>
      <c r="F120" s="27"/>
      <c r="G120" s="28"/>
    </row>
    <row r="121">
      <c r="E121" s="26"/>
      <c r="F121" s="27"/>
      <c r="G121" s="28"/>
    </row>
    <row r="122">
      <c r="E122" s="26"/>
      <c r="F122" s="27"/>
      <c r="G122" s="28"/>
    </row>
    <row r="123">
      <c r="E123" s="26"/>
      <c r="F123" s="27"/>
      <c r="G123" s="28"/>
    </row>
    <row r="124">
      <c r="E124" s="26"/>
      <c r="F124" s="27"/>
      <c r="G124" s="28"/>
    </row>
    <row r="125">
      <c r="E125" s="26"/>
      <c r="F125" s="27"/>
      <c r="G125" s="28"/>
    </row>
    <row r="126">
      <c r="E126" s="26"/>
      <c r="F126" s="27"/>
      <c r="G126" s="28"/>
    </row>
    <row r="127">
      <c r="E127" s="26"/>
      <c r="F127" s="27"/>
      <c r="G127" s="28"/>
    </row>
    <row r="128">
      <c r="E128" s="26"/>
      <c r="F128" s="27"/>
      <c r="G128" s="28"/>
    </row>
    <row r="129">
      <c r="E129" s="26"/>
      <c r="F129" s="27"/>
      <c r="G129" s="28"/>
    </row>
    <row r="130">
      <c r="E130" s="26"/>
      <c r="F130" s="27"/>
      <c r="G130" s="28"/>
    </row>
    <row r="131">
      <c r="E131" s="26"/>
      <c r="F131" s="27"/>
      <c r="G131" s="28"/>
    </row>
    <row r="132">
      <c r="E132" s="26"/>
      <c r="F132" s="27"/>
      <c r="G132" s="28"/>
    </row>
    <row r="133">
      <c r="E133" s="26"/>
      <c r="F133" s="27"/>
      <c r="G133" s="28"/>
    </row>
    <row r="134">
      <c r="E134" s="26"/>
      <c r="F134" s="27"/>
      <c r="G134" s="28"/>
    </row>
    <row r="135">
      <c r="E135" s="26"/>
      <c r="F135" s="27"/>
      <c r="G135" s="28"/>
    </row>
    <row r="136">
      <c r="E136" s="26"/>
      <c r="F136" s="27"/>
      <c r="G136" s="28"/>
    </row>
    <row r="137">
      <c r="E137" s="26"/>
      <c r="F137" s="27"/>
      <c r="G137" s="28"/>
    </row>
    <row r="138">
      <c r="E138" s="26"/>
      <c r="F138" s="27"/>
      <c r="G138" s="28"/>
    </row>
    <row r="139">
      <c r="E139" s="26"/>
      <c r="F139" s="27"/>
      <c r="G139" s="28"/>
    </row>
    <row r="140">
      <c r="E140" s="26"/>
      <c r="F140" s="27"/>
      <c r="G140" s="28"/>
    </row>
    <row r="141">
      <c r="E141" s="26"/>
      <c r="F141" s="27"/>
      <c r="G141" s="28"/>
    </row>
    <row r="142">
      <c r="E142" s="26"/>
      <c r="F142" s="27"/>
      <c r="G142" s="28"/>
    </row>
    <row r="143">
      <c r="E143" s="26"/>
      <c r="F143" s="27"/>
      <c r="G143" s="28"/>
    </row>
    <row r="144">
      <c r="E144" s="26"/>
      <c r="F144" s="27"/>
      <c r="G144" s="28"/>
    </row>
    <row r="145">
      <c r="E145" s="26"/>
      <c r="F145" s="27"/>
      <c r="G145" s="28"/>
    </row>
    <row r="146">
      <c r="E146" s="26"/>
      <c r="F146" s="27"/>
      <c r="G146" s="28"/>
    </row>
    <row r="147">
      <c r="E147" s="26"/>
      <c r="F147" s="27"/>
      <c r="G147" s="28"/>
    </row>
    <row r="148">
      <c r="E148" s="26"/>
      <c r="F148" s="27"/>
      <c r="G148" s="28"/>
    </row>
    <row r="149">
      <c r="E149" s="26"/>
      <c r="F149" s="27"/>
      <c r="G149" s="28"/>
    </row>
    <row r="150">
      <c r="E150" s="26"/>
      <c r="F150" s="27"/>
      <c r="G150" s="28"/>
    </row>
    <row r="151">
      <c r="E151" s="26"/>
      <c r="F151" s="27"/>
      <c r="G151" s="28"/>
    </row>
    <row r="152">
      <c r="E152" s="26"/>
      <c r="F152" s="27"/>
      <c r="G152" s="28"/>
    </row>
    <row r="153">
      <c r="E153" s="26"/>
      <c r="F153" s="27"/>
      <c r="G153" s="28"/>
    </row>
    <row r="154">
      <c r="E154" s="26"/>
      <c r="F154" s="27"/>
      <c r="G154" s="28"/>
    </row>
    <row r="155">
      <c r="E155" s="26"/>
      <c r="F155" s="27"/>
      <c r="G155" s="28"/>
    </row>
    <row r="156">
      <c r="E156" s="26"/>
      <c r="F156" s="27"/>
      <c r="G156" s="28"/>
    </row>
    <row r="157">
      <c r="E157" s="26"/>
      <c r="F157" s="27"/>
      <c r="G157" s="28"/>
    </row>
    <row r="158">
      <c r="E158" s="26"/>
      <c r="F158" s="27"/>
      <c r="G158" s="28"/>
    </row>
    <row r="159">
      <c r="E159" s="26"/>
      <c r="F159" s="27"/>
      <c r="G159" s="28"/>
    </row>
    <row r="160">
      <c r="E160" s="26"/>
      <c r="F160" s="27"/>
      <c r="G160" s="28"/>
    </row>
    <row r="161">
      <c r="E161" s="26"/>
      <c r="F161" s="27"/>
      <c r="G161" s="28"/>
    </row>
    <row r="162">
      <c r="E162" s="26"/>
      <c r="F162" s="27"/>
      <c r="G162" s="28"/>
    </row>
    <row r="163">
      <c r="E163" s="26"/>
      <c r="F163" s="27"/>
      <c r="G163" s="28"/>
    </row>
    <row r="164">
      <c r="E164" s="26"/>
      <c r="F164" s="27"/>
      <c r="G164" s="28"/>
    </row>
    <row r="165">
      <c r="E165" s="26"/>
      <c r="F165" s="27"/>
      <c r="G165" s="28"/>
    </row>
    <row r="166">
      <c r="E166" s="26"/>
      <c r="F166" s="27"/>
      <c r="G166" s="28"/>
    </row>
    <row r="167">
      <c r="E167" s="26"/>
      <c r="F167" s="27"/>
      <c r="G167" s="28"/>
    </row>
    <row r="168">
      <c r="E168" s="26"/>
      <c r="F168" s="27"/>
      <c r="G168" s="28"/>
    </row>
    <row r="169">
      <c r="E169" s="26"/>
      <c r="F169" s="27"/>
      <c r="G169" s="28"/>
    </row>
    <row r="170">
      <c r="E170" s="26"/>
      <c r="F170" s="27"/>
      <c r="G170" s="28"/>
    </row>
    <row r="171">
      <c r="E171" s="26"/>
      <c r="F171" s="27"/>
      <c r="G171" s="28"/>
    </row>
    <row r="172">
      <c r="E172" s="26"/>
      <c r="F172" s="27"/>
      <c r="G172" s="28"/>
    </row>
    <row r="173">
      <c r="E173" s="26"/>
      <c r="F173" s="27"/>
      <c r="G173" s="28"/>
    </row>
    <row r="174">
      <c r="E174" s="26"/>
      <c r="F174" s="27"/>
      <c r="G174" s="28"/>
    </row>
    <row r="175">
      <c r="E175" s="26"/>
      <c r="F175" s="27"/>
      <c r="G175" s="28"/>
    </row>
    <row r="176">
      <c r="E176" s="26"/>
      <c r="F176" s="27"/>
      <c r="G176" s="28"/>
    </row>
    <row r="177">
      <c r="E177" s="26"/>
      <c r="F177" s="27"/>
      <c r="G177" s="28"/>
    </row>
    <row r="178">
      <c r="E178" s="26"/>
      <c r="F178" s="27"/>
      <c r="G178" s="28"/>
    </row>
    <row r="179">
      <c r="E179" s="26"/>
      <c r="F179" s="27"/>
      <c r="G179" s="28"/>
    </row>
    <row r="180">
      <c r="E180" s="26"/>
      <c r="F180" s="27"/>
      <c r="G180" s="28"/>
    </row>
    <row r="181">
      <c r="E181" s="26"/>
      <c r="F181" s="27"/>
      <c r="G181" s="28"/>
    </row>
    <row r="182">
      <c r="E182" s="26"/>
      <c r="F182" s="27"/>
      <c r="G182" s="28"/>
    </row>
    <row r="183">
      <c r="E183" s="26"/>
      <c r="F183" s="27"/>
      <c r="G183" s="28"/>
    </row>
    <row r="184">
      <c r="E184" s="26"/>
      <c r="F184" s="27"/>
      <c r="G184" s="28"/>
    </row>
    <row r="185">
      <c r="E185" s="26"/>
      <c r="F185" s="27"/>
      <c r="G185" s="28"/>
    </row>
    <row r="186">
      <c r="E186" s="26"/>
      <c r="F186" s="27"/>
      <c r="G186" s="28"/>
    </row>
    <row r="187">
      <c r="E187" s="26"/>
      <c r="F187" s="27"/>
      <c r="G187" s="28"/>
    </row>
    <row r="188">
      <c r="E188" s="26"/>
      <c r="F188" s="27"/>
      <c r="G188" s="28"/>
    </row>
    <row r="189">
      <c r="E189" s="26"/>
      <c r="F189" s="27"/>
      <c r="G189" s="28"/>
    </row>
    <row r="190">
      <c r="E190" s="26"/>
      <c r="F190" s="27"/>
      <c r="G190" s="28"/>
    </row>
    <row r="191">
      <c r="E191" s="26"/>
      <c r="F191" s="27"/>
      <c r="G191" s="28"/>
    </row>
    <row r="192">
      <c r="E192" s="26"/>
      <c r="F192" s="27"/>
      <c r="G192" s="28"/>
    </row>
    <row r="193">
      <c r="E193" s="26"/>
      <c r="F193" s="27"/>
      <c r="G193" s="28"/>
    </row>
    <row r="194">
      <c r="E194" s="26"/>
      <c r="F194" s="27"/>
      <c r="G194" s="28"/>
    </row>
    <row r="195">
      <c r="E195" s="26"/>
      <c r="F195" s="27"/>
      <c r="G195" s="28"/>
    </row>
    <row r="196">
      <c r="E196" s="26"/>
      <c r="F196" s="27"/>
      <c r="G196" s="28"/>
    </row>
    <row r="197">
      <c r="E197" s="26"/>
      <c r="F197" s="27"/>
      <c r="G197" s="28"/>
    </row>
    <row r="198">
      <c r="E198" s="26"/>
      <c r="F198" s="27"/>
      <c r="G198" s="28"/>
    </row>
    <row r="199">
      <c r="E199" s="26"/>
      <c r="F199" s="27"/>
      <c r="G199" s="28"/>
    </row>
    <row r="200">
      <c r="E200" s="26"/>
      <c r="F200" s="27"/>
      <c r="G200" s="28"/>
    </row>
    <row r="201">
      <c r="E201" s="26"/>
      <c r="F201" s="27"/>
      <c r="G201" s="28"/>
    </row>
    <row r="202">
      <c r="E202" s="26"/>
      <c r="F202" s="27"/>
      <c r="G202" s="28"/>
    </row>
    <row r="203">
      <c r="E203" s="26"/>
      <c r="F203" s="27"/>
      <c r="G203" s="28"/>
    </row>
    <row r="204">
      <c r="E204" s="26"/>
      <c r="F204" s="27"/>
      <c r="G204" s="28"/>
    </row>
    <row r="205">
      <c r="E205" s="26"/>
      <c r="F205" s="27"/>
      <c r="G205" s="28"/>
    </row>
    <row r="206">
      <c r="E206" s="26"/>
      <c r="F206" s="27"/>
      <c r="G206" s="28"/>
    </row>
    <row r="207">
      <c r="E207" s="26"/>
      <c r="F207" s="27"/>
      <c r="G207" s="28"/>
    </row>
    <row r="208">
      <c r="E208" s="26"/>
      <c r="F208" s="27"/>
      <c r="G208" s="28"/>
    </row>
    <row r="209">
      <c r="E209" s="26"/>
      <c r="F209" s="27"/>
      <c r="G209" s="28"/>
    </row>
    <row r="210">
      <c r="E210" s="26"/>
      <c r="F210" s="27"/>
      <c r="G210" s="28"/>
    </row>
    <row r="211">
      <c r="E211" s="26"/>
      <c r="F211" s="27"/>
      <c r="G211" s="28"/>
    </row>
    <row r="212">
      <c r="E212" s="26"/>
      <c r="F212" s="27"/>
      <c r="G212" s="28"/>
    </row>
    <row r="213">
      <c r="E213" s="26"/>
      <c r="F213" s="27"/>
      <c r="G213" s="28"/>
    </row>
    <row r="214">
      <c r="E214" s="26"/>
      <c r="F214" s="27"/>
      <c r="G214" s="28"/>
    </row>
    <row r="215">
      <c r="E215" s="26"/>
      <c r="F215" s="27"/>
      <c r="G215" s="28"/>
    </row>
    <row r="216">
      <c r="E216" s="26"/>
      <c r="F216" s="27"/>
      <c r="G216" s="28"/>
    </row>
    <row r="217">
      <c r="E217" s="26"/>
      <c r="F217" s="27"/>
      <c r="G217" s="28"/>
    </row>
    <row r="218">
      <c r="E218" s="26"/>
      <c r="F218" s="27"/>
      <c r="G218" s="28"/>
    </row>
    <row r="219">
      <c r="E219" s="26"/>
      <c r="F219" s="27"/>
      <c r="G219" s="28"/>
    </row>
    <row r="220">
      <c r="E220" s="26"/>
      <c r="F220" s="27"/>
      <c r="G220" s="28"/>
    </row>
    <row r="221">
      <c r="E221" s="26"/>
      <c r="F221" s="27"/>
      <c r="G221" s="28"/>
    </row>
    <row r="222">
      <c r="E222" s="26"/>
      <c r="F222" s="27"/>
      <c r="G222" s="28"/>
    </row>
    <row r="223">
      <c r="E223" s="26"/>
      <c r="F223" s="27"/>
      <c r="G223" s="28"/>
    </row>
    <row r="224">
      <c r="E224" s="26"/>
      <c r="F224" s="27"/>
      <c r="G224" s="28"/>
    </row>
    <row r="225">
      <c r="E225" s="26"/>
      <c r="F225" s="27"/>
      <c r="G225" s="28"/>
    </row>
    <row r="226">
      <c r="E226" s="26"/>
      <c r="F226" s="27"/>
      <c r="G226" s="28"/>
    </row>
    <row r="227">
      <c r="E227" s="26"/>
      <c r="F227" s="27"/>
      <c r="G227" s="28"/>
    </row>
    <row r="228">
      <c r="E228" s="26"/>
      <c r="F228" s="27"/>
      <c r="G228" s="28"/>
    </row>
    <row r="229">
      <c r="E229" s="26"/>
      <c r="F229" s="27"/>
      <c r="G229" s="28"/>
    </row>
    <row r="230">
      <c r="E230" s="26"/>
      <c r="F230" s="27"/>
      <c r="G230" s="28"/>
    </row>
    <row r="231">
      <c r="E231" s="26"/>
      <c r="F231" s="27"/>
      <c r="G231" s="28"/>
    </row>
    <row r="232">
      <c r="E232" s="26"/>
      <c r="F232" s="27"/>
      <c r="G232" s="28"/>
    </row>
    <row r="233">
      <c r="E233" s="26"/>
      <c r="F233" s="27"/>
      <c r="G233" s="28"/>
    </row>
    <row r="234">
      <c r="E234" s="26"/>
      <c r="F234" s="27"/>
      <c r="G234" s="28"/>
    </row>
    <row r="235">
      <c r="E235" s="26"/>
      <c r="F235" s="27"/>
      <c r="G235" s="28"/>
    </row>
    <row r="236">
      <c r="E236" s="26"/>
      <c r="F236" s="27"/>
      <c r="G236" s="28"/>
    </row>
    <row r="237">
      <c r="E237" s="26"/>
      <c r="F237" s="27"/>
      <c r="G237" s="28"/>
    </row>
    <row r="238">
      <c r="E238" s="26"/>
      <c r="F238" s="27"/>
      <c r="G238" s="28"/>
    </row>
    <row r="239">
      <c r="E239" s="26"/>
      <c r="F239" s="27"/>
      <c r="G239" s="28"/>
    </row>
    <row r="240">
      <c r="E240" s="26"/>
      <c r="F240" s="27"/>
      <c r="G240" s="28"/>
    </row>
    <row r="241">
      <c r="E241" s="26"/>
      <c r="F241" s="27"/>
      <c r="G241" s="28"/>
    </row>
    <row r="242">
      <c r="E242" s="26"/>
      <c r="F242" s="27"/>
      <c r="G242" s="28"/>
    </row>
    <row r="243">
      <c r="E243" s="26"/>
      <c r="F243" s="27"/>
      <c r="G243" s="28"/>
    </row>
    <row r="244">
      <c r="E244" s="26"/>
      <c r="F244" s="27"/>
      <c r="G244" s="28"/>
    </row>
    <row r="245">
      <c r="E245" s="26"/>
      <c r="F245" s="27"/>
      <c r="G245" s="28"/>
    </row>
    <row r="246">
      <c r="E246" s="26"/>
      <c r="F246" s="27"/>
      <c r="G246" s="28"/>
    </row>
    <row r="247">
      <c r="E247" s="26"/>
      <c r="F247" s="27"/>
      <c r="G247" s="28"/>
    </row>
    <row r="248">
      <c r="E248" s="26"/>
      <c r="F248" s="27"/>
      <c r="G248" s="28"/>
    </row>
    <row r="249">
      <c r="E249" s="26"/>
      <c r="F249" s="27"/>
      <c r="G249" s="28"/>
    </row>
    <row r="250">
      <c r="E250" s="26"/>
      <c r="F250" s="27"/>
      <c r="G250" s="28"/>
    </row>
    <row r="251">
      <c r="E251" s="26"/>
      <c r="F251" s="27"/>
      <c r="G251" s="28"/>
    </row>
    <row r="252">
      <c r="E252" s="26"/>
      <c r="F252" s="27"/>
      <c r="G252" s="28"/>
    </row>
    <row r="253">
      <c r="E253" s="26"/>
      <c r="F253" s="27"/>
      <c r="G253" s="28"/>
    </row>
    <row r="254">
      <c r="E254" s="26"/>
      <c r="F254" s="27"/>
      <c r="G254" s="28"/>
    </row>
    <row r="255">
      <c r="E255" s="26"/>
      <c r="F255" s="27"/>
      <c r="G255" s="28"/>
    </row>
    <row r="256">
      <c r="E256" s="26"/>
      <c r="F256" s="27"/>
      <c r="G256" s="28"/>
    </row>
    <row r="257">
      <c r="E257" s="26"/>
      <c r="F257" s="27"/>
      <c r="G257" s="28"/>
    </row>
    <row r="258">
      <c r="E258" s="26"/>
      <c r="F258" s="27"/>
      <c r="G258" s="28"/>
    </row>
    <row r="259">
      <c r="E259" s="26"/>
      <c r="F259" s="27"/>
      <c r="G259" s="28"/>
    </row>
    <row r="260">
      <c r="E260" s="26"/>
      <c r="F260" s="27"/>
      <c r="G260" s="28"/>
    </row>
    <row r="261">
      <c r="E261" s="26"/>
      <c r="F261" s="27"/>
      <c r="G261" s="28"/>
    </row>
    <row r="262">
      <c r="E262" s="26"/>
      <c r="F262" s="27"/>
      <c r="G262" s="28"/>
    </row>
    <row r="263">
      <c r="E263" s="26"/>
      <c r="F263" s="27"/>
      <c r="G263" s="28"/>
    </row>
    <row r="264">
      <c r="E264" s="26"/>
      <c r="F264" s="27"/>
      <c r="G264" s="28"/>
    </row>
    <row r="265">
      <c r="E265" s="26"/>
      <c r="F265" s="27"/>
      <c r="G265" s="28"/>
    </row>
    <row r="266">
      <c r="E266" s="26"/>
      <c r="F266" s="27"/>
      <c r="G266" s="28"/>
    </row>
    <row r="267">
      <c r="E267" s="26"/>
      <c r="F267" s="27"/>
      <c r="G267" s="28"/>
    </row>
    <row r="268">
      <c r="E268" s="26"/>
      <c r="F268" s="27"/>
      <c r="G268" s="28"/>
    </row>
    <row r="269">
      <c r="E269" s="26"/>
      <c r="F269" s="27"/>
      <c r="G269" s="28"/>
    </row>
    <row r="270">
      <c r="E270" s="26"/>
      <c r="F270" s="27"/>
      <c r="G270" s="28"/>
    </row>
    <row r="271">
      <c r="E271" s="26"/>
      <c r="F271" s="27"/>
      <c r="G271" s="28"/>
    </row>
    <row r="272">
      <c r="E272" s="26"/>
      <c r="F272" s="27"/>
      <c r="G272" s="28"/>
    </row>
    <row r="273">
      <c r="E273" s="26"/>
      <c r="F273" s="27"/>
      <c r="G273" s="28"/>
    </row>
    <row r="274">
      <c r="E274" s="26"/>
      <c r="F274" s="27"/>
      <c r="G274" s="28"/>
    </row>
    <row r="275">
      <c r="E275" s="26"/>
      <c r="F275" s="27"/>
      <c r="G275" s="28"/>
    </row>
    <row r="276">
      <c r="E276" s="26"/>
      <c r="F276" s="27"/>
      <c r="G276" s="28"/>
    </row>
    <row r="277">
      <c r="E277" s="26"/>
      <c r="F277" s="27"/>
      <c r="G277" s="28"/>
    </row>
    <row r="278">
      <c r="E278" s="26"/>
      <c r="F278" s="27"/>
      <c r="G278" s="28"/>
    </row>
    <row r="279">
      <c r="E279" s="26"/>
      <c r="F279" s="27"/>
      <c r="G279" s="28"/>
    </row>
    <row r="280">
      <c r="E280" s="26"/>
      <c r="F280" s="27"/>
      <c r="G280" s="28"/>
    </row>
    <row r="281">
      <c r="E281" s="26"/>
      <c r="F281" s="27"/>
      <c r="G281" s="28"/>
    </row>
    <row r="282">
      <c r="E282" s="26"/>
      <c r="F282" s="27"/>
      <c r="G282" s="28"/>
    </row>
    <row r="283">
      <c r="E283" s="26"/>
      <c r="F283" s="27"/>
      <c r="G283" s="28"/>
    </row>
    <row r="284">
      <c r="E284" s="26"/>
      <c r="F284" s="27"/>
      <c r="G284" s="28"/>
    </row>
    <row r="285">
      <c r="E285" s="26"/>
      <c r="F285" s="27"/>
      <c r="G285" s="28"/>
    </row>
    <row r="286">
      <c r="E286" s="26"/>
      <c r="F286" s="27"/>
      <c r="G286" s="28"/>
    </row>
    <row r="287">
      <c r="E287" s="26"/>
      <c r="F287" s="27"/>
      <c r="G287" s="28"/>
    </row>
    <row r="288">
      <c r="E288" s="26"/>
      <c r="F288" s="27"/>
      <c r="G288" s="28"/>
    </row>
    <row r="289">
      <c r="E289" s="26"/>
      <c r="F289" s="27"/>
      <c r="G289" s="28"/>
    </row>
    <row r="290">
      <c r="E290" s="26"/>
      <c r="F290" s="27"/>
      <c r="G290" s="28"/>
    </row>
    <row r="291">
      <c r="E291" s="26"/>
      <c r="F291" s="27"/>
      <c r="G291" s="28"/>
    </row>
    <row r="292">
      <c r="E292" s="26"/>
      <c r="F292" s="27"/>
      <c r="G292" s="28"/>
    </row>
    <row r="293">
      <c r="E293" s="26"/>
      <c r="F293" s="27"/>
      <c r="G293" s="28"/>
    </row>
    <row r="294">
      <c r="E294" s="26"/>
      <c r="F294" s="27"/>
      <c r="G294" s="28"/>
    </row>
    <row r="295">
      <c r="E295" s="26"/>
      <c r="F295" s="27"/>
      <c r="G295" s="28"/>
    </row>
    <row r="296">
      <c r="E296" s="26"/>
      <c r="F296" s="27"/>
      <c r="G296" s="28"/>
    </row>
    <row r="297">
      <c r="E297" s="26"/>
      <c r="F297" s="27"/>
      <c r="G297" s="28"/>
    </row>
    <row r="298">
      <c r="E298" s="26"/>
      <c r="F298" s="27"/>
      <c r="G298" s="28"/>
    </row>
    <row r="299">
      <c r="E299" s="26"/>
      <c r="F299" s="27"/>
      <c r="G299" s="28"/>
    </row>
    <row r="300">
      <c r="E300" s="26"/>
      <c r="F300" s="27"/>
      <c r="G300" s="28"/>
    </row>
    <row r="301">
      <c r="E301" s="26"/>
      <c r="F301" s="27"/>
      <c r="G301" s="28"/>
    </row>
    <row r="302">
      <c r="E302" s="26"/>
      <c r="F302" s="27"/>
      <c r="G302" s="28"/>
    </row>
    <row r="303">
      <c r="E303" s="26"/>
      <c r="F303" s="27"/>
      <c r="G303" s="28"/>
    </row>
    <row r="304">
      <c r="E304" s="26"/>
      <c r="F304" s="27"/>
      <c r="G304" s="28"/>
    </row>
    <row r="305">
      <c r="E305" s="26"/>
      <c r="F305" s="27"/>
      <c r="G305" s="28"/>
    </row>
    <row r="306">
      <c r="E306" s="26"/>
      <c r="F306" s="27"/>
      <c r="G306" s="28"/>
    </row>
    <row r="307">
      <c r="E307" s="26"/>
      <c r="F307" s="27"/>
      <c r="G307" s="28"/>
    </row>
    <row r="308">
      <c r="E308" s="26"/>
      <c r="F308" s="27"/>
      <c r="G308" s="28"/>
    </row>
    <row r="309">
      <c r="E309" s="26"/>
      <c r="F309" s="27"/>
      <c r="G309" s="28"/>
    </row>
    <row r="310">
      <c r="E310" s="26"/>
      <c r="F310" s="27"/>
      <c r="G310" s="28"/>
    </row>
    <row r="311">
      <c r="E311" s="26"/>
      <c r="F311" s="27"/>
      <c r="G311" s="28"/>
    </row>
    <row r="312">
      <c r="E312" s="26"/>
      <c r="F312" s="27"/>
      <c r="G312" s="28"/>
    </row>
    <row r="313">
      <c r="E313" s="26"/>
      <c r="F313" s="27"/>
      <c r="G313" s="28"/>
    </row>
    <row r="314">
      <c r="E314" s="26"/>
      <c r="F314" s="27"/>
      <c r="G314" s="28"/>
    </row>
    <row r="315">
      <c r="E315" s="26"/>
      <c r="F315" s="27"/>
      <c r="G315" s="28"/>
    </row>
    <row r="316">
      <c r="E316" s="26"/>
      <c r="F316" s="27"/>
      <c r="G316" s="28"/>
    </row>
    <row r="317">
      <c r="E317" s="26"/>
      <c r="F317" s="27"/>
      <c r="G317" s="28"/>
    </row>
    <row r="318">
      <c r="E318" s="26"/>
      <c r="F318" s="27"/>
      <c r="G318" s="28"/>
    </row>
    <row r="319">
      <c r="E319" s="26"/>
      <c r="F319" s="27"/>
      <c r="G319" s="28"/>
    </row>
    <row r="320">
      <c r="E320" s="26"/>
      <c r="F320" s="27"/>
      <c r="G320" s="28"/>
    </row>
    <row r="321">
      <c r="E321" s="26"/>
      <c r="F321" s="27"/>
      <c r="G321" s="28"/>
    </row>
    <row r="322">
      <c r="E322" s="26"/>
      <c r="F322" s="27"/>
      <c r="G322" s="28"/>
    </row>
    <row r="323">
      <c r="E323" s="26"/>
      <c r="F323" s="27"/>
      <c r="G323" s="28"/>
    </row>
    <row r="324">
      <c r="E324" s="26"/>
      <c r="F324" s="27"/>
      <c r="G324" s="28"/>
    </row>
    <row r="325">
      <c r="E325" s="26"/>
      <c r="F325" s="27"/>
      <c r="G325" s="28"/>
    </row>
    <row r="326">
      <c r="E326" s="26"/>
      <c r="F326" s="27"/>
      <c r="G326" s="28"/>
    </row>
    <row r="327">
      <c r="E327" s="26"/>
      <c r="F327" s="27"/>
      <c r="G327" s="28"/>
    </row>
    <row r="328">
      <c r="E328" s="26"/>
      <c r="F328" s="27"/>
      <c r="G328" s="28"/>
    </row>
    <row r="329">
      <c r="E329" s="26"/>
      <c r="F329" s="27"/>
      <c r="G329" s="28"/>
    </row>
    <row r="330">
      <c r="E330" s="26"/>
      <c r="F330" s="27"/>
      <c r="G330" s="28"/>
    </row>
    <row r="331">
      <c r="E331" s="26"/>
      <c r="F331" s="27"/>
      <c r="G331" s="28"/>
    </row>
    <row r="332">
      <c r="E332" s="26"/>
      <c r="F332" s="27"/>
      <c r="G332" s="28"/>
    </row>
    <row r="333">
      <c r="E333" s="26"/>
      <c r="F333" s="27"/>
      <c r="G333" s="28"/>
    </row>
    <row r="334">
      <c r="E334" s="26"/>
      <c r="F334" s="27"/>
      <c r="G334" s="28"/>
    </row>
    <row r="335">
      <c r="E335" s="26"/>
      <c r="F335" s="27"/>
      <c r="G335" s="28"/>
    </row>
    <row r="336">
      <c r="E336" s="26"/>
      <c r="F336" s="27"/>
      <c r="G336" s="28"/>
    </row>
    <row r="337">
      <c r="E337" s="26"/>
      <c r="F337" s="27"/>
      <c r="G337" s="28"/>
    </row>
    <row r="338">
      <c r="E338" s="26"/>
      <c r="F338" s="27"/>
      <c r="G338" s="28"/>
    </row>
    <row r="339">
      <c r="E339" s="26"/>
      <c r="F339" s="27"/>
      <c r="G339" s="28"/>
    </row>
    <row r="340">
      <c r="E340" s="26"/>
      <c r="F340" s="27"/>
      <c r="G340" s="28"/>
    </row>
    <row r="341">
      <c r="E341" s="26"/>
      <c r="F341" s="27"/>
      <c r="G341" s="28"/>
    </row>
    <row r="342">
      <c r="E342" s="26"/>
      <c r="F342" s="27"/>
      <c r="G342" s="28"/>
    </row>
    <row r="343">
      <c r="E343" s="26"/>
      <c r="F343" s="27"/>
      <c r="G343" s="28"/>
    </row>
    <row r="344">
      <c r="E344" s="26"/>
      <c r="F344" s="27"/>
      <c r="G344" s="28"/>
    </row>
    <row r="345">
      <c r="E345" s="26"/>
      <c r="F345" s="27"/>
      <c r="G345" s="28"/>
    </row>
    <row r="346">
      <c r="E346" s="26"/>
      <c r="F346" s="27"/>
      <c r="G346" s="28"/>
    </row>
    <row r="347">
      <c r="E347" s="26"/>
      <c r="F347" s="27"/>
      <c r="G347" s="28"/>
    </row>
    <row r="348">
      <c r="E348" s="26"/>
      <c r="F348" s="27"/>
      <c r="G348" s="28"/>
    </row>
    <row r="349">
      <c r="E349" s="26"/>
      <c r="F349" s="27"/>
      <c r="G349" s="28"/>
    </row>
    <row r="350">
      <c r="E350" s="26"/>
      <c r="F350" s="27"/>
      <c r="G350" s="28"/>
    </row>
    <row r="351">
      <c r="E351" s="26"/>
      <c r="F351" s="27"/>
      <c r="G351" s="28"/>
    </row>
    <row r="352">
      <c r="E352" s="26"/>
      <c r="F352" s="27"/>
      <c r="G352" s="28"/>
    </row>
    <row r="353">
      <c r="E353" s="26"/>
      <c r="F353" s="27"/>
      <c r="G353" s="28"/>
    </row>
    <row r="354">
      <c r="E354" s="26"/>
      <c r="F354" s="27"/>
      <c r="G354" s="28"/>
    </row>
    <row r="355">
      <c r="E355" s="26"/>
      <c r="F355" s="27"/>
      <c r="G355" s="28"/>
    </row>
    <row r="356">
      <c r="E356" s="26"/>
      <c r="F356" s="27"/>
      <c r="G356" s="28"/>
    </row>
    <row r="357">
      <c r="E357" s="26"/>
      <c r="F357" s="27"/>
      <c r="G357" s="28"/>
    </row>
    <row r="358">
      <c r="E358" s="26"/>
      <c r="F358" s="27"/>
      <c r="G358" s="28"/>
    </row>
    <row r="359">
      <c r="E359" s="26"/>
      <c r="F359" s="27"/>
      <c r="G359" s="28"/>
    </row>
    <row r="360">
      <c r="E360" s="26"/>
      <c r="F360" s="27"/>
      <c r="G360" s="28"/>
    </row>
    <row r="361">
      <c r="E361" s="26"/>
      <c r="F361" s="27"/>
      <c r="G361" s="28"/>
    </row>
    <row r="362">
      <c r="E362" s="26"/>
      <c r="F362" s="27"/>
      <c r="G362" s="28"/>
    </row>
    <row r="363">
      <c r="E363" s="26"/>
      <c r="F363" s="27"/>
      <c r="G363" s="28"/>
    </row>
    <row r="364">
      <c r="E364" s="26"/>
      <c r="F364" s="27"/>
      <c r="G364" s="28"/>
    </row>
    <row r="365">
      <c r="E365" s="26"/>
      <c r="F365" s="27"/>
      <c r="G365" s="28"/>
    </row>
    <row r="366">
      <c r="E366" s="26"/>
      <c r="F366" s="27"/>
      <c r="G366" s="28"/>
    </row>
    <row r="367">
      <c r="E367" s="26"/>
      <c r="F367" s="27"/>
      <c r="G367" s="28"/>
    </row>
    <row r="368">
      <c r="E368" s="26"/>
      <c r="F368" s="27"/>
      <c r="G368" s="28"/>
    </row>
    <row r="369">
      <c r="E369" s="26"/>
      <c r="F369" s="27"/>
      <c r="G369" s="28"/>
    </row>
    <row r="370">
      <c r="E370" s="26"/>
      <c r="F370" s="27"/>
      <c r="G370" s="28"/>
    </row>
    <row r="371">
      <c r="E371" s="26"/>
      <c r="F371" s="27"/>
      <c r="G371" s="28"/>
    </row>
    <row r="372">
      <c r="E372" s="26"/>
      <c r="F372" s="27"/>
      <c r="G372" s="28"/>
    </row>
    <row r="373">
      <c r="E373" s="26"/>
      <c r="F373" s="27"/>
      <c r="G373" s="28"/>
    </row>
    <row r="374">
      <c r="E374" s="26"/>
      <c r="F374" s="27"/>
      <c r="G374" s="28"/>
    </row>
    <row r="375">
      <c r="E375" s="26"/>
      <c r="F375" s="27"/>
      <c r="G375" s="28"/>
    </row>
    <row r="376">
      <c r="E376" s="26"/>
      <c r="F376" s="27"/>
      <c r="G376" s="28"/>
    </row>
    <row r="377">
      <c r="E377" s="26"/>
      <c r="F377" s="27"/>
      <c r="G377" s="28"/>
    </row>
    <row r="378">
      <c r="E378" s="26"/>
      <c r="F378" s="27"/>
      <c r="G378" s="28"/>
    </row>
    <row r="379">
      <c r="E379" s="26"/>
      <c r="F379" s="27"/>
      <c r="G379" s="28"/>
    </row>
    <row r="380">
      <c r="E380" s="26"/>
      <c r="F380" s="27"/>
      <c r="G380" s="28"/>
    </row>
    <row r="381">
      <c r="E381" s="26"/>
      <c r="F381" s="27"/>
      <c r="G381" s="28"/>
    </row>
    <row r="382">
      <c r="E382" s="26"/>
      <c r="F382" s="27"/>
      <c r="G382" s="28"/>
    </row>
    <row r="383">
      <c r="E383" s="26"/>
      <c r="F383" s="27"/>
      <c r="G383" s="28"/>
    </row>
    <row r="384">
      <c r="E384" s="26"/>
      <c r="F384" s="27"/>
      <c r="G384" s="28"/>
    </row>
    <row r="385">
      <c r="E385" s="26"/>
      <c r="F385" s="27"/>
      <c r="G385" s="28"/>
    </row>
    <row r="386">
      <c r="E386" s="26"/>
      <c r="F386" s="27"/>
      <c r="G386" s="28"/>
    </row>
    <row r="387">
      <c r="E387" s="26"/>
      <c r="F387" s="27"/>
      <c r="G387" s="28"/>
    </row>
    <row r="388">
      <c r="E388" s="26"/>
      <c r="F388" s="27"/>
      <c r="G388" s="28"/>
    </row>
    <row r="389">
      <c r="E389" s="26"/>
      <c r="F389" s="27"/>
      <c r="G389" s="28"/>
    </row>
    <row r="390">
      <c r="E390" s="26"/>
      <c r="F390" s="27"/>
      <c r="G390" s="28"/>
    </row>
    <row r="391">
      <c r="E391" s="26"/>
      <c r="F391" s="27"/>
      <c r="G391" s="28"/>
    </row>
    <row r="392">
      <c r="E392" s="26"/>
      <c r="F392" s="27"/>
      <c r="G392" s="28"/>
    </row>
    <row r="393">
      <c r="E393" s="26"/>
      <c r="F393" s="27"/>
      <c r="G393" s="28"/>
    </row>
    <row r="394">
      <c r="E394" s="26"/>
      <c r="F394" s="27"/>
      <c r="G394" s="28"/>
    </row>
    <row r="395">
      <c r="E395" s="26"/>
      <c r="F395" s="27"/>
      <c r="G395" s="28"/>
    </row>
    <row r="396">
      <c r="E396" s="26"/>
      <c r="F396" s="27"/>
      <c r="G396" s="28"/>
    </row>
    <row r="397">
      <c r="E397" s="26"/>
      <c r="F397" s="27"/>
      <c r="G397" s="28"/>
    </row>
    <row r="398">
      <c r="E398" s="26"/>
      <c r="F398" s="27"/>
      <c r="G398" s="28"/>
    </row>
    <row r="399">
      <c r="E399" s="26"/>
      <c r="F399" s="27"/>
      <c r="G399" s="28"/>
    </row>
    <row r="400">
      <c r="E400" s="26"/>
      <c r="F400" s="27"/>
      <c r="G400" s="28"/>
    </row>
    <row r="401">
      <c r="E401" s="26"/>
      <c r="F401" s="27"/>
      <c r="G401" s="28"/>
    </row>
    <row r="402">
      <c r="E402" s="26"/>
      <c r="F402" s="27"/>
      <c r="G402" s="28"/>
    </row>
    <row r="403">
      <c r="E403" s="26"/>
      <c r="F403" s="27"/>
      <c r="G403" s="28"/>
    </row>
    <row r="404">
      <c r="E404" s="26"/>
      <c r="F404" s="27"/>
      <c r="G404" s="28"/>
    </row>
    <row r="405">
      <c r="E405" s="26"/>
      <c r="F405" s="27"/>
      <c r="G405" s="28"/>
    </row>
    <row r="406">
      <c r="E406" s="26"/>
      <c r="F406" s="27"/>
      <c r="G406" s="28"/>
    </row>
    <row r="407">
      <c r="E407" s="26"/>
      <c r="F407" s="27"/>
      <c r="G407" s="28"/>
    </row>
    <row r="408">
      <c r="E408" s="26"/>
      <c r="F408" s="27"/>
      <c r="G408" s="28"/>
    </row>
    <row r="409">
      <c r="E409" s="26"/>
      <c r="F409" s="27"/>
      <c r="G409" s="28"/>
    </row>
    <row r="410">
      <c r="E410" s="26"/>
      <c r="F410" s="27"/>
      <c r="G410" s="28"/>
    </row>
    <row r="411">
      <c r="E411" s="26"/>
      <c r="F411" s="27"/>
      <c r="G411" s="28"/>
    </row>
    <row r="412">
      <c r="E412" s="26"/>
      <c r="F412" s="27"/>
      <c r="G412" s="28"/>
    </row>
    <row r="413">
      <c r="E413" s="26"/>
      <c r="F413" s="27"/>
      <c r="G413" s="28"/>
    </row>
    <row r="414">
      <c r="E414" s="26"/>
      <c r="F414" s="27"/>
      <c r="G414" s="28"/>
    </row>
    <row r="415">
      <c r="E415" s="26"/>
      <c r="F415" s="27"/>
      <c r="G415" s="28"/>
    </row>
    <row r="416">
      <c r="E416" s="26"/>
      <c r="F416" s="27"/>
      <c r="G416" s="28"/>
    </row>
    <row r="417">
      <c r="E417" s="26"/>
      <c r="F417" s="27"/>
      <c r="G417" s="28"/>
    </row>
    <row r="418">
      <c r="E418" s="26"/>
      <c r="F418" s="27"/>
      <c r="G418" s="28"/>
    </row>
    <row r="419">
      <c r="E419" s="26"/>
      <c r="F419" s="27"/>
      <c r="G419" s="28"/>
    </row>
    <row r="420">
      <c r="E420" s="26"/>
      <c r="F420" s="27"/>
      <c r="G420" s="28"/>
    </row>
    <row r="421">
      <c r="E421" s="26"/>
      <c r="F421" s="27"/>
      <c r="G421" s="28"/>
    </row>
    <row r="422">
      <c r="E422" s="26"/>
      <c r="F422" s="27"/>
      <c r="G422" s="28"/>
    </row>
    <row r="423">
      <c r="E423" s="26"/>
      <c r="F423" s="27"/>
      <c r="G423" s="28"/>
    </row>
    <row r="424">
      <c r="E424" s="26"/>
      <c r="F424" s="27"/>
      <c r="G424" s="28"/>
    </row>
    <row r="425">
      <c r="E425" s="26"/>
      <c r="F425" s="27"/>
      <c r="G425" s="28"/>
    </row>
    <row r="426">
      <c r="E426" s="26"/>
      <c r="F426" s="27"/>
      <c r="G426" s="28"/>
    </row>
    <row r="427">
      <c r="E427" s="26"/>
      <c r="F427" s="27"/>
      <c r="G427" s="28"/>
    </row>
    <row r="428">
      <c r="E428" s="26"/>
      <c r="F428" s="27"/>
      <c r="G428" s="28"/>
    </row>
    <row r="429">
      <c r="E429" s="26"/>
      <c r="F429" s="27"/>
      <c r="G429" s="28"/>
    </row>
    <row r="430">
      <c r="E430" s="26"/>
      <c r="F430" s="27"/>
      <c r="G430" s="28"/>
    </row>
    <row r="431">
      <c r="E431" s="26"/>
      <c r="F431" s="27"/>
      <c r="G431" s="28"/>
    </row>
    <row r="432">
      <c r="E432" s="26"/>
      <c r="F432" s="27"/>
      <c r="G432" s="28"/>
    </row>
    <row r="433">
      <c r="E433" s="26"/>
      <c r="F433" s="27"/>
      <c r="G433" s="28"/>
    </row>
    <row r="434">
      <c r="E434" s="26"/>
      <c r="F434" s="27"/>
      <c r="G434" s="28"/>
    </row>
    <row r="435">
      <c r="E435" s="26"/>
      <c r="F435" s="27"/>
      <c r="G435" s="28"/>
    </row>
    <row r="436">
      <c r="E436" s="26"/>
      <c r="F436" s="27"/>
      <c r="G436" s="28"/>
    </row>
    <row r="437">
      <c r="E437" s="26"/>
      <c r="F437" s="27"/>
      <c r="G437" s="28"/>
    </row>
    <row r="438">
      <c r="E438" s="26"/>
      <c r="F438" s="27"/>
      <c r="G438" s="28"/>
    </row>
    <row r="439">
      <c r="E439" s="26"/>
      <c r="F439" s="27"/>
      <c r="G439" s="28"/>
    </row>
    <row r="440">
      <c r="E440" s="26"/>
      <c r="F440" s="27"/>
      <c r="G440" s="28"/>
    </row>
    <row r="441">
      <c r="E441" s="26"/>
      <c r="F441" s="27"/>
      <c r="G441" s="28"/>
    </row>
    <row r="442">
      <c r="E442" s="26"/>
      <c r="F442" s="27"/>
      <c r="G442" s="28"/>
    </row>
    <row r="443">
      <c r="E443" s="26"/>
      <c r="F443" s="27"/>
      <c r="G443" s="28"/>
    </row>
    <row r="444">
      <c r="E444" s="26"/>
      <c r="F444" s="27"/>
      <c r="G444" s="28"/>
    </row>
    <row r="445">
      <c r="E445" s="26"/>
      <c r="F445" s="27"/>
      <c r="G445" s="28"/>
    </row>
    <row r="446">
      <c r="E446" s="26"/>
      <c r="F446" s="27"/>
      <c r="G446" s="28"/>
    </row>
    <row r="447">
      <c r="E447" s="26"/>
      <c r="F447" s="27"/>
      <c r="G447" s="28"/>
    </row>
    <row r="448">
      <c r="E448" s="26"/>
      <c r="F448" s="27"/>
      <c r="G448" s="28"/>
    </row>
    <row r="449">
      <c r="E449" s="26"/>
      <c r="F449" s="27"/>
      <c r="G449" s="28"/>
    </row>
    <row r="450">
      <c r="E450" s="26"/>
      <c r="F450" s="27"/>
      <c r="G450" s="28"/>
    </row>
    <row r="451">
      <c r="E451" s="26"/>
      <c r="F451" s="27"/>
      <c r="G451" s="28"/>
    </row>
    <row r="452">
      <c r="E452" s="26"/>
      <c r="F452" s="27"/>
      <c r="G452" s="28"/>
    </row>
    <row r="453">
      <c r="E453" s="26"/>
      <c r="F453" s="27"/>
      <c r="G453" s="28"/>
    </row>
    <row r="454">
      <c r="E454" s="26"/>
      <c r="F454" s="27"/>
      <c r="G454" s="28"/>
    </row>
    <row r="455">
      <c r="E455" s="26"/>
      <c r="F455" s="27"/>
      <c r="G455" s="28"/>
    </row>
    <row r="456">
      <c r="E456" s="26"/>
      <c r="F456" s="27"/>
      <c r="G456" s="28"/>
    </row>
    <row r="457">
      <c r="E457" s="26"/>
      <c r="F457" s="27"/>
      <c r="G457" s="28"/>
    </row>
    <row r="458">
      <c r="E458" s="26"/>
      <c r="F458" s="27"/>
      <c r="G458" s="28"/>
    </row>
    <row r="459">
      <c r="E459" s="26"/>
      <c r="F459" s="27"/>
      <c r="G459" s="28"/>
    </row>
    <row r="460">
      <c r="E460" s="26"/>
      <c r="F460" s="27"/>
      <c r="G460" s="28"/>
    </row>
    <row r="461">
      <c r="E461" s="26"/>
      <c r="F461" s="27"/>
      <c r="G461" s="28"/>
    </row>
    <row r="462">
      <c r="E462" s="26"/>
      <c r="F462" s="27"/>
      <c r="G462" s="28"/>
    </row>
    <row r="463">
      <c r="E463" s="26"/>
      <c r="F463" s="27"/>
      <c r="G463" s="28"/>
    </row>
    <row r="464">
      <c r="E464" s="26"/>
      <c r="F464" s="27"/>
      <c r="G464" s="28"/>
    </row>
    <row r="465">
      <c r="E465" s="26"/>
      <c r="F465" s="27"/>
      <c r="G465" s="28"/>
    </row>
    <row r="466">
      <c r="E466" s="26"/>
      <c r="F466" s="27"/>
      <c r="G466" s="28"/>
    </row>
    <row r="467">
      <c r="E467" s="26"/>
      <c r="F467" s="27"/>
      <c r="G467" s="28"/>
    </row>
    <row r="468">
      <c r="E468" s="26"/>
      <c r="F468" s="27"/>
      <c r="G468" s="28"/>
    </row>
    <row r="469">
      <c r="E469" s="26"/>
      <c r="F469" s="27"/>
      <c r="G469" s="28"/>
    </row>
    <row r="470">
      <c r="E470" s="26"/>
      <c r="F470" s="27"/>
      <c r="G470" s="28"/>
    </row>
    <row r="471">
      <c r="E471" s="26"/>
      <c r="F471" s="27"/>
      <c r="G471" s="28"/>
    </row>
    <row r="472">
      <c r="E472" s="26"/>
      <c r="F472" s="27"/>
      <c r="G472" s="28"/>
    </row>
    <row r="473">
      <c r="E473" s="26"/>
      <c r="F473" s="27"/>
      <c r="G473" s="28"/>
    </row>
    <row r="474">
      <c r="E474" s="26"/>
      <c r="F474" s="27"/>
      <c r="G474" s="28"/>
    </row>
    <row r="475">
      <c r="E475" s="26"/>
      <c r="F475" s="27"/>
      <c r="G475" s="28"/>
    </row>
    <row r="476">
      <c r="E476" s="26"/>
      <c r="F476" s="27"/>
      <c r="G476" s="28"/>
    </row>
    <row r="477">
      <c r="E477" s="26"/>
      <c r="F477" s="27"/>
      <c r="G477" s="28"/>
    </row>
    <row r="478">
      <c r="E478" s="26"/>
      <c r="F478" s="27"/>
      <c r="G478" s="28"/>
    </row>
    <row r="479">
      <c r="E479" s="26"/>
      <c r="F479" s="27"/>
      <c r="G479" s="28"/>
    </row>
    <row r="480">
      <c r="E480" s="26"/>
      <c r="F480" s="27"/>
      <c r="G480" s="28"/>
    </row>
    <row r="481">
      <c r="E481" s="26"/>
      <c r="F481" s="27"/>
      <c r="G481" s="28"/>
    </row>
    <row r="482">
      <c r="E482" s="26"/>
      <c r="F482" s="27"/>
      <c r="G482" s="28"/>
    </row>
    <row r="483">
      <c r="E483" s="26"/>
      <c r="F483" s="27"/>
      <c r="G483" s="28"/>
    </row>
    <row r="484">
      <c r="E484" s="26"/>
      <c r="F484" s="27"/>
      <c r="G484" s="28"/>
    </row>
    <row r="485">
      <c r="E485" s="26"/>
      <c r="F485" s="27"/>
      <c r="G485" s="28"/>
    </row>
    <row r="486">
      <c r="E486" s="26"/>
      <c r="F486" s="27"/>
      <c r="G486" s="28"/>
    </row>
    <row r="487">
      <c r="E487" s="26"/>
      <c r="F487" s="27"/>
      <c r="G487" s="28"/>
    </row>
    <row r="488">
      <c r="E488" s="26"/>
      <c r="F488" s="27"/>
      <c r="G488" s="28"/>
    </row>
    <row r="489">
      <c r="E489" s="26"/>
      <c r="F489" s="27"/>
      <c r="G489" s="28"/>
    </row>
    <row r="490">
      <c r="E490" s="26"/>
      <c r="F490" s="27"/>
      <c r="G490" s="28"/>
    </row>
    <row r="491">
      <c r="E491" s="26"/>
      <c r="F491" s="27"/>
      <c r="G491" s="28"/>
    </row>
    <row r="492">
      <c r="E492" s="26"/>
      <c r="F492" s="27"/>
      <c r="G492" s="28"/>
    </row>
    <row r="493">
      <c r="E493" s="26"/>
      <c r="F493" s="27"/>
      <c r="G493" s="28"/>
    </row>
    <row r="494">
      <c r="E494" s="26"/>
      <c r="F494" s="27"/>
      <c r="G494" s="28"/>
    </row>
    <row r="495">
      <c r="E495" s="26"/>
      <c r="F495" s="27"/>
      <c r="G495" s="28"/>
    </row>
    <row r="496">
      <c r="E496" s="26"/>
      <c r="F496" s="27"/>
      <c r="G496" s="28"/>
    </row>
    <row r="497">
      <c r="E497" s="26"/>
      <c r="F497" s="27"/>
      <c r="G497" s="28"/>
    </row>
    <row r="498">
      <c r="E498" s="26"/>
      <c r="F498" s="27"/>
      <c r="G498" s="28"/>
    </row>
    <row r="499">
      <c r="E499" s="26"/>
      <c r="F499" s="27"/>
      <c r="G499" s="28"/>
    </row>
    <row r="500">
      <c r="E500" s="26"/>
      <c r="F500" s="27"/>
      <c r="G500" s="28"/>
    </row>
    <row r="501">
      <c r="E501" s="26"/>
      <c r="F501" s="27"/>
      <c r="G501" s="28"/>
    </row>
    <row r="502">
      <c r="E502" s="26"/>
      <c r="F502" s="27"/>
      <c r="G502" s="28"/>
    </row>
    <row r="503">
      <c r="E503" s="26"/>
      <c r="F503" s="27"/>
      <c r="G503" s="28"/>
    </row>
    <row r="504">
      <c r="E504" s="26"/>
      <c r="F504" s="27"/>
      <c r="G504" s="28"/>
    </row>
    <row r="505">
      <c r="E505" s="26"/>
      <c r="F505" s="27"/>
      <c r="G505" s="28"/>
    </row>
    <row r="506">
      <c r="E506" s="26"/>
      <c r="F506" s="27"/>
      <c r="G506" s="28"/>
    </row>
    <row r="507">
      <c r="E507" s="26"/>
      <c r="F507" s="27"/>
      <c r="G507" s="28"/>
    </row>
    <row r="508">
      <c r="E508" s="26"/>
      <c r="F508" s="27"/>
      <c r="G508" s="28"/>
    </row>
    <row r="509">
      <c r="E509" s="26"/>
      <c r="F509" s="27"/>
      <c r="G509" s="28"/>
    </row>
    <row r="510">
      <c r="E510" s="26"/>
      <c r="F510" s="27"/>
      <c r="G510" s="28"/>
    </row>
    <row r="511">
      <c r="E511" s="26"/>
      <c r="F511" s="27"/>
      <c r="G511" s="28"/>
    </row>
    <row r="512">
      <c r="E512" s="26"/>
      <c r="F512" s="27"/>
      <c r="G512" s="28"/>
    </row>
    <row r="513">
      <c r="E513" s="26"/>
      <c r="F513" s="27"/>
      <c r="G513" s="28"/>
    </row>
    <row r="514">
      <c r="E514" s="26"/>
      <c r="F514" s="27"/>
      <c r="G514" s="28"/>
    </row>
    <row r="515">
      <c r="E515" s="26"/>
      <c r="F515" s="27"/>
      <c r="G515" s="28"/>
    </row>
    <row r="516">
      <c r="E516" s="26"/>
      <c r="F516" s="27"/>
      <c r="G516" s="28"/>
    </row>
    <row r="517">
      <c r="E517" s="26"/>
      <c r="F517" s="27"/>
      <c r="G517" s="28"/>
    </row>
    <row r="518">
      <c r="E518" s="26"/>
      <c r="F518" s="27"/>
      <c r="G518" s="28"/>
    </row>
    <row r="519">
      <c r="E519" s="26"/>
      <c r="F519" s="27"/>
      <c r="G519" s="28"/>
    </row>
    <row r="520">
      <c r="E520" s="26"/>
      <c r="F520" s="27"/>
      <c r="G520" s="28"/>
    </row>
    <row r="521">
      <c r="E521" s="26"/>
      <c r="F521" s="27"/>
      <c r="G521" s="28"/>
    </row>
    <row r="522">
      <c r="E522" s="26"/>
      <c r="F522" s="27"/>
      <c r="G522" s="28"/>
    </row>
    <row r="523">
      <c r="E523" s="26"/>
      <c r="F523" s="27"/>
      <c r="G523" s="28"/>
    </row>
    <row r="524">
      <c r="E524" s="26"/>
      <c r="F524" s="27"/>
      <c r="G524" s="28"/>
    </row>
    <row r="525">
      <c r="E525" s="26"/>
      <c r="F525" s="27"/>
      <c r="G525" s="28"/>
    </row>
    <row r="526">
      <c r="E526" s="26"/>
      <c r="F526" s="27"/>
      <c r="G526" s="28"/>
    </row>
    <row r="527">
      <c r="E527" s="26"/>
      <c r="F527" s="27"/>
      <c r="G527" s="28"/>
    </row>
    <row r="528">
      <c r="E528" s="26"/>
      <c r="F528" s="27"/>
      <c r="G528" s="28"/>
    </row>
    <row r="529">
      <c r="E529" s="26"/>
      <c r="F529" s="27"/>
      <c r="G529" s="28"/>
    </row>
    <row r="530">
      <c r="E530" s="26"/>
      <c r="F530" s="27"/>
      <c r="G530" s="28"/>
    </row>
    <row r="531">
      <c r="E531" s="26"/>
      <c r="F531" s="27"/>
      <c r="G531" s="28"/>
    </row>
    <row r="532">
      <c r="E532" s="26"/>
      <c r="F532" s="27"/>
      <c r="G532" s="28"/>
    </row>
    <row r="533">
      <c r="E533" s="26"/>
      <c r="F533" s="27"/>
      <c r="G533" s="28"/>
    </row>
    <row r="534">
      <c r="E534" s="26"/>
      <c r="F534" s="27"/>
      <c r="G534" s="28"/>
    </row>
    <row r="535">
      <c r="E535" s="26"/>
      <c r="F535" s="27"/>
      <c r="G535" s="28"/>
    </row>
    <row r="536">
      <c r="E536" s="26"/>
      <c r="F536" s="27"/>
      <c r="G536" s="28"/>
    </row>
    <row r="537">
      <c r="E537" s="26"/>
      <c r="F537" s="27"/>
      <c r="G537" s="28"/>
    </row>
    <row r="538">
      <c r="E538" s="26"/>
      <c r="F538" s="27"/>
      <c r="G538" s="28"/>
    </row>
    <row r="539">
      <c r="E539" s="26"/>
      <c r="F539" s="27"/>
      <c r="G539" s="28"/>
    </row>
    <row r="540">
      <c r="E540" s="26"/>
      <c r="F540" s="27"/>
      <c r="G540" s="28"/>
    </row>
    <row r="541">
      <c r="E541" s="26"/>
      <c r="F541" s="27"/>
      <c r="G541" s="28"/>
    </row>
    <row r="542">
      <c r="E542" s="26"/>
      <c r="F542" s="27"/>
      <c r="G542" s="28"/>
    </row>
    <row r="543">
      <c r="E543" s="26"/>
      <c r="F543" s="27"/>
      <c r="G543" s="28"/>
    </row>
    <row r="544">
      <c r="E544" s="26"/>
      <c r="F544" s="27"/>
      <c r="G544" s="28"/>
    </row>
    <row r="545">
      <c r="E545" s="26"/>
      <c r="F545" s="27"/>
      <c r="G545" s="28"/>
    </row>
    <row r="546">
      <c r="E546" s="26"/>
      <c r="F546" s="27"/>
      <c r="G546" s="28"/>
    </row>
    <row r="547">
      <c r="E547" s="26"/>
      <c r="F547" s="27"/>
      <c r="G547" s="28"/>
    </row>
    <row r="548">
      <c r="E548" s="26"/>
      <c r="F548" s="27"/>
      <c r="G548" s="28"/>
    </row>
    <row r="549">
      <c r="E549" s="26"/>
      <c r="F549" s="27"/>
      <c r="G549" s="28"/>
    </row>
    <row r="550">
      <c r="E550" s="26"/>
      <c r="F550" s="27"/>
      <c r="G550" s="28"/>
    </row>
    <row r="551">
      <c r="E551" s="26"/>
      <c r="F551" s="27"/>
      <c r="G551" s="28"/>
    </row>
    <row r="552">
      <c r="E552" s="26"/>
      <c r="F552" s="27"/>
      <c r="G552" s="28"/>
    </row>
    <row r="553">
      <c r="E553" s="26"/>
      <c r="F553" s="27"/>
      <c r="G553" s="28"/>
    </row>
    <row r="554">
      <c r="E554" s="26"/>
      <c r="F554" s="27"/>
      <c r="G554" s="28"/>
    </row>
    <row r="555">
      <c r="E555" s="26"/>
      <c r="F555" s="27"/>
      <c r="G555" s="28"/>
    </row>
    <row r="556">
      <c r="E556" s="26"/>
      <c r="F556" s="27"/>
      <c r="G556" s="28"/>
    </row>
    <row r="557">
      <c r="E557" s="26"/>
      <c r="F557" s="27"/>
      <c r="G557" s="28"/>
    </row>
    <row r="558">
      <c r="E558" s="26"/>
      <c r="F558" s="27"/>
      <c r="G558" s="28"/>
    </row>
    <row r="559">
      <c r="E559" s="26"/>
      <c r="F559" s="27"/>
      <c r="G559" s="28"/>
    </row>
    <row r="560">
      <c r="E560" s="26"/>
      <c r="F560" s="27"/>
      <c r="G560" s="28"/>
    </row>
    <row r="561">
      <c r="E561" s="26"/>
      <c r="F561" s="27"/>
      <c r="G561" s="28"/>
    </row>
    <row r="562">
      <c r="E562" s="26"/>
      <c r="F562" s="27"/>
      <c r="G562" s="28"/>
    </row>
    <row r="563">
      <c r="E563" s="26"/>
      <c r="F563" s="27"/>
      <c r="G563" s="28"/>
    </row>
    <row r="564">
      <c r="E564" s="26"/>
      <c r="F564" s="27"/>
      <c r="G564" s="28"/>
    </row>
    <row r="565">
      <c r="E565" s="26"/>
      <c r="F565" s="27"/>
      <c r="G565" s="28"/>
    </row>
    <row r="566">
      <c r="E566" s="26"/>
      <c r="F566" s="27"/>
      <c r="G566" s="28"/>
    </row>
    <row r="567">
      <c r="E567" s="26"/>
      <c r="F567" s="27"/>
      <c r="G567" s="28"/>
    </row>
    <row r="568">
      <c r="E568" s="26"/>
      <c r="F568" s="27"/>
      <c r="G568" s="28"/>
    </row>
    <row r="569">
      <c r="E569" s="26"/>
      <c r="F569" s="27"/>
      <c r="G569" s="28"/>
    </row>
    <row r="570">
      <c r="E570" s="26"/>
      <c r="F570" s="27"/>
      <c r="G570" s="28"/>
    </row>
    <row r="571">
      <c r="E571" s="26"/>
      <c r="F571" s="27"/>
      <c r="G571" s="28"/>
    </row>
    <row r="572">
      <c r="E572" s="26"/>
      <c r="F572" s="27"/>
      <c r="G572" s="28"/>
    </row>
    <row r="573">
      <c r="E573" s="26"/>
      <c r="F573" s="27"/>
      <c r="G573" s="28"/>
    </row>
    <row r="574">
      <c r="E574" s="26"/>
      <c r="F574" s="27"/>
      <c r="G574" s="28"/>
    </row>
    <row r="575">
      <c r="E575" s="26"/>
      <c r="F575" s="27"/>
      <c r="G575" s="28"/>
    </row>
    <row r="576">
      <c r="E576" s="26"/>
      <c r="F576" s="27"/>
      <c r="G576" s="28"/>
    </row>
    <row r="577">
      <c r="E577" s="26"/>
      <c r="F577" s="27"/>
      <c r="G577" s="28"/>
    </row>
    <row r="578">
      <c r="E578" s="26"/>
      <c r="F578" s="27"/>
      <c r="G578" s="28"/>
    </row>
    <row r="579">
      <c r="E579" s="26"/>
      <c r="F579" s="27"/>
      <c r="G579" s="28"/>
    </row>
    <row r="580">
      <c r="E580" s="26"/>
      <c r="F580" s="27"/>
      <c r="G580" s="28"/>
    </row>
    <row r="581">
      <c r="E581" s="26"/>
      <c r="F581" s="27"/>
      <c r="G581" s="28"/>
    </row>
    <row r="582">
      <c r="E582" s="26"/>
      <c r="F582" s="27"/>
      <c r="G582" s="28"/>
    </row>
    <row r="583">
      <c r="E583" s="26"/>
      <c r="F583" s="27"/>
      <c r="G583" s="28"/>
    </row>
    <row r="584">
      <c r="E584" s="26"/>
      <c r="F584" s="27"/>
      <c r="G584" s="28"/>
    </row>
    <row r="585">
      <c r="E585" s="26"/>
      <c r="F585" s="27"/>
      <c r="G585" s="28"/>
    </row>
    <row r="586">
      <c r="E586" s="26"/>
      <c r="F586" s="27"/>
      <c r="G586" s="28"/>
    </row>
    <row r="587">
      <c r="E587" s="26"/>
      <c r="F587" s="27"/>
      <c r="G587" s="28"/>
    </row>
    <row r="588">
      <c r="E588" s="26"/>
      <c r="F588" s="27"/>
      <c r="G588" s="28"/>
    </row>
    <row r="589">
      <c r="E589" s="26"/>
      <c r="F589" s="27"/>
      <c r="G589" s="28"/>
    </row>
    <row r="590">
      <c r="E590" s="26"/>
      <c r="F590" s="27"/>
      <c r="G590" s="28"/>
    </row>
    <row r="591">
      <c r="E591" s="26"/>
      <c r="F591" s="27"/>
      <c r="G591" s="28"/>
    </row>
    <row r="592">
      <c r="E592" s="26"/>
      <c r="F592" s="27"/>
      <c r="G592" s="28"/>
    </row>
    <row r="593">
      <c r="E593" s="26"/>
      <c r="F593" s="27"/>
      <c r="G593" s="28"/>
    </row>
    <row r="594">
      <c r="E594" s="26"/>
      <c r="F594" s="27"/>
      <c r="G594" s="28"/>
    </row>
    <row r="595">
      <c r="E595" s="26"/>
      <c r="F595" s="27"/>
      <c r="G595" s="28"/>
    </row>
    <row r="596">
      <c r="E596" s="26"/>
      <c r="F596" s="27"/>
      <c r="G596" s="28"/>
    </row>
    <row r="597">
      <c r="E597" s="26"/>
      <c r="F597" s="27"/>
      <c r="G597" s="28"/>
    </row>
    <row r="598">
      <c r="E598" s="26"/>
      <c r="F598" s="27"/>
      <c r="G598" s="28"/>
    </row>
    <row r="599">
      <c r="E599" s="26"/>
      <c r="F599" s="27"/>
      <c r="G599" s="28"/>
    </row>
    <row r="600">
      <c r="E600" s="26"/>
      <c r="F600" s="27"/>
      <c r="G600" s="28"/>
    </row>
    <row r="601">
      <c r="E601" s="26"/>
      <c r="F601" s="27"/>
      <c r="G601" s="28"/>
    </row>
    <row r="602">
      <c r="E602" s="26"/>
      <c r="F602" s="27"/>
      <c r="G602" s="28"/>
    </row>
    <row r="603">
      <c r="E603" s="26"/>
      <c r="F603" s="27"/>
      <c r="G603" s="28"/>
    </row>
    <row r="604">
      <c r="E604" s="26"/>
      <c r="F604" s="27"/>
      <c r="G604" s="28"/>
    </row>
    <row r="605">
      <c r="E605" s="26"/>
      <c r="F605" s="27"/>
      <c r="G605" s="28"/>
    </row>
    <row r="606">
      <c r="E606" s="26"/>
      <c r="F606" s="27"/>
      <c r="G606" s="28"/>
    </row>
    <row r="607">
      <c r="E607" s="26"/>
      <c r="F607" s="27"/>
      <c r="G607" s="28"/>
    </row>
    <row r="608">
      <c r="E608" s="26"/>
      <c r="F608" s="27"/>
      <c r="G608" s="28"/>
    </row>
    <row r="609">
      <c r="E609" s="26"/>
      <c r="F609" s="27"/>
      <c r="G609" s="28"/>
    </row>
    <row r="610">
      <c r="E610" s="26"/>
      <c r="F610" s="27"/>
      <c r="G610" s="28"/>
    </row>
    <row r="611">
      <c r="E611" s="26"/>
      <c r="F611" s="27"/>
      <c r="G611" s="28"/>
    </row>
    <row r="612">
      <c r="E612" s="26"/>
      <c r="F612" s="27"/>
      <c r="G612" s="28"/>
    </row>
    <row r="613">
      <c r="E613" s="26"/>
      <c r="F613" s="27"/>
      <c r="G613" s="28"/>
    </row>
    <row r="614">
      <c r="E614" s="26"/>
      <c r="F614" s="27"/>
      <c r="G614" s="28"/>
    </row>
    <row r="615">
      <c r="E615" s="26"/>
      <c r="F615" s="27"/>
      <c r="G615" s="28"/>
    </row>
    <row r="616">
      <c r="E616" s="26"/>
      <c r="F616" s="27"/>
      <c r="G616" s="28"/>
    </row>
    <row r="617">
      <c r="E617" s="26"/>
      <c r="F617" s="27"/>
      <c r="G617" s="28"/>
    </row>
    <row r="618">
      <c r="E618" s="26"/>
      <c r="F618" s="27"/>
      <c r="G618" s="28"/>
    </row>
    <row r="619">
      <c r="E619" s="26"/>
      <c r="F619" s="27"/>
      <c r="G619" s="28"/>
    </row>
    <row r="620">
      <c r="E620" s="26"/>
      <c r="F620" s="27"/>
      <c r="G620" s="28"/>
    </row>
    <row r="621">
      <c r="E621" s="26"/>
      <c r="F621" s="27"/>
      <c r="G621" s="28"/>
    </row>
    <row r="622">
      <c r="E622" s="26"/>
      <c r="F622" s="27"/>
      <c r="G622" s="28"/>
    </row>
    <row r="623">
      <c r="E623" s="26"/>
      <c r="F623" s="27"/>
      <c r="G623" s="28"/>
    </row>
    <row r="624">
      <c r="E624" s="26"/>
      <c r="F624" s="27"/>
      <c r="G624" s="28"/>
    </row>
    <row r="625">
      <c r="E625" s="26"/>
      <c r="F625" s="27"/>
      <c r="G625" s="28"/>
    </row>
    <row r="626">
      <c r="E626" s="26"/>
      <c r="F626" s="27"/>
      <c r="G626" s="28"/>
    </row>
    <row r="627">
      <c r="E627" s="26"/>
      <c r="F627" s="27"/>
      <c r="G627" s="28"/>
    </row>
    <row r="628">
      <c r="E628" s="26"/>
      <c r="F628" s="27"/>
      <c r="G628" s="28"/>
    </row>
    <row r="629">
      <c r="E629" s="26"/>
      <c r="F629" s="27"/>
      <c r="G629" s="28"/>
    </row>
    <row r="630">
      <c r="E630" s="26"/>
      <c r="F630" s="27"/>
      <c r="G630" s="28"/>
    </row>
    <row r="631">
      <c r="E631" s="26"/>
      <c r="F631" s="27"/>
      <c r="G631" s="28"/>
    </row>
    <row r="632">
      <c r="E632" s="26"/>
      <c r="F632" s="27"/>
      <c r="G632" s="28"/>
    </row>
    <row r="633">
      <c r="E633" s="26"/>
      <c r="F633" s="27"/>
      <c r="G633" s="28"/>
    </row>
    <row r="634">
      <c r="E634" s="26"/>
      <c r="F634" s="27"/>
      <c r="G634" s="28"/>
    </row>
    <row r="635">
      <c r="E635" s="26"/>
      <c r="F635" s="27"/>
      <c r="G635" s="28"/>
    </row>
    <row r="636">
      <c r="E636" s="26"/>
      <c r="F636" s="27"/>
      <c r="G636" s="28"/>
    </row>
    <row r="637">
      <c r="E637" s="26"/>
      <c r="F637" s="27"/>
      <c r="G637" s="28"/>
    </row>
    <row r="638">
      <c r="E638" s="26"/>
      <c r="F638" s="27"/>
      <c r="G638" s="28"/>
    </row>
    <row r="639">
      <c r="E639" s="26"/>
      <c r="F639" s="27"/>
      <c r="G639" s="28"/>
    </row>
    <row r="640">
      <c r="E640" s="26"/>
      <c r="F640" s="27"/>
      <c r="G640" s="28"/>
    </row>
    <row r="641">
      <c r="E641" s="26"/>
      <c r="F641" s="27"/>
      <c r="G641" s="28"/>
    </row>
    <row r="642">
      <c r="E642" s="26"/>
      <c r="F642" s="27"/>
      <c r="G642" s="28"/>
    </row>
    <row r="643">
      <c r="E643" s="26"/>
      <c r="F643" s="27"/>
      <c r="G643" s="28"/>
    </row>
    <row r="644">
      <c r="E644" s="26"/>
      <c r="F644" s="27"/>
      <c r="G644" s="28"/>
    </row>
    <row r="645">
      <c r="E645" s="26"/>
      <c r="F645" s="27"/>
      <c r="G645" s="28"/>
    </row>
    <row r="646">
      <c r="E646" s="26"/>
      <c r="F646" s="27"/>
      <c r="G646" s="28"/>
    </row>
    <row r="647">
      <c r="E647" s="26"/>
      <c r="F647" s="27"/>
      <c r="G647" s="28"/>
    </row>
    <row r="648">
      <c r="E648" s="26"/>
      <c r="F648" s="27"/>
      <c r="G648" s="28"/>
    </row>
    <row r="649">
      <c r="E649" s="26"/>
      <c r="F649" s="27"/>
      <c r="G649" s="28"/>
    </row>
    <row r="650">
      <c r="E650" s="26"/>
      <c r="F650" s="27"/>
      <c r="G650" s="28"/>
    </row>
    <row r="651">
      <c r="E651" s="26"/>
      <c r="F651" s="27"/>
      <c r="G651" s="28"/>
    </row>
    <row r="652">
      <c r="E652" s="26"/>
      <c r="F652" s="27"/>
      <c r="G652" s="28"/>
    </row>
    <row r="653">
      <c r="E653" s="26"/>
      <c r="F653" s="27"/>
      <c r="G653" s="28"/>
    </row>
    <row r="654">
      <c r="E654" s="26"/>
      <c r="F654" s="27"/>
      <c r="G654" s="28"/>
    </row>
    <row r="655">
      <c r="E655" s="26"/>
      <c r="F655" s="27"/>
      <c r="G655" s="28"/>
    </row>
    <row r="656">
      <c r="E656" s="26"/>
      <c r="F656" s="27"/>
      <c r="G656" s="28"/>
    </row>
    <row r="657">
      <c r="E657" s="26"/>
      <c r="F657" s="27"/>
      <c r="G657" s="28"/>
    </row>
    <row r="658">
      <c r="E658" s="26"/>
      <c r="F658" s="27"/>
      <c r="G658" s="28"/>
    </row>
    <row r="659">
      <c r="E659" s="26"/>
      <c r="F659" s="27"/>
      <c r="G659" s="28"/>
    </row>
    <row r="660">
      <c r="E660" s="26"/>
      <c r="F660" s="27"/>
      <c r="G660" s="28"/>
    </row>
    <row r="661">
      <c r="E661" s="26"/>
      <c r="F661" s="27"/>
      <c r="G661" s="28"/>
    </row>
    <row r="662">
      <c r="E662" s="26"/>
      <c r="F662" s="27"/>
      <c r="G662" s="28"/>
    </row>
    <row r="663">
      <c r="E663" s="26"/>
      <c r="F663" s="27"/>
      <c r="G663" s="28"/>
    </row>
    <row r="664">
      <c r="E664" s="26"/>
      <c r="F664" s="27"/>
      <c r="G664" s="28"/>
    </row>
    <row r="665">
      <c r="E665" s="26"/>
      <c r="F665" s="27"/>
      <c r="G665" s="28"/>
    </row>
    <row r="666">
      <c r="E666" s="26"/>
      <c r="F666" s="27"/>
      <c r="G666" s="28"/>
    </row>
    <row r="667">
      <c r="E667" s="26"/>
      <c r="F667" s="27"/>
      <c r="G667" s="28"/>
    </row>
    <row r="668">
      <c r="E668" s="26"/>
      <c r="F668" s="27"/>
      <c r="G668" s="28"/>
    </row>
    <row r="669">
      <c r="E669" s="26"/>
      <c r="F669" s="27"/>
      <c r="G669" s="28"/>
    </row>
    <row r="670">
      <c r="E670" s="26"/>
      <c r="F670" s="27"/>
      <c r="G670" s="28"/>
    </row>
    <row r="671">
      <c r="E671" s="26"/>
      <c r="F671" s="27"/>
      <c r="G671" s="28"/>
    </row>
    <row r="672">
      <c r="E672" s="26"/>
      <c r="F672" s="27"/>
      <c r="G672" s="28"/>
    </row>
    <row r="673">
      <c r="E673" s="26"/>
      <c r="F673" s="27"/>
      <c r="G673" s="28"/>
    </row>
    <row r="674">
      <c r="E674" s="26"/>
      <c r="F674" s="27"/>
      <c r="G674" s="28"/>
    </row>
    <row r="675">
      <c r="E675" s="26"/>
      <c r="F675" s="27"/>
      <c r="G675" s="28"/>
    </row>
    <row r="676">
      <c r="E676" s="26"/>
      <c r="F676" s="27"/>
      <c r="G676" s="28"/>
    </row>
    <row r="677">
      <c r="E677" s="26"/>
      <c r="F677" s="27"/>
      <c r="G677" s="28"/>
    </row>
    <row r="678">
      <c r="E678" s="26"/>
      <c r="F678" s="27"/>
      <c r="G678" s="28"/>
    </row>
    <row r="679">
      <c r="E679" s="26"/>
      <c r="F679" s="27"/>
      <c r="G679" s="28"/>
    </row>
    <row r="680">
      <c r="E680" s="26"/>
      <c r="F680" s="27"/>
      <c r="G680" s="28"/>
    </row>
    <row r="681">
      <c r="E681" s="26"/>
      <c r="F681" s="27"/>
      <c r="G681" s="28"/>
    </row>
    <row r="682">
      <c r="E682" s="26"/>
      <c r="F682" s="27"/>
      <c r="G682" s="28"/>
    </row>
    <row r="683">
      <c r="E683" s="26"/>
      <c r="F683" s="27"/>
      <c r="G683" s="28"/>
    </row>
    <row r="684">
      <c r="E684" s="26"/>
      <c r="F684" s="27"/>
      <c r="G684" s="28"/>
    </row>
    <row r="685">
      <c r="E685" s="26"/>
      <c r="F685" s="27"/>
      <c r="G685" s="28"/>
    </row>
    <row r="686">
      <c r="E686" s="26"/>
      <c r="F686" s="27"/>
      <c r="G686" s="28"/>
    </row>
    <row r="687">
      <c r="E687" s="26"/>
      <c r="F687" s="27"/>
      <c r="G687" s="28"/>
    </row>
    <row r="688">
      <c r="E688" s="26"/>
      <c r="F688" s="27"/>
      <c r="G688" s="28"/>
    </row>
    <row r="689">
      <c r="E689" s="26"/>
      <c r="F689" s="27"/>
      <c r="G689" s="28"/>
    </row>
    <row r="690">
      <c r="E690" s="26"/>
      <c r="F690" s="27"/>
      <c r="G690" s="28"/>
    </row>
    <row r="691">
      <c r="E691" s="26"/>
      <c r="F691" s="27"/>
      <c r="G691" s="28"/>
    </row>
    <row r="692">
      <c r="E692" s="26"/>
      <c r="F692" s="27"/>
      <c r="G692" s="28"/>
    </row>
    <row r="693">
      <c r="E693" s="26"/>
      <c r="F693" s="27"/>
      <c r="G693" s="28"/>
    </row>
    <row r="694">
      <c r="E694" s="26"/>
      <c r="F694" s="27"/>
      <c r="G694" s="28"/>
    </row>
    <row r="695">
      <c r="E695" s="26"/>
      <c r="F695" s="27"/>
      <c r="G695" s="28"/>
    </row>
    <row r="696">
      <c r="E696" s="26"/>
      <c r="F696" s="27"/>
      <c r="G696" s="28"/>
    </row>
    <row r="697">
      <c r="E697" s="26"/>
      <c r="F697" s="27"/>
      <c r="G697" s="28"/>
    </row>
    <row r="698">
      <c r="E698" s="26"/>
      <c r="F698" s="27"/>
      <c r="G698" s="28"/>
    </row>
    <row r="699">
      <c r="E699" s="26"/>
      <c r="F699" s="27"/>
      <c r="G699" s="28"/>
    </row>
    <row r="700">
      <c r="E700" s="26"/>
      <c r="F700" s="27"/>
      <c r="G700" s="28"/>
    </row>
    <row r="701">
      <c r="E701" s="26"/>
      <c r="F701" s="27"/>
      <c r="G701" s="28"/>
    </row>
    <row r="702">
      <c r="E702" s="26"/>
      <c r="F702" s="27"/>
      <c r="G702" s="28"/>
    </row>
    <row r="703">
      <c r="E703" s="26"/>
      <c r="F703" s="27"/>
      <c r="G703" s="28"/>
    </row>
    <row r="704">
      <c r="E704" s="26"/>
      <c r="F704" s="27"/>
      <c r="G704" s="28"/>
    </row>
    <row r="705">
      <c r="E705" s="26"/>
      <c r="F705" s="27"/>
      <c r="G705" s="28"/>
    </row>
    <row r="706">
      <c r="E706" s="26"/>
      <c r="F706" s="27"/>
      <c r="G706" s="28"/>
    </row>
    <row r="707">
      <c r="E707" s="26"/>
      <c r="F707" s="27"/>
      <c r="G707" s="28"/>
    </row>
    <row r="708">
      <c r="E708" s="26"/>
      <c r="F708" s="27"/>
      <c r="G708" s="28"/>
    </row>
    <row r="709">
      <c r="E709" s="26"/>
      <c r="F709" s="27"/>
      <c r="G709" s="28"/>
    </row>
    <row r="710">
      <c r="E710" s="26"/>
      <c r="F710" s="27"/>
      <c r="G710" s="28"/>
    </row>
    <row r="711">
      <c r="E711" s="26"/>
      <c r="F711" s="27"/>
      <c r="G711" s="28"/>
    </row>
    <row r="712">
      <c r="E712" s="26"/>
      <c r="F712" s="27"/>
      <c r="G712" s="28"/>
    </row>
    <row r="713">
      <c r="E713" s="26"/>
      <c r="F713" s="27"/>
      <c r="G713" s="28"/>
    </row>
    <row r="714">
      <c r="E714" s="26"/>
      <c r="F714" s="27"/>
      <c r="G714" s="28"/>
    </row>
    <row r="715">
      <c r="E715" s="26"/>
      <c r="F715" s="27"/>
      <c r="G715" s="28"/>
    </row>
    <row r="716">
      <c r="E716" s="26"/>
      <c r="F716" s="27"/>
      <c r="G716" s="28"/>
    </row>
    <row r="717">
      <c r="E717" s="26"/>
      <c r="F717" s="27"/>
      <c r="G717" s="28"/>
    </row>
    <row r="718">
      <c r="E718" s="26"/>
      <c r="F718" s="27"/>
      <c r="G718" s="28"/>
    </row>
    <row r="719">
      <c r="E719" s="26"/>
      <c r="F719" s="27"/>
      <c r="G719" s="28"/>
    </row>
    <row r="720">
      <c r="E720" s="26"/>
      <c r="F720" s="27"/>
      <c r="G720" s="28"/>
    </row>
    <row r="721">
      <c r="E721" s="26"/>
      <c r="F721" s="27"/>
      <c r="G721" s="28"/>
    </row>
    <row r="722">
      <c r="E722" s="26"/>
      <c r="F722" s="27"/>
      <c r="G722" s="28"/>
    </row>
    <row r="723">
      <c r="E723" s="26"/>
      <c r="F723" s="27"/>
      <c r="G723" s="28"/>
    </row>
    <row r="724">
      <c r="E724" s="26"/>
      <c r="F724" s="27"/>
      <c r="G724" s="28"/>
    </row>
    <row r="725">
      <c r="E725" s="26"/>
      <c r="F725" s="27"/>
      <c r="G725" s="28"/>
    </row>
    <row r="726">
      <c r="E726" s="26"/>
      <c r="F726" s="27"/>
      <c r="G726" s="28"/>
    </row>
    <row r="727">
      <c r="E727" s="26"/>
      <c r="F727" s="27"/>
      <c r="G727" s="28"/>
    </row>
    <row r="728">
      <c r="E728" s="26"/>
      <c r="F728" s="27"/>
      <c r="G728" s="28"/>
    </row>
    <row r="729">
      <c r="E729" s="26"/>
      <c r="F729" s="27"/>
      <c r="G729" s="28"/>
    </row>
    <row r="730">
      <c r="E730" s="26"/>
      <c r="F730" s="27"/>
      <c r="G730" s="28"/>
    </row>
    <row r="731">
      <c r="E731" s="26"/>
      <c r="F731" s="27"/>
      <c r="G731" s="28"/>
    </row>
    <row r="732">
      <c r="E732" s="26"/>
      <c r="F732" s="27"/>
      <c r="G732" s="28"/>
    </row>
    <row r="733">
      <c r="E733" s="26"/>
      <c r="F733" s="27"/>
      <c r="G733" s="28"/>
    </row>
    <row r="734">
      <c r="E734" s="26"/>
      <c r="F734" s="27"/>
      <c r="G734" s="28"/>
    </row>
    <row r="735">
      <c r="E735" s="26"/>
      <c r="F735" s="27"/>
      <c r="G735" s="28"/>
    </row>
    <row r="736">
      <c r="E736" s="26"/>
      <c r="F736" s="27"/>
      <c r="G736" s="28"/>
    </row>
    <row r="737">
      <c r="E737" s="26"/>
      <c r="F737" s="27"/>
      <c r="G737" s="28"/>
    </row>
    <row r="738">
      <c r="E738" s="26"/>
      <c r="F738" s="27"/>
      <c r="G738" s="28"/>
    </row>
    <row r="739">
      <c r="E739" s="26"/>
      <c r="F739" s="27"/>
      <c r="G739" s="28"/>
    </row>
    <row r="740">
      <c r="E740" s="26"/>
      <c r="F740" s="27"/>
      <c r="G740" s="28"/>
    </row>
    <row r="741">
      <c r="E741" s="26"/>
      <c r="F741" s="27"/>
      <c r="G741" s="28"/>
    </row>
    <row r="742">
      <c r="E742" s="26"/>
      <c r="F742" s="27"/>
      <c r="G742" s="28"/>
    </row>
    <row r="743">
      <c r="E743" s="26"/>
      <c r="F743" s="27"/>
      <c r="G743" s="28"/>
    </row>
    <row r="744">
      <c r="E744" s="26"/>
      <c r="F744" s="27"/>
      <c r="G744" s="28"/>
    </row>
    <row r="745">
      <c r="E745" s="26"/>
      <c r="F745" s="27"/>
      <c r="G745" s="28"/>
    </row>
    <row r="746">
      <c r="E746" s="26"/>
      <c r="F746" s="27"/>
      <c r="G746" s="28"/>
    </row>
    <row r="747">
      <c r="E747" s="26"/>
      <c r="F747" s="27"/>
      <c r="G747" s="28"/>
    </row>
    <row r="748">
      <c r="E748" s="26"/>
      <c r="F748" s="27"/>
      <c r="G748" s="28"/>
    </row>
    <row r="749">
      <c r="E749" s="26"/>
      <c r="F749" s="27"/>
      <c r="G749" s="28"/>
    </row>
    <row r="750">
      <c r="E750" s="26"/>
      <c r="F750" s="27"/>
      <c r="G750" s="28"/>
    </row>
    <row r="751">
      <c r="E751" s="26"/>
      <c r="F751" s="27"/>
      <c r="G751" s="28"/>
    </row>
    <row r="752">
      <c r="E752" s="26"/>
      <c r="F752" s="27"/>
      <c r="G752" s="28"/>
    </row>
    <row r="753">
      <c r="E753" s="26"/>
      <c r="F753" s="27"/>
      <c r="G753" s="28"/>
    </row>
    <row r="754">
      <c r="E754" s="26"/>
      <c r="F754" s="27"/>
      <c r="G754" s="28"/>
    </row>
    <row r="755">
      <c r="E755" s="26"/>
      <c r="F755" s="27"/>
      <c r="G755" s="28"/>
    </row>
    <row r="756">
      <c r="E756" s="26"/>
      <c r="F756" s="27"/>
      <c r="G756" s="28"/>
    </row>
    <row r="757">
      <c r="E757" s="26"/>
      <c r="F757" s="27"/>
      <c r="G757" s="28"/>
    </row>
    <row r="758">
      <c r="E758" s="26"/>
      <c r="F758" s="27"/>
      <c r="G758" s="28"/>
    </row>
    <row r="759">
      <c r="E759" s="26"/>
      <c r="F759" s="27"/>
      <c r="G759" s="28"/>
    </row>
    <row r="760">
      <c r="E760" s="26"/>
      <c r="F760" s="27"/>
      <c r="G760" s="28"/>
    </row>
    <row r="761">
      <c r="E761" s="26"/>
      <c r="F761" s="27"/>
      <c r="G761" s="28"/>
    </row>
    <row r="762">
      <c r="E762" s="26"/>
      <c r="F762" s="27"/>
      <c r="G762" s="28"/>
    </row>
    <row r="763">
      <c r="E763" s="26"/>
      <c r="F763" s="27"/>
      <c r="G763" s="28"/>
    </row>
    <row r="764">
      <c r="E764" s="26"/>
      <c r="F764" s="27"/>
      <c r="G764" s="28"/>
    </row>
    <row r="765">
      <c r="E765" s="26"/>
      <c r="F765" s="27"/>
      <c r="G765" s="28"/>
    </row>
    <row r="766">
      <c r="E766" s="26"/>
      <c r="F766" s="27"/>
      <c r="G766" s="28"/>
    </row>
    <row r="767">
      <c r="E767" s="26"/>
      <c r="F767" s="27"/>
      <c r="G767" s="28"/>
    </row>
    <row r="768">
      <c r="E768" s="26"/>
      <c r="F768" s="27"/>
      <c r="G768" s="28"/>
    </row>
    <row r="769">
      <c r="E769" s="26"/>
      <c r="F769" s="27"/>
      <c r="G769" s="28"/>
    </row>
    <row r="770">
      <c r="E770" s="26"/>
      <c r="F770" s="27"/>
      <c r="G770" s="28"/>
    </row>
    <row r="771">
      <c r="E771" s="26"/>
      <c r="F771" s="27"/>
      <c r="G771" s="28"/>
    </row>
    <row r="772">
      <c r="E772" s="26"/>
      <c r="F772" s="27"/>
      <c r="G772" s="28"/>
    </row>
    <row r="773">
      <c r="E773" s="26"/>
      <c r="F773" s="27"/>
      <c r="G773" s="28"/>
    </row>
    <row r="774">
      <c r="E774" s="26"/>
      <c r="F774" s="27"/>
      <c r="G774" s="28"/>
    </row>
    <row r="775">
      <c r="E775" s="26"/>
      <c r="F775" s="27"/>
      <c r="G775" s="28"/>
    </row>
    <row r="776">
      <c r="E776" s="26"/>
      <c r="F776" s="27"/>
      <c r="G776" s="28"/>
    </row>
    <row r="777">
      <c r="E777" s="26"/>
      <c r="F777" s="27"/>
      <c r="G777" s="28"/>
    </row>
    <row r="778">
      <c r="E778" s="26"/>
      <c r="F778" s="27"/>
      <c r="G778" s="28"/>
    </row>
    <row r="779">
      <c r="E779" s="26"/>
      <c r="F779" s="27"/>
      <c r="G779" s="28"/>
    </row>
    <row r="780">
      <c r="E780" s="26"/>
      <c r="F780" s="27"/>
      <c r="G780" s="28"/>
    </row>
    <row r="781">
      <c r="E781" s="26"/>
      <c r="F781" s="27"/>
      <c r="G781" s="28"/>
    </row>
    <row r="782">
      <c r="E782" s="26"/>
      <c r="F782" s="27"/>
      <c r="G782" s="28"/>
    </row>
    <row r="783">
      <c r="E783" s="26"/>
      <c r="F783" s="27"/>
      <c r="G783" s="28"/>
    </row>
    <row r="784">
      <c r="E784" s="26"/>
      <c r="F784" s="27"/>
      <c r="G784" s="28"/>
    </row>
    <row r="785">
      <c r="E785" s="26"/>
      <c r="F785" s="27"/>
      <c r="G785" s="28"/>
    </row>
    <row r="786">
      <c r="E786" s="26"/>
      <c r="F786" s="27"/>
      <c r="G786" s="28"/>
    </row>
    <row r="787">
      <c r="E787" s="26"/>
      <c r="F787" s="27"/>
      <c r="G787" s="28"/>
    </row>
    <row r="788">
      <c r="E788" s="26"/>
      <c r="F788" s="27"/>
      <c r="G788" s="28"/>
    </row>
    <row r="789">
      <c r="E789" s="26"/>
      <c r="F789" s="27"/>
      <c r="G789" s="28"/>
    </row>
    <row r="790">
      <c r="E790" s="26"/>
      <c r="F790" s="27"/>
      <c r="G790" s="28"/>
    </row>
    <row r="791">
      <c r="E791" s="26"/>
      <c r="F791" s="27"/>
      <c r="G791" s="28"/>
    </row>
    <row r="792">
      <c r="E792" s="26"/>
      <c r="F792" s="27"/>
      <c r="G792" s="28"/>
    </row>
    <row r="793">
      <c r="E793" s="26"/>
      <c r="F793" s="27"/>
      <c r="G793" s="28"/>
    </row>
    <row r="794">
      <c r="E794" s="26"/>
      <c r="F794" s="27"/>
      <c r="G794" s="28"/>
    </row>
    <row r="795">
      <c r="E795" s="26"/>
      <c r="F795" s="27"/>
      <c r="G795" s="28"/>
    </row>
    <row r="796">
      <c r="E796" s="26"/>
      <c r="F796" s="27"/>
      <c r="G796" s="28"/>
    </row>
    <row r="797">
      <c r="E797" s="26"/>
      <c r="F797" s="27"/>
      <c r="G797" s="28"/>
    </row>
    <row r="798">
      <c r="E798" s="26"/>
      <c r="F798" s="27"/>
      <c r="G798" s="28"/>
    </row>
    <row r="799">
      <c r="E799" s="26"/>
      <c r="F799" s="27"/>
      <c r="G799" s="28"/>
    </row>
    <row r="800">
      <c r="E800" s="26"/>
      <c r="F800" s="27"/>
      <c r="G800" s="28"/>
    </row>
    <row r="801">
      <c r="E801" s="26"/>
      <c r="F801" s="27"/>
      <c r="G801" s="28"/>
    </row>
    <row r="802">
      <c r="E802" s="26"/>
      <c r="F802" s="27"/>
      <c r="G802" s="28"/>
    </row>
    <row r="803">
      <c r="E803" s="26"/>
      <c r="F803" s="27"/>
      <c r="G803" s="28"/>
    </row>
    <row r="804">
      <c r="E804" s="26"/>
      <c r="F804" s="27"/>
      <c r="G804" s="28"/>
    </row>
    <row r="805">
      <c r="E805" s="26"/>
      <c r="F805" s="27"/>
      <c r="G805" s="28"/>
    </row>
    <row r="806">
      <c r="E806" s="26"/>
      <c r="F806" s="27"/>
      <c r="G806" s="28"/>
    </row>
    <row r="807">
      <c r="E807" s="26"/>
      <c r="F807" s="27"/>
      <c r="G807" s="28"/>
    </row>
    <row r="808">
      <c r="E808" s="26"/>
      <c r="F808" s="27"/>
      <c r="G808" s="28"/>
    </row>
    <row r="809">
      <c r="E809" s="26"/>
      <c r="F809" s="27"/>
      <c r="G809" s="28"/>
    </row>
    <row r="810">
      <c r="E810" s="26"/>
      <c r="F810" s="27"/>
      <c r="G810" s="28"/>
    </row>
    <row r="811">
      <c r="E811" s="26"/>
      <c r="F811" s="27"/>
      <c r="G811" s="28"/>
    </row>
    <row r="812">
      <c r="E812" s="26"/>
      <c r="F812" s="27"/>
      <c r="G812" s="28"/>
    </row>
    <row r="813">
      <c r="E813" s="26"/>
      <c r="F813" s="27"/>
      <c r="G813" s="28"/>
    </row>
    <row r="814">
      <c r="E814" s="26"/>
      <c r="F814" s="27"/>
      <c r="G814" s="28"/>
    </row>
    <row r="815">
      <c r="E815" s="26"/>
      <c r="F815" s="27"/>
      <c r="G815" s="28"/>
    </row>
    <row r="816">
      <c r="E816" s="26"/>
      <c r="F816" s="27"/>
      <c r="G816" s="28"/>
    </row>
    <row r="817">
      <c r="E817" s="26"/>
      <c r="F817" s="27"/>
      <c r="G817" s="28"/>
    </row>
    <row r="818">
      <c r="E818" s="26"/>
      <c r="F818" s="27"/>
      <c r="G818" s="28"/>
    </row>
    <row r="819">
      <c r="E819" s="26"/>
      <c r="F819" s="27"/>
      <c r="G819" s="28"/>
    </row>
    <row r="820">
      <c r="E820" s="26"/>
      <c r="F820" s="27"/>
      <c r="G820" s="28"/>
    </row>
    <row r="821">
      <c r="E821" s="26"/>
      <c r="F821" s="27"/>
      <c r="G821" s="28"/>
    </row>
    <row r="822">
      <c r="E822" s="26"/>
      <c r="F822" s="27"/>
      <c r="G822" s="28"/>
    </row>
    <row r="823">
      <c r="E823" s="26"/>
      <c r="F823" s="27"/>
      <c r="G823" s="28"/>
    </row>
    <row r="824">
      <c r="E824" s="26"/>
      <c r="F824" s="27"/>
      <c r="G824" s="28"/>
    </row>
    <row r="825">
      <c r="E825" s="26"/>
      <c r="F825" s="27"/>
      <c r="G825" s="28"/>
    </row>
    <row r="826">
      <c r="E826" s="26"/>
      <c r="F826" s="27"/>
      <c r="G826" s="28"/>
    </row>
    <row r="827">
      <c r="E827" s="26"/>
      <c r="F827" s="27"/>
      <c r="G827" s="28"/>
    </row>
    <row r="828">
      <c r="E828" s="26"/>
      <c r="F828" s="27"/>
      <c r="G828" s="28"/>
    </row>
    <row r="829">
      <c r="E829" s="26"/>
      <c r="F829" s="27"/>
      <c r="G829" s="28"/>
    </row>
    <row r="830">
      <c r="E830" s="26"/>
      <c r="F830" s="27"/>
      <c r="G830" s="28"/>
    </row>
    <row r="831">
      <c r="E831" s="26"/>
      <c r="F831" s="27"/>
      <c r="G831" s="28"/>
    </row>
    <row r="832">
      <c r="E832" s="26"/>
      <c r="F832" s="27"/>
      <c r="G832" s="28"/>
    </row>
    <row r="833">
      <c r="E833" s="26"/>
      <c r="F833" s="27"/>
      <c r="G833" s="28"/>
    </row>
    <row r="834">
      <c r="E834" s="26"/>
      <c r="F834" s="27"/>
      <c r="G834" s="28"/>
    </row>
    <row r="835">
      <c r="E835" s="26"/>
      <c r="F835" s="27"/>
      <c r="G835" s="28"/>
    </row>
    <row r="836">
      <c r="E836" s="26"/>
      <c r="F836" s="27"/>
      <c r="G836" s="28"/>
    </row>
    <row r="837">
      <c r="E837" s="26"/>
      <c r="F837" s="27"/>
      <c r="G837" s="28"/>
    </row>
    <row r="838">
      <c r="E838" s="26"/>
      <c r="F838" s="27"/>
      <c r="G838" s="28"/>
    </row>
    <row r="839">
      <c r="E839" s="26"/>
      <c r="F839" s="27"/>
      <c r="G839" s="28"/>
    </row>
    <row r="840">
      <c r="E840" s="26"/>
      <c r="F840" s="27"/>
      <c r="G840" s="28"/>
    </row>
    <row r="841">
      <c r="E841" s="26"/>
      <c r="F841" s="27"/>
      <c r="G841" s="28"/>
    </row>
    <row r="842">
      <c r="E842" s="26"/>
      <c r="F842" s="27"/>
      <c r="G842" s="28"/>
    </row>
    <row r="843">
      <c r="E843" s="26"/>
      <c r="F843" s="27"/>
      <c r="G843" s="28"/>
    </row>
    <row r="844">
      <c r="E844" s="26"/>
      <c r="F844" s="27"/>
      <c r="G844" s="28"/>
    </row>
    <row r="845">
      <c r="E845" s="26"/>
      <c r="F845" s="27"/>
      <c r="G845" s="28"/>
    </row>
    <row r="846">
      <c r="E846" s="26"/>
      <c r="F846" s="27"/>
      <c r="G846" s="28"/>
    </row>
    <row r="847">
      <c r="E847" s="26"/>
      <c r="F847" s="27"/>
      <c r="G847" s="28"/>
    </row>
    <row r="848">
      <c r="E848" s="26"/>
      <c r="F848" s="27"/>
      <c r="G848" s="28"/>
    </row>
    <row r="849">
      <c r="E849" s="26"/>
      <c r="F849" s="27"/>
      <c r="G849" s="28"/>
    </row>
    <row r="850">
      <c r="E850" s="26"/>
      <c r="F850" s="27"/>
      <c r="G850" s="28"/>
    </row>
    <row r="851">
      <c r="E851" s="26"/>
      <c r="F851" s="27"/>
      <c r="G851" s="28"/>
    </row>
    <row r="852">
      <c r="E852" s="26"/>
      <c r="F852" s="27"/>
      <c r="G852" s="28"/>
    </row>
    <row r="853">
      <c r="E853" s="26"/>
      <c r="F853" s="27"/>
      <c r="G853" s="28"/>
    </row>
    <row r="854">
      <c r="E854" s="26"/>
      <c r="F854" s="27"/>
      <c r="G854" s="28"/>
    </row>
    <row r="855">
      <c r="E855" s="26"/>
      <c r="F855" s="27"/>
      <c r="G855" s="28"/>
    </row>
    <row r="856">
      <c r="E856" s="26"/>
      <c r="F856" s="27"/>
      <c r="G856" s="28"/>
    </row>
    <row r="857">
      <c r="E857" s="26"/>
      <c r="F857" s="27"/>
      <c r="G857" s="28"/>
    </row>
    <row r="858">
      <c r="E858" s="26"/>
      <c r="F858" s="27"/>
      <c r="G858" s="28"/>
    </row>
    <row r="859">
      <c r="E859" s="26"/>
      <c r="F859" s="27"/>
      <c r="G859" s="28"/>
    </row>
    <row r="860">
      <c r="E860" s="26"/>
      <c r="F860" s="27"/>
      <c r="G860" s="28"/>
    </row>
    <row r="861">
      <c r="E861" s="26"/>
      <c r="F861" s="27"/>
      <c r="G861" s="28"/>
    </row>
    <row r="862">
      <c r="E862" s="26"/>
      <c r="F862" s="27"/>
      <c r="G862" s="28"/>
    </row>
    <row r="863">
      <c r="E863" s="26"/>
      <c r="F863" s="27"/>
      <c r="G863" s="28"/>
    </row>
    <row r="864">
      <c r="E864" s="26"/>
      <c r="F864" s="27"/>
      <c r="G864" s="28"/>
    </row>
    <row r="865">
      <c r="E865" s="26"/>
      <c r="F865" s="27"/>
      <c r="G865" s="28"/>
    </row>
    <row r="866">
      <c r="E866" s="26"/>
      <c r="F866" s="27"/>
      <c r="G866" s="28"/>
    </row>
    <row r="867">
      <c r="E867" s="26"/>
      <c r="F867" s="27"/>
      <c r="G867" s="28"/>
    </row>
    <row r="868">
      <c r="E868" s="26"/>
      <c r="F868" s="27"/>
      <c r="G868" s="28"/>
    </row>
    <row r="869">
      <c r="E869" s="26"/>
      <c r="F869" s="27"/>
      <c r="G869" s="28"/>
    </row>
    <row r="870">
      <c r="E870" s="26"/>
      <c r="F870" s="27"/>
      <c r="G870" s="28"/>
    </row>
    <row r="871">
      <c r="E871" s="26"/>
      <c r="F871" s="27"/>
      <c r="G871" s="28"/>
    </row>
    <row r="872">
      <c r="E872" s="26"/>
      <c r="F872" s="27"/>
      <c r="G872" s="28"/>
    </row>
    <row r="873">
      <c r="E873" s="26"/>
      <c r="F873" s="27"/>
      <c r="G873" s="28"/>
    </row>
    <row r="874">
      <c r="E874" s="26"/>
      <c r="F874" s="27"/>
      <c r="G874" s="28"/>
    </row>
    <row r="875">
      <c r="E875" s="26"/>
      <c r="F875" s="27"/>
      <c r="G875" s="28"/>
    </row>
    <row r="876">
      <c r="E876" s="26"/>
      <c r="F876" s="27"/>
      <c r="G876" s="28"/>
    </row>
    <row r="877">
      <c r="E877" s="26"/>
      <c r="F877" s="27"/>
      <c r="G877" s="28"/>
    </row>
    <row r="878">
      <c r="E878" s="26"/>
      <c r="F878" s="27"/>
      <c r="G878" s="28"/>
    </row>
    <row r="879">
      <c r="E879" s="26"/>
      <c r="F879" s="27"/>
      <c r="G879" s="28"/>
    </row>
    <row r="880">
      <c r="E880" s="26"/>
      <c r="F880" s="27"/>
      <c r="G880" s="28"/>
    </row>
    <row r="881">
      <c r="E881" s="26"/>
      <c r="F881" s="27"/>
      <c r="G881" s="28"/>
    </row>
    <row r="882">
      <c r="E882" s="26"/>
      <c r="F882" s="27"/>
      <c r="G882" s="28"/>
    </row>
    <row r="883">
      <c r="E883" s="26"/>
      <c r="F883" s="27"/>
      <c r="G883" s="28"/>
    </row>
    <row r="884">
      <c r="E884" s="26"/>
      <c r="F884" s="27"/>
      <c r="G884" s="28"/>
    </row>
    <row r="885">
      <c r="E885" s="26"/>
      <c r="F885" s="27"/>
      <c r="G885" s="28"/>
    </row>
    <row r="886">
      <c r="E886" s="26"/>
      <c r="F886" s="27"/>
      <c r="G886" s="28"/>
    </row>
    <row r="887">
      <c r="E887" s="26"/>
      <c r="F887" s="27"/>
      <c r="G887" s="28"/>
    </row>
    <row r="888">
      <c r="E888" s="26"/>
      <c r="F888" s="27"/>
      <c r="G888" s="28"/>
    </row>
    <row r="889">
      <c r="E889" s="26"/>
      <c r="F889" s="27"/>
      <c r="G889" s="28"/>
    </row>
    <row r="890">
      <c r="E890" s="26"/>
      <c r="F890" s="27"/>
      <c r="G890" s="28"/>
    </row>
    <row r="891">
      <c r="E891" s="26"/>
      <c r="F891" s="27"/>
      <c r="G891" s="28"/>
    </row>
    <row r="892">
      <c r="E892" s="26"/>
      <c r="F892" s="27"/>
      <c r="G892" s="28"/>
    </row>
    <row r="893">
      <c r="E893" s="26"/>
      <c r="F893" s="27"/>
      <c r="G893" s="28"/>
    </row>
    <row r="894">
      <c r="E894" s="26"/>
      <c r="F894" s="27"/>
      <c r="G894" s="28"/>
    </row>
    <row r="895">
      <c r="E895" s="26"/>
      <c r="F895" s="27"/>
      <c r="G895" s="28"/>
    </row>
    <row r="896">
      <c r="E896" s="26"/>
      <c r="F896" s="27"/>
      <c r="G896" s="28"/>
    </row>
    <row r="897">
      <c r="E897" s="26"/>
      <c r="F897" s="27"/>
      <c r="G897" s="28"/>
    </row>
    <row r="898">
      <c r="E898" s="26"/>
      <c r="F898" s="27"/>
      <c r="G898" s="28"/>
    </row>
    <row r="899">
      <c r="E899" s="26"/>
      <c r="F899" s="27"/>
      <c r="G899" s="28"/>
    </row>
    <row r="900">
      <c r="E900" s="26"/>
      <c r="F900" s="27"/>
      <c r="G900" s="28"/>
    </row>
    <row r="901">
      <c r="E901" s="26"/>
      <c r="F901" s="27"/>
      <c r="G901" s="28"/>
    </row>
    <row r="902">
      <c r="E902" s="26"/>
      <c r="F902" s="27"/>
      <c r="G902" s="28"/>
    </row>
    <row r="903">
      <c r="E903" s="26"/>
      <c r="F903" s="27"/>
      <c r="G903" s="28"/>
    </row>
    <row r="904">
      <c r="E904" s="26"/>
      <c r="F904" s="27"/>
      <c r="G904" s="28"/>
    </row>
    <row r="905">
      <c r="E905" s="26"/>
      <c r="F905" s="27"/>
      <c r="G905" s="28"/>
    </row>
    <row r="906">
      <c r="E906" s="26"/>
      <c r="F906" s="27"/>
      <c r="G906" s="28"/>
    </row>
    <row r="907">
      <c r="E907" s="26"/>
      <c r="F907" s="27"/>
      <c r="G907" s="28"/>
    </row>
    <row r="908">
      <c r="E908" s="26"/>
      <c r="F908" s="27"/>
      <c r="G908" s="28"/>
    </row>
    <row r="909">
      <c r="E909" s="26"/>
      <c r="F909" s="27"/>
      <c r="G909" s="28"/>
    </row>
    <row r="910">
      <c r="E910" s="26"/>
      <c r="F910" s="27"/>
      <c r="G910" s="28"/>
    </row>
    <row r="911">
      <c r="E911" s="26"/>
      <c r="F911" s="27"/>
      <c r="G911" s="28"/>
    </row>
    <row r="912">
      <c r="E912" s="26"/>
      <c r="F912" s="27"/>
      <c r="G912" s="28"/>
    </row>
    <row r="913">
      <c r="E913" s="26"/>
      <c r="F913" s="27"/>
      <c r="G913" s="28"/>
    </row>
    <row r="914">
      <c r="E914" s="26"/>
      <c r="F914" s="27"/>
      <c r="G914" s="28"/>
    </row>
    <row r="915">
      <c r="E915" s="26"/>
      <c r="F915" s="27"/>
      <c r="G915" s="28"/>
    </row>
    <row r="916">
      <c r="E916" s="26"/>
      <c r="F916" s="27"/>
      <c r="G916" s="28"/>
    </row>
    <row r="917">
      <c r="E917" s="26"/>
      <c r="F917" s="27"/>
      <c r="G917" s="28"/>
    </row>
    <row r="918">
      <c r="E918" s="26"/>
      <c r="F918" s="27"/>
      <c r="G918" s="28"/>
    </row>
    <row r="919">
      <c r="E919" s="26"/>
      <c r="F919" s="27"/>
      <c r="G919" s="28"/>
    </row>
    <row r="920">
      <c r="E920" s="26"/>
      <c r="F920" s="27"/>
      <c r="G920" s="28"/>
    </row>
    <row r="921">
      <c r="E921" s="26"/>
      <c r="F921" s="27"/>
      <c r="G921" s="28"/>
    </row>
    <row r="922">
      <c r="E922" s="26"/>
      <c r="F922" s="27"/>
      <c r="G922" s="28"/>
    </row>
    <row r="923">
      <c r="E923" s="26"/>
      <c r="F923" s="27"/>
      <c r="G923" s="28"/>
    </row>
    <row r="924">
      <c r="E924" s="26"/>
      <c r="F924" s="27"/>
      <c r="G924" s="28"/>
    </row>
    <row r="925">
      <c r="E925" s="26"/>
      <c r="F925" s="27"/>
      <c r="G925" s="28"/>
    </row>
    <row r="926">
      <c r="E926" s="26"/>
      <c r="F926" s="27"/>
      <c r="G926" s="28"/>
    </row>
    <row r="927">
      <c r="E927" s="26"/>
      <c r="F927" s="27"/>
      <c r="G927" s="28"/>
    </row>
    <row r="928">
      <c r="E928" s="26"/>
      <c r="F928" s="27"/>
      <c r="G928" s="28"/>
    </row>
    <row r="929">
      <c r="E929" s="26"/>
      <c r="F929" s="27"/>
      <c r="G929" s="28"/>
    </row>
    <row r="930">
      <c r="E930" s="26"/>
      <c r="F930" s="27"/>
      <c r="G930" s="28"/>
    </row>
    <row r="931">
      <c r="E931" s="26"/>
      <c r="F931" s="27"/>
      <c r="G931" s="28"/>
    </row>
    <row r="932">
      <c r="E932" s="26"/>
      <c r="F932" s="27"/>
      <c r="G932" s="28"/>
    </row>
    <row r="933">
      <c r="E933" s="26"/>
      <c r="F933" s="27"/>
      <c r="G933" s="28"/>
    </row>
    <row r="934">
      <c r="E934" s="26"/>
      <c r="F934" s="27"/>
      <c r="G934" s="28"/>
    </row>
    <row r="935">
      <c r="E935" s="26"/>
      <c r="F935" s="27"/>
      <c r="G935" s="28"/>
    </row>
    <row r="936">
      <c r="E936" s="26"/>
      <c r="F936" s="27"/>
      <c r="G936" s="28"/>
    </row>
    <row r="937">
      <c r="E937" s="26"/>
      <c r="F937" s="27"/>
      <c r="G937" s="28"/>
    </row>
    <row r="938">
      <c r="E938" s="26"/>
      <c r="F938" s="27"/>
      <c r="G938" s="28"/>
    </row>
    <row r="939">
      <c r="E939" s="26"/>
      <c r="F939" s="27"/>
      <c r="G939" s="28"/>
    </row>
    <row r="940">
      <c r="E940" s="26"/>
      <c r="F940" s="27"/>
      <c r="G940" s="28"/>
    </row>
    <row r="941">
      <c r="E941" s="26"/>
      <c r="F941" s="27"/>
      <c r="G941" s="28"/>
    </row>
    <row r="942">
      <c r="E942" s="26"/>
      <c r="F942" s="27"/>
      <c r="G942" s="28"/>
    </row>
    <row r="943">
      <c r="E943" s="26"/>
      <c r="F943" s="27"/>
      <c r="G943" s="28"/>
    </row>
    <row r="944">
      <c r="E944" s="26"/>
      <c r="F944" s="27"/>
      <c r="G944" s="28"/>
    </row>
    <row r="945">
      <c r="E945" s="26"/>
      <c r="F945" s="27"/>
      <c r="G945" s="28"/>
    </row>
    <row r="946">
      <c r="E946" s="26"/>
      <c r="F946" s="27"/>
      <c r="G946" s="28"/>
    </row>
    <row r="947">
      <c r="E947" s="26"/>
      <c r="F947" s="27"/>
      <c r="G947" s="28"/>
    </row>
    <row r="948">
      <c r="E948" s="26"/>
      <c r="F948" s="27"/>
      <c r="G948" s="28"/>
    </row>
    <row r="949">
      <c r="E949" s="26"/>
      <c r="F949" s="27"/>
      <c r="G949" s="28"/>
    </row>
    <row r="950">
      <c r="E950" s="26"/>
      <c r="F950" s="27"/>
      <c r="G950" s="28"/>
    </row>
    <row r="951">
      <c r="E951" s="26"/>
      <c r="F951" s="27"/>
      <c r="G951" s="28"/>
    </row>
    <row r="952">
      <c r="E952" s="26"/>
      <c r="F952" s="27"/>
      <c r="G952" s="28"/>
    </row>
    <row r="953">
      <c r="E953" s="26"/>
      <c r="F953" s="27"/>
      <c r="G953" s="28"/>
    </row>
    <row r="954">
      <c r="E954" s="26"/>
      <c r="F954" s="27"/>
      <c r="G954" s="28"/>
    </row>
    <row r="955">
      <c r="E955" s="26"/>
      <c r="F955" s="27"/>
      <c r="G955" s="28"/>
    </row>
    <row r="956">
      <c r="E956" s="26"/>
      <c r="F956" s="27"/>
      <c r="G956" s="28"/>
    </row>
    <row r="957">
      <c r="E957" s="26"/>
      <c r="F957" s="27"/>
      <c r="G957" s="28"/>
    </row>
    <row r="958">
      <c r="E958" s="26"/>
      <c r="F958" s="27"/>
      <c r="G958" s="28"/>
    </row>
    <row r="959">
      <c r="E959" s="26"/>
      <c r="F959" s="27"/>
      <c r="G959" s="28"/>
    </row>
    <row r="960">
      <c r="E960" s="26"/>
      <c r="F960" s="27"/>
      <c r="G960" s="28"/>
    </row>
    <row r="961">
      <c r="E961" s="26"/>
      <c r="F961" s="27"/>
      <c r="G961" s="28"/>
    </row>
    <row r="962">
      <c r="E962" s="26"/>
      <c r="F962" s="27"/>
      <c r="G962" s="28"/>
    </row>
    <row r="963">
      <c r="E963" s="26"/>
      <c r="F963" s="27"/>
      <c r="G963" s="28"/>
    </row>
    <row r="964">
      <c r="E964" s="26"/>
      <c r="F964" s="27"/>
      <c r="G964" s="28"/>
    </row>
    <row r="965">
      <c r="E965" s="26"/>
      <c r="F965" s="27"/>
      <c r="G965" s="28"/>
    </row>
    <row r="966">
      <c r="E966" s="26"/>
      <c r="F966" s="27"/>
      <c r="G966" s="28"/>
    </row>
    <row r="967">
      <c r="E967" s="26"/>
      <c r="F967" s="27"/>
      <c r="G967" s="28"/>
    </row>
    <row r="968">
      <c r="E968" s="26"/>
      <c r="F968" s="27"/>
      <c r="G968" s="28"/>
    </row>
    <row r="969">
      <c r="E969" s="26"/>
      <c r="F969" s="27"/>
      <c r="G969" s="28"/>
    </row>
    <row r="970">
      <c r="E970" s="26"/>
      <c r="F970" s="27"/>
      <c r="G970" s="28"/>
    </row>
    <row r="971">
      <c r="E971" s="26"/>
      <c r="F971" s="27"/>
      <c r="G971" s="28"/>
    </row>
    <row r="972">
      <c r="E972" s="26"/>
      <c r="F972" s="27"/>
      <c r="G972" s="28"/>
    </row>
    <row r="973">
      <c r="E973" s="26"/>
      <c r="F973" s="27"/>
      <c r="G973" s="28"/>
    </row>
    <row r="974">
      <c r="E974" s="26"/>
      <c r="F974" s="27"/>
      <c r="G974" s="28"/>
    </row>
    <row r="975">
      <c r="E975" s="26"/>
      <c r="F975" s="27"/>
      <c r="G975" s="28"/>
    </row>
    <row r="976">
      <c r="E976" s="26"/>
      <c r="F976" s="27"/>
      <c r="G976" s="28"/>
    </row>
    <row r="977">
      <c r="E977" s="26"/>
      <c r="F977" s="27"/>
      <c r="G977" s="28"/>
    </row>
    <row r="978">
      <c r="E978" s="26"/>
      <c r="F978" s="27"/>
      <c r="G978" s="28"/>
    </row>
    <row r="979">
      <c r="E979" s="26"/>
      <c r="F979" s="27"/>
      <c r="G979" s="28"/>
    </row>
    <row r="980">
      <c r="E980" s="26"/>
      <c r="F980" s="27"/>
      <c r="G980" s="28"/>
    </row>
    <row r="981">
      <c r="E981" s="26"/>
      <c r="F981" s="27"/>
      <c r="G981" s="28"/>
    </row>
    <row r="982">
      <c r="E982" s="26"/>
      <c r="F982" s="27"/>
      <c r="G982" s="28"/>
    </row>
    <row r="983">
      <c r="E983" s="26"/>
      <c r="F983" s="27"/>
      <c r="G983" s="28"/>
    </row>
    <row r="984">
      <c r="E984" s="26"/>
      <c r="F984" s="27"/>
      <c r="G984" s="28"/>
    </row>
    <row r="985">
      <c r="E985" s="26"/>
      <c r="F985" s="27"/>
      <c r="G985" s="28"/>
    </row>
    <row r="986">
      <c r="E986" s="26"/>
      <c r="F986" s="27"/>
      <c r="G986" s="28"/>
    </row>
    <row r="987">
      <c r="E987" s="26"/>
      <c r="F987" s="27"/>
      <c r="G987" s="28"/>
    </row>
    <row r="988">
      <c r="E988" s="26"/>
      <c r="F988" s="27"/>
      <c r="G988" s="28"/>
    </row>
    <row r="989">
      <c r="E989" s="26"/>
      <c r="F989" s="27"/>
      <c r="G989" s="28"/>
    </row>
    <row r="990">
      <c r="E990" s="26"/>
      <c r="F990" s="27"/>
      <c r="G990" s="28"/>
    </row>
    <row r="991">
      <c r="E991" s="26"/>
      <c r="F991" s="27"/>
      <c r="G991" s="28"/>
    </row>
    <row r="992">
      <c r="E992" s="26"/>
      <c r="F992" s="27"/>
      <c r="G992" s="28"/>
    </row>
    <row r="993">
      <c r="E993" s="26"/>
      <c r="F993" s="27"/>
      <c r="G993" s="28"/>
    </row>
    <row r="994">
      <c r="E994" s="26"/>
      <c r="F994" s="27"/>
      <c r="G994" s="28"/>
    </row>
    <row r="995">
      <c r="E995" s="26"/>
      <c r="F995" s="27"/>
      <c r="G995" s="28"/>
    </row>
    <row r="996">
      <c r="E996" s="26"/>
      <c r="F996" s="27"/>
      <c r="G996" s="28"/>
    </row>
    <row r="997">
      <c r="E997" s="26"/>
      <c r="F997" s="27"/>
      <c r="G997" s="28"/>
    </row>
    <row r="998">
      <c r="E998" s="26"/>
      <c r="F998" s="27"/>
      <c r="G998" s="28"/>
    </row>
    <row r="999">
      <c r="E999" s="26"/>
      <c r="F999" s="27"/>
      <c r="G999" s="28"/>
    </row>
    <row r="1000">
      <c r="E1000" s="26"/>
      <c r="F1000" s="27"/>
      <c r="G1000" s="28"/>
    </row>
    <row r="1001">
      <c r="E1001" s="26"/>
      <c r="F1001" s="27"/>
      <c r="G1001" s="28"/>
    </row>
    <row r="1002">
      <c r="E1002" s="26"/>
      <c r="F1002" s="27"/>
      <c r="G1002" s="28"/>
    </row>
    <row r="1003">
      <c r="E1003" s="26"/>
      <c r="F1003" s="27"/>
      <c r="G1003" s="28"/>
    </row>
    <row r="1004">
      <c r="E1004" s="26"/>
      <c r="F1004" s="27"/>
      <c r="G1004" s="28"/>
    </row>
    <row r="1005">
      <c r="E1005" s="26"/>
      <c r="F1005" s="27"/>
      <c r="G1005" s="28"/>
    </row>
    <row r="1006">
      <c r="E1006" s="26"/>
      <c r="F1006" s="27"/>
      <c r="G1006" s="28"/>
    </row>
    <row r="1007">
      <c r="E1007" s="26"/>
      <c r="F1007" s="27"/>
      <c r="G1007" s="28"/>
    </row>
    <row r="1008">
      <c r="E1008" s="26"/>
      <c r="F1008" s="27"/>
      <c r="G1008" s="28"/>
    </row>
    <row r="1009">
      <c r="E1009" s="26"/>
      <c r="F1009" s="27"/>
      <c r="G1009" s="28"/>
    </row>
    <row r="1010">
      <c r="E1010" s="26"/>
      <c r="F1010" s="27"/>
      <c r="G1010" s="28"/>
    </row>
    <row r="1011">
      <c r="E1011" s="26"/>
      <c r="F1011" s="27"/>
      <c r="G1011" s="28"/>
    </row>
    <row r="1012">
      <c r="E1012" s="26"/>
      <c r="F1012" s="27"/>
      <c r="G1012" s="28"/>
    </row>
    <row r="1013">
      <c r="E1013" s="26"/>
      <c r="F1013" s="27"/>
      <c r="G1013" s="28"/>
    </row>
    <row r="1014">
      <c r="E1014" s="26"/>
      <c r="F1014" s="27"/>
      <c r="G1014" s="28"/>
    </row>
    <row r="1015">
      <c r="E1015" s="26"/>
      <c r="F1015" s="27"/>
      <c r="G1015" s="28"/>
    </row>
    <row r="1016">
      <c r="E1016" s="26"/>
      <c r="F1016" s="27"/>
      <c r="G1016" s="28"/>
    </row>
    <row r="1017">
      <c r="E1017" s="26"/>
      <c r="F1017" s="27"/>
      <c r="G1017" s="28"/>
    </row>
    <row r="1018">
      <c r="E1018" s="26"/>
      <c r="F1018" s="27"/>
      <c r="G1018" s="28"/>
    </row>
    <row r="1019">
      <c r="E1019" s="26"/>
      <c r="F1019" s="27"/>
      <c r="G1019" s="28"/>
    </row>
    <row r="1020">
      <c r="E1020" s="26"/>
      <c r="F1020" s="27"/>
      <c r="G1020" s="28"/>
    </row>
    <row r="1021">
      <c r="E1021" s="26"/>
      <c r="F1021" s="27"/>
      <c r="G1021" s="28"/>
    </row>
    <row r="1022">
      <c r="E1022" s="26"/>
      <c r="F1022" s="27"/>
      <c r="G1022" s="28"/>
    </row>
    <row r="1023">
      <c r="E1023" s="26"/>
      <c r="F1023" s="27"/>
      <c r="G1023" s="28"/>
    </row>
    <row r="1024">
      <c r="E1024" s="26"/>
      <c r="F1024" s="27"/>
      <c r="G1024" s="28"/>
    </row>
    <row r="1025">
      <c r="E1025" s="26"/>
      <c r="F1025" s="27"/>
      <c r="G1025" s="28"/>
    </row>
    <row r="1026">
      <c r="E1026" s="26"/>
      <c r="F1026" s="27"/>
      <c r="G1026" s="28"/>
    </row>
    <row r="1027">
      <c r="E1027" s="26"/>
      <c r="F1027" s="27"/>
      <c r="G1027" s="28"/>
    </row>
    <row r="1028">
      <c r="E1028" s="26"/>
      <c r="F1028" s="27"/>
      <c r="G1028" s="28"/>
    </row>
    <row r="1029">
      <c r="E1029" s="26"/>
      <c r="F1029" s="27"/>
      <c r="G1029" s="28"/>
    </row>
    <row r="1030">
      <c r="E1030" s="26"/>
      <c r="F1030" s="27"/>
      <c r="G1030" s="28"/>
    </row>
    <row r="1031">
      <c r="E1031" s="26"/>
      <c r="F1031" s="27"/>
      <c r="G1031" s="28"/>
    </row>
    <row r="1032">
      <c r="E1032" s="26"/>
      <c r="F1032" s="27"/>
      <c r="G1032" s="28"/>
    </row>
    <row r="1033">
      <c r="E1033" s="26"/>
      <c r="F1033" s="27"/>
      <c r="G1033" s="28"/>
    </row>
    <row r="1034">
      <c r="E1034" s="26"/>
      <c r="F1034" s="27"/>
      <c r="G1034" s="28"/>
    </row>
    <row r="1035">
      <c r="E1035" s="26"/>
      <c r="F1035" s="27"/>
      <c r="G1035" s="28"/>
    </row>
    <row r="1036">
      <c r="E1036" s="26"/>
      <c r="F1036" s="27"/>
      <c r="G1036" s="28"/>
    </row>
    <row r="1037">
      <c r="E1037" s="26"/>
      <c r="F1037" s="27"/>
      <c r="G1037" s="28"/>
    </row>
    <row r="1038">
      <c r="E1038" s="26"/>
      <c r="F1038" s="27"/>
      <c r="G1038" s="28"/>
    </row>
    <row r="1039">
      <c r="E1039" s="26"/>
      <c r="F1039" s="27"/>
      <c r="G1039" s="28"/>
    </row>
    <row r="1040">
      <c r="E1040" s="26"/>
      <c r="F1040" s="27"/>
      <c r="G1040" s="28"/>
    </row>
    <row r="1041">
      <c r="E1041" s="26"/>
      <c r="F1041" s="27"/>
      <c r="G1041" s="28"/>
    </row>
    <row r="1042">
      <c r="E1042" s="26"/>
      <c r="F1042" s="27"/>
      <c r="G1042" s="28"/>
    </row>
    <row r="1043">
      <c r="E1043" s="26"/>
      <c r="F1043" s="27"/>
      <c r="G1043" s="28"/>
    </row>
    <row r="1044">
      <c r="E1044" s="26"/>
      <c r="F1044" s="27"/>
      <c r="G1044" s="28"/>
    </row>
    <row r="1045">
      <c r="E1045" s="26"/>
      <c r="F1045" s="27"/>
      <c r="G1045" s="28"/>
    </row>
    <row r="1046">
      <c r="E1046" s="26"/>
      <c r="F1046" s="27"/>
      <c r="G1046" s="28"/>
    </row>
    <row r="1047">
      <c r="E1047" s="26"/>
      <c r="F1047" s="27"/>
      <c r="G1047" s="28"/>
    </row>
    <row r="1048">
      <c r="E1048" s="26"/>
      <c r="F1048" s="27"/>
      <c r="G1048" s="28"/>
    </row>
    <row r="1049">
      <c r="E1049" s="26"/>
      <c r="F1049" s="27"/>
      <c r="G1049" s="28"/>
    </row>
    <row r="1050">
      <c r="E1050" s="26"/>
      <c r="F1050" s="27"/>
      <c r="G1050" s="28"/>
    </row>
    <row r="1051">
      <c r="E1051" s="26"/>
      <c r="F1051" s="27"/>
      <c r="G1051" s="28"/>
    </row>
    <row r="1052">
      <c r="E1052" s="26"/>
      <c r="F1052" s="27"/>
      <c r="G1052" s="28"/>
    </row>
    <row r="1053">
      <c r="E1053" s="26"/>
      <c r="F1053" s="27"/>
      <c r="G1053" s="28"/>
    </row>
    <row r="1054">
      <c r="E1054" s="26"/>
      <c r="F1054" s="27"/>
      <c r="G1054" s="28"/>
    </row>
    <row r="1055">
      <c r="E1055" s="26"/>
      <c r="F1055" s="27"/>
      <c r="G1055" s="28"/>
    </row>
    <row r="1056">
      <c r="E1056" s="26"/>
      <c r="F1056" s="27"/>
      <c r="G1056" s="28"/>
    </row>
    <row r="1057">
      <c r="E1057" s="26"/>
      <c r="F1057" s="27"/>
      <c r="G1057" s="28"/>
    </row>
    <row r="1058">
      <c r="E1058" s="26"/>
      <c r="F1058" s="27"/>
      <c r="G1058" s="28"/>
    </row>
    <row r="1059">
      <c r="E1059" s="26"/>
      <c r="F1059" s="27"/>
      <c r="G1059" s="28"/>
    </row>
    <row r="1060">
      <c r="E1060" s="26"/>
      <c r="F1060" s="27"/>
      <c r="G1060" s="28"/>
    </row>
    <row r="1061">
      <c r="E1061" s="26"/>
      <c r="F1061" s="27"/>
      <c r="G1061" s="28"/>
    </row>
    <row r="1062">
      <c r="E1062" s="26"/>
      <c r="F1062" s="27"/>
      <c r="G1062" s="28"/>
    </row>
    <row r="1063">
      <c r="E1063" s="26"/>
      <c r="F1063" s="27"/>
      <c r="G1063" s="28"/>
    </row>
    <row r="1064">
      <c r="E1064" s="26"/>
      <c r="F1064" s="27"/>
      <c r="G1064" s="28"/>
    </row>
    <row r="1065">
      <c r="E1065" s="26"/>
      <c r="F1065" s="27"/>
      <c r="G1065" s="28"/>
    </row>
    <row r="1066">
      <c r="E1066" s="26"/>
      <c r="F1066" s="27"/>
      <c r="G1066" s="28"/>
    </row>
    <row r="1067">
      <c r="E1067" s="26"/>
      <c r="F1067" s="27"/>
      <c r="G1067" s="28"/>
    </row>
    <row r="1068">
      <c r="E1068" s="26"/>
      <c r="F1068" s="27"/>
      <c r="G1068" s="28"/>
    </row>
    <row r="1069">
      <c r="E1069" s="26"/>
      <c r="F1069" s="27"/>
      <c r="G1069" s="28"/>
    </row>
    <row r="1070">
      <c r="E1070" s="26"/>
      <c r="F1070" s="27"/>
      <c r="G1070" s="28"/>
    </row>
    <row r="1071">
      <c r="E1071" s="26"/>
      <c r="F1071" s="27"/>
      <c r="G1071" s="28"/>
    </row>
    <row r="1072">
      <c r="E1072" s="26"/>
      <c r="F1072" s="27"/>
      <c r="G1072" s="28"/>
    </row>
    <row r="1073">
      <c r="E1073" s="26"/>
      <c r="F1073" s="27"/>
      <c r="G1073" s="28"/>
    </row>
    <row r="1074">
      <c r="E1074" s="26"/>
      <c r="F1074" s="27"/>
      <c r="G1074" s="28"/>
    </row>
    <row r="1075">
      <c r="E1075" s="26"/>
      <c r="F1075" s="27"/>
      <c r="G1075" s="28"/>
    </row>
    <row r="1076">
      <c r="E1076" s="26"/>
      <c r="F1076" s="27"/>
      <c r="G1076" s="28"/>
    </row>
    <row r="1077">
      <c r="E1077" s="26"/>
      <c r="F1077" s="27"/>
      <c r="G1077" s="28"/>
    </row>
    <row r="1078">
      <c r="E1078" s="26"/>
      <c r="F1078" s="27"/>
      <c r="G1078" s="28"/>
    </row>
    <row r="1079">
      <c r="E1079" s="26"/>
      <c r="F1079" s="27"/>
      <c r="G1079" s="28"/>
    </row>
    <row r="1080">
      <c r="E1080" s="26"/>
      <c r="F1080" s="27"/>
      <c r="G1080" s="28"/>
    </row>
    <row r="1081">
      <c r="E1081" s="26"/>
      <c r="F1081" s="27"/>
      <c r="G1081" s="28"/>
    </row>
    <row r="1082">
      <c r="E1082" s="26"/>
      <c r="F1082" s="27"/>
      <c r="G1082" s="28"/>
    </row>
    <row r="1083">
      <c r="E1083" s="26"/>
      <c r="F1083" s="27"/>
      <c r="G1083" s="28"/>
    </row>
    <row r="1084">
      <c r="E1084" s="26"/>
      <c r="F1084" s="27"/>
      <c r="G1084" s="28"/>
    </row>
    <row r="1085">
      <c r="E1085" s="26"/>
      <c r="F1085" s="27"/>
      <c r="G1085" s="28"/>
    </row>
    <row r="1086">
      <c r="E1086" s="26"/>
      <c r="F1086" s="27"/>
      <c r="G1086" s="28"/>
    </row>
    <row r="1087">
      <c r="E1087" s="26"/>
      <c r="F1087" s="27"/>
      <c r="G1087" s="28"/>
    </row>
    <row r="1088">
      <c r="E1088" s="26"/>
      <c r="F1088" s="27"/>
      <c r="G1088" s="28"/>
    </row>
    <row r="1089">
      <c r="E1089" s="26"/>
      <c r="F1089" s="27"/>
      <c r="G1089" s="28"/>
    </row>
    <row r="1090">
      <c r="E1090" s="26"/>
      <c r="F1090" s="27"/>
      <c r="G1090" s="28"/>
    </row>
    <row r="1091">
      <c r="E1091" s="26"/>
      <c r="F1091" s="27"/>
      <c r="G1091" s="28"/>
    </row>
    <row r="1092">
      <c r="E1092" s="26"/>
      <c r="F1092" s="27"/>
      <c r="G1092" s="28"/>
    </row>
    <row r="1093">
      <c r="E1093" s="26"/>
      <c r="F1093" s="27"/>
      <c r="G1093" s="28"/>
    </row>
    <row r="1094">
      <c r="E1094" s="26"/>
      <c r="F1094" s="27"/>
      <c r="G1094" s="28"/>
    </row>
    <row r="1095">
      <c r="E1095" s="26"/>
      <c r="F1095" s="27"/>
      <c r="G1095" s="28"/>
    </row>
    <row r="1096">
      <c r="E1096" s="26"/>
      <c r="F1096" s="27"/>
      <c r="G1096" s="28"/>
    </row>
    <row r="1097">
      <c r="E1097" s="26"/>
      <c r="F1097" s="27"/>
      <c r="G1097" s="28"/>
    </row>
    <row r="1098">
      <c r="E1098" s="26"/>
      <c r="F1098" s="27"/>
      <c r="G1098" s="28"/>
    </row>
    <row r="1099">
      <c r="E1099" s="26"/>
      <c r="F1099" s="27"/>
      <c r="G1099" s="28"/>
    </row>
    <row r="1100">
      <c r="E1100" s="26"/>
      <c r="F1100" s="27"/>
      <c r="G1100" s="28"/>
    </row>
    <row r="1101">
      <c r="E1101" s="26"/>
      <c r="F1101" s="27"/>
      <c r="G1101" s="28"/>
    </row>
    <row r="1102">
      <c r="E1102" s="26"/>
      <c r="F1102" s="27"/>
      <c r="G1102" s="28"/>
    </row>
    <row r="1103">
      <c r="E1103" s="26"/>
      <c r="F1103" s="27"/>
      <c r="G1103" s="28"/>
    </row>
    <row r="1104">
      <c r="E1104" s="26"/>
      <c r="F1104" s="27"/>
      <c r="G1104" s="28"/>
    </row>
    <row r="1105">
      <c r="E1105" s="26"/>
      <c r="F1105" s="27"/>
      <c r="G1105" s="28"/>
    </row>
    <row r="1106">
      <c r="E1106" s="26"/>
      <c r="F1106" s="27"/>
      <c r="G1106" s="28"/>
    </row>
    <row r="1107">
      <c r="E1107" s="26"/>
      <c r="F1107" s="27"/>
      <c r="G1107" s="28"/>
    </row>
    <row r="1108">
      <c r="E1108" s="26"/>
      <c r="F1108" s="27"/>
      <c r="G1108" s="28"/>
    </row>
    <row r="1109">
      <c r="E1109" s="26"/>
      <c r="F1109" s="27"/>
      <c r="G1109" s="28"/>
    </row>
    <row r="1110">
      <c r="E1110" s="26"/>
      <c r="F1110" s="27"/>
      <c r="G1110" s="28"/>
    </row>
    <row r="1111">
      <c r="E1111" s="26"/>
      <c r="F1111" s="27"/>
      <c r="G1111" s="28"/>
    </row>
    <row r="1112">
      <c r="E1112" s="26"/>
      <c r="F1112" s="27"/>
      <c r="G1112" s="28"/>
    </row>
    <row r="1113">
      <c r="E1113" s="26"/>
      <c r="F1113" s="27"/>
      <c r="G1113" s="28"/>
    </row>
    <row r="1114">
      <c r="E1114" s="26"/>
      <c r="F1114" s="27"/>
      <c r="G1114" s="28"/>
    </row>
    <row r="1115">
      <c r="E1115" s="26"/>
      <c r="F1115" s="27"/>
      <c r="G1115" s="28"/>
    </row>
    <row r="1116">
      <c r="E1116" s="26"/>
      <c r="F1116" s="27"/>
      <c r="G1116" s="28"/>
    </row>
    <row r="1117">
      <c r="E1117" s="26"/>
      <c r="F1117" s="27"/>
      <c r="G1117" s="28"/>
    </row>
    <row r="1118">
      <c r="E1118" s="26"/>
      <c r="F1118" s="27"/>
      <c r="G1118" s="28"/>
    </row>
    <row r="1119">
      <c r="E1119" s="26"/>
      <c r="F1119" s="27"/>
      <c r="G1119" s="28"/>
    </row>
    <row r="1120">
      <c r="E1120" s="26"/>
      <c r="F1120" s="27"/>
      <c r="G1120" s="28"/>
    </row>
    <row r="1121">
      <c r="E1121" s="26"/>
      <c r="F1121" s="27"/>
      <c r="G1121" s="28"/>
    </row>
    <row r="1122">
      <c r="E1122" s="26"/>
      <c r="F1122" s="27"/>
      <c r="G1122" s="28"/>
    </row>
    <row r="1123">
      <c r="E1123" s="26"/>
      <c r="F1123" s="27"/>
      <c r="G1123" s="28"/>
    </row>
    <row r="1124">
      <c r="E1124" s="26"/>
      <c r="F1124" s="27"/>
      <c r="G1124" s="28"/>
    </row>
    <row r="1125">
      <c r="E1125" s="26"/>
      <c r="F1125" s="27"/>
      <c r="G1125" s="28"/>
    </row>
    <row r="1126">
      <c r="E1126" s="26"/>
      <c r="F1126" s="27"/>
      <c r="G1126" s="28"/>
    </row>
    <row r="1127">
      <c r="E1127" s="26"/>
      <c r="F1127" s="27"/>
      <c r="G1127" s="28"/>
    </row>
    <row r="1128">
      <c r="E1128" s="26"/>
      <c r="F1128" s="27"/>
      <c r="G1128" s="28"/>
    </row>
    <row r="1129">
      <c r="E1129" s="26"/>
      <c r="F1129" s="27"/>
      <c r="G1129" s="28"/>
    </row>
    <row r="1130">
      <c r="E1130" s="26"/>
      <c r="F1130" s="27"/>
      <c r="G1130" s="28"/>
    </row>
    <row r="1131">
      <c r="E1131" s="26"/>
      <c r="F1131" s="27"/>
      <c r="G1131" s="28"/>
    </row>
    <row r="1132">
      <c r="E1132" s="26"/>
      <c r="F1132" s="27"/>
      <c r="G1132" s="28"/>
    </row>
    <row r="1133">
      <c r="E1133" s="26"/>
      <c r="F1133" s="27"/>
      <c r="G1133" s="28"/>
    </row>
    <row r="1134">
      <c r="E1134" s="26"/>
      <c r="F1134" s="27"/>
      <c r="G1134" s="28"/>
    </row>
    <row r="1135">
      <c r="E1135" s="26"/>
      <c r="F1135" s="27"/>
      <c r="G1135" s="28"/>
    </row>
    <row r="1136">
      <c r="E1136" s="26"/>
      <c r="F1136" s="27"/>
      <c r="G1136" s="28"/>
    </row>
    <row r="1137">
      <c r="E1137" s="26"/>
      <c r="F1137" s="27"/>
      <c r="G1137" s="28"/>
    </row>
    <row r="1138">
      <c r="E1138" s="26"/>
      <c r="F1138" s="27"/>
      <c r="G1138" s="28"/>
    </row>
    <row r="1139">
      <c r="E1139" s="26"/>
      <c r="F1139" s="27"/>
      <c r="G1139" s="28"/>
    </row>
    <row r="1140">
      <c r="E1140" s="26"/>
      <c r="F1140" s="27"/>
      <c r="G1140" s="28"/>
    </row>
    <row r="1141">
      <c r="E1141" s="26"/>
      <c r="F1141" s="27"/>
      <c r="G1141" s="28"/>
    </row>
    <row r="1142">
      <c r="E1142" s="26"/>
      <c r="F1142" s="27"/>
      <c r="G1142" s="28"/>
    </row>
    <row r="1143">
      <c r="E1143" s="26"/>
      <c r="F1143" s="27"/>
      <c r="G1143" s="28"/>
    </row>
    <row r="1144">
      <c r="E1144" s="26"/>
      <c r="F1144" s="27"/>
      <c r="G1144" s="28"/>
    </row>
    <row r="1145">
      <c r="E1145" s="26"/>
      <c r="F1145" s="27"/>
      <c r="G1145" s="28"/>
    </row>
    <row r="1146">
      <c r="E1146" s="26"/>
      <c r="F1146" s="27"/>
      <c r="G1146" s="28"/>
    </row>
    <row r="1147">
      <c r="E1147" s="26"/>
      <c r="F1147" s="27"/>
      <c r="G1147" s="28"/>
    </row>
    <row r="1148">
      <c r="E1148" s="26"/>
      <c r="F1148" s="27"/>
      <c r="G1148" s="28"/>
    </row>
    <row r="1149">
      <c r="E1149" s="26"/>
      <c r="F1149" s="27"/>
      <c r="G1149" s="28"/>
    </row>
    <row r="1150">
      <c r="E1150" s="26"/>
      <c r="F1150" s="27"/>
      <c r="G1150" s="28"/>
    </row>
    <row r="1151">
      <c r="E1151" s="26"/>
      <c r="F1151" s="27"/>
      <c r="G1151" s="28"/>
    </row>
    <row r="1152">
      <c r="E1152" s="26"/>
      <c r="F1152" s="27"/>
      <c r="G1152" s="28"/>
    </row>
    <row r="1153">
      <c r="E1153" s="26"/>
      <c r="F1153" s="27"/>
      <c r="G1153" s="28"/>
    </row>
    <row r="1154">
      <c r="E1154" s="26"/>
      <c r="F1154" s="27"/>
      <c r="G1154" s="28"/>
    </row>
    <row r="1155">
      <c r="E1155" s="26"/>
      <c r="F1155" s="27"/>
      <c r="G1155" s="28"/>
    </row>
    <row r="1156">
      <c r="E1156" s="26"/>
      <c r="F1156" s="27"/>
      <c r="G1156" s="28"/>
    </row>
    <row r="1157">
      <c r="E1157" s="26"/>
      <c r="F1157" s="27"/>
      <c r="G1157" s="28"/>
    </row>
    <row r="1158">
      <c r="E1158" s="26"/>
      <c r="F1158" s="27"/>
      <c r="G1158" s="28"/>
    </row>
    <row r="1159">
      <c r="E1159" s="26"/>
      <c r="F1159" s="27"/>
      <c r="G1159" s="28"/>
    </row>
    <row r="1160">
      <c r="E1160" s="26"/>
      <c r="F1160" s="27"/>
      <c r="G1160" s="28"/>
    </row>
    <row r="1161">
      <c r="E1161" s="26"/>
      <c r="F1161" s="27"/>
      <c r="G1161" s="28"/>
    </row>
    <row r="1162">
      <c r="E1162" s="26"/>
      <c r="F1162" s="27"/>
      <c r="G1162" s="28"/>
    </row>
    <row r="1163">
      <c r="E1163" s="26"/>
      <c r="F1163" s="27"/>
      <c r="G1163" s="28"/>
    </row>
    <row r="1164">
      <c r="E1164" s="26"/>
      <c r="F1164" s="27"/>
      <c r="G1164" s="28"/>
    </row>
    <row r="1165">
      <c r="E1165" s="26"/>
      <c r="F1165" s="27"/>
      <c r="G1165" s="28"/>
    </row>
    <row r="1166">
      <c r="E1166" s="26"/>
      <c r="F1166" s="27"/>
      <c r="G1166" s="28"/>
    </row>
    <row r="1167">
      <c r="E1167" s="26"/>
      <c r="F1167" s="27"/>
      <c r="G1167" s="28"/>
    </row>
    <row r="1168">
      <c r="E1168" s="26"/>
      <c r="F1168" s="27"/>
      <c r="G1168" s="28"/>
    </row>
    <row r="1169">
      <c r="E1169" s="26"/>
      <c r="F1169" s="27"/>
      <c r="G1169" s="28"/>
    </row>
    <row r="1170">
      <c r="E1170" s="26"/>
      <c r="F1170" s="27"/>
      <c r="G1170" s="28"/>
    </row>
    <row r="1171">
      <c r="E1171" s="26"/>
      <c r="F1171" s="27"/>
      <c r="G1171" s="28"/>
    </row>
    <row r="1172">
      <c r="E1172" s="26"/>
      <c r="F1172" s="27"/>
      <c r="G1172" s="28"/>
    </row>
    <row r="1173">
      <c r="E1173" s="26"/>
      <c r="F1173" s="27"/>
      <c r="G1173" s="28"/>
    </row>
    <row r="1174">
      <c r="E1174" s="26"/>
      <c r="F1174" s="27"/>
      <c r="G1174" s="28"/>
    </row>
    <row r="1175">
      <c r="E1175" s="26"/>
      <c r="F1175" s="27"/>
      <c r="G1175" s="28"/>
    </row>
    <row r="1176">
      <c r="E1176" s="26"/>
      <c r="F1176" s="27"/>
      <c r="G1176" s="28"/>
    </row>
    <row r="1177">
      <c r="E1177" s="26"/>
      <c r="F1177" s="27"/>
      <c r="G1177" s="28"/>
    </row>
    <row r="1178">
      <c r="E1178" s="26"/>
      <c r="F1178" s="27"/>
      <c r="G1178" s="28"/>
    </row>
    <row r="1179">
      <c r="E1179" s="26"/>
      <c r="F1179" s="27"/>
      <c r="G1179" s="28"/>
    </row>
    <row r="1180">
      <c r="E1180" s="26"/>
      <c r="F1180" s="27"/>
      <c r="G1180" s="28"/>
    </row>
    <row r="1181">
      <c r="E1181" s="26"/>
      <c r="F1181" s="27"/>
      <c r="G1181" s="28"/>
    </row>
    <row r="1182">
      <c r="E1182" s="26"/>
      <c r="F1182" s="27"/>
      <c r="G1182" s="28"/>
    </row>
    <row r="1183">
      <c r="E1183" s="26"/>
      <c r="F1183" s="27"/>
      <c r="G1183" s="28"/>
    </row>
    <row r="1184">
      <c r="E1184" s="26"/>
      <c r="F1184" s="27"/>
      <c r="G1184" s="28"/>
    </row>
    <row r="1185">
      <c r="E1185" s="26"/>
      <c r="F1185" s="27"/>
      <c r="G1185" s="28"/>
    </row>
    <row r="1186">
      <c r="E1186" s="26"/>
      <c r="F1186" s="27"/>
      <c r="G1186" s="28"/>
    </row>
    <row r="1187">
      <c r="E1187" s="26"/>
      <c r="F1187" s="27"/>
      <c r="G1187" s="28"/>
    </row>
    <row r="1188">
      <c r="E1188" s="26"/>
      <c r="F1188" s="27"/>
      <c r="G1188" s="28"/>
    </row>
    <row r="1189">
      <c r="E1189" s="26"/>
      <c r="F1189" s="27"/>
      <c r="G1189" s="28"/>
    </row>
    <row r="1190">
      <c r="E1190" s="26"/>
      <c r="F1190" s="27"/>
      <c r="G1190" s="28"/>
    </row>
    <row r="1191">
      <c r="E1191" s="26"/>
      <c r="F1191" s="27"/>
      <c r="G1191" s="28"/>
    </row>
    <row r="1192">
      <c r="E1192" s="26"/>
      <c r="F1192" s="27"/>
      <c r="G1192" s="28"/>
    </row>
    <row r="1193">
      <c r="E1193" s="26"/>
      <c r="F1193" s="27"/>
      <c r="G1193" s="28"/>
    </row>
    <row r="1194">
      <c r="E1194" s="26"/>
      <c r="F1194" s="27"/>
      <c r="G1194" s="28"/>
    </row>
    <row r="1195">
      <c r="E1195" s="26"/>
      <c r="F1195" s="27"/>
      <c r="G1195" s="28"/>
    </row>
    <row r="1196">
      <c r="E1196" s="26"/>
      <c r="F1196" s="27"/>
      <c r="G1196" s="28"/>
    </row>
    <row r="1197">
      <c r="E1197" s="26"/>
      <c r="F1197" s="27"/>
      <c r="G1197" s="28"/>
    </row>
    <row r="1198">
      <c r="E1198" s="26"/>
      <c r="F1198" s="27"/>
      <c r="G1198" s="28"/>
    </row>
    <row r="1199">
      <c r="E1199" s="26"/>
      <c r="F1199" s="27"/>
      <c r="G1199" s="28"/>
    </row>
    <row r="1200">
      <c r="E1200" s="26"/>
      <c r="F1200" s="27"/>
      <c r="G1200" s="28"/>
    </row>
    <row r="1201">
      <c r="E1201" s="26"/>
      <c r="F1201" s="27"/>
      <c r="G1201" s="28"/>
    </row>
    <row r="1202">
      <c r="E1202" s="26"/>
      <c r="F1202" s="27"/>
      <c r="G1202" s="28"/>
    </row>
    <row r="1203">
      <c r="E1203" s="26"/>
      <c r="F1203" s="27"/>
      <c r="G1203" s="28"/>
    </row>
    <row r="1204">
      <c r="E1204" s="26"/>
      <c r="F1204" s="27"/>
      <c r="G1204" s="28"/>
    </row>
    <row r="1205">
      <c r="E1205" s="26"/>
      <c r="F1205" s="27"/>
      <c r="G1205" s="28"/>
    </row>
    <row r="1206">
      <c r="E1206" s="26"/>
      <c r="F1206" s="27"/>
      <c r="G1206" s="28"/>
    </row>
    <row r="1207">
      <c r="E1207" s="26"/>
      <c r="F1207" s="27"/>
      <c r="G1207" s="28"/>
    </row>
    <row r="1208">
      <c r="E1208" s="26"/>
      <c r="F1208" s="27"/>
      <c r="G1208" s="28"/>
    </row>
    <row r="1209">
      <c r="E1209" s="26"/>
      <c r="F1209" s="27"/>
      <c r="G1209" s="28"/>
    </row>
    <row r="1210">
      <c r="E1210" s="26"/>
      <c r="F1210" s="27"/>
      <c r="G1210" s="28"/>
    </row>
    <row r="1211">
      <c r="E1211" s="26"/>
      <c r="F1211" s="27"/>
      <c r="G1211" s="28"/>
    </row>
    <row r="1212">
      <c r="E1212" s="26"/>
      <c r="F1212" s="27"/>
      <c r="G1212" s="28"/>
    </row>
    <row r="1213">
      <c r="E1213" s="26"/>
      <c r="F1213" s="27"/>
      <c r="G1213" s="28"/>
    </row>
    <row r="1214">
      <c r="E1214" s="26"/>
      <c r="F1214" s="27"/>
      <c r="G1214" s="28"/>
    </row>
    <row r="1215">
      <c r="E1215" s="26"/>
      <c r="F1215" s="27"/>
      <c r="G1215" s="28"/>
    </row>
    <row r="1216">
      <c r="E1216" s="26"/>
      <c r="F1216" s="27"/>
      <c r="G1216" s="28"/>
    </row>
    <row r="1217">
      <c r="E1217" s="26"/>
      <c r="F1217" s="27"/>
      <c r="G1217" s="28"/>
    </row>
    <row r="1218">
      <c r="E1218" s="26"/>
      <c r="F1218" s="27"/>
      <c r="G1218" s="28"/>
    </row>
    <row r="1219">
      <c r="E1219" s="26"/>
      <c r="F1219" s="27"/>
      <c r="G1219" s="28"/>
    </row>
    <row r="1220">
      <c r="E1220" s="26"/>
      <c r="F1220" s="27"/>
      <c r="G1220" s="28"/>
    </row>
    <row r="1221">
      <c r="E1221" s="26"/>
      <c r="F1221" s="27"/>
      <c r="G1221" s="28"/>
    </row>
    <row r="1222">
      <c r="E1222" s="26"/>
      <c r="F1222" s="27"/>
      <c r="G1222" s="28"/>
    </row>
    <row r="1223">
      <c r="E1223" s="26"/>
      <c r="F1223" s="27"/>
      <c r="G1223" s="28"/>
    </row>
    <row r="1224">
      <c r="E1224" s="26"/>
      <c r="F1224" s="27"/>
      <c r="G1224" s="28"/>
    </row>
    <row r="1225">
      <c r="E1225" s="26"/>
      <c r="F1225" s="27"/>
      <c r="G1225" s="28"/>
    </row>
    <row r="1226">
      <c r="E1226" s="26"/>
      <c r="F1226" s="27"/>
      <c r="G1226" s="28"/>
    </row>
    <row r="1227">
      <c r="E1227" s="26"/>
      <c r="F1227" s="27"/>
      <c r="G1227" s="28"/>
    </row>
    <row r="1228">
      <c r="E1228" s="26"/>
      <c r="F1228" s="27"/>
      <c r="G1228" s="28"/>
    </row>
    <row r="1229">
      <c r="E1229" s="26"/>
      <c r="F1229" s="27"/>
      <c r="G1229" s="28"/>
    </row>
    <row r="1230">
      <c r="E1230" s="26"/>
      <c r="F1230" s="27"/>
      <c r="G1230" s="28"/>
    </row>
    <row r="1231">
      <c r="E1231" s="26"/>
      <c r="F1231" s="27"/>
      <c r="G1231" s="28"/>
    </row>
    <row r="1232">
      <c r="E1232" s="26"/>
      <c r="F1232" s="27"/>
      <c r="G1232" s="28"/>
    </row>
    <row r="1233">
      <c r="E1233" s="26"/>
      <c r="F1233" s="27"/>
      <c r="G1233" s="28"/>
    </row>
    <row r="1234">
      <c r="E1234" s="26"/>
      <c r="F1234" s="27"/>
      <c r="G1234" s="28"/>
    </row>
    <row r="1235">
      <c r="E1235" s="26"/>
      <c r="F1235" s="27"/>
      <c r="G1235" s="28"/>
    </row>
    <row r="1236">
      <c r="E1236" s="26"/>
      <c r="F1236" s="27"/>
      <c r="G1236" s="28"/>
    </row>
    <row r="1237">
      <c r="E1237" s="26"/>
      <c r="F1237" s="27"/>
      <c r="G1237" s="28"/>
    </row>
    <row r="1238">
      <c r="E1238" s="26"/>
      <c r="F1238" s="27"/>
      <c r="G1238" s="28"/>
    </row>
    <row r="1239">
      <c r="E1239" s="26"/>
      <c r="F1239" s="27"/>
      <c r="G1239" s="28"/>
    </row>
    <row r="1240">
      <c r="E1240" s="26"/>
      <c r="F1240" s="27"/>
      <c r="G1240" s="28"/>
    </row>
    <row r="1241">
      <c r="E1241" s="26"/>
      <c r="F1241" s="27"/>
      <c r="G1241" s="28"/>
    </row>
    <row r="1242">
      <c r="E1242" s="26"/>
      <c r="F1242" s="27"/>
      <c r="G1242" s="28"/>
    </row>
    <row r="1243">
      <c r="E1243" s="26"/>
      <c r="F1243" s="27"/>
      <c r="G1243" s="28"/>
    </row>
    <row r="1244">
      <c r="E1244" s="26"/>
      <c r="F1244" s="27"/>
      <c r="G1244" s="28"/>
    </row>
    <row r="1245">
      <c r="E1245" s="26"/>
      <c r="F1245" s="27"/>
      <c r="G1245" s="28"/>
    </row>
    <row r="1246">
      <c r="E1246" s="26"/>
      <c r="F1246" s="27"/>
      <c r="G1246" s="28"/>
    </row>
    <row r="1247">
      <c r="E1247" s="26"/>
      <c r="F1247" s="27"/>
      <c r="G1247" s="28"/>
    </row>
    <row r="1248">
      <c r="E1248" s="26"/>
      <c r="F1248" s="27"/>
      <c r="G1248" s="28"/>
    </row>
    <row r="1249">
      <c r="E1249" s="26"/>
      <c r="F1249" s="27"/>
      <c r="G1249" s="28"/>
    </row>
    <row r="1250">
      <c r="E1250" s="26"/>
      <c r="F1250" s="27"/>
      <c r="G1250" s="28"/>
    </row>
    <row r="1251">
      <c r="E1251" s="26"/>
      <c r="F1251" s="27"/>
      <c r="G1251" s="28"/>
    </row>
    <row r="1252">
      <c r="E1252" s="26"/>
      <c r="F1252" s="27"/>
      <c r="G1252" s="28"/>
    </row>
    <row r="1253">
      <c r="E1253" s="26"/>
      <c r="F1253" s="27"/>
      <c r="G1253" s="28"/>
    </row>
    <row r="1254">
      <c r="E1254" s="26"/>
      <c r="F1254" s="27"/>
      <c r="G1254" s="28"/>
    </row>
    <row r="1255">
      <c r="E1255" s="26"/>
      <c r="F1255" s="27"/>
      <c r="G1255" s="28"/>
    </row>
    <row r="1256">
      <c r="E1256" s="26"/>
      <c r="F1256" s="27"/>
      <c r="G1256" s="28"/>
    </row>
    <row r="1257">
      <c r="E1257" s="26"/>
      <c r="F1257" s="27"/>
      <c r="G1257" s="28"/>
    </row>
    <row r="1258">
      <c r="E1258" s="26"/>
      <c r="F1258" s="27"/>
      <c r="G1258" s="28"/>
    </row>
    <row r="1259">
      <c r="E1259" s="26"/>
      <c r="F1259" s="27"/>
      <c r="G1259" s="28"/>
    </row>
    <row r="1260">
      <c r="E1260" s="26"/>
      <c r="F1260" s="27"/>
      <c r="G1260" s="28"/>
    </row>
    <row r="1261">
      <c r="E1261" s="26"/>
      <c r="F1261" s="27"/>
      <c r="G1261" s="28"/>
    </row>
    <row r="1262">
      <c r="E1262" s="26"/>
      <c r="F1262" s="27"/>
      <c r="G1262" s="28"/>
    </row>
    <row r="1263">
      <c r="E1263" s="26"/>
      <c r="F1263" s="27"/>
      <c r="G1263" s="28"/>
    </row>
    <row r="1264">
      <c r="E1264" s="26"/>
      <c r="F1264" s="27"/>
      <c r="G1264" s="28"/>
    </row>
    <row r="1265">
      <c r="E1265" s="26"/>
      <c r="F1265" s="27"/>
      <c r="G1265" s="28"/>
    </row>
    <row r="1266">
      <c r="E1266" s="26"/>
      <c r="F1266" s="27"/>
      <c r="G1266" s="28"/>
    </row>
    <row r="1267">
      <c r="E1267" s="26"/>
      <c r="F1267" s="27"/>
      <c r="G1267" s="28"/>
    </row>
    <row r="1268">
      <c r="E1268" s="26"/>
      <c r="F1268" s="27"/>
      <c r="G1268" s="28"/>
    </row>
    <row r="1269">
      <c r="E1269" s="26"/>
      <c r="F1269" s="27"/>
      <c r="G1269" s="28"/>
    </row>
    <row r="1270">
      <c r="E1270" s="26"/>
      <c r="F1270" s="27"/>
      <c r="G1270" s="28"/>
    </row>
    <row r="1271">
      <c r="E1271" s="26"/>
      <c r="F1271" s="27"/>
      <c r="G1271" s="28"/>
    </row>
    <row r="1272">
      <c r="E1272" s="26"/>
      <c r="F1272" s="27"/>
      <c r="G1272" s="28"/>
    </row>
    <row r="1273">
      <c r="E1273" s="26"/>
      <c r="F1273" s="27"/>
      <c r="G1273" s="28"/>
    </row>
    <row r="1274">
      <c r="E1274" s="26"/>
      <c r="F1274" s="27"/>
      <c r="G1274" s="28"/>
    </row>
    <row r="1275">
      <c r="E1275" s="26"/>
      <c r="F1275" s="27"/>
      <c r="G1275" s="28"/>
    </row>
    <row r="1276">
      <c r="E1276" s="26"/>
      <c r="F1276" s="27"/>
      <c r="G1276" s="28"/>
    </row>
    <row r="1277">
      <c r="E1277" s="26"/>
      <c r="F1277" s="27"/>
      <c r="G1277" s="28"/>
    </row>
    <row r="1278">
      <c r="E1278" s="26"/>
      <c r="F1278" s="27"/>
      <c r="G1278" s="28"/>
    </row>
    <row r="1279">
      <c r="E1279" s="26"/>
      <c r="F1279" s="27"/>
      <c r="G1279" s="28"/>
    </row>
    <row r="1280">
      <c r="E1280" s="26"/>
      <c r="F1280" s="27"/>
      <c r="G1280" s="28"/>
    </row>
    <row r="1281">
      <c r="E1281" s="26"/>
      <c r="F1281" s="27"/>
      <c r="G1281" s="28"/>
    </row>
    <row r="1282">
      <c r="E1282" s="26"/>
      <c r="F1282" s="27"/>
      <c r="G1282" s="28"/>
    </row>
    <row r="1283">
      <c r="E1283" s="26"/>
      <c r="F1283" s="27"/>
      <c r="G1283" s="28"/>
    </row>
    <row r="1284">
      <c r="E1284" s="26"/>
      <c r="F1284" s="27"/>
      <c r="G1284" s="28"/>
    </row>
    <row r="1285">
      <c r="E1285" s="26"/>
      <c r="F1285" s="27"/>
      <c r="G1285" s="28"/>
    </row>
    <row r="1286">
      <c r="E1286" s="26"/>
      <c r="F1286" s="27"/>
      <c r="G1286" s="28"/>
    </row>
    <row r="1287">
      <c r="E1287" s="26"/>
      <c r="F1287" s="27"/>
      <c r="G1287" s="28"/>
    </row>
    <row r="1288">
      <c r="E1288" s="26"/>
      <c r="F1288" s="27"/>
      <c r="G1288" s="28"/>
    </row>
    <row r="1289">
      <c r="E1289" s="26"/>
      <c r="F1289" s="27"/>
      <c r="G1289" s="28"/>
    </row>
    <row r="1290">
      <c r="E1290" s="26"/>
      <c r="F1290" s="27"/>
      <c r="G1290" s="28"/>
    </row>
    <row r="1291">
      <c r="E1291" s="26"/>
      <c r="F1291" s="27"/>
      <c r="G1291" s="28"/>
    </row>
    <row r="1292">
      <c r="E1292" s="26"/>
      <c r="F1292" s="27"/>
      <c r="G1292" s="28"/>
    </row>
    <row r="1293">
      <c r="E1293" s="26"/>
      <c r="F1293" s="27"/>
      <c r="G1293" s="28"/>
    </row>
    <row r="1294">
      <c r="E1294" s="26"/>
      <c r="F1294" s="27"/>
      <c r="G1294" s="28"/>
    </row>
    <row r="1295">
      <c r="E1295" s="26"/>
      <c r="F1295" s="27"/>
      <c r="G1295" s="28"/>
    </row>
    <row r="1296">
      <c r="E1296" s="26"/>
      <c r="F1296" s="27"/>
      <c r="G1296" s="28"/>
    </row>
    <row r="1297">
      <c r="E1297" s="26"/>
      <c r="F1297" s="27"/>
      <c r="G1297" s="28"/>
    </row>
    <row r="1298">
      <c r="E1298" s="26"/>
      <c r="F1298" s="27"/>
      <c r="G1298" s="28"/>
    </row>
    <row r="1299">
      <c r="E1299" s="26"/>
      <c r="F1299" s="27"/>
      <c r="G1299" s="28"/>
    </row>
    <row r="1300">
      <c r="E1300" s="26"/>
      <c r="F1300" s="27"/>
      <c r="G1300" s="28"/>
    </row>
    <row r="1301">
      <c r="E1301" s="26"/>
      <c r="F1301" s="27"/>
      <c r="G1301" s="28"/>
    </row>
    <row r="1302">
      <c r="E1302" s="26"/>
      <c r="F1302" s="27"/>
      <c r="G1302" s="28"/>
    </row>
    <row r="1303">
      <c r="E1303" s="26"/>
      <c r="F1303" s="27"/>
      <c r="G1303" s="28"/>
    </row>
    <row r="1304">
      <c r="E1304" s="26"/>
      <c r="F1304" s="27"/>
      <c r="G1304" s="28"/>
    </row>
    <row r="1305">
      <c r="E1305" s="26"/>
      <c r="F1305" s="27"/>
      <c r="G1305" s="28"/>
    </row>
    <row r="1306">
      <c r="E1306" s="26"/>
      <c r="F1306" s="27"/>
      <c r="G1306" s="28"/>
    </row>
    <row r="1307">
      <c r="E1307" s="26"/>
      <c r="F1307" s="27"/>
      <c r="G1307" s="28"/>
    </row>
    <row r="1308">
      <c r="E1308" s="26"/>
      <c r="F1308" s="27"/>
      <c r="G1308" s="28"/>
    </row>
    <row r="1309">
      <c r="E1309" s="26"/>
      <c r="F1309" s="27"/>
      <c r="G1309" s="28"/>
    </row>
    <row r="1310">
      <c r="E1310" s="26"/>
      <c r="F1310" s="27"/>
      <c r="G1310" s="28"/>
    </row>
    <row r="1311">
      <c r="E1311" s="26"/>
      <c r="F1311" s="27"/>
      <c r="G1311" s="28"/>
    </row>
    <row r="1312">
      <c r="E1312" s="26"/>
      <c r="F1312" s="27"/>
      <c r="G1312" s="28"/>
    </row>
    <row r="1313">
      <c r="E1313" s="26"/>
      <c r="F1313" s="27"/>
      <c r="G1313" s="28"/>
    </row>
    <row r="1314">
      <c r="E1314" s="26"/>
      <c r="F1314" s="27"/>
      <c r="G1314" s="28"/>
    </row>
    <row r="1315">
      <c r="E1315" s="26"/>
      <c r="F1315" s="27"/>
      <c r="G1315" s="28"/>
    </row>
    <row r="1316">
      <c r="E1316" s="26"/>
      <c r="F1316" s="27"/>
      <c r="G1316" s="28"/>
    </row>
    <row r="1317">
      <c r="E1317" s="26"/>
      <c r="F1317" s="27"/>
      <c r="G1317" s="28"/>
    </row>
    <row r="1318">
      <c r="E1318" s="26"/>
      <c r="F1318" s="27"/>
      <c r="G1318" s="28"/>
    </row>
    <row r="1319">
      <c r="E1319" s="26"/>
      <c r="F1319" s="27"/>
      <c r="G1319" s="28"/>
    </row>
    <row r="1320">
      <c r="E1320" s="26"/>
      <c r="F1320" s="27"/>
      <c r="G1320" s="28"/>
    </row>
    <row r="1321">
      <c r="E1321" s="26"/>
      <c r="F1321" s="27"/>
      <c r="G1321" s="28"/>
    </row>
    <row r="1322">
      <c r="E1322" s="26"/>
      <c r="F1322" s="27"/>
      <c r="G1322" s="28"/>
    </row>
    <row r="1323">
      <c r="E1323" s="26"/>
      <c r="F1323" s="27"/>
      <c r="G1323" s="28"/>
    </row>
    <row r="1324">
      <c r="E1324" s="26"/>
      <c r="F1324" s="27"/>
      <c r="G1324" s="28"/>
    </row>
    <row r="1325">
      <c r="E1325" s="26"/>
      <c r="F1325" s="27"/>
      <c r="G1325" s="28"/>
    </row>
    <row r="1326">
      <c r="E1326" s="26"/>
      <c r="F1326" s="27"/>
      <c r="G1326" s="28"/>
    </row>
    <row r="1327">
      <c r="E1327" s="26"/>
      <c r="F1327" s="27"/>
      <c r="G1327" s="28"/>
    </row>
    <row r="1328">
      <c r="E1328" s="26"/>
      <c r="F1328" s="27"/>
      <c r="G1328" s="28"/>
    </row>
    <row r="1329">
      <c r="E1329" s="26"/>
      <c r="F1329" s="27"/>
      <c r="G1329" s="28"/>
    </row>
    <row r="1330">
      <c r="E1330" s="26"/>
      <c r="F1330" s="27"/>
      <c r="G1330" s="28"/>
    </row>
    <row r="1331">
      <c r="E1331" s="26"/>
      <c r="F1331" s="27"/>
      <c r="G1331" s="28"/>
    </row>
    <row r="1332">
      <c r="E1332" s="26"/>
      <c r="F1332" s="27"/>
      <c r="G1332" s="28"/>
    </row>
    <row r="1333">
      <c r="E1333" s="26"/>
      <c r="F1333" s="27"/>
      <c r="G1333" s="28"/>
    </row>
    <row r="1334">
      <c r="E1334" s="26"/>
      <c r="F1334" s="27"/>
      <c r="G1334" s="28"/>
    </row>
    <row r="1335">
      <c r="E1335" s="26"/>
      <c r="F1335" s="27"/>
      <c r="G1335" s="28"/>
    </row>
    <row r="1336">
      <c r="E1336" s="26"/>
      <c r="F1336" s="27"/>
      <c r="G1336" s="28"/>
    </row>
    <row r="1337">
      <c r="E1337" s="26"/>
      <c r="F1337" s="27"/>
      <c r="G1337" s="28"/>
    </row>
    <row r="1338">
      <c r="E1338" s="26"/>
      <c r="F1338" s="27"/>
      <c r="G1338" s="28"/>
    </row>
    <row r="1339">
      <c r="E1339" s="26"/>
      <c r="F1339" s="27"/>
      <c r="G1339" s="28"/>
    </row>
    <row r="1340">
      <c r="E1340" s="26"/>
      <c r="F1340" s="27"/>
      <c r="G1340" s="28"/>
    </row>
    <row r="1341">
      <c r="E1341" s="26"/>
      <c r="F1341" s="27"/>
      <c r="G1341" s="28"/>
    </row>
    <row r="1342">
      <c r="E1342" s="26"/>
      <c r="F1342" s="27"/>
      <c r="G1342" s="28"/>
    </row>
    <row r="1343">
      <c r="E1343" s="26"/>
      <c r="F1343" s="27"/>
      <c r="G1343" s="28"/>
    </row>
    <row r="1344">
      <c r="E1344" s="26"/>
      <c r="F1344" s="27"/>
      <c r="G1344" s="28"/>
    </row>
    <row r="1345">
      <c r="E1345" s="26"/>
      <c r="F1345" s="27"/>
      <c r="G1345" s="28"/>
    </row>
    <row r="1346">
      <c r="E1346" s="26"/>
      <c r="F1346" s="27"/>
      <c r="G1346" s="28"/>
    </row>
    <row r="1347">
      <c r="E1347" s="26"/>
      <c r="F1347" s="27"/>
      <c r="G1347" s="28"/>
    </row>
    <row r="1348">
      <c r="E1348" s="26"/>
      <c r="F1348" s="27"/>
      <c r="G1348" s="28"/>
    </row>
    <row r="1349">
      <c r="E1349" s="26"/>
      <c r="F1349" s="27"/>
      <c r="G1349" s="28"/>
    </row>
    <row r="1350">
      <c r="E1350" s="26"/>
      <c r="F1350" s="27"/>
      <c r="G1350" s="28"/>
    </row>
    <row r="1351">
      <c r="E1351" s="26"/>
      <c r="F1351" s="27"/>
      <c r="G1351" s="28"/>
    </row>
    <row r="1352">
      <c r="E1352" s="26"/>
      <c r="F1352" s="27"/>
      <c r="G1352" s="28"/>
    </row>
    <row r="1353">
      <c r="E1353" s="26"/>
      <c r="F1353" s="27"/>
      <c r="G1353" s="28"/>
    </row>
    <row r="1354">
      <c r="E1354" s="26"/>
      <c r="F1354" s="27"/>
      <c r="G1354" s="28"/>
    </row>
    <row r="1355">
      <c r="E1355" s="26"/>
      <c r="F1355" s="27"/>
      <c r="G1355" s="28"/>
    </row>
    <row r="1356">
      <c r="E1356" s="26"/>
      <c r="F1356" s="27"/>
      <c r="G1356" s="28"/>
    </row>
    <row r="1357">
      <c r="E1357" s="26"/>
      <c r="F1357" s="27"/>
      <c r="G1357" s="28"/>
    </row>
    <row r="1358">
      <c r="E1358" s="26"/>
      <c r="F1358" s="27"/>
      <c r="G1358" s="28"/>
    </row>
    <row r="1359">
      <c r="E1359" s="26"/>
      <c r="F1359" s="27"/>
      <c r="G1359" s="28"/>
    </row>
    <row r="1360">
      <c r="E1360" s="26"/>
      <c r="F1360" s="27"/>
      <c r="G1360" s="28"/>
    </row>
    <row r="1361">
      <c r="E1361" s="26"/>
      <c r="F1361" s="27"/>
      <c r="G1361" s="28"/>
    </row>
    <row r="1362">
      <c r="E1362" s="26"/>
      <c r="F1362" s="27"/>
      <c r="G1362" s="28"/>
    </row>
    <row r="1363">
      <c r="E1363" s="26"/>
      <c r="F1363" s="27"/>
      <c r="G1363" s="28"/>
    </row>
    <row r="1364">
      <c r="E1364" s="26"/>
      <c r="F1364" s="27"/>
      <c r="G1364" s="28"/>
    </row>
    <row r="1365">
      <c r="E1365" s="26"/>
      <c r="F1365" s="27"/>
      <c r="G1365" s="28"/>
    </row>
    <row r="1366">
      <c r="E1366" s="26"/>
      <c r="F1366" s="27"/>
      <c r="G1366" s="28"/>
    </row>
    <row r="1367">
      <c r="E1367" s="26"/>
      <c r="F1367" s="27"/>
      <c r="G1367" s="28"/>
    </row>
    <row r="1368">
      <c r="E1368" s="26"/>
      <c r="F1368" s="27"/>
      <c r="G1368" s="28"/>
    </row>
    <row r="1369">
      <c r="E1369" s="26"/>
      <c r="F1369" s="27"/>
      <c r="G1369" s="28"/>
    </row>
    <row r="1370">
      <c r="E1370" s="26"/>
      <c r="F1370" s="27"/>
      <c r="G1370" s="28"/>
    </row>
    <row r="1371">
      <c r="E1371" s="26"/>
      <c r="F1371" s="27"/>
      <c r="G1371" s="28"/>
    </row>
    <row r="1372">
      <c r="E1372" s="26"/>
      <c r="F1372" s="27"/>
      <c r="G1372" s="28"/>
    </row>
    <row r="1373">
      <c r="E1373" s="26"/>
      <c r="F1373" s="27"/>
      <c r="G1373" s="28"/>
    </row>
    <row r="1374">
      <c r="E1374" s="26"/>
      <c r="F1374" s="27"/>
      <c r="G1374" s="28"/>
    </row>
    <row r="1375">
      <c r="E1375" s="26"/>
      <c r="F1375" s="27"/>
      <c r="G1375" s="28"/>
    </row>
    <row r="1376">
      <c r="E1376" s="26"/>
      <c r="F1376" s="27"/>
      <c r="G1376" s="28"/>
    </row>
    <row r="1377">
      <c r="E1377" s="26"/>
      <c r="F1377" s="27"/>
      <c r="G1377" s="28"/>
    </row>
    <row r="1378">
      <c r="E1378" s="26"/>
      <c r="F1378" s="27"/>
      <c r="G1378" s="28"/>
    </row>
    <row r="1379">
      <c r="E1379" s="26"/>
      <c r="F1379" s="27"/>
      <c r="G1379" s="28"/>
    </row>
    <row r="1380">
      <c r="E1380" s="26"/>
      <c r="F1380" s="27"/>
      <c r="G1380" s="28"/>
    </row>
    <row r="1381">
      <c r="E1381" s="26"/>
      <c r="F1381" s="27"/>
      <c r="G1381" s="28"/>
    </row>
    <row r="1382">
      <c r="E1382" s="26"/>
      <c r="F1382" s="27"/>
      <c r="G1382" s="28"/>
    </row>
    <row r="1383">
      <c r="E1383" s="26"/>
      <c r="F1383" s="27"/>
      <c r="G1383" s="28"/>
    </row>
    <row r="1384">
      <c r="E1384" s="26"/>
      <c r="F1384" s="27"/>
      <c r="G1384" s="28"/>
    </row>
    <row r="1385">
      <c r="E1385" s="26"/>
      <c r="F1385" s="27"/>
      <c r="G1385" s="28"/>
    </row>
    <row r="1386">
      <c r="E1386" s="26"/>
      <c r="F1386" s="27"/>
      <c r="G1386" s="28"/>
    </row>
    <row r="1387">
      <c r="E1387" s="26"/>
      <c r="F1387" s="27"/>
      <c r="G1387" s="28"/>
    </row>
    <row r="1388">
      <c r="E1388" s="26"/>
      <c r="F1388" s="27"/>
      <c r="G1388" s="28"/>
    </row>
    <row r="1389">
      <c r="E1389" s="26"/>
      <c r="F1389" s="27"/>
      <c r="G1389" s="28"/>
    </row>
    <row r="1390">
      <c r="E1390" s="26"/>
      <c r="F1390" s="27"/>
      <c r="G1390" s="28"/>
    </row>
    <row r="1391">
      <c r="E1391" s="26"/>
      <c r="F1391" s="27"/>
      <c r="G1391" s="28"/>
    </row>
    <row r="1392">
      <c r="E1392" s="26"/>
      <c r="F1392" s="27"/>
      <c r="G1392" s="28"/>
    </row>
    <row r="1393">
      <c r="E1393" s="26"/>
      <c r="F1393" s="27"/>
      <c r="G1393" s="28"/>
    </row>
    <row r="1394">
      <c r="E1394" s="26"/>
      <c r="F1394" s="27"/>
      <c r="G1394" s="28"/>
    </row>
    <row r="1395">
      <c r="E1395" s="26"/>
      <c r="F1395" s="27"/>
      <c r="G1395" s="28"/>
    </row>
    <row r="1396">
      <c r="E1396" s="26"/>
      <c r="F1396" s="27"/>
      <c r="G1396" s="28"/>
    </row>
    <row r="1397">
      <c r="E1397" s="26"/>
      <c r="F1397" s="27"/>
      <c r="G1397" s="28"/>
    </row>
    <row r="1398">
      <c r="E1398" s="26"/>
      <c r="F1398" s="27"/>
      <c r="G1398" s="28"/>
    </row>
    <row r="1399">
      <c r="E1399" s="26"/>
      <c r="F1399" s="27"/>
      <c r="G1399" s="28"/>
    </row>
    <row r="1400">
      <c r="E1400" s="26"/>
      <c r="F1400" s="27"/>
      <c r="G1400" s="28"/>
    </row>
    <row r="1401">
      <c r="E1401" s="26"/>
      <c r="F1401" s="27"/>
      <c r="G1401" s="28"/>
    </row>
    <row r="1402">
      <c r="E1402" s="26"/>
      <c r="F1402" s="27"/>
      <c r="G1402" s="28"/>
    </row>
    <row r="1403">
      <c r="E1403" s="26"/>
      <c r="F1403" s="27"/>
      <c r="G1403" s="28"/>
    </row>
    <row r="1404">
      <c r="E1404" s="26"/>
      <c r="F1404" s="27"/>
      <c r="G1404" s="28"/>
    </row>
    <row r="1405">
      <c r="E1405" s="26"/>
      <c r="F1405" s="27"/>
      <c r="G1405" s="28"/>
    </row>
    <row r="1406">
      <c r="E1406" s="26"/>
      <c r="F1406" s="27"/>
      <c r="G1406" s="28"/>
    </row>
    <row r="1407">
      <c r="E1407" s="26"/>
      <c r="F1407" s="27"/>
      <c r="G1407" s="28"/>
    </row>
    <row r="1408">
      <c r="E1408" s="26"/>
      <c r="F1408" s="27"/>
      <c r="G1408" s="28"/>
    </row>
    <row r="1409">
      <c r="E1409" s="26"/>
      <c r="F1409" s="27"/>
      <c r="G1409" s="28"/>
    </row>
    <row r="1410">
      <c r="E1410" s="26"/>
      <c r="F1410" s="27"/>
      <c r="G1410" s="28"/>
    </row>
    <row r="1411">
      <c r="E1411" s="26"/>
      <c r="F1411" s="27"/>
      <c r="G1411" s="28"/>
    </row>
    <row r="1412">
      <c r="E1412" s="26"/>
      <c r="F1412" s="27"/>
      <c r="G1412" s="28"/>
    </row>
    <row r="1413">
      <c r="E1413" s="26"/>
      <c r="F1413" s="27"/>
      <c r="G1413" s="28"/>
    </row>
    <row r="1414">
      <c r="E1414" s="26"/>
      <c r="F1414" s="27"/>
      <c r="G1414" s="28"/>
    </row>
    <row r="1415">
      <c r="E1415" s="26"/>
      <c r="F1415" s="27"/>
      <c r="G1415" s="28"/>
    </row>
    <row r="1416">
      <c r="E1416" s="26"/>
      <c r="F1416" s="27"/>
      <c r="G1416" s="28"/>
    </row>
    <row r="1417">
      <c r="E1417" s="26"/>
      <c r="F1417" s="27"/>
      <c r="G1417" s="28"/>
    </row>
    <row r="1418">
      <c r="E1418" s="26"/>
      <c r="F1418" s="27"/>
      <c r="G1418" s="28"/>
    </row>
    <row r="1419">
      <c r="E1419" s="26"/>
      <c r="F1419" s="27"/>
      <c r="G1419" s="28"/>
    </row>
    <row r="1420">
      <c r="E1420" s="26"/>
      <c r="F1420" s="27"/>
      <c r="G1420" s="28"/>
    </row>
    <row r="1421">
      <c r="E1421" s="26"/>
      <c r="F1421" s="27"/>
      <c r="G1421" s="28"/>
    </row>
    <row r="1422">
      <c r="E1422" s="26"/>
      <c r="F1422" s="27"/>
      <c r="G1422" s="28"/>
    </row>
    <row r="1423">
      <c r="E1423" s="26"/>
      <c r="F1423" s="27"/>
      <c r="G1423" s="28"/>
    </row>
    <row r="1424">
      <c r="E1424" s="26"/>
      <c r="F1424" s="27"/>
      <c r="G1424" s="28"/>
    </row>
    <row r="1425">
      <c r="E1425" s="26"/>
      <c r="F1425" s="27"/>
      <c r="G1425" s="28"/>
    </row>
    <row r="1426">
      <c r="E1426" s="26"/>
      <c r="F1426" s="27"/>
      <c r="G1426" s="28"/>
    </row>
    <row r="1427">
      <c r="E1427" s="26"/>
      <c r="F1427" s="27"/>
      <c r="G1427" s="28"/>
    </row>
    <row r="1428">
      <c r="E1428" s="26"/>
      <c r="F1428" s="27"/>
      <c r="G1428" s="28"/>
    </row>
    <row r="1429">
      <c r="E1429" s="26"/>
      <c r="F1429" s="27"/>
      <c r="G1429" s="28"/>
    </row>
    <row r="1430">
      <c r="E1430" s="26"/>
      <c r="F1430" s="27"/>
      <c r="G1430" s="28"/>
    </row>
    <row r="1431">
      <c r="E1431" s="26"/>
      <c r="F1431" s="27"/>
      <c r="G1431" s="28"/>
    </row>
    <row r="1432">
      <c r="E1432" s="26"/>
      <c r="F1432" s="27"/>
      <c r="G1432" s="28"/>
    </row>
    <row r="1433">
      <c r="E1433" s="26"/>
      <c r="F1433" s="27"/>
      <c r="G1433" s="28"/>
    </row>
    <row r="1434">
      <c r="E1434" s="26"/>
      <c r="F1434" s="27"/>
      <c r="G1434" s="28"/>
    </row>
    <row r="1435">
      <c r="E1435" s="26"/>
      <c r="F1435" s="27"/>
      <c r="G1435" s="28"/>
    </row>
    <row r="1436">
      <c r="E1436" s="26"/>
      <c r="F1436" s="27"/>
      <c r="G1436" s="28"/>
    </row>
    <row r="1437">
      <c r="E1437" s="26"/>
      <c r="F1437" s="27"/>
      <c r="G1437" s="28"/>
    </row>
    <row r="1438">
      <c r="E1438" s="26"/>
      <c r="F1438" s="27"/>
      <c r="G1438" s="28"/>
    </row>
    <row r="1439">
      <c r="E1439" s="26"/>
      <c r="F1439" s="27"/>
      <c r="G1439" s="28"/>
    </row>
    <row r="1440">
      <c r="E1440" s="26"/>
      <c r="F1440" s="27"/>
      <c r="G1440" s="28"/>
    </row>
    <row r="1441">
      <c r="E1441" s="26"/>
      <c r="F1441" s="27"/>
      <c r="G1441" s="28"/>
    </row>
    <row r="1442">
      <c r="E1442" s="26"/>
      <c r="F1442" s="27"/>
      <c r="G1442" s="28"/>
    </row>
    <row r="1443">
      <c r="E1443" s="26"/>
      <c r="F1443" s="27"/>
      <c r="G1443" s="28"/>
    </row>
    <row r="1444">
      <c r="E1444" s="26"/>
      <c r="F1444" s="27"/>
      <c r="G1444" s="28"/>
    </row>
    <row r="1445">
      <c r="E1445" s="26"/>
      <c r="F1445" s="27"/>
      <c r="G1445" s="28"/>
    </row>
    <row r="1446">
      <c r="E1446" s="26"/>
      <c r="F1446" s="27"/>
      <c r="G1446" s="28"/>
    </row>
    <row r="1447">
      <c r="E1447" s="26"/>
      <c r="F1447" s="27"/>
      <c r="G1447" s="28"/>
    </row>
    <row r="1448">
      <c r="E1448" s="26"/>
      <c r="F1448" s="27"/>
      <c r="G1448" s="28"/>
    </row>
    <row r="1449">
      <c r="E1449" s="26"/>
      <c r="F1449" s="27"/>
      <c r="G1449" s="28"/>
    </row>
    <row r="1450">
      <c r="E1450" s="26"/>
      <c r="F1450" s="27"/>
      <c r="G1450" s="28"/>
    </row>
    <row r="1451">
      <c r="E1451" s="26"/>
      <c r="F1451" s="27"/>
      <c r="G1451" s="28"/>
    </row>
    <row r="1452">
      <c r="E1452" s="26"/>
      <c r="F1452" s="27"/>
      <c r="G1452" s="28"/>
    </row>
    <row r="1453">
      <c r="E1453" s="26"/>
      <c r="F1453" s="27"/>
      <c r="G1453" s="28"/>
    </row>
    <row r="1454">
      <c r="E1454" s="26"/>
      <c r="F1454" s="27"/>
      <c r="G1454" s="28"/>
    </row>
    <row r="1455">
      <c r="E1455" s="26"/>
      <c r="F1455" s="27"/>
      <c r="G1455" s="28"/>
    </row>
    <row r="1456">
      <c r="E1456" s="26"/>
      <c r="F1456" s="27"/>
      <c r="G1456" s="28"/>
    </row>
    <row r="1457">
      <c r="E1457" s="26"/>
      <c r="F1457" s="27"/>
      <c r="G1457" s="28"/>
    </row>
    <row r="1458">
      <c r="E1458" s="26"/>
      <c r="F1458" s="27"/>
      <c r="G1458" s="28"/>
    </row>
    <row r="1459">
      <c r="E1459" s="26"/>
      <c r="F1459" s="27"/>
      <c r="G1459" s="28"/>
    </row>
    <row r="1460">
      <c r="E1460" s="26"/>
      <c r="F1460" s="27"/>
      <c r="G1460" s="28"/>
    </row>
    <row r="1461">
      <c r="E1461" s="26"/>
      <c r="F1461" s="27"/>
      <c r="G1461" s="28"/>
    </row>
    <row r="1462">
      <c r="E1462" s="26"/>
      <c r="F1462" s="27"/>
      <c r="G1462" s="28"/>
    </row>
    <row r="1463">
      <c r="E1463" s="26"/>
      <c r="F1463" s="27"/>
      <c r="G1463" s="28"/>
    </row>
    <row r="1464">
      <c r="E1464" s="26"/>
      <c r="F1464" s="27"/>
      <c r="G1464" s="28"/>
    </row>
    <row r="1465">
      <c r="E1465" s="26"/>
      <c r="F1465" s="27"/>
      <c r="G1465" s="28"/>
    </row>
    <row r="1466">
      <c r="E1466" s="26"/>
      <c r="F1466" s="27"/>
      <c r="G1466" s="28"/>
    </row>
    <row r="1467">
      <c r="E1467" s="26"/>
      <c r="F1467" s="27"/>
      <c r="G1467" s="28"/>
    </row>
    <row r="1468">
      <c r="E1468" s="26"/>
      <c r="F1468" s="27"/>
      <c r="G1468" s="28"/>
    </row>
    <row r="1469">
      <c r="E1469" s="26"/>
      <c r="F1469" s="27"/>
      <c r="G1469" s="28"/>
    </row>
    <row r="1470">
      <c r="E1470" s="26"/>
      <c r="F1470" s="27"/>
      <c r="G1470" s="28"/>
    </row>
    <row r="1471">
      <c r="E1471" s="26"/>
      <c r="F1471" s="27"/>
      <c r="G1471" s="28"/>
    </row>
    <row r="1472">
      <c r="E1472" s="26"/>
      <c r="F1472" s="27"/>
      <c r="G1472" s="28"/>
    </row>
    <row r="1473">
      <c r="E1473" s="26"/>
      <c r="F1473" s="27"/>
      <c r="G1473" s="28"/>
    </row>
    <row r="1474">
      <c r="E1474" s="26"/>
      <c r="F1474" s="27"/>
      <c r="G1474" s="28"/>
    </row>
    <row r="1475">
      <c r="E1475" s="26"/>
      <c r="F1475" s="27"/>
      <c r="G1475" s="28"/>
    </row>
    <row r="1476">
      <c r="E1476" s="26"/>
      <c r="F1476" s="27"/>
      <c r="G1476" s="28"/>
    </row>
    <row r="1477">
      <c r="E1477" s="26"/>
      <c r="F1477" s="27"/>
      <c r="G1477" s="28"/>
    </row>
    <row r="1478">
      <c r="E1478" s="26"/>
      <c r="F1478" s="27"/>
      <c r="G1478" s="28"/>
    </row>
    <row r="1479">
      <c r="E1479" s="26"/>
      <c r="F1479" s="27"/>
      <c r="G1479" s="28"/>
    </row>
    <row r="1480">
      <c r="E1480" s="26"/>
      <c r="F1480" s="27"/>
      <c r="G1480" s="28"/>
    </row>
    <row r="1481">
      <c r="E1481" s="26"/>
      <c r="F1481" s="27"/>
      <c r="G1481" s="28"/>
    </row>
    <row r="1482">
      <c r="E1482" s="26"/>
      <c r="F1482" s="27"/>
      <c r="G1482" s="28"/>
    </row>
    <row r="1483">
      <c r="E1483" s="26"/>
      <c r="F1483" s="27"/>
      <c r="G1483" s="28"/>
    </row>
    <row r="1484">
      <c r="E1484" s="26"/>
      <c r="F1484" s="27"/>
      <c r="G1484" s="28"/>
    </row>
    <row r="1485">
      <c r="E1485" s="26"/>
      <c r="F1485" s="27"/>
      <c r="G1485" s="28"/>
    </row>
    <row r="1486">
      <c r="E1486" s="26"/>
      <c r="F1486" s="27"/>
      <c r="G1486" s="28"/>
    </row>
    <row r="1487">
      <c r="E1487" s="26"/>
      <c r="F1487" s="27"/>
      <c r="G1487" s="28"/>
    </row>
    <row r="1488">
      <c r="E1488" s="26"/>
      <c r="F1488" s="27"/>
      <c r="G1488" s="28"/>
    </row>
    <row r="1489">
      <c r="E1489" s="26"/>
      <c r="F1489" s="27"/>
      <c r="G1489" s="28"/>
    </row>
    <row r="1490">
      <c r="E1490" s="26"/>
      <c r="F1490" s="27"/>
      <c r="G1490" s="28"/>
    </row>
    <row r="1491">
      <c r="E1491" s="26"/>
      <c r="F1491" s="27"/>
      <c r="G1491" s="28"/>
    </row>
    <row r="1492">
      <c r="E1492" s="26"/>
      <c r="F1492" s="27"/>
      <c r="G1492" s="28"/>
    </row>
    <row r="1493">
      <c r="E1493" s="26"/>
      <c r="F1493" s="27"/>
      <c r="G1493" s="28"/>
    </row>
    <row r="1494">
      <c r="E1494" s="26"/>
      <c r="F1494" s="27"/>
      <c r="G1494" s="28"/>
    </row>
    <row r="1495">
      <c r="E1495" s="26"/>
      <c r="F1495" s="27"/>
      <c r="G1495" s="28"/>
    </row>
    <row r="1496">
      <c r="E1496" s="26"/>
      <c r="F1496" s="27"/>
      <c r="G1496" s="28"/>
    </row>
    <row r="1497">
      <c r="E1497" s="26"/>
      <c r="F1497" s="27"/>
      <c r="G1497" s="28"/>
    </row>
    <row r="1498">
      <c r="E1498" s="26"/>
      <c r="F1498" s="27"/>
      <c r="G1498" s="28"/>
    </row>
    <row r="1499">
      <c r="E1499" s="26"/>
      <c r="F1499" s="27"/>
      <c r="G1499" s="28"/>
    </row>
    <row r="1500">
      <c r="E1500" s="26"/>
      <c r="F1500" s="27"/>
      <c r="G1500" s="28"/>
    </row>
    <row r="1501">
      <c r="E1501" s="26"/>
      <c r="F1501" s="27"/>
      <c r="G1501" s="28"/>
    </row>
    <row r="1502">
      <c r="E1502" s="26"/>
      <c r="F1502" s="27"/>
      <c r="G1502" s="28"/>
    </row>
    <row r="1503">
      <c r="E1503" s="26"/>
      <c r="F1503" s="27"/>
      <c r="G1503" s="28"/>
    </row>
    <row r="1504">
      <c r="E1504" s="26"/>
      <c r="F1504" s="27"/>
      <c r="G1504" s="28"/>
    </row>
    <row r="1505">
      <c r="E1505" s="26"/>
      <c r="F1505" s="27"/>
      <c r="G1505" s="28"/>
    </row>
    <row r="1506">
      <c r="E1506" s="26"/>
      <c r="F1506" s="27"/>
      <c r="G1506" s="28"/>
    </row>
    <row r="1507">
      <c r="E1507" s="26"/>
      <c r="F1507" s="27"/>
      <c r="G1507" s="28"/>
    </row>
    <row r="1508">
      <c r="E1508" s="26"/>
      <c r="F1508" s="27"/>
      <c r="G1508" s="28"/>
    </row>
    <row r="1509">
      <c r="E1509" s="26"/>
      <c r="F1509" s="27"/>
      <c r="G1509" s="28"/>
    </row>
    <row r="1510">
      <c r="E1510" s="26"/>
      <c r="F1510" s="27"/>
      <c r="G1510" s="28"/>
    </row>
    <row r="1511">
      <c r="E1511" s="26"/>
      <c r="F1511" s="27"/>
      <c r="G1511" s="28"/>
    </row>
    <row r="1512">
      <c r="E1512" s="26"/>
      <c r="F1512" s="27"/>
      <c r="G1512" s="28"/>
    </row>
    <row r="1513">
      <c r="E1513" s="26"/>
      <c r="F1513" s="27"/>
      <c r="G1513" s="28"/>
    </row>
    <row r="1514">
      <c r="E1514" s="26"/>
      <c r="F1514" s="27"/>
      <c r="G1514" s="28"/>
    </row>
    <row r="1515">
      <c r="E1515" s="26"/>
      <c r="F1515" s="27"/>
      <c r="G1515" s="28"/>
    </row>
    <row r="1516">
      <c r="E1516" s="26"/>
      <c r="F1516" s="27"/>
      <c r="G1516" s="28"/>
    </row>
    <row r="1517">
      <c r="E1517" s="26"/>
      <c r="F1517" s="27"/>
      <c r="G1517" s="28"/>
    </row>
    <row r="1518">
      <c r="E1518" s="26"/>
      <c r="F1518" s="27"/>
      <c r="G1518" s="28"/>
    </row>
    <row r="1519">
      <c r="E1519" s="26"/>
      <c r="F1519" s="27"/>
      <c r="G1519" s="28"/>
    </row>
    <row r="1520">
      <c r="E1520" s="26"/>
      <c r="F1520" s="27"/>
      <c r="G1520" s="28"/>
    </row>
    <row r="1521">
      <c r="E1521" s="26"/>
      <c r="F1521" s="27"/>
      <c r="G1521" s="28"/>
    </row>
    <row r="1522">
      <c r="E1522" s="26"/>
      <c r="F1522" s="27"/>
      <c r="G1522" s="28"/>
    </row>
    <row r="1523">
      <c r="E1523" s="26"/>
      <c r="F1523" s="27"/>
      <c r="G1523" s="28"/>
    </row>
    <row r="1524">
      <c r="E1524" s="26"/>
      <c r="F1524" s="27"/>
      <c r="G1524" s="28"/>
    </row>
    <row r="1525">
      <c r="E1525" s="26"/>
      <c r="F1525" s="27"/>
      <c r="G1525" s="28"/>
    </row>
    <row r="1526">
      <c r="E1526" s="26"/>
      <c r="F1526" s="27"/>
      <c r="G1526" s="28"/>
    </row>
    <row r="1527">
      <c r="E1527" s="26"/>
      <c r="F1527" s="27"/>
      <c r="G1527" s="28"/>
    </row>
    <row r="1528">
      <c r="E1528" s="26"/>
      <c r="F1528" s="27"/>
      <c r="G1528" s="28"/>
    </row>
    <row r="1529">
      <c r="E1529" s="26"/>
      <c r="F1529" s="27"/>
      <c r="G1529" s="28"/>
    </row>
    <row r="1530">
      <c r="E1530" s="26"/>
      <c r="F1530" s="27"/>
      <c r="G1530" s="28"/>
    </row>
    <row r="1531">
      <c r="E1531" s="26"/>
      <c r="F1531" s="27"/>
      <c r="G1531" s="28"/>
    </row>
    <row r="1532">
      <c r="E1532" s="26"/>
      <c r="F1532" s="27"/>
      <c r="G1532" s="28"/>
    </row>
    <row r="1533">
      <c r="E1533" s="26"/>
      <c r="F1533" s="27"/>
      <c r="G1533" s="28"/>
    </row>
    <row r="1534">
      <c r="E1534" s="26"/>
      <c r="F1534" s="27"/>
      <c r="G1534" s="28"/>
    </row>
    <row r="1535">
      <c r="E1535" s="26"/>
      <c r="F1535" s="27"/>
      <c r="G1535" s="28"/>
    </row>
    <row r="1536">
      <c r="E1536" s="26"/>
      <c r="F1536" s="27"/>
      <c r="G1536" s="28"/>
    </row>
    <row r="1537">
      <c r="E1537" s="26"/>
      <c r="F1537" s="27"/>
      <c r="G1537" s="28"/>
    </row>
    <row r="1538">
      <c r="E1538" s="26"/>
      <c r="F1538" s="27"/>
      <c r="G1538" s="28"/>
    </row>
    <row r="1539">
      <c r="E1539" s="26"/>
      <c r="F1539" s="27"/>
      <c r="G1539" s="28"/>
    </row>
    <row r="1540">
      <c r="E1540" s="26"/>
      <c r="F1540" s="27"/>
      <c r="G1540" s="28"/>
    </row>
    <row r="1541">
      <c r="E1541" s="26"/>
      <c r="F1541" s="27"/>
      <c r="G1541" s="28"/>
    </row>
    <row r="1542">
      <c r="E1542" s="26"/>
      <c r="F1542" s="27"/>
      <c r="G1542" s="28"/>
    </row>
    <row r="1543">
      <c r="E1543" s="26"/>
      <c r="F1543" s="27"/>
      <c r="G1543" s="28"/>
    </row>
    <row r="1544">
      <c r="E1544" s="26"/>
      <c r="F1544" s="27"/>
      <c r="G1544" s="28"/>
    </row>
    <row r="1545">
      <c r="E1545" s="26"/>
      <c r="F1545" s="27"/>
      <c r="G1545" s="28"/>
    </row>
    <row r="1546">
      <c r="E1546" s="26"/>
      <c r="F1546" s="27"/>
      <c r="G1546" s="28"/>
    </row>
    <row r="1547">
      <c r="E1547" s="26"/>
      <c r="F1547" s="27"/>
      <c r="G1547" s="28"/>
    </row>
    <row r="1548">
      <c r="E1548" s="26"/>
      <c r="F1548" s="27"/>
      <c r="G1548" s="28"/>
    </row>
    <row r="1549">
      <c r="E1549" s="26"/>
      <c r="F1549" s="27"/>
      <c r="G1549" s="28"/>
    </row>
    <row r="1550">
      <c r="E1550" s="26"/>
      <c r="F1550" s="27"/>
      <c r="G1550" s="28"/>
    </row>
    <row r="1551">
      <c r="E1551" s="26"/>
      <c r="F1551" s="27"/>
      <c r="G1551" s="28"/>
    </row>
    <row r="1552">
      <c r="E1552" s="26"/>
      <c r="F1552" s="27"/>
      <c r="G1552" s="28"/>
    </row>
    <row r="1553">
      <c r="E1553" s="26"/>
      <c r="F1553" s="27"/>
      <c r="G1553" s="28"/>
    </row>
    <row r="1554">
      <c r="E1554" s="26"/>
      <c r="F1554" s="27"/>
      <c r="G1554" s="28"/>
    </row>
    <row r="1555">
      <c r="E1555" s="26"/>
      <c r="F1555" s="27"/>
      <c r="G1555" s="28"/>
    </row>
    <row r="1556">
      <c r="E1556" s="26"/>
      <c r="F1556" s="27"/>
      <c r="G1556" s="28"/>
    </row>
    <row r="1557">
      <c r="E1557" s="26"/>
      <c r="F1557" s="27"/>
      <c r="G1557" s="28"/>
    </row>
    <row r="1558">
      <c r="E1558" s="26"/>
      <c r="F1558" s="27"/>
      <c r="G1558" s="28"/>
    </row>
    <row r="1559">
      <c r="E1559" s="26"/>
      <c r="F1559" s="27"/>
      <c r="G1559" s="28"/>
    </row>
    <row r="1560">
      <c r="E1560" s="26"/>
      <c r="F1560" s="27"/>
      <c r="G1560" s="28"/>
    </row>
    <row r="1561">
      <c r="E1561" s="26"/>
      <c r="F1561" s="27"/>
      <c r="G1561" s="28"/>
    </row>
    <row r="1562">
      <c r="E1562" s="26"/>
      <c r="F1562" s="27"/>
      <c r="G1562" s="28"/>
    </row>
    <row r="1563">
      <c r="E1563" s="26"/>
      <c r="F1563" s="27"/>
      <c r="G1563" s="28"/>
    </row>
    <row r="1564">
      <c r="E1564" s="26"/>
      <c r="F1564" s="27"/>
      <c r="G1564" s="28"/>
    </row>
    <row r="1565">
      <c r="E1565" s="26"/>
      <c r="F1565" s="27"/>
      <c r="G1565" s="28"/>
    </row>
    <row r="1566">
      <c r="E1566" s="26"/>
      <c r="F1566" s="27"/>
      <c r="G1566" s="28"/>
    </row>
    <row r="1567">
      <c r="E1567" s="26"/>
      <c r="F1567" s="27"/>
      <c r="G1567" s="28"/>
    </row>
    <row r="1568">
      <c r="E1568" s="26"/>
      <c r="F1568" s="27"/>
      <c r="G1568" s="28"/>
    </row>
    <row r="1569">
      <c r="E1569" s="26"/>
      <c r="F1569" s="27"/>
      <c r="G1569" s="28"/>
    </row>
    <row r="1570">
      <c r="E1570" s="26"/>
      <c r="F1570" s="27"/>
      <c r="G1570" s="28"/>
    </row>
    <row r="1571">
      <c r="E1571" s="26"/>
      <c r="F1571" s="27"/>
      <c r="G1571" s="28"/>
    </row>
    <row r="1572">
      <c r="E1572" s="26"/>
      <c r="F1572" s="27"/>
      <c r="G1572" s="28"/>
    </row>
    <row r="1573">
      <c r="E1573" s="26"/>
      <c r="F1573" s="27"/>
      <c r="G1573" s="28"/>
    </row>
    <row r="1574">
      <c r="E1574" s="26"/>
      <c r="F1574" s="27"/>
      <c r="G1574" s="28"/>
    </row>
    <row r="1575">
      <c r="E1575" s="26"/>
      <c r="F1575" s="27"/>
      <c r="G1575" s="28"/>
    </row>
    <row r="1576">
      <c r="E1576" s="26"/>
      <c r="F1576" s="27"/>
      <c r="G1576" s="28"/>
    </row>
    <row r="1577">
      <c r="E1577" s="26"/>
      <c r="F1577" s="27"/>
      <c r="G1577" s="28"/>
    </row>
    <row r="1578">
      <c r="E1578" s="26"/>
      <c r="F1578" s="27"/>
      <c r="G1578" s="28"/>
    </row>
    <row r="1579">
      <c r="E1579" s="26"/>
      <c r="F1579" s="27"/>
      <c r="G1579" s="28"/>
    </row>
    <row r="1580">
      <c r="E1580" s="26"/>
      <c r="F1580" s="27"/>
      <c r="G1580" s="28"/>
    </row>
    <row r="1581">
      <c r="E1581" s="26"/>
      <c r="F1581" s="27"/>
      <c r="G1581" s="28"/>
    </row>
    <row r="1582">
      <c r="E1582" s="26"/>
      <c r="F1582" s="27"/>
      <c r="G1582" s="28"/>
    </row>
    <row r="1583">
      <c r="E1583" s="26"/>
      <c r="F1583" s="27"/>
      <c r="G1583" s="28"/>
    </row>
    <row r="1584">
      <c r="E1584" s="26"/>
      <c r="F1584" s="27"/>
      <c r="G1584" s="28"/>
    </row>
    <row r="1585">
      <c r="E1585" s="26"/>
      <c r="F1585" s="27"/>
      <c r="G1585" s="28"/>
    </row>
    <row r="1586">
      <c r="E1586" s="26"/>
      <c r="F1586" s="27"/>
      <c r="G1586" s="28"/>
    </row>
    <row r="1587">
      <c r="E1587" s="26"/>
      <c r="F1587" s="27"/>
      <c r="G1587" s="28"/>
    </row>
    <row r="1588">
      <c r="E1588" s="26"/>
      <c r="F1588" s="27"/>
      <c r="G1588" s="28"/>
    </row>
    <row r="1589">
      <c r="E1589" s="26"/>
      <c r="F1589" s="27"/>
      <c r="G1589" s="28"/>
    </row>
    <row r="1590">
      <c r="E1590" s="26"/>
      <c r="F1590" s="27"/>
      <c r="G1590" s="28"/>
    </row>
    <row r="1591">
      <c r="E1591" s="26"/>
      <c r="F1591" s="27"/>
      <c r="G1591" s="28"/>
    </row>
    <row r="1592">
      <c r="E1592" s="26"/>
      <c r="F1592" s="27"/>
      <c r="G1592" s="28"/>
    </row>
    <row r="1593">
      <c r="E1593" s="26"/>
      <c r="F1593" s="27"/>
      <c r="G1593" s="28"/>
    </row>
    <row r="1594">
      <c r="E1594" s="26"/>
      <c r="F1594" s="27"/>
      <c r="G1594" s="28"/>
    </row>
    <row r="1595">
      <c r="E1595" s="26"/>
      <c r="F1595" s="27"/>
      <c r="G1595" s="28"/>
    </row>
    <row r="1596">
      <c r="E1596" s="26"/>
      <c r="F1596" s="27"/>
      <c r="G1596" s="28"/>
    </row>
    <row r="1597">
      <c r="E1597" s="26"/>
      <c r="F1597" s="27"/>
      <c r="G1597" s="28"/>
    </row>
    <row r="1598">
      <c r="E1598" s="26"/>
      <c r="F1598" s="27"/>
      <c r="G1598" s="28"/>
    </row>
    <row r="1599">
      <c r="E1599" s="26"/>
      <c r="F1599" s="27"/>
      <c r="G1599" s="28"/>
    </row>
    <row r="1600">
      <c r="E1600" s="26"/>
      <c r="F1600" s="27"/>
      <c r="G1600" s="28"/>
    </row>
    <row r="1601">
      <c r="E1601" s="26"/>
      <c r="F1601" s="27"/>
      <c r="G1601" s="28"/>
    </row>
    <row r="1602">
      <c r="E1602" s="26"/>
      <c r="F1602" s="27"/>
      <c r="G1602" s="28"/>
    </row>
    <row r="1603">
      <c r="E1603" s="26"/>
      <c r="F1603" s="27"/>
      <c r="G1603" s="28"/>
    </row>
    <row r="1604">
      <c r="E1604" s="26"/>
      <c r="F1604" s="27"/>
      <c r="G1604" s="28"/>
    </row>
    <row r="1605">
      <c r="E1605" s="26"/>
      <c r="F1605" s="27"/>
      <c r="G1605" s="28"/>
    </row>
    <row r="1606">
      <c r="E1606" s="26"/>
      <c r="F1606" s="27"/>
      <c r="G1606" s="28"/>
    </row>
    <row r="1607">
      <c r="E1607" s="26"/>
      <c r="F1607" s="27"/>
      <c r="G1607" s="28"/>
    </row>
    <row r="1608">
      <c r="E1608" s="26"/>
      <c r="F1608" s="27"/>
      <c r="G1608" s="28"/>
    </row>
    <row r="1609">
      <c r="E1609" s="26"/>
      <c r="F1609" s="27"/>
      <c r="G1609" s="28"/>
    </row>
    <row r="1610">
      <c r="E1610" s="26"/>
      <c r="F1610" s="27"/>
      <c r="G1610" s="28"/>
    </row>
    <row r="1611">
      <c r="E1611" s="26"/>
      <c r="F1611" s="27"/>
      <c r="G1611" s="28"/>
    </row>
    <row r="1612">
      <c r="E1612" s="26"/>
      <c r="F1612" s="27"/>
      <c r="G1612" s="28"/>
    </row>
    <row r="1613">
      <c r="E1613" s="26"/>
      <c r="F1613" s="27"/>
      <c r="G1613" s="28"/>
    </row>
    <row r="1614">
      <c r="E1614" s="26"/>
      <c r="F1614" s="27"/>
      <c r="G1614" s="28"/>
    </row>
    <row r="1615">
      <c r="E1615" s="26"/>
      <c r="F1615" s="27"/>
      <c r="G1615" s="28"/>
    </row>
    <row r="1616">
      <c r="E1616" s="26"/>
      <c r="F1616" s="27"/>
      <c r="G1616" s="28"/>
    </row>
    <row r="1617">
      <c r="E1617" s="26"/>
      <c r="F1617" s="27"/>
      <c r="G1617" s="28"/>
    </row>
    <row r="1618">
      <c r="E1618" s="26"/>
      <c r="F1618" s="27"/>
      <c r="G1618" s="28"/>
    </row>
    <row r="1619">
      <c r="E1619" s="26"/>
      <c r="F1619" s="27"/>
      <c r="G1619" s="28"/>
    </row>
    <row r="1620">
      <c r="E1620" s="26"/>
      <c r="F1620" s="27"/>
      <c r="G1620" s="28"/>
    </row>
    <row r="1621">
      <c r="E1621" s="26"/>
      <c r="F1621" s="27"/>
      <c r="G1621" s="28"/>
    </row>
    <row r="1622">
      <c r="E1622" s="26"/>
      <c r="F1622" s="27"/>
      <c r="G1622" s="28"/>
    </row>
    <row r="1623">
      <c r="E1623" s="26"/>
      <c r="F1623" s="27"/>
      <c r="G1623" s="28"/>
    </row>
    <row r="1624">
      <c r="E1624" s="26"/>
      <c r="F1624" s="27"/>
      <c r="G1624" s="28"/>
    </row>
    <row r="1625">
      <c r="E1625" s="26"/>
      <c r="F1625" s="27"/>
      <c r="G1625" s="28"/>
    </row>
    <row r="1626">
      <c r="E1626" s="26"/>
      <c r="F1626" s="27"/>
      <c r="G1626" s="28"/>
    </row>
    <row r="1627">
      <c r="E1627" s="26"/>
      <c r="F1627" s="27"/>
      <c r="G1627" s="28"/>
    </row>
    <row r="1628">
      <c r="E1628" s="26"/>
      <c r="F1628" s="27"/>
      <c r="G1628" s="28"/>
    </row>
    <row r="1629">
      <c r="E1629" s="26"/>
      <c r="F1629" s="27"/>
      <c r="G1629" s="28"/>
    </row>
    <row r="1630">
      <c r="E1630" s="26"/>
      <c r="F1630" s="27"/>
      <c r="G1630" s="28"/>
    </row>
    <row r="1631">
      <c r="E1631" s="26"/>
      <c r="F1631" s="27"/>
      <c r="G1631" s="28"/>
    </row>
    <row r="1632">
      <c r="E1632" s="26"/>
      <c r="F1632" s="27"/>
      <c r="G1632" s="28"/>
    </row>
    <row r="1633">
      <c r="E1633" s="26"/>
      <c r="F1633" s="27"/>
      <c r="G1633" s="28"/>
    </row>
    <row r="1634">
      <c r="E1634" s="26"/>
      <c r="F1634" s="27"/>
      <c r="G1634" s="28"/>
    </row>
    <row r="1635">
      <c r="E1635" s="26"/>
      <c r="F1635" s="27"/>
      <c r="G1635" s="28"/>
    </row>
    <row r="1636">
      <c r="E1636" s="26"/>
      <c r="F1636" s="27"/>
      <c r="G1636" s="28"/>
    </row>
    <row r="1637">
      <c r="E1637" s="26"/>
      <c r="F1637" s="27"/>
      <c r="G1637" s="28"/>
    </row>
    <row r="1638">
      <c r="E1638" s="26"/>
      <c r="F1638" s="27"/>
      <c r="G1638" s="28"/>
    </row>
    <row r="1639">
      <c r="E1639" s="26"/>
      <c r="F1639" s="27"/>
      <c r="G1639" s="28"/>
    </row>
    <row r="1640">
      <c r="E1640" s="26"/>
      <c r="F1640" s="27"/>
      <c r="G1640" s="28"/>
    </row>
    <row r="1641">
      <c r="E1641" s="26"/>
      <c r="F1641" s="27"/>
      <c r="G1641" s="28"/>
    </row>
    <row r="1642">
      <c r="E1642" s="26"/>
      <c r="F1642" s="27"/>
      <c r="G1642" s="28"/>
    </row>
    <row r="1643">
      <c r="E1643" s="26"/>
      <c r="F1643" s="27"/>
      <c r="G1643" s="28"/>
    </row>
    <row r="1644">
      <c r="E1644" s="26"/>
      <c r="F1644" s="27"/>
      <c r="G1644" s="28"/>
    </row>
    <row r="1645">
      <c r="E1645" s="26"/>
      <c r="F1645" s="27"/>
      <c r="G1645" s="28"/>
    </row>
    <row r="1646">
      <c r="E1646" s="26"/>
      <c r="F1646" s="27"/>
      <c r="G1646" s="28"/>
    </row>
    <row r="1647">
      <c r="E1647" s="26"/>
      <c r="F1647" s="27"/>
      <c r="G1647" s="28"/>
    </row>
    <row r="1648">
      <c r="E1648" s="26"/>
      <c r="F1648" s="27"/>
      <c r="G1648" s="28"/>
    </row>
    <row r="1649">
      <c r="E1649" s="26"/>
      <c r="F1649" s="27"/>
      <c r="G1649" s="28"/>
    </row>
    <row r="1650">
      <c r="E1650" s="26"/>
      <c r="F1650" s="27"/>
      <c r="G1650" s="28"/>
    </row>
    <row r="1651">
      <c r="E1651" s="26"/>
      <c r="F1651" s="27"/>
      <c r="G1651" s="28"/>
    </row>
    <row r="1652">
      <c r="E1652" s="26"/>
      <c r="F1652" s="27"/>
      <c r="G1652" s="28"/>
    </row>
    <row r="1653">
      <c r="E1653" s="26"/>
      <c r="F1653" s="27"/>
      <c r="G1653" s="28"/>
    </row>
    <row r="1654">
      <c r="E1654" s="26"/>
      <c r="F1654" s="27"/>
      <c r="G1654" s="28"/>
    </row>
    <row r="1655">
      <c r="E1655" s="26"/>
      <c r="F1655" s="27"/>
      <c r="G1655" s="28"/>
    </row>
    <row r="1656">
      <c r="E1656" s="26"/>
      <c r="F1656" s="27"/>
      <c r="G1656" s="28"/>
    </row>
    <row r="1657">
      <c r="E1657" s="26"/>
      <c r="F1657" s="27"/>
      <c r="G1657" s="28"/>
    </row>
    <row r="1658">
      <c r="E1658" s="26"/>
      <c r="F1658" s="27"/>
      <c r="G1658" s="28"/>
    </row>
    <row r="1659">
      <c r="E1659" s="26"/>
      <c r="F1659" s="27"/>
      <c r="G1659" s="28"/>
    </row>
    <row r="1660">
      <c r="E1660" s="26"/>
      <c r="F1660" s="27"/>
      <c r="G1660" s="28"/>
    </row>
    <row r="1661">
      <c r="E1661" s="26"/>
      <c r="F1661" s="27"/>
      <c r="G1661" s="28"/>
    </row>
    <row r="1662">
      <c r="E1662" s="26"/>
      <c r="F1662" s="27"/>
      <c r="G1662" s="28"/>
    </row>
    <row r="1663">
      <c r="E1663" s="26"/>
      <c r="F1663" s="27"/>
      <c r="G1663" s="28"/>
    </row>
    <row r="1664">
      <c r="E1664" s="26"/>
      <c r="F1664" s="27"/>
      <c r="G1664" s="28"/>
    </row>
    <row r="1665">
      <c r="E1665" s="26"/>
      <c r="F1665" s="27"/>
      <c r="G1665" s="28"/>
    </row>
    <row r="1666">
      <c r="E1666" s="26"/>
      <c r="F1666" s="27"/>
      <c r="G1666" s="28"/>
    </row>
    <row r="1667">
      <c r="E1667" s="26"/>
      <c r="F1667" s="27"/>
      <c r="G1667" s="28"/>
    </row>
    <row r="1668">
      <c r="E1668" s="26"/>
      <c r="F1668" s="27"/>
      <c r="G1668" s="28"/>
    </row>
    <row r="1669">
      <c r="E1669" s="26"/>
      <c r="F1669" s="27"/>
      <c r="G1669" s="28"/>
    </row>
    <row r="1670">
      <c r="E1670" s="26"/>
      <c r="F1670" s="27"/>
      <c r="G1670" s="28"/>
    </row>
    <row r="1671">
      <c r="E1671" s="26"/>
      <c r="F1671" s="27"/>
      <c r="G1671" s="28"/>
    </row>
    <row r="1672">
      <c r="E1672" s="26"/>
      <c r="F1672" s="27"/>
      <c r="G1672" s="28"/>
    </row>
    <row r="1673">
      <c r="E1673" s="26"/>
      <c r="F1673" s="27"/>
      <c r="G1673" s="28"/>
    </row>
    <row r="1674">
      <c r="E1674" s="26"/>
      <c r="F1674" s="27"/>
      <c r="G1674" s="28"/>
    </row>
    <row r="1675">
      <c r="E1675" s="26"/>
      <c r="F1675" s="27"/>
      <c r="G1675" s="28"/>
    </row>
    <row r="1676">
      <c r="E1676" s="26"/>
      <c r="F1676" s="27"/>
      <c r="G1676" s="28"/>
    </row>
    <row r="1677">
      <c r="E1677" s="26"/>
      <c r="F1677" s="27"/>
      <c r="G1677" s="28"/>
    </row>
    <row r="1678">
      <c r="E1678" s="26"/>
      <c r="F1678" s="27"/>
      <c r="G1678" s="28"/>
    </row>
    <row r="1679">
      <c r="E1679" s="26"/>
      <c r="F1679" s="27"/>
      <c r="G1679" s="28"/>
    </row>
    <row r="1680">
      <c r="E1680" s="26"/>
      <c r="F1680" s="27"/>
      <c r="G1680" s="28"/>
    </row>
    <row r="1681">
      <c r="E1681" s="26"/>
      <c r="F1681" s="27"/>
      <c r="G1681" s="28"/>
    </row>
    <row r="1682">
      <c r="E1682" s="26"/>
      <c r="F1682" s="27"/>
      <c r="G1682" s="28"/>
    </row>
    <row r="1683">
      <c r="E1683" s="26"/>
      <c r="F1683" s="27"/>
      <c r="G1683" s="28"/>
    </row>
    <row r="1684">
      <c r="E1684" s="26"/>
      <c r="F1684" s="27"/>
      <c r="G1684" s="28"/>
    </row>
    <row r="1685">
      <c r="E1685" s="26"/>
      <c r="F1685" s="27"/>
      <c r="G1685" s="28"/>
    </row>
    <row r="1686">
      <c r="E1686" s="26"/>
      <c r="F1686" s="27"/>
      <c r="G1686" s="28"/>
    </row>
    <row r="1687">
      <c r="E1687" s="26"/>
      <c r="F1687" s="27"/>
      <c r="G1687" s="28"/>
    </row>
    <row r="1688">
      <c r="E1688" s="26"/>
      <c r="F1688" s="27"/>
      <c r="G1688" s="28"/>
    </row>
    <row r="1689">
      <c r="E1689" s="26"/>
      <c r="F1689" s="27"/>
      <c r="G1689" s="28"/>
    </row>
    <row r="1690">
      <c r="E1690" s="26"/>
      <c r="F1690" s="27"/>
      <c r="G1690" s="28"/>
    </row>
    <row r="1691">
      <c r="E1691" s="26"/>
      <c r="F1691" s="27"/>
      <c r="G1691" s="28"/>
    </row>
    <row r="1692">
      <c r="E1692" s="26"/>
      <c r="F1692" s="27"/>
      <c r="G1692" s="28"/>
    </row>
    <row r="1693">
      <c r="E1693" s="26"/>
      <c r="F1693" s="27"/>
      <c r="G1693" s="28"/>
    </row>
    <row r="1694">
      <c r="E1694" s="26"/>
      <c r="F1694" s="27"/>
      <c r="G1694" s="28"/>
    </row>
    <row r="1695">
      <c r="E1695" s="26"/>
      <c r="F1695" s="27"/>
      <c r="G1695" s="28"/>
    </row>
    <row r="1696">
      <c r="E1696" s="26"/>
      <c r="F1696" s="27"/>
      <c r="G1696" s="28"/>
    </row>
    <row r="1697">
      <c r="E1697" s="26"/>
      <c r="F1697" s="27"/>
      <c r="G1697" s="28"/>
    </row>
    <row r="1698">
      <c r="E1698" s="26"/>
      <c r="F1698" s="27"/>
      <c r="G1698" s="28"/>
    </row>
    <row r="1699">
      <c r="E1699" s="26"/>
      <c r="F1699" s="27"/>
      <c r="G1699" s="28"/>
    </row>
    <row r="1700">
      <c r="E1700" s="26"/>
      <c r="F1700" s="27"/>
      <c r="G1700" s="28"/>
    </row>
    <row r="1701">
      <c r="E1701" s="26"/>
      <c r="F1701" s="27"/>
      <c r="G1701" s="28"/>
    </row>
    <row r="1702">
      <c r="E1702" s="26"/>
      <c r="F1702" s="27"/>
      <c r="G1702" s="28"/>
    </row>
    <row r="1703">
      <c r="E1703" s="26"/>
      <c r="F1703" s="27"/>
      <c r="G1703" s="28"/>
    </row>
    <row r="1704">
      <c r="E1704" s="26"/>
      <c r="F1704" s="27"/>
      <c r="G1704" s="28"/>
    </row>
    <row r="1705">
      <c r="E1705" s="26"/>
      <c r="F1705" s="27"/>
      <c r="G1705" s="28"/>
    </row>
    <row r="1706">
      <c r="E1706" s="26"/>
      <c r="F1706" s="27"/>
      <c r="G1706" s="28"/>
    </row>
    <row r="1707">
      <c r="E1707" s="26"/>
      <c r="F1707" s="27"/>
      <c r="G1707" s="28"/>
    </row>
    <row r="1708">
      <c r="E1708" s="26"/>
      <c r="F1708" s="27"/>
      <c r="G1708" s="28"/>
    </row>
    <row r="1709">
      <c r="E1709" s="26"/>
      <c r="F1709" s="27"/>
      <c r="G1709" s="28"/>
    </row>
    <row r="1710">
      <c r="E1710" s="26"/>
      <c r="F1710" s="27"/>
      <c r="G1710" s="28"/>
    </row>
    <row r="1711">
      <c r="E1711" s="26"/>
      <c r="F1711" s="27"/>
      <c r="G1711" s="28"/>
    </row>
    <row r="1712">
      <c r="E1712" s="26"/>
      <c r="F1712" s="27"/>
      <c r="G1712" s="28"/>
    </row>
    <row r="1713">
      <c r="E1713" s="26"/>
      <c r="F1713" s="27"/>
      <c r="G1713" s="28"/>
    </row>
    <row r="1714">
      <c r="E1714" s="26"/>
      <c r="F1714" s="27"/>
      <c r="G1714" s="28"/>
    </row>
    <row r="1715">
      <c r="E1715" s="26"/>
      <c r="F1715" s="27"/>
      <c r="G1715" s="28"/>
    </row>
    <row r="1716">
      <c r="E1716" s="26"/>
      <c r="F1716" s="27"/>
      <c r="G1716" s="28"/>
    </row>
    <row r="1717">
      <c r="E1717" s="26"/>
      <c r="F1717" s="27"/>
      <c r="G1717" s="2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88"/>
    <col customWidth="1" min="3" max="3" width="35.75"/>
    <col customWidth="1" min="6" max="6" width="36.75"/>
    <col customWidth="1" min="7" max="7" width="56.75"/>
    <col customWidth="1" min="8" max="8" width="71.63"/>
    <col customWidth="1" min="9" max="9" width="21.38"/>
  </cols>
  <sheetData>
    <row r="1">
      <c r="A1" s="1" t="s">
        <v>0</v>
      </c>
      <c r="B1" s="1" t="s">
        <v>1</v>
      </c>
      <c r="C1" s="1" t="s">
        <v>2</v>
      </c>
      <c r="D1" s="1" t="s">
        <v>3</v>
      </c>
      <c r="E1" s="1" t="s">
        <v>4</v>
      </c>
      <c r="F1" s="1" t="s">
        <v>5</v>
      </c>
      <c r="G1" s="1" t="s">
        <v>6</v>
      </c>
      <c r="H1" s="2" t="s">
        <v>7</v>
      </c>
      <c r="I1" s="2" t="s">
        <v>8</v>
      </c>
      <c r="J1" s="4" t="s">
        <v>1770</v>
      </c>
      <c r="K1" s="4" t="s">
        <v>1771</v>
      </c>
      <c r="L1" s="4" t="s">
        <v>1772</v>
      </c>
    </row>
    <row r="2">
      <c r="A2" s="14">
        <v>1.0</v>
      </c>
      <c r="B2" s="3">
        <v>45688.69391778935</v>
      </c>
      <c r="C2" s="4" t="s">
        <v>1773</v>
      </c>
      <c r="D2" s="4">
        <v>8.129931293E9</v>
      </c>
      <c r="E2" s="4" t="s">
        <v>1774</v>
      </c>
      <c r="F2" s="4" t="s">
        <v>1775</v>
      </c>
      <c r="G2" s="4" t="s">
        <v>1776</v>
      </c>
      <c r="H2" s="5" t="s">
        <v>1777</v>
      </c>
      <c r="I2" s="4" t="s">
        <v>1778</v>
      </c>
      <c r="J2" s="4" t="s">
        <v>1778</v>
      </c>
      <c r="K2" s="4" t="s">
        <v>1779</v>
      </c>
    </row>
    <row r="3">
      <c r="A3" s="14">
        <v>1.0</v>
      </c>
      <c r="B3" s="3">
        <v>45688.709684166664</v>
      </c>
      <c r="C3" s="4" t="s">
        <v>1773</v>
      </c>
      <c r="D3" s="4">
        <v>8.129931293E9</v>
      </c>
      <c r="E3" s="4" t="s">
        <v>1774</v>
      </c>
      <c r="F3" s="4" t="s">
        <v>1775</v>
      </c>
      <c r="G3" s="4" t="s">
        <v>1780</v>
      </c>
      <c r="H3" s="5" t="s">
        <v>1781</v>
      </c>
      <c r="I3" s="4" t="s">
        <v>1782</v>
      </c>
      <c r="J3" s="4" t="s">
        <v>1783</v>
      </c>
      <c r="K3" s="4" t="s">
        <v>1779</v>
      </c>
    </row>
    <row r="4">
      <c r="A4" s="14">
        <v>1.0</v>
      </c>
      <c r="B4" s="3">
        <v>45688.71135358796</v>
      </c>
      <c r="C4" s="4" t="s">
        <v>1784</v>
      </c>
      <c r="D4" s="4">
        <v>8.9281299128E10</v>
      </c>
      <c r="E4" s="4" t="s">
        <v>1785</v>
      </c>
      <c r="F4" s="4" t="s">
        <v>1786</v>
      </c>
      <c r="G4" s="4" t="s">
        <v>1778</v>
      </c>
      <c r="H4" s="5" t="s">
        <v>1787</v>
      </c>
      <c r="I4" s="4" t="s">
        <v>1778</v>
      </c>
      <c r="J4" s="4" t="s">
        <v>1782</v>
      </c>
      <c r="K4" s="4" t="s">
        <v>1779</v>
      </c>
    </row>
    <row r="5">
      <c r="A5" s="14">
        <v>1.0</v>
      </c>
      <c r="B5" s="3">
        <v>45693.364323912036</v>
      </c>
      <c r="C5" s="4" t="s">
        <v>1788</v>
      </c>
      <c r="D5" s="4">
        <v>446455.0</v>
      </c>
      <c r="E5" s="4" t="s">
        <v>1789</v>
      </c>
      <c r="F5" s="4" t="s">
        <v>1790</v>
      </c>
      <c r="G5" s="4" t="s">
        <v>1791</v>
      </c>
      <c r="H5" s="5" t="s">
        <v>1792</v>
      </c>
      <c r="I5" s="4" t="s">
        <v>1793</v>
      </c>
      <c r="J5" s="4" t="s">
        <v>1794</v>
      </c>
      <c r="K5" s="4" t="s">
        <v>1779</v>
      </c>
    </row>
    <row r="6">
      <c r="A6" s="14">
        <v>1.0</v>
      </c>
      <c r="B6" s="3">
        <v>45693.44244670139</v>
      </c>
      <c r="C6" s="4" t="s">
        <v>1795</v>
      </c>
      <c r="D6" s="4">
        <v>8.1260626999E10</v>
      </c>
      <c r="E6" s="4" t="s">
        <v>1796</v>
      </c>
      <c r="F6" s="4" t="s">
        <v>1797</v>
      </c>
      <c r="G6" s="4" t="s">
        <v>1798</v>
      </c>
      <c r="H6" s="5" t="s">
        <v>1799</v>
      </c>
      <c r="I6" s="4" t="s">
        <v>1800</v>
      </c>
      <c r="J6" s="4" t="s">
        <v>1797</v>
      </c>
      <c r="K6" s="4" t="s">
        <v>1779</v>
      </c>
    </row>
    <row r="7">
      <c r="A7" s="14">
        <v>2.0</v>
      </c>
      <c r="B7" s="3">
        <v>45702.67449927083</v>
      </c>
      <c r="C7" s="4" t="s">
        <v>1801</v>
      </c>
      <c r="D7" s="4">
        <v>8.63628263E8</v>
      </c>
      <c r="E7" s="4" t="s">
        <v>1802</v>
      </c>
      <c r="F7" s="4" t="s">
        <v>646</v>
      </c>
      <c r="G7" s="4" t="s">
        <v>1803</v>
      </c>
      <c r="H7" s="4" t="s">
        <v>1804</v>
      </c>
      <c r="I7" s="4" t="s">
        <v>1805</v>
      </c>
      <c r="J7" s="4" t="s">
        <v>1779</v>
      </c>
    </row>
    <row r="8">
      <c r="A8" s="14">
        <v>3.0</v>
      </c>
      <c r="B8" s="3">
        <v>45707.38104115741</v>
      </c>
      <c r="C8" s="4" t="s">
        <v>778</v>
      </c>
      <c r="D8" s="4">
        <v>8.1265494169E10</v>
      </c>
      <c r="E8" s="4" t="s">
        <v>780</v>
      </c>
      <c r="F8" s="4" t="s">
        <v>1806</v>
      </c>
      <c r="G8" s="4" t="s">
        <v>1807</v>
      </c>
      <c r="H8" s="4" t="s">
        <v>1808</v>
      </c>
      <c r="I8" s="4" t="s">
        <v>1806</v>
      </c>
      <c r="J8" s="4" t="s">
        <v>1779</v>
      </c>
    </row>
    <row r="9">
      <c r="A9" s="14">
        <v>4.0</v>
      </c>
      <c r="B9" s="3">
        <v>45707.659341736115</v>
      </c>
      <c r="C9" s="4" t="s">
        <v>1809</v>
      </c>
      <c r="D9" s="4">
        <v>8.2277863498E10</v>
      </c>
      <c r="E9" s="4" t="s">
        <v>1810</v>
      </c>
      <c r="F9" s="4" t="s">
        <v>1811</v>
      </c>
      <c r="G9" s="4" t="s">
        <v>1812</v>
      </c>
      <c r="H9" s="4" t="s">
        <v>1813</v>
      </c>
      <c r="I9" s="4" t="s">
        <v>1814</v>
      </c>
      <c r="J9" s="4" t="s">
        <v>1779</v>
      </c>
    </row>
    <row r="10">
      <c r="A10" s="14">
        <v>5.0</v>
      </c>
      <c r="B10" s="3">
        <v>45712.582716875</v>
      </c>
      <c r="C10" s="4" t="s">
        <v>1815</v>
      </c>
      <c r="D10" s="4">
        <v>8.2236012092E10</v>
      </c>
      <c r="E10" s="4" t="s">
        <v>1816</v>
      </c>
      <c r="F10" s="4" t="s">
        <v>1817</v>
      </c>
      <c r="G10" s="4" t="s">
        <v>1818</v>
      </c>
      <c r="H10" s="4" t="s">
        <v>1819</v>
      </c>
      <c r="I10" s="4" t="s">
        <v>1820</v>
      </c>
      <c r="J10" s="4" t="s">
        <v>1779</v>
      </c>
    </row>
    <row r="11">
      <c r="A11" s="14">
        <v>6.0</v>
      </c>
      <c r="B11" s="3">
        <v>45713.41764871527</v>
      </c>
      <c r="C11" s="4" t="s">
        <v>1821</v>
      </c>
      <c r="D11" s="4">
        <v>8.5296203382E10</v>
      </c>
      <c r="E11" s="4" t="s">
        <v>1149</v>
      </c>
      <c r="F11" s="4" t="s">
        <v>253</v>
      </c>
      <c r="G11" s="4" t="s">
        <v>1822</v>
      </c>
      <c r="H11" s="4" t="s">
        <v>1823</v>
      </c>
      <c r="I11" s="4" t="s">
        <v>1824</v>
      </c>
      <c r="J11" s="4" t="s">
        <v>1779</v>
      </c>
    </row>
    <row r="12">
      <c r="A12" s="14">
        <v>7.0</v>
      </c>
      <c r="B12" s="3">
        <v>45714.452850104164</v>
      </c>
      <c r="C12" s="4" t="s">
        <v>1825</v>
      </c>
      <c r="D12" s="4">
        <v>8.2166630824E10</v>
      </c>
      <c r="E12" s="4" t="s">
        <v>1169</v>
      </c>
      <c r="F12" s="4" t="s">
        <v>1826</v>
      </c>
      <c r="G12" s="4" t="s">
        <v>1827</v>
      </c>
      <c r="H12" s="4" t="s">
        <v>1828</v>
      </c>
      <c r="I12" s="4" t="s">
        <v>1829</v>
      </c>
      <c r="J12" s="4" t="s">
        <v>1779</v>
      </c>
    </row>
    <row r="13">
      <c r="A13" s="14">
        <v>8.0</v>
      </c>
      <c r="B13" s="3">
        <v>45714.45441828704</v>
      </c>
      <c r="C13" s="4" t="s">
        <v>1825</v>
      </c>
      <c r="D13" s="4">
        <v>8.2166630824E10</v>
      </c>
      <c r="E13" s="4" t="s">
        <v>1169</v>
      </c>
      <c r="F13" s="4" t="s">
        <v>1016</v>
      </c>
      <c r="G13" s="4" t="s">
        <v>1830</v>
      </c>
      <c r="H13" s="4" t="s">
        <v>1831</v>
      </c>
      <c r="I13" s="4" t="s">
        <v>1829</v>
      </c>
      <c r="J13" s="4" t="s">
        <v>1779</v>
      </c>
    </row>
    <row r="14">
      <c r="A14" s="14">
        <v>9.0</v>
      </c>
      <c r="B14" s="3">
        <v>45714.57263408565</v>
      </c>
      <c r="C14" s="4" t="s">
        <v>1832</v>
      </c>
      <c r="D14" s="4">
        <v>8.136232699E10</v>
      </c>
      <c r="E14" s="4" t="s">
        <v>1833</v>
      </c>
      <c r="F14" s="4" t="s">
        <v>1834</v>
      </c>
      <c r="G14" s="4" t="s">
        <v>1835</v>
      </c>
      <c r="H14" s="5" t="s">
        <v>1836</v>
      </c>
      <c r="I14" s="4" t="s">
        <v>1837</v>
      </c>
      <c r="J14" s="4" t="s">
        <v>1834</v>
      </c>
      <c r="K14" s="4" t="s">
        <v>1779</v>
      </c>
    </row>
    <row r="15">
      <c r="A15" s="14">
        <v>10.0</v>
      </c>
      <c r="B15" s="3">
        <v>45715.61134873843</v>
      </c>
      <c r="C15" s="4" t="s">
        <v>1838</v>
      </c>
      <c r="D15" s="4">
        <v>8.5361962727E10</v>
      </c>
      <c r="E15" s="4" t="s">
        <v>1157</v>
      </c>
      <c r="F15" s="4" t="s">
        <v>1839</v>
      </c>
      <c r="G15" s="4" t="s">
        <v>1840</v>
      </c>
      <c r="H15" s="4" t="s">
        <v>1841</v>
      </c>
      <c r="I15" s="4" t="s">
        <v>1842</v>
      </c>
      <c r="J15" s="4" t="s">
        <v>1779</v>
      </c>
    </row>
    <row r="16">
      <c r="A16" s="14">
        <v>11.0</v>
      </c>
      <c r="B16" s="3">
        <v>45721.588498020836</v>
      </c>
      <c r="C16" s="4" t="s">
        <v>1843</v>
      </c>
      <c r="D16" s="4">
        <v>8.1265494169E10</v>
      </c>
      <c r="E16" s="4" t="s">
        <v>780</v>
      </c>
      <c r="F16" s="4" t="s">
        <v>1806</v>
      </c>
      <c r="G16" s="4" t="s">
        <v>1844</v>
      </c>
      <c r="H16" s="4" t="s">
        <v>1845</v>
      </c>
      <c r="I16" s="4" t="s">
        <v>1806</v>
      </c>
      <c r="J16" s="4" t="s">
        <v>1779</v>
      </c>
    </row>
    <row r="17">
      <c r="A17" s="14">
        <v>12.0</v>
      </c>
      <c r="B17" s="3">
        <v>45721.590835763884</v>
      </c>
      <c r="C17" s="4" t="s">
        <v>1843</v>
      </c>
      <c r="D17" s="4">
        <v>8.1265494169E10</v>
      </c>
      <c r="E17" s="4" t="s">
        <v>780</v>
      </c>
      <c r="F17" s="4" t="s">
        <v>1806</v>
      </c>
      <c r="G17" s="4" t="s">
        <v>1846</v>
      </c>
      <c r="H17" s="4" t="s">
        <v>1845</v>
      </c>
      <c r="I17" s="4" t="s">
        <v>1847</v>
      </c>
      <c r="J17" s="4" t="s">
        <v>1779</v>
      </c>
    </row>
    <row r="18">
      <c r="A18" s="14">
        <v>13.0</v>
      </c>
      <c r="B18" s="3">
        <v>45722.51385775463</v>
      </c>
      <c r="C18" s="4" t="s">
        <v>1848</v>
      </c>
      <c r="D18" s="4">
        <v>8.5261684828E10</v>
      </c>
      <c r="E18" s="4" t="s">
        <v>1675</v>
      </c>
      <c r="F18" s="4" t="s">
        <v>1849</v>
      </c>
      <c r="G18" s="4" t="s">
        <v>1850</v>
      </c>
      <c r="H18" s="4" t="s">
        <v>1850</v>
      </c>
      <c r="I18" s="4" t="s">
        <v>1851</v>
      </c>
      <c r="J18" s="4" t="s">
        <v>1779</v>
      </c>
    </row>
    <row r="19">
      <c r="A19" s="14">
        <v>14.0</v>
      </c>
      <c r="B19" s="3">
        <v>45723.55076109954</v>
      </c>
      <c r="C19" s="4" t="s">
        <v>1852</v>
      </c>
      <c r="D19" s="4">
        <v>8.5362643517E10</v>
      </c>
      <c r="E19" s="4" t="s">
        <v>1853</v>
      </c>
      <c r="F19" s="4" t="s">
        <v>1854</v>
      </c>
      <c r="G19" s="4" t="s">
        <v>1855</v>
      </c>
      <c r="H19" s="4" t="s">
        <v>1856</v>
      </c>
      <c r="I19" s="4" t="s">
        <v>1857</v>
      </c>
      <c r="J19" s="4" t="s">
        <v>1779</v>
      </c>
    </row>
    <row r="20">
      <c r="A20" s="14">
        <v>15.0</v>
      </c>
      <c r="B20" s="3">
        <v>45727.39485776621</v>
      </c>
      <c r="C20" s="4" t="s">
        <v>1858</v>
      </c>
      <c r="D20" s="4">
        <v>8.2168575786E10</v>
      </c>
      <c r="E20" s="4" t="s">
        <v>1859</v>
      </c>
      <c r="F20" s="4" t="s">
        <v>1860</v>
      </c>
      <c r="G20" s="4" t="s">
        <v>28</v>
      </c>
      <c r="H20" s="4" t="s">
        <v>1861</v>
      </c>
      <c r="I20" s="4" t="s">
        <v>1862</v>
      </c>
      <c r="J20" s="4" t="s">
        <v>1779</v>
      </c>
    </row>
    <row r="21">
      <c r="A21" s="14">
        <v>16.0</v>
      </c>
      <c r="B21" s="3">
        <v>45728.39603827546</v>
      </c>
      <c r="C21" s="4" t="s">
        <v>1863</v>
      </c>
      <c r="D21" s="4">
        <v>8.1911923743E10</v>
      </c>
      <c r="E21" s="4" t="s">
        <v>1864</v>
      </c>
      <c r="F21" s="4" t="s">
        <v>1865</v>
      </c>
      <c r="G21" s="4" t="s">
        <v>1866</v>
      </c>
      <c r="H21" s="4" t="s">
        <v>28</v>
      </c>
      <c r="I21" s="4" t="s">
        <v>1867</v>
      </c>
      <c r="J21" s="4" t="s">
        <v>1779</v>
      </c>
    </row>
    <row r="22">
      <c r="A22" s="14">
        <v>17.0</v>
      </c>
      <c r="B22" s="3">
        <v>45736.640113657406</v>
      </c>
      <c r="C22" s="4" t="s">
        <v>1868</v>
      </c>
      <c r="D22" s="4">
        <v>8.2220388526E10</v>
      </c>
      <c r="E22" s="4" t="s">
        <v>1869</v>
      </c>
      <c r="F22" s="4" t="s">
        <v>1870</v>
      </c>
      <c r="G22" s="4" t="s">
        <v>1871</v>
      </c>
      <c r="H22" s="4" t="s">
        <v>1872</v>
      </c>
      <c r="I22" s="4" t="s">
        <v>1870</v>
      </c>
      <c r="J22" s="4" t="s">
        <v>1779</v>
      </c>
    </row>
    <row r="23">
      <c r="A23" s="14">
        <v>18.0</v>
      </c>
      <c r="B23" s="3">
        <v>45769.33168591435</v>
      </c>
      <c r="C23" s="4" t="s">
        <v>1873</v>
      </c>
      <c r="D23" s="4">
        <v>8.126471907E9</v>
      </c>
      <c r="E23" s="4" t="s">
        <v>1874</v>
      </c>
      <c r="F23" s="4" t="s">
        <v>1875</v>
      </c>
      <c r="G23" s="4" t="s">
        <v>1876</v>
      </c>
      <c r="H23" s="5" t="s">
        <v>1877</v>
      </c>
      <c r="I23" s="4" t="s">
        <v>1878</v>
      </c>
      <c r="J23" s="4" t="s">
        <v>1875</v>
      </c>
      <c r="K23" s="4" t="s">
        <v>1779</v>
      </c>
    </row>
    <row r="32">
      <c r="F32" s="4" t="s">
        <v>1879</v>
      </c>
    </row>
    <row r="33">
      <c r="A33" s="14">
        <v>18.0</v>
      </c>
      <c r="B33" s="3">
        <v>45770.501331747684</v>
      </c>
      <c r="C33" s="4" t="s">
        <v>1880</v>
      </c>
      <c r="D33" s="4">
        <v>8.388071249E9</v>
      </c>
      <c r="E33" s="4" t="s">
        <v>1881</v>
      </c>
      <c r="F33" s="4" t="s">
        <v>1882</v>
      </c>
      <c r="G33" s="4" t="s">
        <v>1803</v>
      </c>
      <c r="H33" s="5" t="s">
        <v>1883</v>
      </c>
      <c r="I33" s="4" t="s">
        <v>1884</v>
      </c>
      <c r="J33" s="4" t="s">
        <v>1882</v>
      </c>
      <c r="K33" s="4" t="s">
        <v>1779</v>
      </c>
    </row>
  </sheetData>
  <hyperlinks>
    <hyperlink r:id="rId1" ref="H2"/>
    <hyperlink r:id="rId2" ref="H3"/>
    <hyperlink r:id="rId3" ref="H4"/>
    <hyperlink r:id="rId4" ref="H5"/>
    <hyperlink r:id="rId5" ref="H6"/>
    <hyperlink r:id="rId6" ref="H14"/>
    <hyperlink r:id="rId7" ref="H23"/>
    <hyperlink r:id="rId8" ref="H33"/>
  </hyperlinks>
  <drawing r:id="rId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11.5"/>
    <col customWidth="1" min="3" max="3" width="30.13"/>
    <col customWidth="1" min="4" max="4" width="20.38"/>
    <col customWidth="1" min="5" max="5" width="13.88"/>
    <col customWidth="1" min="6" max="6" width="61.75"/>
  </cols>
  <sheetData>
    <row r="1">
      <c r="A1" s="29" t="s">
        <v>1885</v>
      </c>
      <c r="C1" s="30">
        <v>45839.0</v>
      </c>
    </row>
    <row r="2">
      <c r="A2" s="31"/>
      <c r="B2" s="31"/>
      <c r="C2" s="32" t="str">
        <f>text(C1,"mmmm yyyy")</f>
        <v>Juli 2025</v>
      </c>
      <c r="D2" s="33"/>
      <c r="E2" s="34"/>
      <c r="F2" s="34"/>
    </row>
    <row r="3">
      <c r="A3" s="35" t="s">
        <v>1886</v>
      </c>
      <c r="B3" s="35" t="s">
        <v>1887</v>
      </c>
      <c r="C3" s="35" t="s">
        <v>1</v>
      </c>
      <c r="D3" s="35" t="s">
        <v>1888</v>
      </c>
      <c r="E3" s="35" t="s">
        <v>2</v>
      </c>
      <c r="F3" s="35" t="s">
        <v>6</v>
      </c>
    </row>
    <row r="4">
      <c r="A4" s="36"/>
      <c r="B4" s="36" t="str">
        <f>IFERROR(__xludf.DUMMYFUNCTION("query(db!A:K,""select K, B, E, C, G where J = '""&amp;C2&amp;""'"",1)"),"tanggal")</f>
        <v>tanggal</v>
      </c>
      <c r="C4" s="37" t="str">
        <f>IFERROR(__xludf.DUMMYFUNCTION("""COMPUTED_VALUE"""),"Nama")</f>
        <v>Nama</v>
      </c>
      <c r="D4" s="38" t="str">
        <f>IFERROR(__xludf.DUMMYFUNCTION("""COMPUTED_VALUE"""),"Asal Instansi")</f>
        <v>Asal Instansi</v>
      </c>
      <c r="E4" s="37" t="str">
        <f>IFERROR(__xludf.DUMMYFUNCTION("""COMPUTED_VALUE"""),"Nomor Whatsapp")</f>
        <v>Nomor Whatsapp</v>
      </c>
      <c r="F4" s="37" t="str">
        <f>IFERROR(__xludf.DUMMYFUNCTION("""COMPUTED_VALUE"""),"Foto")</f>
        <v>Foto</v>
      </c>
    </row>
    <row r="5">
      <c r="A5" s="39">
        <f>if(B5="","",1)</f>
        <v>1</v>
      </c>
      <c r="B5" s="39" t="str">
        <f>IFERROR(__xludf.DUMMYFUNCTION("""COMPUTED_VALUE"""),"02 Jul 2025")</f>
        <v>02 Jul 2025</v>
      </c>
      <c r="C5" s="40" t="str">
        <f>IFERROR(__xludf.DUMMYFUNCTION("""COMPUTED_VALUE"""),"tetty rr situmorang")</f>
        <v>tetty rr situmorang</v>
      </c>
      <c r="D5" s="41" t="str">
        <f>IFERROR(__xludf.DUMMYFUNCTION("""COMPUTED_VALUE"""),"OPD (Pemerintah Daerah)")</f>
        <v>OPD (Pemerintah Daerah)</v>
      </c>
      <c r="E5" s="40" t="str">
        <f>IFERROR(__xludf.DUMMYFUNCTION("""COMPUTED_VALUE"""),"082167071275")</f>
        <v>082167071275</v>
      </c>
      <c r="F5" s="40"/>
    </row>
    <row r="6">
      <c r="A6" s="39" t="str">
        <f t="shared" ref="A6:A1000" si="1">if(A5="","",if(B6="","",A5+1))</f>
        <v/>
      </c>
      <c r="B6" s="39"/>
      <c r="C6" s="40"/>
      <c r="D6" s="41"/>
      <c r="E6" s="40"/>
      <c r="F6" s="40"/>
    </row>
    <row r="7">
      <c r="A7" s="39" t="str">
        <f t="shared" si="1"/>
        <v/>
      </c>
      <c r="B7" s="39"/>
      <c r="C7" s="40"/>
      <c r="D7" s="41"/>
      <c r="E7" s="40"/>
      <c r="F7" s="40"/>
    </row>
    <row r="8">
      <c r="A8" s="39" t="str">
        <f t="shared" si="1"/>
        <v/>
      </c>
      <c r="B8" s="39"/>
      <c r="C8" s="40"/>
      <c r="D8" s="41"/>
      <c r="E8" s="40"/>
      <c r="F8" s="40"/>
    </row>
    <row r="9">
      <c r="A9" s="39" t="str">
        <f t="shared" si="1"/>
        <v/>
      </c>
      <c r="B9" s="39"/>
      <c r="C9" s="40"/>
      <c r="D9" s="41"/>
      <c r="E9" s="40"/>
      <c r="F9" s="40"/>
    </row>
    <row r="10">
      <c r="A10" s="39" t="str">
        <f t="shared" si="1"/>
        <v/>
      </c>
      <c r="B10" s="39"/>
      <c r="C10" s="40"/>
      <c r="D10" s="41"/>
      <c r="E10" s="40"/>
      <c r="F10" s="40"/>
    </row>
    <row r="11">
      <c r="A11" s="39" t="str">
        <f t="shared" si="1"/>
        <v/>
      </c>
      <c r="B11" s="39"/>
      <c r="C11" s="40"/>
      <c r="D11" s="41"/>
      <c r="E11" s="40"/>
      <c r="F11" s="40"/>
    </row>
    <row r="12">
      <c r="A12" s="39" t="str">
        <f t="shared" si="1"/>
        <v/>
      </c>
      <c r="B12" s="39"/>
      <c r="C12" s="40"/>
      <c r="D12" s="41"/>
      <c r="E12" s="40"/>
      <c r="F12" s="40"/>
    </row>
    <row r="13">
      <c r="A13" s="39" t="str">
        <f t="shared" si="1"/>
        <v/>
      </c>
      <c r="B13" s="39"/>
      <c r="C13" s="40"/>
      <c r="D13" s="41"/>
      <c r="E13" s="40"/>
      <c r="F13" s="40"/>
    </row>
    <row r="14">
      <c r="A14" s="39" t="str">
        <f t="shared" si="1"/>
        <v/>
      </c>
      <c r="B14" s="39"/>
      <c r="C14" s="40"/>
      <c r="D14" s="41"/>
      <c r="E14" s="40"/>
      <c r="F14" s="40"/>
    </row>
    <row r="15">
      <c r="A15" s="39" t="str">
        <f t="shared" si="1"/>
        <v/>
      </c>
      <c r="B15" s="39"/>
      <c r="C15" s="40"/>
      <c r="D15" s="41"/>
      <c r="E15" s="40"/>
      <c r="F15" s="40"/>
    </row>
    <row r="16">
      <c r="A16" s="39" t="str">
        <f t="shared" si="1"/>
        <v/>
      </c>
      <c r="B16" s="39"/>
      <c r="C16" s="40"/>
      <c r="D16" s="41"/>
      <c r="E16" s="40"/>
      <c r="F16" s="40"/>
    </row>
    <row r="17">
      <c r="A17" s="39" t="str">
        <f t="shared" si="1"/>
        <v/>
      </c>
      <c r="B17" s="39"/>
      <c r="C17" s="40"/>
      <c r="D17" s="41"/>
      <c r="E17" s="40"/>
      <c r="F17" s="40"/>
    </row>
    <row r="18">
      <c r="A18" s="39" t="str">
        <f t="shared" si="1"/>
        <v/>
      </c>
      <c r="B18" s="39"/>
      <c r="C18" s="40"/>
      <c r="D18" s="41"/>
      <c r="E18" s="40"/>
      <c r="F18" s="40"/>
    </row>
    <row r="19">
      <c r="A19" s="39" t="str">
        <f t="shared" si="1"/>
        <v/>
      </c>
      <c r="B19" s="39"/>
      <c r="C19" s="40"/>
      <c r="D19" s="41"/>
      <c r="E19" s="40"/>
      <c r="F19" s="40"/>
    </row>
    <row r="20">
      <c r="A20" s="39" t="str">
        <f t="shared" si="1"/>
        <v/>
      </c>
      <c r="B20" s="39"/>
      <c r="C20" s="40"/>
      <c r="D20" s="41"/>
      <c r="E20" s="40"/>
      <c r="F20" s="40"/>
    </row>
    <row r="21">
      <c r="A21" s="39" t="str">
        <f t="shared" si="1"/>
        <v/>
      </c>
      <c r="B21" s="39"/>
      <c r="C21" s="40"/>
      <c r="D21" s="41"/>
      <c r="E21" s="40"/>
      <c r="F21" s="40"/>
    </row>
    <row r="22">
      <c r="A22" s="39" t="str">
        <f t="shared" si="1"/>
        <v/>
      </c>
      <c r="B22" s="39"/>
      <c r="C22" s="40"/>
      <c r="D22" s="41"/>
      <c r="E22" s="40"/>
      <c r="F22" s="40"/>
    </row>
    <row r="23">
      <c r="A23" s="39" t="str">
        <f t="shared" si="1"/>
        <v/>
      </c>
      <c r="B23" s="39"/>
      <c r="C23" s="40"/>
      <c r="D23" s="41"/>
      <c r="E23" s="40"/>
      <c r="F23" s="40"/>
    </row>
    <row r="24">
      <c r="A24" s="39" t="str">
        <f t="shared" si="1"/>
        <v/>
      </c>
      <c r="B24" s="39"/>
      <c r="C24" s="40"/>
      <c r="D24" s="41"/>
      <c r="E24" s="40"/>
      <c r="F24" s="40"/>
    </row>
    <row r="25">
      <c r="A25" s="39" t="str">
        <f t="shared" si="1"/>
        <v/>
      </c>
      <c r="B25" s="39"/>
      <c r="C25" s="40"/>
      <c r="D25" s="41"/>
      <c r="E25" s="40"/>
      <c r="F25" s="40"/>
    </row>
    <row r="26">
      <c r="A26" s="39" t="str">
        <f t="shared" si="1"/>
        <v/>
      </c>
      <c r="B26" s="39"/>
      <c r="C26" s="40"/>
      <c r="D26" s="41"/>
      <c r="E26" s="40"/>
      <c r="F26" s="40"/>
    </row>
    <row r="27">
      <c r="A27" s="39" t="str">
        <f t="shared" si="1"/>
        <v/>
      </c>
      <c r="B27" s="39"/>
      <c r="C27" s="40"/>
      <c r="D27" s="41"/>
      <c r="E27" s="40"/>
      <c r="F27" s="40"/>
    </row>
    <row r="28">
      <c r="A28" s="39" t="str">
        <f t="shared" si="1"/>
        <v/>
      </c>
      <c r="B28" s="39"/>
      <c r="C28" s="40"/>
      <c r="D28" s="41"/>
      <c r="E28" s="40"/>
      <c r="F28" s="40"/>
    </row>
    <row r="29">
      <c r="A29" s="39" t="str">
        <f t="shared" si="1"/>
        <v/>
      </c>
      <c r="B29" s="39"/>
      <c r="C29" s="40"/>
      <c r="D29" s="41"/>
      <c r="E29" s="40"/>
      <c r="F29" s="40"/>
    </row>
    <row r="30">
      <c r="A30" s="39" t="str">
        <f t="shared" si="1"/>
        <v/>
      </c>
      <c r="B30" s="39"/>
      <c r="C30" s="40"/>
      <c r="D30" s="41"/>
      <c r="E30" s="40"/>
      <c r="F30" s="40"/>
    </row>
    <row r="31">
      <c r="A31" s="39" t="str">
        <f t="shared" si="1"/>
        <v/>
      </c>
      <c r="B31" s="39"/>
      <c r="C31" s="40"/>
      <c r="D31" s="41"/>
      <c r="E31" s="40"/>
      <c r="F31" s="40"/>
    </row>
    <row r="32">
      <c r="A32" s="39" t="str">
        <f t="shared" si="1"/>
        <v/>
      </c>
      <c r="B32" s="39"/>
      <c r="C32" s="40"/>
      <c r="D32" s="41"/>
      <c r="E32" s="40"/>
      <c r="F32" s="40"/>
    </row>
    <row r="33">
      <c r="A33" s="39" t="str">
        <f t="shared" si="1"/>
        <v/>
      </c>
      <c r="B33" s="39"/>
      <c r="C33" s="40"/>
      <c r="D33" s="41"/>
      <c r="E33" s="40"/>
      <c r="F33" s="40"/>
    </row>
    <row r="34">
      <c r="A34" s="39" t="str">
        <f t="shared" si="1"/>
        <v/>
      </c>
      <c r="B34" s="39"/>
      <c r="C34" s="40"/>
      <c r="D34" s="41"/>
      <c r="E34" s="40"/>
      <c r="F34" s="40"/>
    </row>
    <row r="35">
      <c r="A35" s="39" t="str">
        <f t="shared" si="1"/>
        <v/>
      </c>
      <c r="B35" s="39"/>
      <c r="C35" s="40"/>
      <c r="D35" s="41"/>
      <c r="E35" s="40"/>
      <c r="F35" s="40"/>
    </row>
    <row r="36">
      <c r="A36" s="39" t="str">
        <f t="shared" si="1"/>
        <v/>
      </c>
      <c r="B36" s="39"/>
      <c r="C36" s="40"/>
      <c r="D36" s="41"/>
      <c r="E36" s="40"/>
      <c r="F36" s="40"/>
    </row>
    <row r="37">
      <c r="A37" s="39" t="str">
        <f t="shared" si="1"/>
        <v/>
      </c>
      <c r="B37" s="39"/>
      <c r="C37" s="40"/>
      <c r="D37" s="41"/>
      <c r="E37" s="40"/>
      <c r="F37" s="40"/>
    </row>
    <row r="38">
      <c r="A38" s="39" t="str">
        <f t="shared" si="1"/>
        <v/>
      </c>
      <c r="B38" s="39"/>
      <c r="C38" s="40"/>
      <c r="D38" s="41"/>
      <c r="E38" s="40"/>
      <c r="F38" s="40"/>
    </row>
    <row r="39">
      <c r="A39" s="39" t="str">
        <f t="shared" si="1"/>
        <v/>
      </c>
      <c r="B39" s="39"/>
      <c r="C39" s="40"/>
      <c r="D39" s="41"/>
      <c r="E39" s="40"/>
      <c r="F39" s="40"/>
    </row>
    <row r="40">
      <c r="A40" s="39" t="str">
        <f t="shared" si="1"/>
        <v/>
      </c>
      <c r="B40" s="39"/>
      <c r="C40" s="40"/>
      <c r="D40" s="41"/>
      <c r="E40" s="40"/>
      <c r="F40" s="40"/>
    </row>
    <row r="41">
      <c r="A41" s="39" t="str">
        <f t="shared" si="1"/>
        <v/>
      </c>
      <c r="B41" s="39"/>
      <c r="C41" s="40"/>
      <c r="D41" s="41"/>
      <c r="E41" s="40"/>
      <c r="F41" s="40"/>
    </row>
    <row r="42">
      <c r="A42" s="39" t="str">
        <f t="shared" si="1"/>
        <v/>
      </c>
      <c r="B42" s="39"/>
      <c r="C42" s="40"/>
      <c r="D42" s="41"/>
      <c r="E42" s="40"/>
      <c r="F42" s="40"/>
    </row>
    <row r="43">
      <c r="A43" s="39" t="str">
        <f t="shared" si="1"/>
        <v/>
      </c>
      <c r="B43" s="39"/>
      <c r="C43" s="40"/>
      <c r="D43" s="41"/>
      <c r="E43" s="40"/>
      <c r="F43" s="40"/>
    </row>
    <row r="44">
      <c r="A44" s="39" t="str">
        <f t="shared" si="1"/>
        <v/>
      </c>
      <c r="B44" s="39"/>
      <c r="C44" s="40"/>
      <c r="D44" s="41"/>
      <c r="E44" s="40"/>
      <c r="F44" s="40"/>
    </row>
    <row r="45">
      <c r="A45" s="39" t="str">
        <f t="shared" si="1"/>
        <v/>
      </c>
      <c r="B45" s="39"/>
      <c r="C45" s="40"/>
      <c r="D45" s="41"/>
      <c r="E45" s="40"/>
      <c r="F45" s="40"/>
    </row>
    <row r="46">
      <c r="A46" s="39" t="str">
        <f t="shared" si="1"/>
        <v/>
      </c>
      <c r="B46" s="39"/>
      <c r="C46" s="40"/>
      <c r="D46" s="41"/>
      <c r="E46" s="40"/>
      <c r="F46" s="40"/>
    </row>
    <row r="47">
      <c r="A47" s="39" t="str">
        <f t="shared" si="1"/>
        <v/>
      </c>
      <c r="B47" s="39"/>
      <c r="C47" s="40"/>
      <c r="D47" s="41"/>
      <c r="E47" s="40"/>
      <c r="F47" s="40"/>
    </row>
    <row r="48">
      <c r="A48" s="39" t="str">
        <f t="shared" si="1"/>
        <v/>
      </c>
      <c r="B48" s="39"/>
      <c r="C48" s="40"/>
      <c r="D48" s="41"/>
      <c r="E48" s="40"/>
      <c r="F48" s="40"/>
    </row>
    <row r="49">
      <c r="A49" s="39" t="str">
        <f t="shared" si="1"/>
        <v/>
      </c>
      <c r="B49" s="39"/>
      <c r="C49" s="40"/>
      <c r="D49" s="41"/>
      <c r="E49" s="40"/>
      <c r="F49" s="40"/>
    </row>
    <row r="50">
      <c r="A50" s="39" t="str">
        <f t="shared" si="1"/>
        <v/>
      </c>
      <c r="B50" s="39"/>
      <c r="C50" s="40"/>
      <c r="D50" s="41"/>
      <c r="E50" s="40"/>
      <c r="F50" s="40"/>
    </row>
    <row r="51">
      <c r="A51" s="39" t="str">
        <f t="shared" si="1"/>
        <v/>
      </c>
      <c r="B51" s="39"/>
      <c r="C51" s="40"/>
      <c r="D51" s="41"/>
      <c r="E51" s="40"/>
      <c r="F51" s="40"/>
    </row>
    <row r="52">
      <c r="A52" s="39" t="str">
        <f t="shared" si="1"/>
        <v/>
      </c>
      <c r="B52" s="39"/>
      <c r="C52" s="40"/>
      <c r="D52" s="41"/>
      <c r="E52" s="40"/>
      <c r="F52" s="40"/>
    </row>
    <row r="53">
      <c r="A53" s="39" t="str">
        <f t="shared" si="1"/>
        <v/>
      </c>
      <c r="B53" s="39"/>
      <c r="C53" s="40"/>
      <c r="D53" s="41"/>
      <c r="E53" s="40"/>
      <c r="F53" s="40"/>
    </row>
    <row r="54">
      <c r="A54" s="39" t="str">
        <f t="shared" si="1"/>
        <v/>
      </c>
      <c r="B54" s="39"/>
      <c r="C54" s="40"/>
      <c r="D54" s="41"/>
      <c r="E54" s="40"/>
      <c r="F54" s="40"/>
    </row>
    <row r="55">
      <c r="A55" s="39" t="str">
        <f t="shared" si="1"/>
        <v/>
      </c>
      <c r="B55" s="39"/>
      <c r="C55" s="40"/>
      <c r="D55" s="41"/>
      <c r="E55" s="40"/>
      <c r="F55" s="40"/>
    </row>
    <row r="56">
      <c r="A56" s="39" t="str">
        <f t="shared" si="1"/>
        <v/>
      </c>
      <c r="B56" s="39"/>
      <c r="C56" s="40"/>
      <c r="D56" s="41"/>
      <c r="E56" s="40"/>
      <c r="F56" s="40"/>
    </row>
    <row r="57">
      <c r="A57" s="39" t="str">
        <f t="shared" si="1"/>
        <v/>
      </c>
      <c r="B57" s="39"/>
      <c r="C57" s="40"/>
      <c r="D57" s="41"/>
      <c r="E57" s="40"/>
      <c r="F57" s="40"/>
    </row>
    <row r="58">
      <c r="A58" s="39" t="str">
        <f t="shared" si="1"/>
        <v/>
      </c>
      <c r="B58" s="39"/>
      <c r="C58" s="40"/>
      <c r="D58" s="41"/>
      <c r="E58" s="40"/>
      <c r="F58" s="40"/>
    </row>
    <row r="59">
      <c r="A59" s="39" t="str">
        <f t="shared" si="1"/>
        <v/>
      </c>
      <c r="B59" s="39"/>
      <c r="C59" s="40"/>
      <c r="D59" s="41"/>
      <c r="E59" s="40"/>
      <c r="F59" s="40"/>
    </row>
    <row r="60">
      <c r="A60" s="39" t="str">
        <f t="shared" si="1"/>
        <v/>
      </c>
      <c r="B60" s="39"/>
      <c r="C60" s="40"/>
      <c r="D60" s="41"/>
      <c r="E60" s="40"/>
      <c r="F60" s="40"/>
    </row>
    <row r="61">
      <c r="A61" s="39" t="str">
        <f t="shared" si="1"/>
        <v/>
      </c>
      <c r="B61" s="39"/>
      <c r="C61" s="40"/>
      <c r="D61" s="41"/>
      <c r="E61" s="40"/>
      <c r="F61" s="40"/>
    </row>
    <row r="62">
      <c r="A62" s="39" t="str">
        <f t="shared" si="1"/>
        <v/>
      </c>
      <c r="B62" s="39"/>
      <c r="C62" s="40"/>
      <c r="D62" s="41"/>
      <c r="E62" s="40"/>
      <c r="F62" s="40"/>
    </row>
    <row r="63">
      <c r="A63" s="39" t="str">
        <f t="shared" si="1"/>
        <v/>
      </c>
      <c r="B63" s="39"/>
      <c r="C63" s="40"/>
      <c r="D63" s="41"/>
      <c r="E63" s="40"/>
      <c r="F63" s="40"/>
    </row>
    <row r="64">
      <c r="A64" s="39" t="str">
        <f t="shared" si="1"/>
        <v/>
      </c>
      <c r="B64" s="39"/>
      <c r="C64" s="40"/>
      <c r="D64" s="41"/>
      <c r="E64" s="40"/>
      <c r="F64" s="40"/>
    </row>
    <row r="65">
      <c r="A65" s="39" t="str">
        <f t="shared" si="1"/>
        <v/>
      </c>
      <c r="B65" s="39"/>
      <c r="C65" s="40"/>
      <c r="D65" s="41"/>
      <c r="E65" s="40"/>
      <c r="F65" s="40"/>
    </row>
    <row r="66">
      <c r="A66" s="39" t="str">
        <f t="shared" si="1"/>
        <v/>
      </c>
      <c r="B66" s="39"/>
      <c r="C66" s="40"/>
      <c r="D66" s="41"/>
      <c r="E66" s="40"/>
      <c r="F66" s="40"/>
    </row>
    <row r="67">
      <c r="A67" s="39" t="str">
        <f t="shared" si="1"/>
        <v/>
      </c>
      <c r="B67" s="39"/>
      <c r="C67" s="40"/>
      <c r="D67" s="41"/>
      <c r="E67" s="40"/>
      <c r="F67" s="40"/>
    </row>
    <row r="68">
      <c r="A68" s="39" t="str">
        <f t="shared" si="1"/>
        <v/>
      </c>
      <c r="B68" s="39"/>
      <c r="C68" s="40"/>
      <c r="D68" s="41"/>
      <c r="E68" s="40"/>
      <c r="F68" s="40"/>
    </row>
    <row r="69">
      <c r="A69" s="39" t="str">
        <f t="shared" si="1"/>
        <v/>
      </c>
      <c r="B69" s="39"/>
      <c r="C69" s="40"/>
      <c r="D69" s="41"/>
      <c r="E69" s="40"/>
      <c r="F69" s="40"/>
    </row>
    <row r="70">
      <c r="A70" s="39" t="str">
        <f t="shared" si="1"/>
        <v/>
      </c>
      <c r="B70" s="39"/>
      <c r="C70" s="40"/>
      <c r="D70" s="41"/>
      <c r="E70" s="40"/>
      <c r="F70" s="40"/>
    </row>
    <row r="71">
      <c r="A71" s="39" t="str">
        <f t="shared" si="1"/>
        <v/>
      </c>
      <c r="B71" s="39"/>
      <c r="C71" s="40"/>
      <c r="D71" s="41"/>
      <c r="E71" s="40"/>
      <c r="F71" s="40"/>
    </row>
    <row r="72">
      <c r="A72" s="39" t="str">
        <f t="shared" si="1"/>
        <v/>
      </c>
      <c r="B72" s="39"/>
      <c r="C72" s="40"/>
      <c r="D72" s="41"/>
      <c r="E72" s="40"/>
      <c r="F72" s="40"/>
    </row>
    <row r="73">
      <c r="A73" s="39" t="str">
        <f t="shared" si="1"/>
        <v/>
      </c>
      <c r="B73" s="39"/>
      <c r="C73" s="40"/>
      <c r="D73" s="41"/>
      <c r="E73" s="40"/>
      <c r="F73" s="40"/>
    </row>
    <row r="74">
      <c r="A74" s="39" t="str">
        <f t="shared" si="1"/>
        <v/>
      </c>
      <c r="B74" s="39"/>
      <c r="C74" s="40"/>
      <c r="D74" s="41"/>
      <c r="E74" s="40"/>
      <c r="F74" s="40"/>
    </row>
    <row r="75">
      <c r="A75" s="39" t="str">
        <f t="shared" si="1"/>
        <v/>
      </c>
      <c r="B75" s="39"/>
      <c r="C75" s="40"/>
      <c r="D75" s="41"/>
      <c r="E75" s="40"/>
      <c r="F75" s="40"/>
    </row>
    <row r="76">
      <c r="A76" s="39" t="str">
        <f t="shared" si="1"/>
        <v/>
      </c>
      <c r="B76" s="39"/>
      <c r="C76" s="40"/>
      <c r="D76" s="41"/>
      <c r="E76" s="40"/>
      <c r="F76" s="40"/>
    </row>
    <row r="77">
      <c r="A77" s="39" t="str">
        <f t="shared" si="1"/>
        <v/>
      </c>
      <c r="B77" s="39"/>
      <c r="C77" s="40"/>
      <c r="D77" s="41"/>
      <c r="E77" s="40"/>
      <c r="F77" s="40"/>
    </row>
    <row r="78">
      <c r="A78" s="39" t="str">
        <f t="shared" si="1"/>
        <v/>
      </c>
      <c r="B78" s="39"/>
      <c r="C78" s="40"/>
      <c r="D78" s="41"/>
      <c r="E78" s="40"/>
      <c r="F78" s="40"/>
    </row>
    <row r="79">
      <c r="A79" s="39" t="str">
        <f t="shared" si="1"/>
        <v/>
      </c>
      <c r="B79" s="39"/>
      <c r="C79" s="40"/>
      <c r="D79" s="41"/>
      <c r="E79" s="40"/>
      <c r="F79" s="40"/>
    </row>
    <row r="80">
      <c r="A80" s="39" t="str">
        <f t="shared" si="1"/>
        <v/>
      </c>
      <c r="B80" s="39"/>
      <c r="C80" s="40"/>
      <c r="D80" s="41"/>
      <c r="E80" s="40"/>
      <c r="F80" s="40"/>
    </row>
    <row r="81">
      <c r="A81" s="39" t="str">
        <f t="shared" si="1"/>
        <v/>
      </c>
      <c r="B81" s="39"/>
      <c r="C81" s="40"/>
      <c r="D81" s="41"/>
      <c r="E81" s="40"/>
      <c r="F81" s="40"/>
    </row>
    <row r="82">
      <c r="A82" s="39" t="str">
        <f t="shared" si="1"/>
        <v/>
      </c>
      <c r="B82" s="39"/>
      <c r="C82" s="40"/>
      <c r="D82" s="41"/>
      <c r="E82" s="40"/>
      <c r="F82" s="40"/>
    </row>
    <row r="83">
      <c r="A83" s="39" t="str">
        <f t="shared" si="1"/>
        <v/>
      </c>
      <c r="B83" s="39"/>
      <c r="C83" s="40"/>
      <c r="D83" s="41"/>
      <c r="E83" s="40"/>
      <c r="F83" s="40"/>
    </row>
    <row r="84">
      <c r="A84" s="39" t="str">
        <f t="shared" si="1"/>
        <v/>
      </c>
      <c r="B84" s="39"/>
      <c r="C84" s="40"/>
      <c r="D84" s="41"/>
      <c r="E84" s="40"/>
      <c r="F84" s="40"/>
    </row>
    <row r="85">
      <c r="A85" s="39" t="str">
        <f t="shared" si="1"/>
        <v/>
      </c>
      <c r="B85" s="39"/>
      <c r="C85" s="40"/>
      <c r="D85" s="41"/>
      <c r="E85" s="40"/>
      <c r="F85" s="40"/>
    </row>
    <row r="86">
      <c r="A86" s="39" t="str">
        <f t="shared" si="1"/>
        <v/>
      </c>
      <c r="B86" s="39"/>
      <c r="C86" s="40"/>
      <c r="D86" s="41"/>
      <c r="E86" s="40"/>
      <c r="F86" s="40"/>
    </row>
    <row r="87">
      <c r="A87" s="39" t="str">
        <f t="shared" si="1"/>
        <v/>
      </c>
      <c r="B87" s="39"/>
      <c r="C87" s="40"/>
      <c r="D87" s="41"/>
      <c r="E87" s="40"/>
      <c r="F87" s="40"/>
    </row>
    <row r="88">
      <c r="A88" s="39" t="str">
        <f t="shared" si="1"/>
        <v/>
      </c>
      <c r="B88" s="39"/>
      <c r="C88" s="40"/>
      <c r="D88" s="41"/>
      <c r="E88" s="40"/>
      <c r="F88" s="40"/>
    </row>
    <row r="89">
      <c r="A89" s="39" t="str">
        <f t="shared" si="1"/>
        <v/>
      </c>
      <c r="B89" s="39"/>
      <c r="C89" s="40"/>
      <c r="D89" s="41"/>
      <c r="E89" s="40"/>
      <c r="F89" s="40"/>
    </row>
    <row r="90">
      <c r="A90" s="39" t="str">
        <f t="shared" si="1"/>
        <v/>
      </c>
      <c r="B90" s="39"/>
      <c r="C90" s="40"/>
      <c r="D90" s="41"/>
      <c r="E90" s="40"/>
      <c r="F90" s="40"/>
    </row>
    <row r="91">
      <c r="A91" s="39" t="str">
        <f t="shared" si="1"/>
        <v/>
      </c>
      <c r="B91" s="39"/>
      <c r="C91" s="40"/>
      <c r="D91" s="41"/>
      <c r="E91" s="40"/>
      <c r="F91" s="40"/>
    </row>
    <row r="92">
      <c r="A92" s="39" t="str">
        <f t="shared" si="1"/>
        <v/>
      </c>
      <c r="B92" s="39"/>
      <c r="C92" s="40"/>
      <c r="D92" s="41"/>
      <c r="E92" s="40"/>
      <c r="F92" s="40"/>
    </row>
    <row r="93">
      <c r="A93" s="39" t="str">
        <f t="shared" si="1"/>
        <v/>
      </c>
      <c r="B93" s="39"/>
      <c r="C93" s="40"/>
      <c r="D93" s="41"/>
      <c r="E93" s="40"/>
      <c r="F93" s="40"/>
    </row>
    <row r="94">
      <c r="A94" s="39" t="str">
        <f t="shared" si="1"/>
        <v/>
      </c>
      <c r="B94" s="39"/>
      <c r="C94" s="40"/>
      <c r="D94" s="41"/>
      <c r="E94" s="40"/>
      <c r="F94" s="40"/>
    </row>
    <row r="95">
      <c r="A95" s="39" t="str">
        <f t="shared" si="1"/>
        <v/>
      </c>
      <c r="B95" s="39"/>
      <c r="C95" s="40"/>
      <c r="D95" s="41"/>
      <c r="E95" s="40"/>
      <c r="F95" s="40"/>
    </row>
    <row r="96">
      <c r="A96" s="39" t="str">
        <f t="shared" si="1"/>
        <v/>
      </c>
      <c r="B96" s="39"/>
      <c r="C96" s="40"/>
      <c r="D96" s="41"/>
      <c r="E96" s="40"/>
      <c r="F96" s="40"/>
    </row>
    <row r="97">
      <c r="A97" s="39" t="str">
        <f t="shared" si="1"/>
        <v/>
      </c>
      <c r="B97" s="39"/>
      <c r="C97" s="40"/>
      <c r="D97" s="41"/>
      <c r="E97" s="40"/>
      <c r="F97" s="40"/>
    </row>
    <row r="98">
      <c r="A98" s="39" t="str">
        <f t="shared" si="1"/>
        <v/>
      </c>
      <c r="B98" s="39"/>
      <c r="C98" s="40"/>
      <c r="D98" s="41"/>
      <c r="E98" s="40"/>
      <c r="F98" s="40"/>
    </row>
    <row r="99">
      <c r="A99" s="39" t="str">
        <f t="shared" si="1"/>
        <v/>
      </c>
      <c r="B99" s="39"/>
      <c r="C99" s="40"/>
      <c r="D99" s="41"/>
      <c r="E99" s="40"/>
      <c r="F99" s="40"/>
    </row>
    <row r="100">
      <c r="A100" s="39" t="str">
        <f t="shared" si="1"/>
        <v/>
      </c>
      <c r="B100" s="39"/>
      <c r="C100" s="40"/>
      <c r="D100" s="41"/>
      <c r="E100" s="40"/>
      <c r="F100" s="40"/>
    </row>
    <row r="101">
      <c r="A101" s="39" t="str">
        <f t="shared" si="1"/>
        <v/>
      </c>
      <c r="B101" s="39"/>
      <c r="C101" s="40"/>
      <c r="D101" s="41"/>
      <c r="E101" s="40"/>
      <c r="F101" s="40"/>
    </row>
    <row r="102">
      <c r="A102" s="39" t="str">
        <f t="shared" si="1"/>
        <v/>
      </c>
      <c r="B102" s="39"/>
      <c r="C102" s="40"/>
      <c r="D102" s="41"/>
      <c r="E102" s="40"/>
      <c r="F102" s="40"/>
    </row>
    <row r="103">
      <c r="A103" s="39" t="str">
        <f t="shared" si="1"/>
        <v/>
      </c>
      <c r="B103" s="39"/>
      <c r="C103" s="40"/>
      <c r="D103" s="41"/>
      <c r="E103" s="40"/>
      <c r="F103" s="40"/>
    </row>
    <row r="104">
      <c r="A104" s="39" t="str">
        <f t="shared" si="1"/>
        <v/>
      </c>
      <c r="B104" s="39"/>
      <c r="C104" s="40"/>
      <c r="D104" s="41"/>
      <c r="E104" s="40"/>
      <c r="F104" s="40"/>
    </row>
    <row r="105">
      <c r="A105" s="39" t="str">
        <f t="shared" si="1"/>
        <v/>
      </c>
      <c r="B105" s="39"/>
      <c r="C105" s="40"/>
      <c r="D105" s="41"/>
      <c r="E105" s="40"/>
      <c r="F105" s="40"/>
    </row>
    <row r="106">
      <c r="A106" s="39" t="str">
        <f t="shared" si="1"/>
        <v/>
      </c>
      <c r="B106" s="39"/>
      <c r="C106" s="40"/>
      <c r="D106" s="41"/>
      <c r="E106" s="40"/>
      <c r="F106" s="40"/>
    </row>
    <row r="107">
      <c r="A107" s="39" t="str">
        <f t="shared" si="1"/>
        <v/>
      </c>
      <c r="B107" s="39"/>
      <c r="C107" s="40"/>
      <c r="D107" s="41"/>
      <c r="E107" s="40"/>
      <c r="F107" s="40"/>
    </row>
    <row r="108">
      <c r="A108" s="39" t="str">
        <f t="shared" si="1"/>
        <v/>
      </c>
      <c r="B108" s="39"/>
      <c r="C108" s="40"/>
      <c r="D108" s="41"/>
      <c r="E108" s="40"/>
      <c r="F108" s="40"/>
    </row>
    <row r="109">
      <c r="A109" s="39" t="str">
        <f t="shared" si="1"/>
        <v/>
      </c>
      <c r="B109" s="39"/>
      <c r="C109" s="40"/>
      <c r="D109" s="41"/>
      <c r="E109" s="40"/>
      <c r="F109" s="40"/>
    </row>
    <row r="110">
      <c r="A110" s="39" t="str">
        <f t="shared" si="1"/>
        <v/>
      </c>
      <c r="B110" s="39"/>
      <c r="C110" s="40"/>
      <c r="D110" s="41"/>
      <c r="E110" s="40"/>
      <c r="F110" s="40"/>
    </row>
    <row r="111">
      <c r="A111" s="39" t="str">
        <f t="shared" si="1"/>
        <v/>
      </c>
      <c r="B111" s="39"/>
      <c r="C111" s="40"/>
      <c r="D111" s="41"/>
      <c r="E111" s="40"/>
      <c r="F111" s="40"/>
    </row>
    <row r="112">
      <c r="A112" s="39" t="str">
        <f t="shared" si="1"/>
        <v/>
      </c>
      <c r="B112" s="39"/>
      <c r="C112" s="40"/>
      <c r="D112" s="41"/>
      <c r="E112" s="40"/>
      <c r="F112" s="40"/>
    </row>
    <row r="113">
      <c r="A113" s="39" t="str">
        <f t="shared" si="1"/>
        <v/>
      </c>
      <c r="B113" s="39"/>
      <c r="C113" s="40"/>
      <c r="D113" s="41"/>
      <c r="E113" s="40"/>
      <c r="F113" s="40"/>
    </row>
    <row r="114">
      <c r="A114" s="39" t="str">
        <f t="shared" si="1"/>
        <v/>
      </c>
      <c r="B114" s="39"/>
      <c r="C114" s="40"/>
      <c r="D114" s="41"/>
      <c r="E114" s="40"/>
      <c r="F114" s="40"/>
    </row>
    <row r="115">
      <c r="A115" s="39" t="str">
        <f t="shared" si="1"/>
        <v/>
      </c>
      <c r="B115" s="39"/>
      <c r="C115" s="40"/>
      <c r="D115" s="41"/>
      <c r="E115" s="40"/>
      <c r="F115" s="40"/>
    </row>
    <row r="116">
      <c r="A116" s="39" t="str">
        <f t="shared" si="1"/>
        <v/>
      </c>
      <c r="B116" s="39"/>
      <c r="C116" s="40"/>
      <c r="D116" s="41"/>
      <c r="E116" s="40"/>
      <c r="F116" s="40"/>
    </row>
    <row r="117">
      <c r="A117" s="39" t="str">
        <f t="shared" si="1"/>
        <v/>
      </c>
      <c r="B117" s="39"/>
      <c r="C117" s="40"/>
      <c r="D117" s="41"/>
      <c r="E117" s="40"/>
      <c r="F117" s="40"/>
    </row>
    <row r="118">
      <c r="A118" s="39" t="str">
        <f t="shared" si="1"/>
        <v/>
      </c>
      <c r="B118" s="39"/>
      <c r="C118" s="40"/>
      <c r="D118" s="41"/>
      <c r="E118" s="40"/>
      <c r="F118" s="40"/>
    </row>
    <row r="119">
      <c r="A119" s="39" t="str">
        <f t="shared" si="1"/>
        <v/>
      </c>
      <c r="B119" s="39"/>
      <c r="C119" s="40"/>
      <c r="D119" s="41"/>
      <c r="E119" s="40"/>
      <c r="F119" s="40"/>
    </row>
    <row r="120">
      <c r="A120" s="39" t="str">
        <f t="shared" si="1"/>
        <v/>
      </c>
      <c r="B120" s="39"/>
      <c r="C120" s="40"/>
      <c r="D120" s="41"/>
      <c r="E120" s="40"/>
      <c r="F120" s="40"/>
    </row>
    <row r="121">
      <c r="A121" s="39" t="str">
        <f t="shared" si="1"/>
        <v/>
      </c>
      <c r="B121" s="39"/>
      <c r="C121" s="40"/>
      <c r="D121" s="41"/>
      <c r="E121" s="40"/>
      <c r="F121" s="40"/>
    </row>
    <row r="122">
      <c r="A122" s="39" t="str">
        <f t="shared" si="1"/>
        <v/>
      </c>
      <c r="B122" s="39"/>
      <c r="C122" s="40"/>
      <c r="D122" s="41"/>
      <c r="E122" s="40"/>
      <c r="F122" s="40"/>
    </row>
    <row r="123">
      <c r="A123" s="39" t="str">
        <f t="shared" si="1"/>
        <v/>
      </c>
      <c r="B123" s="39"/>
      <c r="C123" s="40"/>
      <c r="D123" s="41"/>
      <c r="E123" s="40"/>
      <c r="F123" s="40"/>
    </row>
    <row r="124">
      <c r="A124" s="39" t="str">
        <f t="shared" si="1"/>
        <v/>
      </c>
      <c r="B124" s="39"/>
      <c r="C124" s="40"/>
      <c r="D124" s="41"/>
      <c r="E124" s="40"/>
      <c r="F124" s="40"/>
    </row>
    <row r="125">
      <c r="A125" s="39" t="str">
        <f t="shared" si="1"/>
        <v/>
      </c>
      <c r="B125" s="39"/>
      <c r="C125" s="40"/>
      <c r="D125" s="41"/>
      <c r="E125" s="40"/>
      <c r="F125" s="40"/>
    </row>
    <row r="126">
      <c r="A126" s="39" t="str">
        <f t="shared" si="1"/>
        <v/>
      </c>
      <c r="B126" s="39"/>
      <c r="C126" s="40"/>
      <c r="D126" s="41"/>
      <c r="E126" s="40"/>
      <c r="F126" s="40"/>
    </row>
    <row r="127">
      <c r="A127" s="39" t="str">
        <f t="shared" si="1"/>
        <v/>
      </c>
      <c r="B127" s="39"/>
      <c r="C127" s="40"/>
      <c r="D127" s="41"/>
      <c r="E127" s="40"/>
      <c r="F127" s="40"/>
    </row>
    <row r="128">
      <c r="A128" s="39" t="str">
        <f t="shared" si="1"/>
        <v/>
      </c>
      <c r="B128" s="39"/>
      <c r="C128" s="40"/>
      <c r="D128" s="41"/>
      <c r="E128" s="40"/>
      <c r="F128" s="40"/>
    </row>
    <row r="129">
      <c r="A129" s="39" t="str">
        <f t="shared" si="1"/>
        <v/>
      </c>
      <c r="B129" s="39"/>
      <c r="C129" s="40"/>
      <c r="D129" s="41"/>
      <c r="E129" s="40"/>
      <c r="F129" s="40"/>
    </row>
    <row r="130">
      <c r="A130" s="39" t="str">
        <f t="shared" si="1"/>
        <v/>
      </c>
      <c r="B130" s="39"/>
      <c r="C130" s="40"/>
      <c r="D130" s="41"/>
      <c r="E130" s="40"/>
      <c r="F130" s="40"/>
    </row>
    <row r="131">
      <c r="A131" s="39" t="str">
        <f t="shared" si="1"/>
        <v/>
      </c>
      <c r="B131" s="39"/>
      <c r="C131" s="40"/>
      <c r="D131" s="41"/>
      <c r="E131" s="40"/>
      <c r="F131" s="40"/>
    </row>
    <row r="132">
      <c r="A132" s="39" t="str">
        <f t="shared" si="1"/>
        <v/>
      </c>
      <c r="B132" s="39"/>
      <c r="C132" s="40"/>
      <c r="D132" s="41"/>
      <c r="E132" s="40"/>
      <c r="F132" s="40"/>
    </row>
    <row r="133">
      <c r="A133" s="39" t="str">
        <f t="shared" si="1"/>
        <v/>
      </c>
      <c r="B133" s="39"/>
      <c r="C133" s="40"/>
      <c r="D133" s="41"/>
      <c r="E133" s="40"/>
      <c r="F133" s="40"/>
    </row>
    <row r="134">
      <c r="A134" s="39" t="str">
        <f t="shared" si="1"/>
        <v/>
      </c>
      <c r="B134" s="39"/>
      <c r="C134" s="40"/>
      <c r="D134" s="41"/>
      <c r="E134" s="40"/>
      <c r="F134" s="40"/>
    </row>
    <row r="135">
      <c r="A135" s="39" t="str">
        <f t="shared" si="1"/>
        <v/>
      </c>
      <c r="B135" s="39"/>
      <c r="C135" s="40"/>
      <c r="D135" s="41"/>
      <c r="E135" s="40"/>
      <c r="F135" s="40"/>
    </row>
    <row r="136">
      <c r="A136" s="39" t="str">
        <f t="shared" si="1"/>
        <v/>
      </c>
      <c r="B136" s="39"/>
      <c r="C136" s="40"/>
      <c r="D136" s="41"/>
      <c r="E136" s="40"/>
      <c r="F136" s="40"/>
    </row>
    <row r="137">
      <c r="A137" s="39" t="str">
        <f t="shared" si="1"/>
        <v/>
      </c>
      <c r="B137" s="39"/>
      <c r="C137" s="40"/>
      <c r="D137" s="41"/>
      <c r="E137" s="40"/>
      <c r="F137" s="40"/>
    </row>
    <row r="138">
      <c r="A138" s="39" t="str">
        <f t="shared" si="1"/>
        <v/>
      </c>
      <c r="B138" s="39"/>
      <c r="C138" s="40"/>
      <c r="D138" s="41"/>
      <c r="E138" s="40"/>
      <c r="F138" s="40"/>
    </row>
    <row r="139">
      <c r="A139" s="39" t="str">
        <f t="shared" si="1"/>
        <v/>
      </c>
      <c r="B139" s="39"/>
      <c r="C139" s="40"/>
      <c r="D139" s="41"/>
      <c r="E139" s="40"/>
      <c r="F139" s="40"/>
    </row>
    <row r="140">
      <c r="A140" s="39" t="str">
        <f t="shared" si="1"/>
        <v/>
      </c>
      <c r="B140" s="39"/>
      <c r="C140" s="40"/>
      <c r="D140" s="41"/>
      <c r="E140" s="40"/>
      <c r="F140" s="40"/>
    </row>
    <row r="141">
      <c r="A141" s="39" t="str">
        <f t="shared" si="1"/>
        <v/>
      </c>
      <c r="B141" s="39"/>
      <c r="C141" s="40"/>
      <c r="D141" s="41"/>
      <c r="E141" s="40"/>
      <c r="F141" s="40"/>
    </row>
    <row r="142">
      <c r="A142" s="39" t="str">
        <f t="shared" si="1"/>
        <v/>
      </c>
      <c r="B142" s="39"/>
      <c r="C142" s="40"/>
      <c r="D142" s="41"/>
      <c r="E142" s="40"/>
      <c r="F142" s="40"/>
    </row>
    <row r="143">
      <c r="A143" s="39" t="str">
        <f t="shared" si="1"/>
        <v/>
      </c>
      <c r="B143" s="39"/>
      <c r="C143" s="40"/>
      <c r="D143" s="41"/>
      <c r="E143" s="40"/>
      <c r="F143" s="40"/>
    </row>
    <row r="144">
      <c r="A144" s="39" t="str">
        <f t="shared" si="1"/>
        <v/>
      </c>
      <c r="B144" s="39"/>
      <c r="C144" s="40"/>
      <c r="D144" s="41"/>
      <c r="E144" s="40"/>
      <c r="F144" s="40"/>
    </row>
    <row r="145">
      <c r="A145" s="39" t="str">
        <f t="shared" si="1"/>
        <v/>
      </c>
      <c r="B145" s="39"/>
      <c r="C145" s="40"/>
      <c r="D145" s="41"/>
      <c r="E145" s="40"/>
      <c r="F145" s="40"/>
    </row>
    <row r="146">
      <c r="A146" s="39" t="str">
        <f t="shared" si="1"/>
        <v/>
      </c>
      <c r="B146" s="39"/>
      <c r="C146" s="40"/>
      <c r="D146" s="41"/>
      <c r="E146" s="40"/>
      <c r="F146" s="40"/>
    </row>
    <row r="147">
      <c r="A147" s="39" t="str">
        <f t="shared" si="1"/>
        <v/>
      </c>
      <c r="B147" s="39"/>
      <c r="C147" s="40"/>
      <c r="D147" s="41"/>
      <c r="E147" s="40"/>
      <c r="F147" s="40"/>
    </row>
    <row r="148">
      <c r="A148" s="39" t="str">
        <f t="shared" si="1"/>
        <v/>
      </c>
      <c r="B148" s="39"/>
      <c r="C148" s="40"/>
      <c r="D148" s="41"/>
      <c r="E148" s="40"/>
      <c r="F148" s="40"/>
    </row>
    <row r="149">
      <c r="A149" s="39" t="str">
        <f t="shared" si="1"/>
        <v/>
      </c>
      <c r="B149" s="39"/>
      <c r="C149" s="40"/>
      <c r="D149" s="41"/>
      <c r="E149" s="40"/>
      <c r="F149" s="40"/>
    </row>
    <row r="150">
      <c r="A150" s="39" t="str">
        <f t="shared" si="1"/>
        <v/>
      </c>
      <c r="B150" s="39"/>
      <c r="C150" s="40"/>
      <c r="D150" s="41"/>
      <c r="E150" s="40"/>
      <c r="F150" s="40"/>
    </row>
    <row r="151">
      <c r="A151" s="39" t="str">
        <f t="shared" si="1"/>
        <v/>
      </c>
      <c r="B151" s="39"/>
      <c r="C151" s="40"/>
      <c r="D151" s="41"/>
      <c r="E151" s="40"/>
      <c r="F151" s="40"/>
    </row>
    <row r="152">
      <c r="A152" s="39" t="str">
        <f t="shared" si="1"/>
        <v/>
      </c>
      <c r="B152" s="39"/>
      <c r="C152" s="40"/>
      <c r="D152" s="41"/>
      <c r="E152" s="40"/>
      <c r="F152" s="40"/>
    </row>
    <row r="153">
      <c r="A153" s="39" t="str">
        <f t="shared" si="1"/>
        <v/>
      </c>
      <c r="B153" s="39"/>
      <c r="C153" s="40"/>
      <c r="D153" s="41"/>
      <c r="E153" s="40"/>
      <c r="F153" s="40"/>
    </row>
    <row r="154">
      <c r="A154" s="39" t="str">
        <f t="shared" si="1"/>
        <v/>
      </c>
      <c r="B154" s="39"/>
      <c r="C154" s="40"/>
      <c r="D154" s="41"/>
      <c r="E154" s="40"/>
      <c r="F154" s="40"/>
    </row>
    <row r="155">
      <c r="A155" s="39" t="str">
        <f t="shared" si="1"/>
        <v/>
      </c>
      <c r="B155" s="39"/>
      <c r="C155" s="40"/>
      <c r="D155" s="41"/>
      <c r="E155" s="40"/>
      <c r="F155" s="40"/>
    </row>
    <row r="156">
      <c r="A156" s="39" t="str">
        <f t="shared" si="1"/>
        <v/>
      </c>
      <c r="B156" s="39"/>
      <c r="C156" s="40"/>
      <c r="D156" s="41"/>
      <c r="E156" s="40"/>
      <c r="F156" s="40"/>
    </row>
    <row r="157">
      <c r="A157" s="39" t="str">
        <f t="shared" si="1"/>
        <v/>
      </c>
      <c r="B157" s="39"/>
      <c r="C157" s="40"/>
      <c r="D157" s="41"/>
      <c r="E157" s="40"/>
      <c r="F157" s="40"/>
    </row>
    <row r="158">
      <c r="A158" s="39" t="str">
        <f t="shared" si="1"/>
        <v/>
      </c>
      <c r="B158" s="39"/>
      <c r="C158" s="40"/>
      <c r="D158" s="41"/>
      <c r="E158" s="40"/>
      <c r="F158" s="40"/>
    </row>
    <row r="159">
      <c r="A159" s="39" t="str">
        <f t="shared" si="1"/>
        <v/>
      </c>
      <c r="B159" s="39"/>
      <c r="C159" s="40"/>
      <c r="D159" s="41"/>
      <c r="E159" s="40"/>
      <c r="F159" s="40"/>
    </row>
    <row r="160">
      <c r="A160" s="39" t="str">
        <f t="shared" si="1"/>
        <v/>
      </c>
      <c r="B160" s="39"/>
      <c r="C160" s="40"/>
      <c r="D160" s="41"/>
      <c r="E160" s="40"/>
      <c r="F160" s="40"/>
    </row>
    <row r="161">
      <c r="A161" s="39" t="str">
        <f t="shared" si="1"/>
        <v/>
      </c>
      <c r="B161" s="39"/>
      <c r="C161" s="40"/>
      <c r="D161" s="41"/>
      <c r="E161" s="40"/>
      <c r="F161" s="40"/>
    </row>
    <row r="162">
      <c r="A162" s="39" t="str">
        <f t="shared" si="1"/>
        <v/>
      </c>
      <c r="B162" s="39"/>
      <c r="C162" s="40"/>
      <c r="D162" s="41"/>
      <c r="E162" s="40"/>
      <c r="F162" s="40"/>
    </row>
    <row r="163">
      <c r="A163" s="39" t="str">
        <f t="shared" si="1"/>
        <v/>
      </c>
      <c r="B163" s="39"/>
      <c r="C163" s="40"/>
      <c r="D163" s="41"/>
      <c r="E163" s="40"/>
      <c r="F163" s="40"/>
    </row>
    <row r="164">
      <c r="A164" s="39" t="str">
        <f t="shared" si="1"/>
        <v/>
      </c>
      <c r="B164" s="39"/>
      <c r="C164" s="40"/>
      <c r="D164" s="41"/>
      <c r="E164" s="40"/>
      <c r="F164" s="40"/>
    </row>
    <row r="165">
      <c r="A165" s="39" t="str">
        <f t="shared" si="1"/>
        <v/>
      </c>
      <c r="B165" s="39"/>
      <c r="C165" s="40"/>
      <c r="D165" s="41"/>
      <c r="E165" s="40"/>
      <c r="F165" s="40"/>
    </row>
    <row r="166">
      <c r="A166" s="39" t="str">
        <f t="shared" si="1"/>
        <v/>
      </c>
      <c r="B166" s="39"/>
      <c r="C166" s="40"/>
      <c r="D166" s="41"/>
      <c r="E166" s="40"/>
      <c r="F166" s="40"/>
    </row>
    <row r="167">
      <c r="A167" s="39" t="str">
        <f t="shared" si="1"/>
        <v/>
      </c>
      <c r="B167" s="39"/>
      <c r="C167" s="40"/>
      <c r="D167" s="41"/>
      <c r="E167" s="40"/>
      <c r="F167" s="40"/>
    </row>
    <row r="168">
      <c r="A168" s="39" t="str">
        <f t="shared" si="1"/>
        <v/>
      </c>
      <c r="B168" s="39"/>
      <c r="C168" s="40"/>
      <c r="D168" s="41"/>
      <c r="E168" s="40"/>
      <c r="F168" s="40"/>
    </row>
    <row r="169">
      <c r="A169" s="39" t="str">
        <f t="shared" si="1"/>
        <v/>
      </c>
      <c r="B169" s="39"/>
      <c r="C169" s="40"/>
      <c r="D169" s="41"/>
      <c r="E169" s="40"/>
      <c r="F169" s="40"/>
    </row>
    <row r="170">
      <c r="A170" s="39" t="str">
        <f t="shared" si="1"/>
        <v/>
      </c>
      <c r="B170" s="39"/>
      <c r="C170" s="40"/>
      <c r="D170" s="41"/>
      <c r="E170" s="40"/>
      <c r="F170" s="40"/>
    </row>
    <row r="171">
      <c r="A171" s="39" t="str">
        <f t="shared" si="1"/>
        <v/>
      </c>
      <c r="B171" s="39"/>
      <c r="C171" s="40"/>
      <c r="D171" s="41"/>
      <c r="E171" s="40"/>
      <c r="F171" s="40"/>
    </row>
    <row r="172">
      <c r="A172" s="39" t="str">
        <f t="shared" si="1"/>
        <v/>
      </c>
      <c r="B172" s="39"/>
      <c r="C172" s="40"/>
      <c r="D172" s="41"/>
      <c r="E172" s="40"/>
      <c r="F172" s="40"/>
    </row>
    <row r="173">
      <c r="A173" s="39" t="str">
        <f t="shared" si="1"/>
        <v/>
      </c>
      <c r="B173" s="39"/>
      <c r="C173" s="40"/>
      <c r="D173" s="41"/>
      <c r="E173" s="40"/>
      <c r="F173" s="40"/>
    </row>
    <row r="174">
      <c r="A174" s="39" t="str">
        <f t="shared" si="1"/>
        <v/>
      </c>
      <c r="B174" s="39"/>
      <c r="C174" s="40"/>
      <c r="D174" s="41"/>
      <c r="E174" s="40"/>
      <c r="F174" s="40"/>
    </row>
    <row r="175">
      <c r="A175" s="39" t="str">
        <f t="shared" si="1"/>
        <v/>
      </c>
      <c r="B175" s="39"/>
      <c r="C175" s="40"/>
      <c r="D175" s="41"/>
      <c r="E175" s="40"/>
      <c r="F175" s="40"/>
    </row>
    <row r="176">
      <c r="A176" s="39" t="str">
        <f t="shared" si="1"/>
        <v/>
      </c>
      <c r="B176" s="39"/>
      <c r="C176" s="40"/>
      <c r="D176" s="41"/>
      <c r="E176" s="40"/>
      <c r="F176" s="40"/>
    </row>
    <row r="177">
      <c r="A177" s="39" t="str">
        <f t="shared" si="1"/>
        <v/>
      </c>
      <c r="B177" s="39"/>
      <c r="C177" s="40"/>
      <c r="D177" s="41"/>
      <c r="E177" s="40"/>
      <c r="F177" s="40"/>
    </row>
    <row r="178">
      <c r="A178" s="39" t="str">
        <f t="shared" si="1"/>
        <v/>
      </c>
      <c r="B178" s="39"/>
      <c r="C178" s="40"/>
      <c r="D178" s="41"/>
      <c r="E178" s="40"/>
      <c r="F178" s="40"/>
    </row>
    <row r="179">
      <c r="A179" s="39" t="str">
        <f t="shared" si="1"/>
        <v/>
      </c>
      <c r="B179" s="39"/>
      <c r="C179" s="40"/>
      <c r="D179" s="41"/>
      <c r="E179" s="40"/>
      <c r="F179" s="40"/>
    </row>
    <row r="180">
      <c r="A180" s="39" t="str">
        <f t="shared" si="1"/>
        <v/>
      </c>
      <c r="B180" s="39"/>
      <c r="C180" s="40"/>
      <c r="D180" s="41"/>
      <c r="E180" s="40"/>
      <c r="F180" s="40"/>
    </row>
    <row r="181">
      <c r="A181" s="39" t="str">
        <f t="shared" si="1"/>
        <v/>
      </c>
      <c r="B181" s="39"/>
      <c r="C181" s="40"/>
      <c r="D181" s="41"/>
      <c r="E181" s="40"/>
      <c r="F181" s="40"/>
    </row>
    <row r="182">
      <c r="A182" s="39" t="str">
        <f t="shared" si="1"/>
        <v/>
      </c>
      <c r="B182" s="39"/>
      <c r="C182" s="40"/>
      <c r="D182" s="41"/>
      <c r="E182" s="40"/>
      <c r="F182" s="40"/>
    </row>
    <row r="183">
      <c r="A183" s="39" t="str">
        <f t="shared" si="1"/>
        <v/>
      </c>
      <c r="B183" s="39"/>
      <c r="C183" s="40"/>
      <c r="D183" s="41"/>
      <c r="E183" s="40"/>
      <c r="F183" s="40"/>
    </row>
    <row r="184">
      <c r="A184" s="39" t="str">
        <f t="shared" si="1"/>
        <v/>
      </c>
      <c r="B184" s="39"/>
      <c r="C184" s="40"/>
      <c r="D184" s="41"/>
      <c r="E184" s="40"/>
      <c r="F184" s="40"/>
    </row>
    <row r="185">
      <c r="A185" s="39" t="str">
        <f t="shared" si="1"/>
        <v/>
      </c>
      <c r="B185" s="39"/>
      <c r="C185" s="40"/>
      <c r="D185" s="41"/>
      <c r="E185" s="40"/>
      <c r="F185" s="40"/>
    </row>
    <row r="186">
      <c r="A186" s="39" t="str">
        <f t="shared" si="1"/>
        <v/>
      </c>
      <c r="B186" s="39"/>
      <c r="C186" s="40"/>
      <c r="D186" s="41"/>
      <c r="E186" s="40"/>
      <c r="F186" s="40"/>
    </row>
    <row r="187">
      <c r="A187" s="39" t="str">
        <f t="shared" si="1"/>
        <v/>
      </c>
      <c r="B187" s="39"/>
      <c r="C187" s="40"/>
      <c r="D187" s="41"/>
      <c r="E187" s="40"/>
      <c r="F187" s="40"/>
    </row>
    <row r="188">
      <c r="A188" s="39" t="str">
        <f t="shared" si="1"/>
        <v/>
      </c>
      <c r="B188" s="39"/>
      <c r="C188" s="40"/>
      <c r="D188" s="41"/>
      <c r="E188" s="40"/>
      <c r="F188" s="40"/>
    </row>
    <row r="189">
      <c r="A189" s="39" t="str">
        <f t="shared" si="1"/>
        <v/>
      </c>
      <c r="B189" s="39"/>
      <c r="C189" s="40"/>
      <c r="D189" s="41"/>
      <c r="E189" s="40"/>
      <c r="F189" s="40"/>
    </row>
    <row r="190">
      <c r="A190" s="39" t="str">
        <f t="shared" si="1"/>
        <v/>
      </c>
      <c r="B190" s="39"/>
      <c r="C190" s="40"/>
      <c r="D190" s="41"/>
      <c r="E190" s="40"/>
      <c r="F190" s="40"/>
    </row>
    <row r="191">
      <c r="A191" s="39" t="str">
        <f t="shared" si="1"/>
        <v/>
      </c>
      <c r="B191" s="39"/>
      <c r="C191" s="40"/>
      <c r="D191" s="41"/>
      <c r="E191" s="40"/>
      <c r="F191" s="40"/>
    </row>
    <row r="192">
      <c r="A192" s="39" t="str">
        <f t="shared" si="1"/>
        <v/>
      </c>
      <c r="B192" s="39"/>
      <c r="C192" s="40"/>
      <c r="D192" s="41"/>
      <c r="E192" s="40"/>
      <c r="F192" s="40"/>
    </row>
    <row r="193">
      <c r="A193" s="39" t="str">
        <f t="shared" si="1"/>
        <v/>
      </c>
      <c r="B193" s="39"/>
      <c r="C193" s="40"/>
      <c r="D193" s="41"/>
      <c r="E193" s="40"/>
      <c r="F193" s="40"/>
    </row>
    <row r="194">
      <c r="A194" s="39" t="str">
        <f t="shared" si="1"/>
        <v/>
      </c>
      <c r="B194" s="39"/>
      <c r="C194" s="40"/>
      <c r="D194" s="41"/>
      <c r="E194" s="40"/>
      <c r="F194" s="40"/>
    </row>
    <row r="195">
      <c r="A195" s="39" t="str">
        <f t="shared" si="1"/>
        <v/>
      </c>
      <c r="B195" s="39"/>
      <c r="C195" s="40"/>
      <c r="D195" s="41"/>
      <c r="E195" s="40"/>
      <c r="F195" s="40"/>
    </row>
    <row r="196">
      <c r="A196" s="39" t="str">
        <f t="shared" si="1"/>
        <v/>
      </c>
      <c r="B196" s="39"/>
      <c r="C196" s="40"/>
      <c r="D196" s="41"/>
      <c r="E196" s="40"/>
      <c r="F196" s="40"/>
    </row>
    <row r="197">
      <c r="A197" s="39" t="str">
        <f t="shared" si="1"/>
        <v/>
      </c>
      <c r="B197" s="39"/>
      <c r="C197" s="40"/>
      <c r="D197" s="41"/>
      <c r="E197" s="40"/>
      <c r="F197" s="40"/>
    </row>
    <row r="198">
      <c r="A198" s="39" t="str">
        <f t="shared" si="1"/>
        <v/>
      </c>
      <c r="B198" s="39"/>
      <c r="C198" s="40"/>
      <c r="D198" s="41"/>
      <c r="E198" s="40"/>
      <c r="F198" s="40"/>
    </row>
    <row r="199">
      <c r="A199" s="39" t="str">
        <f t="shared" si="1"/>
        <v/>
      </c>
      <c r="B199" s="39"/>
      <c r="C199" s="40"/>
      <c r="D199" s="41"/>
      <c r="E199" s="40"/>
      <c r="F199" s="40"/>
    </row>
    <row r="200">
      <c r="A200" s="39" t="str">
        <f t="shared" si="1"/>
        <v/>
      </c>
      <c r="B200" s="39"/>
      <c r="C200" s="40"/>
      <c r="D200" s="41"/>
      <c r="E200" s="40"/>
      <c r="F200" s="40"/>
    </row>
    <row r="201">
      <c r="A201" s="39" t="str">
        <f t="shared" si="1"/>
        <v/>
      </c>
      <c r="B201" s="39"/>
      <c r="C201" s="40"/>
      <c r="D201" s="41"/>
      <c r="E201" s="40"/>
      <c r="F201" s="40"/>
    </row>
    <row r="202">
      <c r="A202" s="39" t="str">
        <f t="shared" si="1"/>
        <v/>
      </c>
      <c r="B202" s="39"/>
      <c r="C202" s="40"/>
      <c r="D202" s="41"/>
      <c r="E202" s="40"/>
      <c r="F202" s="40"/>
    </row>
    <row r="203">
      <c r="A203" s="39" t="str">
        <f t="shared" si="1"/>
        <v/>
      </c>
      <c r="B203" s="39"/>
      <c r="C203" s="40"/>
      <c r="D203" s="41"/>
      <c r="E203" s="40"/>
      <c r="F203" s="40"/>
    </row>
    <row r="204">
      <c r="A204" s="39" t="str">
        <f t="shared" si="1"/>
        <v/>
      </c>
      <c r="B204" s="39"/>
      <c r="C204" s="40"/>
      <c r="D204" s="41"/>
      <c r="E204" s="40"/>
      <c r="F204" s="40"/>
    </row>
    <row r="205">
      <c r="A205" s="39" t="str">
        <f t="shared" si="1"/>
        <v/>
      </c>
      <c r="B205" s="39"/>
      <c r="C205" s="40"/>
      <c r="D205" s="41"/>
      <c r="E205" s="40"/>
      <c r="F205" s="40"/>
    </row>
    <row r="206">
      <c r="A206" s="39" t="str">
        <f t="shared" si="1"/>
        <v/>
      </c>
      <c r="B206" s="39"/>
      <c r="C206" s="40"/>
      <c r="D206" s="41"/>
      <c r="E206" s="40"/>
      <c r="F206" s="40"/>
    </row>
    <row r="207">
      <c r="A207" s="39" t="str">
        <f t="shared" si="1"/>
        <v/>
      </c>
      <c r="B207" s="39"/>
      <c r="C207" s="40"/>
      <c r="D207" s="41"/>
      <c r="E207" s="40"/>
      <c r="F207" s="40"/>
    </row>
    <row r="208">
      <c r="A208" s="39" t="str">
        <f t="shared" si="1"/>
        <v/>
      </c>
      <c r="B208" s="39"/>
      <c r="C208" s="40"/>
      <c r="D208" s="41"/>
      <c r="E208" s="40"/>
      <c r="F208" s="40"/>
    </row>
    <row r="209">
      <c r="A209" s="39" t="str">
        <f t="shared" si="1"/>
        <v/>
      </c>
      <c r="B209" s="39"/>
      <c r="C209" s="40"/>
      <c r="D209" s="41"/>
      <c r="E209" s="40"/>
      <c r="F209" s="40"/>
    </row>
    <row r="210">
      <c r="A210" s="39" t="str">
        <f t="shared" si="1"/>
        <v/>
      </c>
      <c r="B210" s="39"/>
      <c r="C210" s="40"/>
      <c r="D210" s="41"/>
      <c r="E210" s="40"/>
      <c r="F210" s="40"/>
    </row>
    <row r="211">
      <c r="A211" s="39" t="str">
        <f t="shared" si="1"/>
        <v/>
      </c>
      <c r="B211" s="39"/>
      <c r="C211" s="40"/>
      <c r="D211" s="41"/>
      <c r="E211" s="40"/>
      <c r="F211" s="40"/>
    </row>
    <row r="212">
      <c r="A212" s="39" t="str">
        <f t="shared" si="1"/>
        <v/>
      </c>
      <c r="B212" s="39"/>
      <c r="C212" s="40"/>
      <c r="D212" s="41"/>
      <c r="E212" s="40"/>
      <c r="F212" s="40"/>
    </row>
    <row r="213">
      <c r="A213" s="39" t="str">
        <f t="shared" si="1"/>
        <v/>
      </c>
      <c r="B213" s="39"/>
      <c r="C213" s="40"/>
      <c r="D213" s="41"/>
      <c r="E213" s="40"/>
      <c r="F213" s="40"/>
    </row>
    <row r="214">
      <c r="A214" s="39" t="str">
        <f t="shared" si="1"/>
        <v/>
      </c>
      <c r="B214" s="39"/>
      <c r="C214" s="40"/>
      <c r="D214" s="41"/>
      <c r="E214" s="40"/>
      <c r="F214" s="40"/>
    </row>
    <row r="215">
      <c r="A215" s="39" t="str">
        <f t="shared" si="1"/>
        <v/>
      </c>
      <c r="B215" s="39"/>
      <c r="C215" s="40"/>
      <c r="D215" s="41"/>
      <c r="E215" s="40"/>
      <c r="F215" s="40"/>
    </row>
    <row r="216">
      <c r="A216" s="39" t="str">
        <f t="shared" si="1"/>
        <v/>
      </c>
      <c r="B216" s="39"/>
      <c r="C216" s="40"/>
      <c r="D216" s="41"/>
      <c r="E216" s="40"/>
      <c r="F216" s="40"/>
    </row>
    <row r="217">
      <c r="A217" s="39" t="str">
        <f t="shared" si="1"/>
        <v/>
      </c>
      <c r="B217" s="39"/>
      <c r="C217" s="40"/>
      <c r="D217" s="41"/>
      <c r="E217" s="40"/>
      <c r="F217" s="40"/>
    </row>
    <row r="218">
      <c r="A218" s="39" t="str">
        <f t="shared" si="1"/>
        <v/>
      </c>
      <c r="B218" s="39"/>
      <c r="C218" s="40"/>
      <c r="D218" s="41"/>
      <c r="E218" s="40"/>
      <c r="F218" s="40"/>
    </row>
    <row r="219">
      <c r="A219" s="39" t="str">
        <f t="shared" si="1"/>
        <v/>
      </c>
      <c r="B219" s="39"/>
      <c r="C219" s="40"/>
      <c r="D219" s="41"/>
      <c r="E219" s="40"/>
      <c r="F219" s="40"/>
    </row>
    <row r="220">
      <c r="A220" s="39" t="str">
        <f t="shared" si="1"/>
        <v/>
      </c>
      <c r="B220" s="39"/>
      <c r="C220" s="40"/>
      <c r="D220" s="41"/>
      <c r="E220" s="40"/>
      <c r="F220" s="40"/>
    </row>
    <row r="221">
      <c r="A221" s="39" t="str">
        <f t="shared" si="1"/>
        <v/>
      </c>
      <c r="B221" s="39"/>
      <c r="C221" s="40"/>
      <c r="D221" s="41"/>
      <c r="E221" s="40"/>
      <c r="F221" s="40"/>
    </row>
    <row r="222">
      <c r="A222" s="39" t="str">
        <f t="shared" si="1"/>
        <v/>
      </c>
      <c r="B222" s="39"/>
      <c r="C222" s="40"/>
      <c r="D222" s="41"/>
      <c r="E222" s="40"/>
      <c r="F222" s="40"/>
    </row>
    <row r="223">
      <c r="A223" s="39" t="str">
        <f t="shared" si="1"/>
        <v/>
      </c>
      <c r="B223" s="39"/>
      <c r="C223" s="40"/>
      <c r="D223" s="41"/>
      <c r="E223" s="40"/>
      <c r="F223" s="40"/>
    </row>
    <row r="224">
      <c r="A224" s="39" t="str">
        <f t="shared" si="1"/>
        <v/>
      </c>
      <c r="B224" s="39"/>
      <c r="C224" s="40"/>
      <c r="D224" s="41"/>
      <c r="E224" s="40"/>
      <c r="F224" s="40"/>
    </row>
    <row r="225">
      <c r="A225" s="39" t="str">
        <f t="shared" si="1"/>
        <v/>
      </c>
      <c r="B225" s="39"/>
      <c r="C225" s="40"/>
      <c r="D225" s="41"/>
      <c r="E225" s="40"/>
      <c r="F225" s="40"/>
    </row>
    <row r="226">
      <c r="A226" s="39" t="str">
        <f t="shared" si="1"/>
        <v/>
      </c>
      <c r="B226" s="39"/>
      <c r="C226" s="40"/>
      <c r="D226" s="41"/>
      <c r="E226" s="40"/>
      <c r="F226" s="40"/>
    </row>
    <row r="227">
      <c r="A227" s="39" t="str">
        <f t="shared" si="1"/>
        <v/>
      </c>
      <c r="B227" s="39"/>
      <c r="C227" s="40"/>
      <c r="D227" s="41"/>
      <c r="E227" s="40"/>
      <c r="F227" s="40"/>
    </row>
    <row r="228">
      <c r="A228" s="39" t="str">
        <f t="shared" si="1"/>
        <v/>
      </c>
      <c r="B228" s="39"/>
      <c r="C228" s="40"/>
      <c r="D228" s="41"/>
      <c r="E228" s="40"/>
      <c r="F228" s="40"/>
    </row>
    <row r="229">
      <c r="A229" s="39" t="str">
        <f t="shared" si="1"/>
        <v/>
      </c>
      <c r="B229" s="39"/>
      <c r="C229" s="40"/>
      <c r="D229" s="41"/>
      <c r="E229" s="40"/>
      <c r="F229" s="40"/>
    </row>
    <row r="230">
      <c r="A230" s="39" t="str">
        <f t="shared" si="1"/>
        <v/>
      </c>
      <c r="B230" s="39"/>
      <c r="C230" s="40"/>
      <c r="D230" s="41"/>
      <c r="E230" s="40"/>
      <c r="F230" s="40"/>
    </row>
    <row r="231">
      <c r="A231" s="39" t="str">
        <f t="shared" si="1"/>
        <v/>
      </c>
      <c r="B231" s="39"/>
      <c r="C231" s="40"/>
      <c r="D231" s="41"/>
      <c r="E231" s="40"/>
      <c r="F231" s="40"/>
    </row>
    <row r="232">
      <c r="A232" s="39" t="str">
        <f t="shared" si="1"/>
        <v/>
      </c>
      <c r="B232" s="39"/>
      <c r="C232" s="40"/>
      <c r="D232" s="41"/>
      <c r="E232" s="40"/>
      <c r="F232" s="40"/>
    </row>
    <row r="233">
      <c r="A233" s="39" t="str">
        <f t="shared" si="1"/>
        <v/>
      </c>
      <c r="B233" s="39"/>
      <c r="C233" s="40"/>
      <c r="D233" s="41"/>
      <c r="E233" s="40"/>
      <c r="F233" s="40"/>
    </row>
    <row r="234">
      <c r="A234" s="39" t="str">
        <f t="shared" si="1"/>
        <v/>
      </c>
      <c r="B234" s="39"/>
      <c r="C234" s="40"/>
      <c r="D234" s="41"/>
      <c r="E234" s="40"/>
      <c r="F234" s="40"/>
    </row>
    <row r="235">
      <c r="A235" s="39" t="str">
        <f t="shared" si="1"/>
        <v/>
      </c>
      <c r="B235" s="39"/>
      <c r="C235" s="40"/>
      <c r="D235" s="41"/>
      <c r="E235" s="40"/>
      <c r="F235" s="40"/>
    </row>
    <row r="236">
      <c r="A236" s="39" t="str">
        <f t="shared" si="1"/>
        <v/>
      </c>
      <c r="B236" s="39"/>
      <c r="C236" s="40"/>
      <c r="D236" s="41"/>
      <c r="E236" s="40"/>
      <c r="F236" s="40"/>
    </row>
    <row r="237">
      <c r="A237" s="39" t="str">
        <f t="shared" si="1"/>
        <v/>
      </c>
      <c r="B237" s="39"/>
      <c r="C237" s="40"/>
      <c r="D237" s="41"/>
      <c r="E237" s="40"/>
      <c r="F237" s="40"/>
    </row>
    <row r="238">
      <c r="A238" s="39" t="str">
        <f t="shared" si="1"/>
        <v/>
      </c>
      <c r="B238" s="39"/>
      <c r="C238" s="40"/>
      <c r="D238" s="41"/>
      <c r="E238" s="40"/>
      <c r="F238" s="40"/>
    </row>
    <row r="239">
      <c r="A239" s="39" t="str">
        <f t="shared" si="1"/>
        <v/>
      </c>
      <c r="B239" s="39"/>
      <c r="C239" s="40"/>
      <c r="D239" s="41"/>
      <c r="E239" s="40"/>
      <c r="F239" s="40"/>
    </row>
    <row r="240">
      <c r="A240" s="39" t="str">
        <f t="shared" si="1"/>
        <v/>
      </c>
      <c r="B240" s="39"/>
      <c r="C240" s="40"/>
      <c r="D240" s="41"/>
      <c r="E240" s="40"/>
      <c r="F240" s="40"/>
    </row>
    <row r="241">
      <c r="A241" s="39" t="str">
        <f t="shared" si="1"/>
        <v/>
      </c>
      <c r="B241" s="39"/>
      <c r="C241" s="40"/>
      <c r="D241" s="41"/>
      <c r="E241" s="40"/>
      <c r="F241" s="40"/>
    </row>
    <row r="242">
      <c r="A242" s="39" t="str">
        <f t="shared" si="1"/>
        <v/>
      </c>
      <c r="B242" s="39"/>
      <c r="C242" s="40"/>
      <c r="D242" s="41"/>
      <c r="E242" s="40"/>
      <c r="F242" s="40"/>
    </row>
    <row r="243">
      <c r="A243" s="39" t="str">
        <f t="shared" si="1"/>
        <v/>
      </c>
      <c r="B243" s="39"/>
      <c r="C243" s="40"/>
      <c r="D243" s="41"/>
      <c r="E243" s="40"/>
      <c r="F243" s="40"/>
    </row>
    <row r="244">
      <c r="A244" s="39" t="str">
        <f t="shared" si="1"/>
        <v/>
      </c>
      <c r="B244" s="39"/>
      <c r="C244" s="40"/>
      <c r="D244" s="41"/>
      <c r="E244" s="40"/>
      <c r="F244" s="40"/>
    </row>
    <row r="245">
      <c r="A245" s="39" t="str">
        <f t="shared" si="1"/>
        <v/>
      </c>
      <c r="B245" s="39"/>
      <c r="C245" s="40"/>
      <c r="D245" s="41"/>
      <c r="E245" s="40"/>
      <c r="F245" s="40"/>
    </row>
    <row r="246">
      <c r="A246" s="39" t="str">
        <f t="shared" si="1"/>
        <v/>
      </c>
      <c r="B246" s="39"/>
      <c r="C246" s="40"/>
      <c r="D246" s="41"/>
      <c r="E246" s="40"/>
      <c r="F246" s="40"/>
    </row>
    <row r="247">
      <c r="A247" s="39" t="str">
        <f t="shared" si="1"/>
        <v/>
      </c>
      <c r="B247" s="39"/>
      <c r="C247" s="40"/>
      <c r="D247" s="41"/>
      <c r="E247" s="40"/>
      <c r="F247" s="40"/>
    </row>
    <row r="248">
      <c r="A248" s="39" t="str">
        <f t="shared" si="1"/>
        <v/>
      </c>
      <c r="B248" s="39"/>
      <c r="C248" s="40"/>
      <c r="D248" s="41"/>
      <c r="E248" s="40"/>
      <c r="F248" s="40"/>
    </row>
    <row r="249">
      <c r="A249" s="39" t="str">
        <f t="shared" si="1"/>
        <v/>
      </c>
      <c r="B249" s="39"/>
      <c r="C249" s="40"/>
      <c r="D249" s="41"/>
      <c r="E249" s="40"/>
      <c r="F249" s="40"/>
    </row>
    <row r="250">
      <c r="A250" s="39" t="str">
        <f t="shared" si="1"/>
        <v/>
      </c>
      <c r="B250" s="39"/>
      <c r="C250" s="40"/>
      <c r="D250" s="41"/>
      <c r="E250" s="40"/>
      <c r="F250" s="40"/>
    </row>
    <row r="251">
      <c r="A251" s="39" t="str">
        <f t="shared" si="1"/>
        <v/>
      </c>
      <c r="B251" s="39"/>
      <c r="C251" s="40"/>
      <c r="D251" s="41"/>
      <c r="E251" s="40"/>
      <c r="F251" s="40"/>
    </row>
    <row r="252">
      <c r="A252" s="39" t="str">
        <f t="shared" si="1"/>
        <v/>
      </c>
      <c r="B252" s="39"/>
      <c r="C252" s="40"/>
      <c r="D252" s="41"/>
      <c r="E252" s="40"/>
      <c r="F252" s="40"/>
    </row>
    <row r="253">
      <c r="A253" s="39" t="str">
        <f t="shared" si="1"/>
        <v/>
      </c>
      <c r="B253" s="39"/>
      <c r="C253" s="40"/>
      <c r="D253" s="41"/>
      <c r="E253" s="40"/>
      <c r="F253" s="40"/>
    </row>
    <row r="254">
      <c r="A254" s="39" t="str">
        <f t="shared" si="1"/>
        <v/>
      </c>
      <c r="B254" s="39"/>
      <c r="C254" s="40"/>
      <c r="D254" s="41"/>
      <c r="E254" s="40"/>
      <c r="F254" s="40"/>
    </row>
    <row r="255">
      <c r="A255" s="39" t="str">
        <f t="shared" si="1"/>
        <v/>
      </c>
      <c r="B255" s="39"/>
      <c r="C255" s="40"/>
      <c r="D255" s="41"/>
      <c r="E255" s="40"/>
      <c r="F255" s="40"/>
    </row>
    <row r="256">
      <c r="A256" s="39" t="str">
        <f t="shared" si="1"/>
        <v/>
      </c>
      <c r="B256" s="39"/>
      <c r="C256" s="40"/>
      <c r="D256" s="41"/>
      <c r="E256" s="40"/>
      <c r="F256" s="40"/>
    </row>
    <row r="257">
      <c r="A257" s="39" t="str">
        <f t="shared" si="1"/>
        <v/>
      </c>
      <c r="B257" s="39"/>
      <c r="C257" s="40"/>
      <c r="D257" s="41"/>
      <c r="E257" s="40"/>
      <c r="F257" s="40"/>
    </row>
    <row r="258">
      <c r="A258" s="39" t="str">
        <f t="shared" si="1"/>
        <v/>
      </c>
      <c r="B258" s="39"/>
      <c r="C258" s="40"/>
      <c r="D258" s="41"/>
      <c r="E258" s="40"/>
      <c r="F258" s="40"/>
    </row>
    <row r="259">
      <c r="A259" s="39" t="str">
        <f t="shared" si="1"/>
        <v/>
      </c>
      <c r="B259" s="39"/>
      <c r="C259" s="40"/>
      <c r="D259" s="41"/>
      <c r="E259" s="40"/>
      <c r="F259" s="40"/>
    </row>
    <row r="260">
      <c r="A260" s="39" t="str">
        <f t="shared" si="1"/>
        <v/>
      </c>
      <c r="B260" s="39"/>
      <c r="C260" s="40"/>
      <c r="D260" s="41"/>
      <c r="E260" s="40"/>
      <c r="F260" s="40"/>
    </row>
    <row r="261">
      <c r="A261" s="39" t="str">
        <f t="shared" si="1"/>
        <v/>
      </c>
      <c r="B261" s="39"/>
      <c r="C261" s="40"/>
      <c r="D261" s="41"/>
      <c r="E261" s="40"/>
      <c r="F261" s="40"/>
    </row>
    <row r="262">
      <c r="A262" s="39" t="str">
        <f t="shared" si="1"/>
        <v/>
      </c>
      <c r="B262" s="39"/>
      <c r="C262" s="40"/>
      <c r="D262" s="41"/>
      <c r="E262" s="40"/>
      <c r="F262" s="40"/>
    </row>
    <row r="263">
      <c r="A263" s="39" t="str">
        <f t="shared" si="1"/>
        <v/>
      </c>
      <c r="B263" s="39"/>
      <c r="C263" s="40"/>
      <c r="D263" s="41"/>
      <c r="E263" s="40"/>
      <c r="F263" s="40"/>
    </row>
    <row r="264">
      <c r="A264" s="39" t="str">
        <f t="shared" si="1"/>
        <v/>
      </c>
      <c r="B264" s="39"/>
      <c r="C264" s="40"/>
      <c r="D264" s="41"/>
      <c r="E264" s="40"/>
      <c r="F264" s="40"/>
    </row>
    <row r="265">
      <c r="A265" s="39" t="str">
        <f t="shared" si="1"/>
        <v/>
      </c>
      <c r="B265" s="39"/>
      <c r="C265" s="40"/>
      <c r="D265" s="41"/>
      <c r="E265" s="40"/>
      <c r="F265" s="40"/>
    </row>
    <row r="266">
      <c r="A266" s="39" t="str">
        <f t="shared" si="1"/>
        <v/>
      </c>
      <c r="B266" s="39"/>
      <c r="C266" s="40"/>
      <c r="D266" s="41"/>
      <c r="E266" s="40"/>
      <c r="F266" s="40"/>
    </row>
    <row r="267">
      <c r="A267" s="39" t="str">
        <f t="shared" si="1"/>
        <v/>
      </c>
      <c r="B267" s="39"/>
      <c r="C267" s="40"/>
      <c r="D267" s="41"/>
      <c r="E267" s="40"/>
      <c r="F267" s="40"/>
    </row>
    <row r="268">
      <c r="A268" s="39" t="str">
        <f t="shared" si="1"/>
        <v/>
      </c>
      <c r="B268" s="39"/>
      <c r="C268" s="40"/>
      <c r="D268" s="41"/>
      <c r="E268" s="40"/>
      <c r="F268" s="40"/>
    </row>
    <row r="269">
      <c r="A269" s="39" t="str">
        <f t="shared" si="1"/>
        <v/>
      </c>
      <c r="B269" s="39"/>
      <c r="C269" s="40"/>
      <c r="D269" s="41"/>
      <c r="E269" s="40"/>
      <c r="F269" s="40"/>
    </row>
    <row r="270">
      <c r="A270" s="39" t="str">
        <f t="shared" si="1"/>
        <v/>
      </c>
      <c r="B270" s="39"/>
      <c r="C270" s="40"/>
      <c r="D270" s="41"/>
      <c r="E270" s="40"/>
      <c r="F270" s="40"/>
    </row>
    <row r="271">
      <c r="A271" s="39" t="str">
        <f t="shared" si="1"/>
        <v/>
      </c>
      <c r="B271" s="39"/>
      <c r="C271" s="40"/>
      <c r="D271" s="41"/>
      <c r="E271" s="40"/>
      <c r="F271" s="40"/>
    </row>
    <row r="272">
      <c r="A272" s="39" t="str">
        <f t="shared" si="1"/>
        <v/>
      </c>
      <c r="B272" s="39"/>
      <c r="C272" s="40"/>
      <c r="D272" s="41"/>
      <c r="E272" s="40"/>
      <c r="F272" s="40"/>
    </row>
    <row r="273">
      <c r="A273" s="39" t="str">
        <f t="shared" si="1"/>
        <v/>
      </c>
      <c r="B273" s="39"/>
      <c r="C273" s="40"/>
      <c r="D273" s="41"/>
      <c r="E273" s="40"/>
      <c r="F273" s="40"/>
    </row>
    <row r="274">
      <c r="A274" s="39" t="str">
        <f t="shared" si="1"/>
        <v/>
      </c>
      <c r="B274" s="39"/>
      <c r="C274" s="40"/>
      <c r="D274" s="41"/>
      <c r="E274" s="40"/>
      <c r="F274" s="40"/>
    </row>
    <row r="275">
      <c r="A275" s="39" t="str">
        <f t="shared" si="1"/>
        <v/>
      </c>
      <c r="B275" s="39"/>
      <c r="C275" s="40"/>
      <c r="D275" s="41"/>
      <c r="E275" s="40"/>
      <c r="F275" s="40"/>
    </row>
    <row r="276">
      <c r="A276" s="39" t="str">
        <f t="shared" si="1"/>
        <v/>
      </c>
      <c r="B276" s="39"/>
      <c r="C276" s="40"/>
      <c r="D276" s="41"/>
      <c r="E276" s="40"/>
      <c r="F276" s="40"/>
    </row>
    <row r="277">
      <c r="A277" s="39" t="str">
        <f t="shared" si="1"/>
        <v/>
      </c>
      <c r="B277" s="39"/>
      <c r="C277" s="40"/>
      <c r="D277" s="41"/>
      <c r="E277" s="40"/>
      <c r="F277" s="40"/>
    </row>
    <row r="278">
      <c r="A278" s="39" t="str">
        <f t="shared" si="1"/>
        <v/>
      </c>
      <c r="B278" s="39"/>
      <c r="C278" s="40"/>
      <c r="D278" s="41"/>
      <c r="E278" s="40"/>
      <c r="F278" s="40"/>
    </row>
    <row r="279">
      <c r="A279" s="39" t="str">
        <f t="shared" si="1"/>
        <v/>
      </c>
      <c r="B279" s="39"/>
      <c r="C279" s="40"/>
      <c r="D279" s="41"/>
      <c r="E279" s="40"/>
      <c r="F279" s="40"/>
    </row>
    <row r="280">
      <c r="A280" s="39" t="str">
        <f t="shared" si="1"/>
        <v/>
      </c>
      <c r="B280" s="39"/>
      <c r="C280" s="40"/>
      <c r="D280" s="41"/>
      <c r="E280" s="40"/>
      <c r="F280" s="40"/>
    </row>
    <row r="281">
      <c r="A281" s="39" t="str">
        <f t="shared" si="1"/>
        <v/>
      </c>
      <c r="B281" s="39"/>
      <c r="C281" s="40"/>
      <c r="D281" s="41"/>
      <c r="E281" s="40"/>
      <c r="F281" s="40"/>
    </row>
    <row r="282">
      <c r="A282" s="39" t="str">
        <f t="shared" si="1"/>
        <v/>
      </c>
      <c r="B282" s="39"/>
      <c r="C282" s="40"/>
      <c r="D282" s="41"/>
      <c r="E282" s="40"/>
      <c r="F282" s="40"/>
    </row>
    <row r="283">
      <c r="A283" s="39" t="str">
        <f t="shared" si="1"/>
        <v/>
      </c>
      <c r="B283" s="39"/>
      <c r="C283" s="40"/>
      <c r="D283" s="41"/>
      <c r="E283" s="40"/>
      <c r="F283" s="40"/>
    </row>
    <row r="284">
      <c r="A284" s="39" t="str">
        <f t="shared" si="1"/>
        <v/>
      </c>
      <c r="B284" s="39"/>
      <c r="C284" s="40"/>
      <c r="D284" s="41"/>
      <c r="E284" s="40"/>
      <c r="F284" s="40"/>
    </row>
    <row r="285">
      <c r="A285" s="39" t="str">
        <f t="shared" si="1"/>
        <v/>
      </c>
      <c r="B285" s="39"/>
      <c r="C285" s="40"/>
      <c r="D285" s="41"/>
      <c r="E285" s="40"/>
      <c r="F285" s="40"/>
    </row>
    <row r="286">
      <c r="A286" s="39" t="str">
        <f t="shared" si="1"/>
        <v/>
      </c>
      <c r="B286" s="39"/>
      <c r="C286" s="40"/>
      <c r="D286" s="41"/>
      <c r="E286" s="40"/>
      <c r="F286" s="40"/>
    </row>
    <row r="287">
      <c r="A287" s="39" t="str">
        <f t="shared" si="1"/>
        <v/>
      </c>
      <c r="B287" s="39"/>
      <c r="C287" s="40"/>
      <c r="D287" s="41"/>
      <c r="E287" s="40"/>
      <c r="F287" s="40"/>
    </row>
    <row r="288">
      <c r="A288" s="39" t="str">
        <f t="shared" si="1"/>
        <v/>
      </c>
      <c r="B288" s="39"/>
      <c r="C288" s="40"/>
      <c r="D288" s="41"/>
      <c r="E288" s="40"/>
      <c r="F288" s="40"/>
    </row>
    <row r="289">
      <c r="A289" s="39" t="str">
        <f t="shared" si="1"/>
        <v/>
      </c>
      <c r="B289" s="39"/>
      <c r="C289" s="40"/>
      <c r="D289" s="41"/>
      <c r="E289" s="40"/>
      <c r="F289" s="40"/>
    </row>
    <row r="290">
      <c r="A290" s="39" t="str">
        <f t="shared" si="1"/>
        <v/>
      </c>
      <c r="B290" s="39"/>
      <c r="C290" s="40"/>
      <c r="D290" s="41"/>
      <c r="E290" s="40"/>
      <c r="F290" s="40"/>
    </row>
    <row r="291">
      <c r="A291" s="39" t="str">
        <f t="shared" si="1"/>
        <v/>
      </c>
      <c r="B291" s="39"/>
      <c r="C291" s="40"/>
      <c r="D291" s="41"/>
      <c r="E291" s="40"/>
      <c r="F291" s="40"/>
    </row>
    <row r="292">
      <c r="A292" s="39" t="str">
        <f t="shared" si="1"/>
        <v/>
      </c>
      <c r="B292" s="39"/>
      <c r="C292" s="40"/>
      <c r="D292" s="41"/>
      <c r="E292" s="40"/>
      <c r="F292" s="40"/>
    </row>
    <row r="293">
      <c r="A293" s="39" t="str">
        <f t="shared" si="1"/>
        <v/>
      </c>
      <c r="B293" s="39"/>
      <c r="C293" s="40"/>
      <c r="D293" s="41"/>
      <c r="E293" s="40"/>
      <c r="F293" s="40"/>
    </row>
    <row r="294">
      <c r="A294" s="39" t="str">
        <f t="shared" si="1"/>
        <v/>
      </c>
      <c r="B294" s="39"/>
      <c r="C294" s="40"/>
      <c r="D294" s="41"/>
      <c r="E294" s="40"/>
      <c r="F294" s="40"/>
    </row>
    <row r="295">
      <c r="A295" s="39" t="str">
        <f t="shared" si="1"/>
        <v/>
      </c>
      <c r="B295" s="39"/>
      <c r="C295" s="40"/>
      <c r="D295" s="41"/>
      <c r="E295" s="40"/>
      <c r="F295" s="40"/>
    </row>
    <row r="296">
      <c r="A296" s="39" t="str">
        <f t="shared" si="1"/>
        <v/>
      </c>
      <c r="B296" s="39"/>
      <c r="C296" s="40"/>
      <c r="D296" s="41"/>
      <c r="E296" s="40"/>
      <c r="F296" s="40"/>
    </row>
    <row r="297">
      <c r="A297" s="39" t="str">
        <f t="shared" si="1"/>
        <v/>
      </c>
      <c r="B297" s="39"/>
      <c r="C297" s="40"/>
      <c r="D297" s="41"/>
      <c r="E297" s="40"/>
      <c r="F297" s="40"/>
    </row>
    <row r="298">
      <c r="A298" s="39" t="str">
        <f t="shared" si="1"/>
        <v/>
      </c>
      <c r="B298" s="39"/>
      <c r="C298" s="40"/>
      <c r="D298" s="41"/>
      <c r="E298" s="40"/>
      <c r="F298" s="40"/>
    </row>
    <row r="299">
      <c r="A299" s="39" t="str">
        <f t="shared" si="1"/>
        <v/>
      </c>
      <c r="B299" s="39"/>
      <c r="C299" s="40"/>
      <c r="D299" s="41"/>
      <c r="E299" s="40"/>
      <c r="F299" s="40"/>
    </row>
    <row r="300">
      <c r="A300" s="39" t="str">
        <f t="shared" si="1"/>
        <v/>
      </c>
      <c r="B300" s="39"/>
      <c r="C300" s="40"/>
      <c r="D300" s="41"/>
      <c r="E300" s="40"/>
      <c r="F300" s="40"/>
    </row>
    <row r="301">
      <c r="A301" s="39" t="str">
        <f t="shared" si="1"/>
        <v/>
      </c>
      <c r="B301" s="39"/>
      <c r="C301" s="40"/>
      <c r="D301" s="41"/>
      <c r="E301" s="40"/>
      <c r="F301" s="40"/>
    </row>
    <row r="302">
      <c r="A302" s="39" t="str">
        <f t="shared" si="1"/>
        <v/>
      </c>
      <c r="B302" s="39"/>
      <c r="C302" s="40"/>
      <c r="D302" s="41"/>
      <c r="E302" s="40"/>
      <c r="F302" s="40"/>
    </row>
    <row r="303">
      <c r="A303" s="39" t="str">
        <f t="shared" si="1"/>
        <v/>
      </c>
      <c r="B303" s="39"/>
      <c r="C303" s="40"/>
      <c r="D303" s="41"/>
      <c r="E303" s="40"/>
      <c r="F303" s="40"/>
    </row>
    <row r="304">
      <c r="A304" s="39" t="str">
        <f t="shared" si="1"/>
        <v/>
      </c>
      <c r="B304" s="39"/>
      <c r="C304" s="40"/>
      <c r="D304" s="41"/>
      <c r="E304" s="40"/>
      <c r="F304" s="40"/>
    </row>
    <row r="305">
      <c r="A305" s="39" t="str">
        <f t="shared" si="1"/>
        <v/>
      </c>
      <c r="B305" s="39"/>
      <c r="C305" s="40"/>
      <c r="D305" s="41"/>
      <c r="E305" s="40"/>
      <c r="F305" s="40"/>
    </row>
    <row r="306">
      <c r="A306" s="39" t="str">
        <f t="shared" si="1"/>
        <v/>
      </c>
      <c r="B306" s="39"/>
      <c r="C306" s="40"/>
      <c r="D306" s="41"/>
      <c r="E306" s="40"/>
      <c r="F306" s="40"/>
    </row>
    <row r="307">
      <c r="A307" s="39" t="str">
        <f t="shared" si="1"/>
        <v/>
      </c>
      <c r="B307" s="39"/>
      <c r="C307" s="40"/>
      <c r="D307" s="41"/>
      <c r="E307" s="40"/>
      <c r="F307" s="40"/>
    </row>
    <row r="308">
      <c r="A308" s="39" t="str">
        <f t="shared" si="1"/>
        <v/>
      </c>
      <c r="B308" s="39"/>
      <c r="C308" s="40"/>
      <c r="D308" s="41"/>
      <c r="E308" s="40"/>
      <c r="F308" s="40"/>
    </row>
    <row r="309">
      <c r="A309" s="39" t="str">
        <f t="shared" si="1"/>
        <v/>
      </c>
      <c r="B309" s="39"/>
      <c r="C309" s="40"/>
      <c r="D309" s="41"/>
      <c r="E309" s="40"/>
      <c r="F309" s="40"/>
    </row>
    <row r="310">
      <c r="A310" s="39" t="str">
        <f t="shared" si="1"/>
        <v/>
      </c>
      <c r="B310" s="39"/>
      <c r="C310" s="40"/>
      <c r="D310" s="41"/>
      <c r="E310" s="40"/>
      <c r="F310" s="40"/>
    </row>
    <row r="311">
      <c r="A311" s="39" t="str">
        <f t="shared" si="1"/>
        <v/>
      </c>
      <c r="B311" s="39"/>
      <c r="C311" s="40"/>
      <c r="D311" s="41"/>
      <c r="E311" s="40"/>
      <c r="F311" s="40"/>
    </row>
    <row r="312">
      <c r="A312" s="39" t="str">
        <f t="shared" si="1"/>
        <v/>
      </c>
      <c r="B312" s="39"/>
      <c r="C312" s="40"/>
      <c r="D312" s="41"/>
      <c r="E312" s="40"/>
      <c r="F312" s="40"/>
    </row>
    <row r="313">
      <c r="A313" s="39" t="str">
        <f t="shared" si="1"/>
        <v/>
      </c>
      <c r="B313" s="39"/>
      <c r="C313" s="40"/>
      <c r="D313" s="41"/>
      <c r="E313" s="40"/>
      <c r="F313" s="40"/>
    </row>
    <row r="314">
      <c r="A314" s="39" t="str">
        <f t="shared" si="1"/>
        <v/>
      </c>
      <c r="B314" s="39"/>
      <c r="C314" s="40"/>
      <c r="D314" s="41"/>
      <c r="E314" s="40"/>
      <c r="F314" s="40"/>
    </row>
    <row r="315">
      <c r="A315" s="39" t="str">
        <f t="shared" si="1"/>
        <v/>
      </c>
      <c r="B315" s="39"/>
      <c r="C315" s="40"/>
      <c r="D315" s="41"/>
      <c r="E315" s="40"/>
      <c r="F315" s="40"/>
    </row>
    <row r="316">
      <c r="A316" s="39" t="str">
        <f t="shared" si="1"/>
        <v/>
      </c>
      <c r="B316" s="39"/>
      <c r="C316" s="40"/>
      <c r="D316" s="41"/>
      <c r="E316" s="40"/>
      <c r="F316" s="40"/>
    </row>
    <row r="317">
      <c r="A317" s="39" t="str">
        <f t="shared" si="1"/>
        <v/>
      </c>
      <c r="B317" s="39"/>
      <c r="C317" s="40"/>
      <c r="D317" s="41"/>
      <c r="E317" s="40"/>
      <c r="F317" s="40"/>
    </row>
    <row r="318">
      <c r="A318" s="39" t="str">
        <f t="shared" si="1"/>
        <v/>
      </c>
      <c r="B318" s="39"/>
      <c r="C318" s="40"/>
      <c r="D318" s="41"/>
      <c r="E318" s="40"/>
      <c r="F318" s="40"/>
    </row>
    <row r="319">
      <c r="A319" s="39" t="str">
        <f t="shared" si="1"/>
        <v/>
      </c>
      <c r="B319" s="39"/>
      <c r="C319" s="40"/>
      <c r="D319" s="41"/>
      <c r="E319" s="40"/>
      <c r="F319" s="40"/>
    </row>
    <row r="320">
      <c r="A320" s="39" t="str">
        <f t="shared" si="1"/>
        <v/>
      </c>
      <c r="B320" s="39"/>
      <c r="C320" s="40"/>
      <c r="D320" s="41"/>
      <c r="E320" s="40"/>
      <c r="F320" s="40"/>
    </row>
    <row r="321">
      <c r="A321" s="39" t="str">
        <f t="shared" si="1"/>
        <v/>
      </c>
      <c r="B321" s="39"/>
      <c r="C321" s="40"/>
      <c r="D321" s="41"/>
      <c r="E321" s="40"/>
      <c r="F321" s="40"/>
    </row>
    <row r="322">
      <c r="A322" s="39" t="str">
        <f t="shared" si="1"/>
        <v/>
      </c>
      <c r="B322" s="39"/>
      <c r="C322" s="40"/>
      <c r="D322" s="41"/>
      <c r="E322" s="40"/>
      <c r="F322" s="40"/>
    </row>
    <row r="323">
      <c r="A323" s="39" t="str">
        <f t="shared" si="1"/>
        <v/>
      </c>
      <c r="B323" s="39"/>
      <c r="C323" s="40"/>
      <c r="D323" s="41"/>
      <c r="E323" s="40"/>
      <c r="F323" s="40"/>
    </row>
    <row r="324">
      <c r="A324" s="39" t="str">
        <f t="shared" si="1"/>
        <v/>
      </c>
      <c r="B324" s="39"/>
      <c r="C324" s="40"/>
      <c r="D324" s="41"/>
      <c r="E324" s="40"/>
      <c r="F324" s="40"/>
    </row>
    <row r="325">
      <c r="A325" s="39" t="str">
        <f t="shared" si="1"/>
        <v/>
      </c>
      <c r="B325" s="39"/>
      <c r="C325" s="40"/>
      <c r="D325" s="41"/>
      <c r="E325" s="40"/>
      <c r="F325" s="40"/>
    </row>
    <row r="326">
      <c r="A326" s="39" t="str">
        <f t="shared" si="1"/>
        <v/>
      </c>
      <c r="B326" s="39"/>
      <c r="C326" s="40"/>
      <c r="D326" s="41"/>
      <c r="E326" s="40"/>
      <c r="F326" s="40"/>
    </row>
    <row r="327">
      <c r="A327" s="39" t="str">
        <f t="shared" si="1"/>
        <v/>
      </c>
      <c r="B327" s="39"/>
      <c r="C327" s="40"/>
      <c r="D327" s="41"/>
      <c r="E327" s="40"/>
      <c r="F327" s="40"/>
    </row>
    <row r="328">
      <c r="A328" s="39" t="str">
        <f t="shared" si="1"/>
        <v/>
      </c>
      <c r="B328" s="39"/>
      <c r="C328" s="40"/>
      <c r="D328" s="41"/>
      <c r="E328" s="40"/>
      <c r="F328" s="40"/>
    </row>
    <row r="329">
      <c r="A329" s="39" t="str">
        <f t="shared" si="1"/>
        <v/>
      </c>
      <c r="B329" s="39"/>
      <c r="C329" s="40"/>
      <c r="D329" s="41"/>
      <c r="E329" s="40"/>
      <c r="F329" s="40"/>
    </row>
    <row r="330">
      <c r="A330" s="39" t="str">
        <f t="shared" si="1"/>
        <v/>
      </c>
      <c r="B330" s="39"/>
      <c r="C330" s="40"/>
      <c r="D330" s="41"/>
      <c r="E330" s="40"/>
      <c r="F330" s="40"/>
    </row>
    <row r="331">
      <c r="A331" s="39" t="str">
        <f t="shared" si="1"/>
        <v/>
      </c>
      <c r="B331" s="39"/>
      <c r="C331" s="40"/>
      <c r="D331" s="41"/>
      <c r="E331" s="40"/>
      <c r="F331" s="40"/>
    </row>
    <row r="332">
      <c r="A332" s="39" t="str">
        <f t="shared" si="1"/>
        <v/>
      </c>
      <c r="B332" s="39"/>
      <c r="C332" s="40"/>
      <c r="D332" s="41"/>
      <c r="E332" s="40"/>
      <c r="F332" s="40"/>
    </row>
    <row r="333">
      <c r="A333" s="39" t="str">
        <f t="shared" si="1"/>
        <v/>
      </c>
      <c r="B333" s="39"/>
      <c r="C333" s="40"/>
      <c r="D333" s="41"/>
      <c r="E333" s="40"/>
      <c r="F333" s="40"/>
    </row>
    <row r="334">
      <c r="A334" s="39" t="str">
        <f t="shared" si="1"/>
        <v/>
      </c>
      <c r="B334" s="39"/>
      <c r="C334" s="40"/>
      <c r="D334" s="41"/>
      <c r="E334" s="40"/>
      <c r="F334" s="40"/>
    </row>
    <row r="335">
      <c r="A335" s="39" t="str">
        <f t="shared" si="1"/>
        <v/>
      </c>
      <c r="B335" s="39"/>
      <c r="C335" s="40"/>
      <c r="D335" s="41"/>
      <c r="E335" s="40"/>
      <c r="F335" s="40"/>
    </row>
    <row r="336">
      <c r="A336" s="39" t="str">
        <f t="shared" si="1"/>
        <v/>
      </c>
      <c r="B336" s="39"/>
      <c r="C336" s="40"/>
      <c r="D336" s="41"/>
      <c r="E336" s="40"/>
      <c r="F336" s="40"/>
    </row>
    <row r="337">
      <c r="A337" s="39" t="str">
        <f t="shared" si="1"/>
        <v/>
      </c>
      <c r="B337" s="39"/>
      <c r="C337" s="40"/>
      <c r="D337" s="41"/>
      <c r="E337" s="40"/>
      <c r="F337" s="40"/>
    </row>
    <row r="338">
      <c r="A338" s="39" t="str">
        <f t="shared" si="1"/>
        <v/>
      </c>
      <c r="B338" s="39"/>
      <c r="C338" s="40"/>
      <c r="D338" s="41"/>
      <c r="E338" s="40"/>
      <c r="F338" s="40"/>
    </row>
    <row r="339">
      <c r="A339" s="39" t="str">
        <f t="shared" si="1"/>
        <v/>
      </c>
      <c r="B339" s="39"/>
      <c r="C339" s="40"/>
      <c r="D339" s="41"/>
      <c r="E339" s="40"/>
      <c r="F339" s="40"/>
    </row>
    <row r="340">
      <c r="A340" s="39" t="str">
        <f t="shared" si="1"/>
        <v/>
      </c>
      <c r="B340" s="39"/>
      <c r="C340" s="40"/>
      <c r="D340" s="41"/>
      <c r="E340" s="40"/>
      <c r="F340" s="40"/>
    </row>
    <row r="341">
      <c r="A341" s="39" t="str">
        <f t="shared" si="1"/>
        <v/>
      </c>
      <c r="B341" s="39"/>
      <c r="C341" s="40"/>
      <c r="D341" s="41"/>
      <c r="E341" s="40"/>
      <c r="F341" s="40"/>
    </row>
    <row r="342">
      <c r="A342" s="39" t="str">
        <f t="shared" si="1"/>
        <v/>
      </c>
      <c r="B342" s="39"/>
      <c r="C342" s="40"/>
      <c r="D342" s="41"/>
      <c r="E342" s="40"/>
      <c r="F342" s="40"/>
    </row>
    <row r="343">
      <c r="A343" s="39" t="str">
        <f t="shared" si="1"/>
        <v/>
      </c>
      <c r="B343" s="39"/>
      <c r="C343" s="40"/>
      <c r="D343" s="41"/>
      <c r="E343" s="40"/>
      <c r="F343" s="40"/>
    </row>
    <row r="344">
      <c r="A344" s="39" t="str">
        <f t="shared" si="1"/>
        <v/>
      </c>
      <c r="B344" s="39"/>
      <c r="C344" s="40"/>
      <c r="D344" s="41"/>
      <c r="E344" s="40"/>
      <c r="F344" s="40"/>
    </row>
    <row r="345">
      <c r="A345" s="39" t="str">
        <f t="shared" si="1"/>
        <v/>
      </c>
      <c r="B345" s="39"/>
      <c r="C345" s="40"/>
      <c r="D345" s="41"/>
      <c r="E345" s="40"/>
      <c r="F345" s="40"/>
    </row>
    <row r="346">
      <c r="A346" s="39" t="str">
        <f t="shared" si="1"/>
        <v/>
      </c>
      <c r="B346" s="39"/>
      <c r="C346" s="40"/>
      <c r="D346" s="41"/>
      <c r="E346" s="40"/>
      <c r="F346" s="40"/>
    </row>
    <row r="347">
      <c r="A347" s="39" t="str">
        <f t="shared" si="1"/>
        <v/>
      </c>
      <c r="B347" s="39"/>
      <c r="C347" s="40"/>
      <c r="D347" s="41"/>
      <c r="E347" s="40"/>
      <c r="F347" s="40"/>
    </row>
    <row r="348">
      <c r="A348" s="39" t="str">
        <f t="shared" si="1"/>
        <v/>
      </c>
      <c r="B348" s="39"/>
      <c r="C348" s="40"/>
      <c r="D348" s="41"/>
      <c r="E348" s="40"/>
      <c r="F348" s="40"/>
    </row>
    <row r="349">
      <c r="A349" s="39" t="str">
        <f t="shared" si="1"/>
        <v/>
      </c>
      <c r="B349" s="39"/>
      <c r="C349" s="40"/>
      <c r="D349" s="41"/>
      <c r="E349" s="40"/>
      <c r="F349" s="40"/>
    </row>
    <row r="350">
      <c r="A350" s="39" t="str">
        <f t="shared" si="1"/>
        <v/>
      </c>
      <c r="B350" s="39"/>
      <c r="C350" s="40"/>
      <c r="D350" s="41"/>
      <c r="E350" s="40"/>
      <c r="F350" s="40"/>
    </row>
    <row r="351">
      <c r="A351" s="39" t="str">
        <f t="shared" si="1"/>
        <v/>
      </c>
      <c r="B351" s="39"/>
      <c r="C351" s="40"/>
      <c r="D351" s="41"/>
      <c r="E351" s="40"/>
      <c r="F351" s="40"/>
    </row>
    <row r="352">
      <c r="A352" s="39" t="str">
        <f t="shared" si="1"/>
        <v/>
      </c>
      <c r="B352" s="39"/>
      <c r="C352" s="40"/>
      <c r="D352" s="41"/>
      <c r="E352" s="40"/>
      <c r="F352" s="40"/>
    </row>
    <row r="353">
      <c r="A353" s="39" t="str">
        <f t="shared" si="1"/>
        <v/>
      </c>
      <c r="B353" s="39"/>
      <c r="C353" s="40"/>
      <c r="D353" s="41"/>
      <c r="E353" s="40"/>
      <c r="F353" s="40"/>
    </row>
    <row r="354">
      <c r="A354" s="39" t="str">
        <f t="shared" si="1"/>
        <v/>
      </c>
      <c r="B354" s="39"/>
      <c r="C354" s="40"/>
      <c r="D354" s="41"/>
      <c r="E354" s="40"/>
      <c r="F354" s="40"/>
    </row>
    <row r="355">
      <c r="A355" s="39" t="str">
        <f t="shared" si="1"/>
        <v/>
      </c>
      <c r="B355" s="39"/>
      <c r="C355" s="40"/>
      <c r="D355" s="41"/>
      <c r="E355" s="40"/>
      <c r="F355" s="40"/>
    </row>
    <row r="356">
      <c r="A356" s="39" t="str">
        <f t="shared" si="1"/>
        <v/>
      </c>
      <c r="B356" s="39"/>
      <c r="C356" s="40"/>
      <c r="D356" s="41"/>
      <c r="E356" s="40"/>
      <c r="F356" s="40"/>
    </row>
    <row r="357">
      <c r="A357" s="39" t="str">
        <f t="shared" si="1"/>
        <v/>
      </c>
      <c r="B357" s="39"/>
      <c r="C357" s="40"/>
      <c r="D357" s="41"/>
      <c r="E357" s="40"/>
      <c r="F357" s="40"/>
    </row>
    <row r="358">
      <c r="A358" s="39" t="str">
        <f t="shared" si="1"/>
        <v/>
      </c>
      <c r="B358" s="39"/>
      <c r="C358" s="40"/>
      <c r="D358" s="41"/>
      <c r="E358" s="40"/>
      <c r="F358" s="40"/>
    </row>
    <row r="359">
      <c r="A359" s="39" t="str">
        <f t="shared" si="1"/>
        <v/>
      </c>
      <c r="B359" s="39"/>
      <c r="C359" s="40"/>
      <c r="D359" s="41"/>
      <c r="E359" s="40"/>
      <c r="F359" s="40"/>
    </row>
    <row r="360">
      <c r="A360" s="39" t="str">
        <f t="shared" si="1"/>
        <v/>
      </c>
      <c r="B360" s="39"/>
      <c r="C360" s="40"/>
      <c r="D360" s="41"/>
      <c r="E360" s="40"/>
      <c r="F360" s="40"/>
    </row>
    <row r="361">
      <c r="A361" s="39" t="str">
        <f t="shared" si="1"/>
        <v/>
      </c>
      <c r="B361" s="39"/>
      <c r="C361" s="40"/>
      <c r="D361" s="41"/>
      <c r="E361" s="40"/>
      <c r="F361" s="40"/>
    </row>
    <row r="362">
      <c r="A362" s="39" t="str">
        <f t="shared" si="1"/>
        <v/>
      </c>
      <c r="B362" s="39"/>
      <c r="C362" s="40"/>
      <c r="D362" s="41"/>
      <c r="E362" s="40"/>
      <c r="F362" s="40"/>
    </row>
    <row r="363">
      <c r="A363" s="39" t="str">
        <f t="shared" si="1"/>
        <v/>
      </c>
      <c r="B363" s="39"/>
      <c r="C363" s="40"/>
      <c r="D363" s="41"/>
      <c r="E363" s="40"/>
      <c r="F363" s="40"/>
    </row>
    <row r="364">
      <c r="A364" s="39" t="str">
        <f t="shared" si="1"/>
        <v/>
      </c>
      <c r="B364" s="39"/>
      <c r="C364" s="40"/>
      <c r="D364" s="41"/>
      <c r="E364" s="40"/>
      <c r="F364" s="40"/>
    </row>
    <row r="365">
      <c r="A365" s="39" t="str">
        <f t="shared" si="1"/>
        <v/>
      </c>
      <c r="B365" s="39"/>
      <c r="C365" s="40"/>
      <c r="D365" s="41"/>
      <c r="E365" s="40"/>
      <c r="F365" s="40"/>
    </row>
    <row r="366">
      <c r="A366" s="39" t="str">
        <f t="shared" si="1"/>
        <v/>
      </c>
      <c r="B366" s="39"/>
      <c r="C366" s="40"/>
      <c r="D366" s="41"/>
      <c r="E366" s="40"/>
      <c r="F366" s="40"/>
    </row>
    <row r="367">
      <c r="A367" s="39" t="str">
        <f t="shared" si="1"/>
        <v/>
      </c>
      <c r="B367" s="39"/>
      <c r="C367" s="40"/>
      <c r="D367" s="41"/>
      <c r="E367" s="40"/>
      <c r="F367" s="40"/>
    </row>
    <row r="368">
      <c r="A368" s="39" t="str">
        <f t="shared" si="1"/>
        <v/>
      </c>
      <c r="B368" s="39"/>
      <c r="C368" s="40"/>
      <c r="D368" s="41"/>
      <c r="E368" s="40"/>
      <c r="F368" s="40"/>
    </row>
    <row r="369">
      <c r="A369" s="39" t="str">
        <f t="shared" si="1"/>
        <v/>
      </c>
      <c r="B369" s="39"/>
      <c r="C369" s="40"/>
      <c r="D369" s="41"/>
      <c r="E369" s="40"/>
      <c r="F369" s="40"/>
    </row>
    <row r="370">
      <c r="A370" s="39" t="str">
        <f t="shared" si="1"/>
        <v/>
      </c>
      <c r="B370" s="39"/>
      <c r="C370" s="40"/>
      <c r="D370" s="41"/>
      <c r="E370" s="40"/>
      <c r="F370" s="40"/>
    </row>
    <row r="371">
      <c r="A371" s="39" t="str">
        <f t="shared" si="1"/>
        <v/>
      </c>
      <c r="B371" s="39"/>
      <c r="C371" s="40"/>
      <c r="D371" s="41"/>
      <c r="E371" s="40"/>
      <c r="F371" s="40"/>
    </row>
    <row r="372">
      <c r="A372" s="39" t="str">
        <f t="shared" si="1"/>
        <v/>
      </c>
      <c r="B372" s="39"/>
      <c r="C372" s="40"/>
      <c r="D372" s="41"/>
      <c r="E372" s="40"/>
      <c r="F372" s="40"/>
    </row>
    <row r="373">
      <c r="A373" s="39" t="str">
        <f t="shared" si="1"/>
        <v/>
      </c>
      <c r="B373" s="39"/>
      <c r="C373" s="40"/>
      <c r="D373" s="41"/>
      <c r="E373" s="40"/>
      <c r="F373" s="40"/>
    </row>
    <row r="374">
      <c r="A374" s="39" t="str">
        <f t="shared" si="1"/>
        <v/>
      </c>
      <c r="B374" s="39"/>
      <c r="C374" s="40"/>
      <c r="D374" s="41"/>
      <c r="E374" s="40"/>
      <c r="F374" s="40"/>
    </row>
    <row r="375">
      <c r="A375" s="39" t="str">
        <f t="shared" si="1"/>
        <v/>
      </c>
      <c r="B375" s="39"/>
      <c r="C375" s="40"/>
      <c r="D375" s="41"/>
      <c r="E375" s="40"/>
      <c r="F375" s="40"/>
    </row>
    <row r="376">
      <c r="A376" s="39" t="str">
        <f t="shared" si="1"/>
        <v/>
      </c>
      <c r="B376" s="39"/>
      <c r="C376" s="40"/>
      <c r="D376" s="41"/>
      <c r="E376" s="40"/>
      <c r="F376" s="40"/>
    </row>
    <row r="377">
      <c r="A377" s="39" t="str">
        <f t="shared" si="1"/>
        <v/>
      </c>
      <c r="B377" s="39"/>
      <c r="C377" s="40"/>
      <c r="D377" s="41"/>
      <c r="E377" s="40"/>
      <c r="F377" s="40"/>
    </row>
    <row r="378">
      <c r="A378" s="39" t="str">
        <f t="shared" si="1"/>
        <v/>
      </c>
      <c r="B378" s="39"/>
      <c r="C378" s="40"/>
      <c r="D378" s="41"/>
      <c r="E378" s="40"/>
      <c r="F378" s="40"/>
    </row>
    <row r="379">
      <c r="A379" s="39" t="str">
        <f t="shared" si="1"/>
        <v/>
      </c>
      <c r="B379" s="39"/>
      <c r="C379" s="40"/>
      <c r="D379" s="41"/>
      <c r="E379" s="40"/>
      <c r="F379" s="40"/>
    </row>
    <row r="380">
      <c r="A380" s="39" t="str">
        <f t="shared" si="1"/>
        <v/>
      </c>
      <c r="B380" s="39"/>
      <c r="C380" s="40"/>
      <c r="D380" s="41"/>
      <c r="E380" s="40"/>
      <c r="F380" s="40"/>
    </row>
    <row r="381">
      <c r="A381" s="39" t="str">
        <f t="shared" si="1"/>
        <v/>
      </c>
      <c r="B381" s="39"/>
      <c r="C381" s="40"/>
      <c r="D381" s="41"/>
      <c r="E381" s="40"/>
      <c r="F381" s="40"/>
    </row>
    <row r="382">
      <c r="A382" s="39" t="str">
        <f t="shared" si="1"/>
        <v/>
      </c>
      <c r="B382" s="39"/>
      <c r="C382" s="40"/>
      <c r="D382" s="41"/>
      <c r="E382" s="40"/>
      <c r="F382" s="40"/>
    </row>
    <row r="383">
      <c r="A383" s="39" t="str">
        <f t="shared" si="1"/>
        <v/>
      </c>
      <c r="B383" s="39"/>
      <c r="C383" s="40"/>
      <c r="D383" s="41"/>
      <c r="E383" s="40"/>
      <c r="F383" s="40"/>
    </row>
    <row r="384">
      <c r="A384" s="39" t="str">
        <f t="shared" si="1"/>
        <v/>
      </c>
      <c r="B384" s="39"/>
      <c r="C384" s="40"/>
      <c r="D384" s="41"/>
      <c r="E384" s="40"/>
      <c r="F384" s="40"/>
    </row>
    <row r="385">
      <c r="A385" s="39" t="str">
        <f t="shared" si="1"/>
        <v/>
      </c>
      <c r="B385" s="39"/>
      <c r="C385" s="40"/>
      <c r="D385" s="41"/>
      <c r="E385" s="40"/>
      <c r="F385" s="40"/>
    </row>
    <row r="386">
      <c r="A386" s="39" t="str">
        <f t="shared" si="1"/>
        <v/>
      </c>
      <c r="B386" s="39"/>
      <c r="C386" s="40"/>
      <c r="D386" s="41"/>
      <c r="E386" s="40"/>
      <c r="F386" s="40"/>
    </row>
    <row r="387">
      <c r="A387" s="39" t="str">
        <f t="shared" si="1"/>
        <v/>
      </c>
      <c r="B387" s="39"/>
      <c r="C387" s="40"/>
      <c r="D387" s="41"/>
      <c r="E387" s="40"/>
      <c r="F387" s="40"/>
    </row>
    <row r="388">
      <c r="A388" s="39" t="str">
        <f t="shared" si="1"/>
        <v/>
      </c>
      <c r="B388" s="39"/>
      <c r="C388" s="40"/>
      <c r="D388" s="41"/>
      <c r="E388" s="40"/>
      <c r="F388" s="40"/>
    </row>
    <row r="389">
      <c r="A389" s="39" t="str">
        <f t="shared" si="1"/>
        <v/>
      </c>
      <c r="B389" s="39"/>
      <c r="C389" s="40"/>
      <c r="D389" s="41"/>
      <c r="E389" s="40"/>
      <c r="F389" s="40"/>
    </row>
    <row r="390">
      <c r="A390" s="39" t="str">
        <f t="shared" si="1"/>
        <v/>
      </c>
      <c r="B390" s="39"/>
      <c r="C390" s="40"/>
      <c r="D390" s="41"/>
      <c r="E390" s="40"/>
      <c r="F390" s="40"/>
    </row>
    <row r="391">
      <c r="A391" s="39" t="str">
        <f t="shared" si="1"/>
        <v/>
      </c>
      <c r="B391" s="39"/>
      <c r="C391" s="40"/>
      <c r="D391" s="41"/>
      <c r="E391" s="40"/>
      <c r="F391" s="40"/>
    </row>
    <row r="392">
      <c r="A392" s="39" t="str">
        <f t="shared" si="1"/>
        <v/>
      </c>
      <c r="B392" s="39"/>
      <c r="C392" s="40"/>
      <c r="D392" s="41"/>
      <c r="E392" s="40"/>
      <c r="F392" s="40"/>
    </row>
    <row r="393">
      <c r="A393" s="39" t="str">
        <f t="shared" si="1"/>
        <v/>
      </c>
      <c r="B393" s="39"/>
      <c r="C393" s="40"/>
      <c r="D393" s="41"/>
      <c r="E393" s="40"/>
      <c r="F393" s="40"/>
    </row>
    <row r="394">
      <c r="A394" s="39" t="str">
        <f t="shared" si="1"/>
        <v/>
      </c>
      <c r="B394" s="39"/>
      <c r="C394" s="40"/>
      <c r="D394" s="41"/>
      <c r="E394" s="40"/>
      <c r="F394" s="40"/>
    </row>
    <row r="395">
      <c r="A395" s="39" t="str">
        <f t="shared" si="1"/>
        <v/>
      </c>
      <c r="B395" s="39"/>
      <c r="C395" s="40"/>
      <c r="D395" s="41"/>
      <c r="E395" s="40"/>
      <c r="F395" s="40"/>
    </row>
    <row r="396">
      <c r="A396" s="39" t="str">
        <f t="shared" si="1"/>
        <v/>
      </c>
      <c r="B396" s="39"/>
      <c r="C396" s="40"/>
      <c r="D396" s="41"/>
      <c r="E396" s="40"/>
      <c r="F396" s="40"/>
    </row>
    <row r="397">
      <c r="A397" s="39" t="str">
        <f t="shared" si="1"/>
        <v/>
      </c>
      <c r="B397" s="39"/>
      <c r="C397" s="40"/>
      <c r="D397" s="41"/>
      <c r="E397" s="40"/>
      <c r="F397" s="40"/>
    </row>
    <row r="398">
      <c r="A398" s="39" t="str">
        <f t="shared" si="1"/>
        <v/>
      </c>
      <c r="B398" s="39"/>
      <c r="C398" s="40"/>
      <c r="D398" s="41"/>
      <c r="E398" s="40"/>
      <c r="F398" s="40"/>
    </row>
    <row r="399">
      <c r="A399" s="39" t="str">
        <f t="shared" si="1"/>
        <v/>
      </c>
      <c r="B399" s="39"/>
      <c r="C399" s="40"/>
      <c r="D399" s="41"/>
      <c r="E399" s="40"/>
      <c r="F399" s="40"/>
    </row>
    <row r="400">
      <c r="A400" s="39" t="str">
        <f t="shared" si="1"/>
        <v/>
      </c>
      <c r="B400" s="39"/>
      <c r="C400" s="40"/>
      <c r="D400" s="41"/>
      <c r="E400" s="40"/>
      <c r="F400" s="40"/>
    </row>
    <row r="401">
      <c r="A401" s="39" t="str">
        <f t="shared" si="1"/>
        <v/>
      </c>
      <c r="B401" s="39"/>
      <c r="C401" s="40"/>
      <c r="D401" s="41"/>
      <c r="E401" s="40"/>
      <c r="F401" s="40"/>
    </row>
    <row r="402">
      <c r="A402" s="39" t="str">
        <f t="shared" si="1"/>
        <v/>
      </c>
      <c r="B402" s="39"/>
      <c r="C402" s="40"/>
      <c r="D402" s="41"/>
      <c r="E402" s="40"/>
      <c r="F402" s="40"/>
    </row>
    <row r="403">
      <c r="A403" s="39" t="str">
        <f t="shared" si="1"/>
        <v/>
      </c>
      <c r="B403" s="39"/>
      <c r="C403" s="40"/>
      <c r="D403" s="41"/>
      <c r="E403" s="40"/>
      <c r="F403" s="40"/>
    </row>
    <row r="404">
      <c r="A404" s="39" t="str">
        <f t="shared" si="1"/>
        <v/>
      </c>
      <c r="B404" s="39"/>
      <c r="C404" s="40"/>
      <c r="D404" s="41"/>
      <c r="E404" s="40"/>
      <c r="F404" s="40"/>
    </row>
    <row r="405">
      <c r="A405" s="39" t="str">
        <f t="shared" si="1"/>
        <v/>
      </c>
      <c r="B405" s="39"/>
      <c r="C405" s="40"/>
      <c r="D405" s="41"/>
      <c r="E405" s="40"/>
      <c r="F405" s="40"/>
    </row>
    <row r="406">
      <c r="A406" s="39" t="str">
        <f t="shared" si="1"/>
        <v/>
      </c>
      <c r="B406" s="39"/>
      <c r="C406" s="40"/>
      <c r="D406" s="41"/>
      <c r="E406" s="40"/>
      <c r="F406" s="40"/>
    </row>
    <row r="407">
      <c r="A407" s="39" t="str">
        <f t="shared" si="1"/>
        <v/>
      </c>
      <c r="B407" s="39"/>
      <c r="C407" s="40"/>
      <c r="D407" s="41"/>
      <c r="E407" s="40"/>
      <c r="F407" s="40"/>
    </row>
    <row r="408">
      <c r="A408" s="39" t="str">
        <f t="shared" si="1"/>
        <v/>
      </c>
      <c r="B408" s="39"/>
      <c r="C408" s="40"/>
      <c r="D408" s="41"/>
      <c r="E408" s="40"/>
      <c r="F408" s="40"/>
    </row>
    <row r="409">
      <c r="A409" s="39" t="str">
        <f t="shared" si="1"/>
        <v/>
      </c>
      <c r="B409" s="39"/>
      <c r="C409" s="40"/>
      <c r="D409" s="41"/>
      <c r="E409" s="40"/>
      <c r="F409" s="40"/>
    </row>
    <row r="410">
      <c r="A410" s="39" t="str">
        <f t="shared" si="1"/>
        <v/>
      </c>
      <c r="B410" s="39"/>
      <c r="C410" s="40"/>
      <c r="D410" s="41"/>
      <c r="E410" s="40"/>
      <c r="F410" s="40"/>
    </row>
    <row r="411">
      <c r="A411" s="39" t="str">
        <f t="shared" si="1"/>
        <v/>
      </c>
      <c r="B411" s="39"/>
      <c r="C411" s="40"/>
      <c r="D411" s="41"/>
      <c r="E411" s="40"/>
      <c r="F411" s="40"/>
    </row>
    <row r="412">
      <c r="A412" s="39" t="str">
        <f t="shared" si="1"/>
        <v/>
      </c>
      <c r="B412" s="39"/>
      <c r="C412" s="40"/>
      <c r="D412" s="41"/>
      <c r="E412" s="40"/>
      <c r="F412" s="40"/>
    </row>
    <row r="413">
      <c r="A413" s="39" t="str">
        <f t="shared" si="1"/>
        <v/>
      </c>
      <c r="B413" s="39"/>
      <c r="C413" s="40"/>
      <c r="D413" s="41"/>
      <c r="E413" s="40"/>
      <c r="F413" s="40"/>
    </row>
    <row r="414">
      <c r="A414" s="39" t="str">
        <f t="shared" si="1"/>
        <v/>
      </c>
      <c r="B414" s="39"/>
      <c r="C414" s="40"/>
      <c r="D414" s="41"/>
      <c r="E414" s="40"/>
      <c r="F414" s="40"/>
    </row>
    <row r="415">
      <c r="A415" s="39" t="str">
        <f t="shared" si="1"/>
        <v/>
      </c>
      <c r="B415" s="39"/>
      <c r="C415" s="40"/>
      <c r="D415" s="41"/>
      <c r="E415" s="40"/>
      <c r="F415" s="40"/>
    </row>
    <row r="416">
      <c r="A416" s="39" t="str">
        <f t="shared" si="1"/>
        <v/>
      </c>
      <c r="B416" s="39"/>
      <c r="C416" s="40"/>
      <c r="D416" s="41"/>
      <c r="E416" s="40"/>
      <c r="F416" s="40"/>
    </row>
    <row r="417">
      <c r="A417" s="39" t="str">
        <f t="shared" si="1"/>
        <v/>
      </c>
      <c r="B417" s="39"/>
      <c r="C417" s="40"/>
      <c r="D417" s="41"/>
      <c r="E417" s="40"/>
      <c r="F417" s="40"/>
    </row>
    <row r="418">
      <c r="A418" s="39" t="str">
        <f t="shared" si="1"/>
        <v/>
      </c>
      <c r="B418" s="39"/>
      <c r="C418" s="40"/>
      <c r="D418" s="41"/>
      <c r="E418" s="40"/>
      <c r="F418" s="40"/>
    </row>
    <row r="419">
      <c r="A419" s="39" t="str">
        <f t="shared" si="1"/>
        <v/>
      </c>
      <c r="B419" s="39"/>
      <c r="C419" s="40"/>
      <c r="D419" s="41"/>
      <c r="E419" s="40"/>
      <c r="F419" s="40"/>
    </row>
    <row r="420">
      <c r="A420" s="39" t="str">
        <f t="shared" si="1"/>
        <v/>
      </c>
      <c r="B420" s="39"/>
      <c r="C420" s="40"/>
      <c r="D420" s="41"/>
      <c r="E420" s="40"/>
      <c r="F420" s="40"/>
    </row>
    <row r="421">
      <c r="A421" s="39" t="str">
        <f t="shared" si="1"/>
        <v/>
      </c>
      <c r="B421" s="39"/>
      <c r="C421" s="40"/>
      <c r="D421" s="41"/>
      <c r="E421" s="40"/>
      <c r="F421" s="40"/>
    </row>
    <row r="422">
      <c r="A422" s="39" t="str">
        <f t="shared" si="1"/>
        <v/>
      </c>
      <c r="B422" s="39"/>
      <c r="C422" s="40"/>
      <c r="D422" s="41"/>
      <c r="E422" s="40"/>
      <c r="F422" s="40"/>
    </row>
    <row r="423">
      <c r="A423" s="39" t="str">
        <f t="shared" si="1"/>
        <v/>
      </c>
      <c r="B423" s="39"/>
      <c r="C423" s="40"/>
      <c r="D423" s="41"/>
      <c r="E423" s="40"/>
      <c r="F423" s="40"/>
    </row>
    <row r="424">
      <c r="A424" s="39" t="str">
        <f t="shared" si="1"/>
        <v/>
      </c>
      <c r="B424" s="39"/>
      <c r="C424" s="40"/>
      <c r="D424" s="41"/>
      <c r="E424" s="40"/>
      <c r="F424" s="40"/>
    </row>
    <row r="425">
      <c r="A425" s="39" t="str">
        <f t="shared" si="1"/>
        <v/>
      </c>
      <c r="B425" s="39"/>
      <c r="C425" s="40"/>
      <c r="D425" s="41"/>
      <c r="E425" s="40"/>
      <c r="F425" s="40"/>
    </row>
    <row r="426">
      <c r="A426" s="39" t="str">
        <f t="shared" si="1"/>
        <v/>
      </c>
      <c r="B426" s="39"/>
      <c r="C426" s="40"/>
      <c r="D426" s="41"/>
      <c r="E426" s="40"/>
      <c r="F426" s="40"/>
    </row>
    <row r="427">
      <c r="A427" s="39" t="str">
        <f t="shared" si="1"/>
        <v/>
      </c>
      <c r="B427" s="39"/>
      <c r="C427" s="40"/>
      <c r="D427" s="41"/>
      <c r="E427" s="40"/>
      <c r="F427" s="40"/>
    </row>
    <row r="428">
      <c r="A428" s="39" t="str">
        <f t="shared" si="1"/>
        <v/>
      </c>
      <c r="B428" s="39"/>
      <c r="C428" s="40"/>
      <c r="D428" s="41"/>
      <c r="E428" s="40"/>
      <c r="F428" s="40"/>
    </row>
    <row r="429">
      <c r="A429" s="39" t="str">
        <f t="shared" si="1"/>
        <v/>
      </c>
      <c r="B429" s="39"/>
      <c r="C429" s="40"/>
      <c r="D429" s="41"/>
      <c r="E429" s="40"/>
      <c r="F429" s="40"/>
    </row>
    <row r="430">
      <c r="A430" s="39" t="str">
        <f t="shared" si="1"/>
        <v/>
      </c>
      <c r="B430" s="39"/>
      <c r="C430" s="40"/>
      <c r="D430" s="41"/>
      <c r="E430" s="40"/>
      <c r="F430" s="40"/>
    </row>
    <row r="431">
      <c r="A431" s="39" t="str">
        <f t="shared" si="1"/>
        <v/>
      </c>
      <c r="B431" s="39"/>
      <c r="C431" s="40"/>
      <c r="D431" s="41"/>
      <c r="E431" s="40"/>
      <c r="F431" s="40"/>
    </row>
    <row r="432">
      <c r="A432" s="39" t="str">
        <f t="shared" si="1"/>
        <v/>
      </c>
      <c r="B432" s="39"/>
      <c r="C432" s="40"/>
      <c r="D432" s="41"/>
      <c r="E432" s="40"/>
      <c r="F432" s="40"/>
    </row>
    <row r="433">
      <c r="A433" s="39" t="str">
        <f t="shared" si="1"/>
        <v/>
      </c>
      <c r="B433" s="39"/>
      <c r="C433" s="40"/>
      <c r="D433" s="41"/>
      <c r="E433" s="40"/>
      <c r="F433" s="40"/>
    </row>
    <row r="434">
      <c r="A434" s="39" t="str">
        <f t="shared" si="1"/>
        <v/>
      </c>
      <c r="B434" s="39"/>
      <c r="C434" s="40"/>
      <c r="D434" s="41"/>
      <c r="E434" s="40"/>
      <c r="F434" s="40"/>
    </row>
    <row r="435">
      <c r="A435" s="39" t="str">
        <f t="shared" si="1"/>
        <v/>
      </c>
      <c r="B435" s="39"/>
      <c r="C435" s="40"/>
      <c r="D435" s="41"/>
      <c r="E435" s="40"/>
      <c r="F435" s="40"/>
    </row>
    <row r="436">
      <c r="A436" s="39" t="str">
        <f t="shared" si="1"/>
        <v/>
      </c>
      <c r="B436" s="39"/>
      <c r="C436" s="40"/>
      <c r="D436" s="41"/>
      <c r="E436" s="40"/>
      <c r="F436" s="40"/>
    </row>
    <row r="437">
      <c r="A437" s="39" t="str">
        <f t="shared" si="1"/>
        <v/>
      </c>
      <c r="B437" s="39"/>
      <c r="C437" s="40"/>
      <c r="D437" s="41"/>
      <c r="E437" s="40"/>
      <c r="F437" s="40"/>
    </row>
    <row r="438">
      <c r="A438" s="39" t="str">
        <f t="shared" si="1"/>
        <v/>
      </c>
      <c r="B438" s="39"/>
      <c r="C438" s="40"/>
      <c r="D438" s="41"/>
      <c r="E438" s="40"/>
      <c r="F438" s="40"/>
    </row>
    <row r="439">
      <c r="A439" s="39" t="str">
        <f t="shared" si="1"/>
        <v/>
      </c>
      <c r="B439" s="39"/>
      <c r="C439" s="40"/>
      <c r="D439" s="41"/>
      <c r="E439" s="40"/>
      <c r="F439" s="40"/>
    </row>
    <row r="440">
      <c r="A440" s="39" t="str">
        <f t="shared" si="1"/>
        <v/>
      </c>
      <c r="B440" s="39"/>
      <c r="C440" s="40"/>
      <c r="D440" s="41"/>
      <c r="E440" s="40"/>
      <c r="F440" s="40"/>
    </row>
    <row r="441">
      <c r="A441" s="39" t="str">
        <f t="shared" si="1"/>
        <v/>
      </c>
      <c r="B441" s="39"/>
      <c r="C441" s="40"/>
      <c r="D441" s="41"/>
      <c r="E441" s="40"/>
      <c r="F441" s="40"/>
    </row>
    <row r="442">
      <c r="A442" s="39" t="str">
        <f t="shared" si="1"/>
        <v/>
      </c>
      <c r="B442" s="39"/>
      <c r="C442" s="40"/>
      <c r="D442" s="41"/>
      <c r="E442" s="40"/>
      <c r="F442" s="40"/>
    </row>
    <row r="443">
      <c r="A443" s="39" t="str">
        <f t="shared" si="1"/>
        <v/>
      </c>
      <c r="B443" s="39"/>
      <c r="C443" s="40"/>
      <c r="D443" s="41"/>
      <c r="E443" s="40"/>
      <c r="F443" s="40"/>
    </row>
    <row r="444">
      <c r="A444" s="39" t="str">
        <f t="shared" si="1"/>
        <v/>
      </c>
      <c r="B444" s="39"/>
      <c r="C444" s="40"/>
      <c r="D444" s="41"/>
      <c r="E444" s="40"/>
      <c r="F444" s="40"/>
    </row>
    <row r="445">
      <c r="A445" s="39" t="str">
        <f t="shared" si="1"/>
        <v/>
      </c>
      <c r="B445" s="39"/>
      <c r="C445" s="40"/>
      <c r="D445" s="41"/>
      <c r="E445" s="40"/>
      <c r="F445" s="40"/>
    </row>
    <row r="446">
      <c r="A446" s="39" t="str">
        <f t="shared" si="1"/>
        <v/>
      </c>
      <c r="B446" s="39"/>
      <c r="C446" s="40"/>
      <c r="D446" s="41"/>
      <c r="E446" s="40"/>
      <c r="F446" s="40"/>
    </row>
    <row r="447">
      <c r="A447" s="39" t="str">
        <f t="shared" si="1"/>
        <v/>
      </c>
      <c r="B447" s="39"/>
      <c r="C447" s="40"/>
      <c r="D447" s="41"/>
      <c r="E447" s="40"/>
      <c r="F447" s="40"/>
    </row>
    <row r="448">
      <c r="A448" s="39" t="str">
        <f t="shared" si="1"/>
        <v/>
      </c>
      <c r="B448" s="39"/>
      <c r="C448" s="40"/>
      <c r="D448" s="41"/>
      <c r="E448" s="40"/>
      <c r="F448" s="40"/>
    </row>
    <row r="449">
      <c r="A449" s="39" t="str">
        <f t="shared" si="1"/>
        <v/>
      </c>
      <c r="B449" s="39"/>
      <c r="C449" s="40"/>
      <c r="D449" s="41"/>
      <c r="E449" s="40"/>
      <c r="F449" s="40"/>
    </row>
    <row r="450">
      <c r="A450" s="39" t="str">
        <f t="shared" si="1"/>
        <v/>
      </c>
      <c r="B450" s="39"/>
      <c r="C450" s="40"/>
      <c r="D450" s="41"/>
      <c r="E450" s="40"/>
      <c r="F450" s="40"/>
    </row>
    <row r="451">
      <c r="A451" s="39" t="str">
        <f t="shared" si="1"/>
        <v/>
      </c>
      <c r="B451" s="39"/>
      <c r="C451" s="40"/>
      <c r="D451" s="41"/>
      <c r="E451" s="40"/>
      <c r="F451" s="40"/>
    </row>
    <row r="452">
      <c r="A452" s="39" t="str">
        <f t="shared" si="1"/>
        <v/>
      </c>
      <c r="B452" s="39"/>
      <c r="C452" s="40"/>
      <c r="D452" s="41"/>
      <c r="E452" s="40"/>
      <c r="F452" s="40"/>
    </row>
    <row r="453">
      <c r="A453" s="39" t="str">
        <f t="shared" si="1"/>
        <v/>
      </c>
      <c r="B453" s="39"/>
      <c r="C453" s="40"/>
      <c r="D453" s="41"/>
      <c r="E453" s="40"/>
      <c r="F453" s="40"/>
    </row>
    <row r="454">
      <c r="A454" s="39" t="str">
        <f t="shared" si="1"/>
        <v/>
      </c>
      <c r="B454" s="39"/>
      <c r="C454" s="40"/>
      <c r="D454" s="41"/>
      <c r="E454" s="40"/>
      <c r="F454" s="40"/>
    </row>
    <row r="455">
      <c r="A455" s="39" t="str">
        <f t="shared" si="1"/>
        <v/>
      </c>
      <c r="B455" s="39"/>
      <c r="C455" s="40"/>
      <c r="D455" s="41"/>
      <c r="E455" s="40"/>
      <c r="F455" s="40"/>
    </row>
    <row r="456">
      <c r="A456" s="39" t="str">
        <f t="shared" si="1"/>
        <v/>
      </c>
      <c r="B456" s="39"/>
      <c r="C456" s="40"/>
      <c r="D456" s="41"/>
      <c r="E456" s="40"/>
      <c r="F456" s="40"/>
    </row>
    <row r="457">
      <c r="A457" s="39" t="str">
        <f t="shared" si="1"/>
        <v/>
      </c>
      <c r="B457" s="39"/>
      <c r="C457" s="40"/>
      <c r="D457" s="41"/>
      <c r="E457" s="40"/>
      <c r="F457" s="40"/>
    </row>
    <row r="458">
      <c r="A458" s="39" t="str">
        <f t="shared" si="1"/>
        <v/>
      </c>
      <c r="B458" s="39"/>
      <c r="C458" s="40"/>
      <c r="D458" s="41"/>
      <c r="E458" s="40"/>
      <c r="F458" s="40"/>
    </row>
    <row r="459">
      <c r="A459" s="39" t="str">
        <f t="shared" si="1"/>
        <v/>
      </c>
      <c r="B459" s="39"/>
      <c r="C459" s="40"/>
      <c r="D459" s="41"/>
      <c r="E459" s="40"/>
      <c r="F459" s="40"/>
    </row>
    <row r="460">
      <c r="A460" s="39" t="str">
        <f t="shared" si="1"/>
        <v/>
      </c>
      <c r="B460" s="39"/>
      <c r="C460" s="40"/>
      <c r="D460" s="41"/>
      <c r="E460" s="40"/>
      <c r="F460" s="40"/>
    </row>
    <row r="461">
      <c r="A461" s="39" t="str">
        <f t="shared" si="1"/>
        <v/>
      </c>
      <c r="B461" s="39"/>
      <c r="C461" s="40"/>
      <c r="D461" s="41"/>
      <c r="E461" s="40"/>
      <c r="F461" s="40"/>
    </row>
    <row r="462">
      <c r="A462" s="39" t="str">
        <f t="shared" si="1"/>
        <v/>
      </c>
      <c r="B462" s="39"/>
      <c r="C462" s="40"/>
      <c r="D462" s="41"/>
      <c r="E462" s="40"/>
      <c r="F462" s="40"/>
    </row>
    <row r="463">
      <c r="A463" s="39" t="str">
        <f t="shared" si="1"/>
        <v/>
      </c>
      <c r="B463" s="39"/>
      <c r="C463" s="40"/>
      <c r="D463" s="41"/>
      <c r="E463" s="40"/>
      <c r="F463" s="40"/>
    </row>
    <row r="464">
      <c r="A464" s="39" t="str">
        <f t="shared" si="1"/>
        <v/>
      </c>
      <c r="B464" s="39"/>
      <c r="C464" s="40"/>
      <c r="D464" s="41"/>
      <c r="E464" s="40"/>
      <c r="F464" s="40"/>
    </row>
    <row r="465">
      <c r="A465" s="39" t="str">
        <f t="shared" si="1"/>
        <v/>
      </c>
      <c r="B465" s="39"/>
      <c r="C465" s="40"/>
      <c r="D465" s="41"/>
      <c r="E465" s="40"/>
      <c r="F465" s="40"/>
    </row>
    <row r="466">
      <c r="A466" s="39" t="str">
        <f t="shared" si="1"/>
        <v/>
      </c>
      <c r="B466" s="39"/>
      <c r="C466" s="40"/>
      <c r="D466" s="41"/>
      <c r="E466" s="40"/>
      <c r="F466" s="40"/>
    </row>
    <row r="467">
      <c r="A467" s="39" t="str">
        <f t="shared" si="1"/>
        <v/>
      </c>
      <c r="B467" s="39"/>
      <c r="C467" s="40"/>
      <c r="D467" s="41"/>
      <c r="E467" s="40"/>
      <c r="F467" s="40"/>
    </row>
    <row r="468">
      <c r="A468" s="39" t="str">
        <f t="shared" si="1"/>
        <v/>
      </c>
      <c r="B468" s="39"/>
      <c r="C468" s="40"/>
      <c r="D468" s="41"/>
      <c r="E468" s="40"/>
      <c r="F468" s="40"/>
    </row>
    <row r="469">
      <c r="A469" s="39" t="str">
        <f t="shared" si="1"/>
        <v/>
      </c>
      <c r="B469" s="39"/>
      <c r="C469" s="40"/>
      <c r="D469" s="41"/>
      <c r="E469" s="40"/>
      <c r="F469" s="40"/>
    </row>
    <row r="470">
      <c r="A470" s="39" t="str">
        <f t="shared" si="1"/>
        <v/>
      </c>
      <c r="B470" s="39"/>
      <c r="C470" s="40"/>
      <c r="D470" s="41"/>
      <c r="E470" s="40"/>
      <c r="F470" s="40"/>
    </row>
    <row r="471">
      <c r="A471" s="39" t="str">
        <f t="shared" si="1"/>
        <v/>
      </c>
      <c r="B471" s="39"/>
      <c r="C471" s="40"/>
      <c r="D471" s="41"/>
      <c r="E471" s="40"/>
      <c r="F471" s="40"/>
    </row>
    <row r="472">
      <c r="A472" s="39" t="str">
        <f t="shared" si="1"/>
        <v/>
      </c>
      <c r="B472" s="39"/>
      <c r="C472" s="40"/>
      <c r="D472" s="41"/>
      <c r="E472" s="40"/>
      <c r="F472" s="40"/>
    </row>
    <row r="473">
      <c r="A473" s="39" t="str">
        <f t="shared" si="1"/>
        <v/>
      </c>
      <c r="B473" s="39"/>
      <c r="C473" s="40"/>
      <c r="D473" s="41"/>
      <c r="E473" s="40"/>
      <c r="F473" s="40"/>
    </row>
    <row r="474">
      <c r="A474" s="39" t="str">
        <f t="shared" si="1"/>
        <v/>
      </c>
      <c r="B474" s="39"/>
      <c r="C474" s="40"/>
      <c r="D474" s="41"/>
      <c r="E474" s="40"/>
      <c r="F474" s="40"/>
    </row>
    <row r="475">
      <c r="A475" s="39" t="str">
        <f t="shared" si="1"/>
        <v/>
      </c>
      <c r="B475" s="39"/>
      <c r="C475" s="40"/>
      <c r="D475" s="41"/>
      <c r="E475" s="40"/>
      <c r="F475" s="40"/>
    </row>
    <row r="476">
      <c r="A476" s="39" t="str">
        <f t="shared" si="1"/>
        <v/>
      </c>
      <c r="B476" s="39"/>
      <c r="C476" s="40"/>
      <c r="D476" s="41"/>
      <c r="E476" s="40"/>
      <c r="F476" s="40"/>
    </row>
    <row r="477">
      <c r="A477" s="39" t="str">
        <f t="shared" si="1"/>
        <v/>
      </c>
      <c r="B477" s="39"/>
      <c r="C477" s="40"/>
      <c r="D477" s="41"/>
      <c r="E477" s="40"/>
      <c r="F477" s="40"/>
    </row>
    <row r="478">
      <c r="A478" s="39" t="str">
        <f t="shared" si="1"/>
        <v/>
      </c>
      <c r="B478" s="39"/>
      <c r="C478" s="40"/>
      <c r="D478" s="41"/>
      <c r="E478" s="40"/>
      <c r="F478" s="40"/>
    </row>
    <row r="479">
      <c r="A479" s="39" t="str">
        <f t="shared" si="1"/>
        <v/>
      </c>
      <c r="B479" s="39"/>
      <c r="C479" s="40"/>
      <c r="D479" s="41"/>
      <c r="E479" s="40"/>
      <c r="F479" s="40"/>
    </row>
    <row r="480">
      <c r="A480" s="39" t="str">
        <f t="shared" si="1"/>
        <v/>
      </c>
      <c r="B480" s="39"/>
      <c r="C480" s="40"/>
      <c r="D480" s="41"/>
      <c r="E480" s="40"/>
      <c r="F480" s="40"/>
    </row>
    <row r="481">
      <c r="A481" s="39" t="str">
        <f t="shared" si="1"/>
        <v/>
      </c>
      <c r="B481" s="39"/>
      <c r="C481" s="40"/>
      <c r="D481" s="41"/>
      <c r="E481" s="40"/>
      <c r="F481" s="40"/>
    </row>
    <row r="482">
      <c r="A482" s="39" t="str">
        <f t="shared" si="1"/>
        <v/>
      </c>
      <c r="B482" s="39"/>
      <c r="C482" s="40"/>
      <c r="D482" s="41"/>
      <c r="E482" s="40"/>
      <c r="F482" s="40"/>
    </row>
    <row r="483">
      <c r="A483" s="39" t="str">
        <f t="shared" si="1"/>
        <v/>
      </c>
      <c r="B483" s="39"/>
      <c r="C483" s="40"/>
      <c r="D483" s="41"/>
      <c r="E483" s="40"/>
      <c r="F483" s="40"/>
    </row>
    <row r="484">
      <c r="A484" s="39" t="str">
        <f t="shared" si="1"/>
        <v/>
      </c>
      <c r="B484" s="39"/>
      <c r="C484" s="40"/>
      <c r="D484" s="41"/>
      <c r="E484" s="40"/>
      <c r="F484" s="40"/>
    </row>
    <row r="485">
      <c r="A485" s="39" t="str">
        <f t="shared" si="1"/>
        <v/>
      </c>
      <c r="B485" s="39"/>
      <c r="C485" s="40"/>
      <c r="D485" s="41"/>
      <c r="E485" s="40"/>
      <c r="F485" s="40"/>
    </row>
    <row r="486">
      <c r="A486" s="39" t="str">
        <f t="shared" si="1"/>
        <v/>
      </c>
      <c r="B486" s="39"/>
      <c r="C486" s="40"/>
      <c r="D486" s="41"/>
      <c r="E486" s="40"/>
      <c r="F486" s="40"/>
    </row>
    <row r="487">
      <c r="A487" s="39" t="str">
        <f t="shared" si="1"/>
        <v/>
      </c>
      <c r="B487" s="39"/>
      <c r="C487" s="40"/>
      <c r="D487" s="41"/>
      <c r="E487" s="40"/>
      <c r="F487" s="40"/>
    </row>
    <row r="488">
      <c r="A488" s="39" t="str">
        <f t="shared" si="1"/>
        <v/>
      </c>
      <c r="B488" s="39"/>
      <c r="C488" s="40"/>
      <c r="D488" s="41"/>
      <c r="E488" s="40"/>
      <c r="F488" s="40"/>
    </row>
    <row r="489">
      <c r="A489" s="39" t="str">
        <f t="shared" si="1"/>
        <v/>
      </c>
      <c r="B489" s="39"/>
      <c r="C489" s="40"/>
      <c r="D489" s="41"/>
      <c r="E489" s="40"/>
      <c r="F489" s="40"/>
    </row>
    <row r="490">
      <c r="A490" s="39" t="str">
        <f t="shared" si="1"/>
        <v/>
      </c>
      <c r="B490" s="39"/>
      <c r="C490" s="40"/>
      <c r="D490" s="41"/>
      <c r="E490" s="40"/>
      <c r="F490" s="40"/>
    </row>
    <row r="491">
      <c r="A491" s="39" t="str">
        <f t="shared" si="1"/>
        <v/>
      </c>
      <c r="B491" s="39"/>
      <c r="C491" s="40"/>
      <c r="D491" s="41"/>
      <c r="E491" s="40"/>
      <c r="F491" s="40"/>
    </row>
    <row r="492">
      <c r="A492" s="39" t="str">
        <f t="shared" si="1"/>
        <v/>
      </c>
      <c r="B492" s="39"/>
      <c r="C492" s="40"/>
      <c r="D492" s="41"/>
      <c r="E492" s="40"/>
      <c r="F492" s="40"/>
    </row>
    <row r="493">
      <c r="A493" s="39" t="str">
        <f t="shared" si="1"/>
        <v/>
      </c>
      <c r="B493" s="39"/>
      <c r="C493" s="40"/>
      <c r="D493" s="41"/>
      <c r="E493" s="40"/>
      <c r="F493" s="40"/>
    </row>
    <row r="494">
      <c r="A494" s="39" t="str">
        <f t="shared" si="1"/>
        <v/>
      </c>
      <c r="B494" s="39"/>
      <c r="C494" s="40"/>
      <c r="D494" s="41"/>
      <c r="E494" s="40"/>
      <c r="F494" s="40"/>
    </row>
    <row r="495">
      <c r="A495" s="39" t="str">
        <f t="shared" si="1"/>
        <v/>
      </c>
      <c r="B495" s="39"/>
      <c r="C495" s="40"/>
      <c r="D495" s="41"/>
      <c r="E495" s="40"/>
      <c r="F495" s="40"/>
    </row>
    <row r="496">
      <c r="A496" s="39" t="str">
        <f t="shared" si="1"/>
        <v/>
      </c>
      <c r="B496" s="39"/>
      <c r="C496" s="40"/>
      <c r="D496" s="41"/>
      <c r="E496" s="40"/>
      <c r="F496" s="40"/>
    </row>
    <row r="497">
      <c r="A497" s="39" t="str">
        <f t="shared" si="1"/>
        <v/>
      </c>
      <c r="B497" s="39"/>
      <c r="C497" s="40"/>
      <c r="D497" s="41"/>
      <c r="E497" s="40"/>
      <c r="F497" s="40"/>
    </row>
    <row r="498">
      <c r="A498" s="39" t="str">
        <f t="shared" si="1"/>
        <v/>
      </c>
      <c r="B498" s="39"/>
      <c r="C498" s="40"/>
      <c r="D498" s="41"/>
      <c r="E498" s="40"/>
      <c r="F498" s="40"/>
    </row>
    <row r="499">
      <c r="A499" s="39" t="str">
        <f t="shared" si="1"/>
        <v/>
      </c>
      <c r="B499" s="39"/>
      <c r="C499" s="40"/>
      <c r="D499" s="41"/>
      <c r="E499" s="40"/>
      <c r="F499" s="40"/>
    </row>
    <row r="500">
      <c r="A500" s="39" t="str">
        <f t="shared" si="1"/>
        <v/>
      </c>
      <c r="B500" s="39"/>
      <c r="C500" s="40"/>
      <c r="D500" s="41"/>
      <c r="E500" s="40"/>
      <c r="F500" s="40"/>
    </row>
    <row r="501">
      <c r="A501" s="39" t="str">
        <f t="shared" si="1"/>
        <v/>
      </c>
      <c r="B501" s="39"/>
      <c r="C501" s="40"/>
      <c r="D501" s="41"/>
      <c r="E501" s="40"/>
      <c r="F501" s="40"/>
    </row>
    <row r="502">
      <c r="A502" s="39" t="str">
        <f t="shared" si="1"/>
        <v/>
      </c>
      <c r="B502" s="39"/>
      <c r="C502" s="40"/>
      <c r="D502" s="41"/>
      <c r="E502" s="40"/>
      <c r="F502" s="40"/>
    </row>
    <row r="503">
      <c r="A503" s="39" t="str">
        <f t="shared" si="1"/>
        <v/>
      </c>
      <c r="B503" s="39"/>
      <c r="C503" s="40"/>
      <c r="D503" s="41"/>
      <c r="E503" s="40"/>
      <c r="F503" s="40"/>
    </row>
    <row r="504">
      <c r="A504" s="39" t="str">
        <f t="shared" si="1"/>
        <v/>
      </c>
      <c r="B504" s="39"/>
      <c r="C504" s="40"/>
      <c r="D504" s="41"/>
      <c r="E504" s="40"/>
      <c r="F504" s="40"/>
    </row>
    <row r="505">
      <c r="A505" s="39" t="str">
        <f t="shared" si="1"/>
        <v/>
      </c>
      <c r="B505" s="39"/>
      <c r="C505" s="40"/>
      <c r="D505" s="41"/>
      <c r="E505" s="40"/>
      <c r="F505" s="40"/>
    </row>
    <row r="506">
      <c r="A506" s="39" t="str">
        <f t="shared" si="1"/>
        <v/>
      </c>
      <c r="B506" s="39"/>
      <c r="C506" s="40"/>
      <c r="D506" s="41"/>
      <c r="E506" s="40"/>
      <c r="F506" s="40"/>
    </row>
    <row r="507">
      <c r="A507" s="39" t="str">
        <f t="shared" si="1"/>
        <v/>
      </c>
      <c r="B507" s="39"/>
      <c r="C507" s="40"/>
      <c r="D507" s="41"/>
      <c r="E507" s="40"/>
      <c r="F507" s="40"/>
    </row>
    <row r="508">
      <c r="A508" s="39" t="str">
        <f t="shared" si="1"/>
        <v/>
      </c>
      <c r="B508" s="39"/>
      <c r="C508" s="40"/>
      <c r="D508" s="41"/>
      <c r="E508" s="40"/>
      <c r="F508" s="40"/>
    </row>
    <row r="509">
      <c r="A509" s="39" t="str">
        <f t="shared" si="1"/>
        <v/>
      </c>
      <c r="B509" s="39"/>
      <c r="C509" s="40"/>
      <c r="D509" s="41"/>
      <c r="E509" s="40"/>
      <c r="F509" s="40"/>
    </row>
    <row r="510">
      <c r="A510" s="39" t="str">
        <f t="shared" si="1"/>
        <v/>
      </c>
      <c r="B510" s="39"/>
      <c r="C510" s="40"/>
      <c r="D510" s="41"/>
      <c r="E510" s="40"/>
      <c r="F510" s="40"/>
    </row>
    <row r="511">
      <c r="A511" s="39" t="str">
        <f t="shared" si="1"/>
        <v/>
      </c>
      <c r="B511" s="39"/>
      <c r="C511" s="40"/>
      <c r="D511" s="41"/>
      <c r="E511" s="40"/>
      <c r="F511" s="40"/>
    </row>
    <row r="512">
      <c r="A512" s="39" t="str">
        <f t="shared" si="1"/>
        <v/>
      </c>
      <c r="B512" s="39"/>
      <c r="C512" s="40"/>
      <c r="D512" s="41"/>
      <c r="E512" s="40"/>
      <c r="F512" s="40"/>
    </row>
    <row r="513">
      <c r="A513" s="39" t="str">
        <f t="shared" si="1"/>
        <v/>
      </c>
      <c r="B513" s="39"/>
      <c r="C513" s="40"/>
      <c r="D513" s="41"/>
      <c r="E513" s="40"/>
      <c r="F513" s="40"/>
    </row>
    <row r="514">
      <c r="A514" s="39" t="str">
        <f t="shared" si="1"/>
        <v/>
      </c>
      <c r="B514" s="39"/>
      <c r="C514" s="40"/>
      <c r="D514" s="41"/>
      <c r="E514" s="40"/>
      <c r="F514" s="40"/>
    </row>
    <row r="515">
      <c r="A515" s="39" t="str">
        <f t="shared" si="1"/>
        <v/>
      </c>
      <c r="B515" s="39"/>
      <c r="C515" s="40"/>
      <c r="D515" s="41"/>
      <c r="E515" s="40"/>
      <c r="F515" s="40"/>
    </row>
    <row r="516">
      <c r="A516" s="39" t="str">
        <f t="shared" si="1"/>
        <v/>
      </c>
      <c r="B516" s="39"/>
      <c r="C516" s="40"/>
      <c r="D516" s="41"/>
      <c r="E516" s="40"/>
      <c r="F516" s="40"/>
    </row>
    <row r="517">
      <c r="A517" s="39" t="str">
        <f t="shared" si="1"/>
        <v/>
      </c>
      <c r="B517" s="39"/>
      <c r="C517" s="40"/>
      <c r="D517" s="41"/>
      <c r="E517" s="40"/>
      <c r="F517" s="40"/>
    </row>
    <row r="518">
      <c r="A518" s="39" t="str">
        <f t="shared" si="1"/>
        <v/>
      </c>
      <c r="B518" s="39"/>
      <c r="C518" s="40"/>
      <c r="D518" s="41"/>
      <c r="E518" s="40"/>
      <c r="F518" s="40"/>
    </row>
    <row r="519">
      <c r="A519" s="39" t="str">
        <f t="shared" si="1"/>
        <v/>
      </c>
      <c r="B519" s="39"/>
      <c r="C519" s="40"/>
      <c r="D519" s="41"/>
      <c r="E519" s="40"/>
      <c r="F519" s="40"/>
    </row>
    <row r="520">
      <c r="A520" s="39" t="str">
        <f t="shared" si="1"/>
        <v/>
      </c>
      <c r="B520" s="39"/>
      <c r="C520" s="40"/>
      <c r="D520" s="41"/>
      <c r="E520" s="40"/>
      <c r="F520" s="40"/>
    </row>
    <row r="521">
      <c r="A521" s="39" t="str">
        <f t="shared" si="1"/>
        <v/>
      </c>
      <c r="B521" s="39"/>
      <c r="C521" s="40"/>
      <c r="D521" s="41"/>
      <c r="E521" s="40"/>
      <c r="F521" s="40"/>
    </row>
    <row r="522">
      <c r="A522" s="39" t="str">
        <f t="shared" si="1"/>
        <v/>
      </c>
      <c r="B522" s="39"/>
      <c r="C522" s="40"/>
      <c r="D522" s="41"/>
      <c r="E522" s="40"/>
      <c r="F522" s="40"/>
    </row>
    <row r="523">
      <c r="A523" s="39" t="str">
        <f t="shared" si="1"/>
        <v/>
      </c>
      <c r="B523" s="39"/>
      <c r="C523" s="40"/>
      <c r="D523" s="41"/>
      <c r="E523" s="40"/>
      <c r="F523" s="40"/>
    </row>
    <row r="524">
      <c r="A524" s="39" t="str">
        <f t="shared" si="1"/>
        <v/>
      </c>
      <c r="B524" s="39"/>
      <c r="C524" s="40"/>
      <c r="D524" s="41"/>
      <c r="E524" s="40"/>
      <c r="F524" s="40"/>
    </row>
    <row r="525">
      <c r="A525" s="39" t="str">
        <f t="shared" si="1"/>
        <v/>
      </c>
      <c r="B525" s="39"/>
      <c r="C525" s="40"/>
      <c r="D525" s="41"/>
      <c r="E525" s="40"/>
      <c r="F525" s="40"/>
    </row>
    <row r="526">
      <c r="A526" s="39" t="str">
        <f t="shared" si="1"/>
        <v/>
      </c>
      <c r="B526" s="39"/>
      <c r="C526" s="40"/>
      <c r="D526" s="41"/>
      <c r="E526" s="40"/>
      <c r="F526" s="40"/>
    </row>
    <row r="527">
      <c r="A527" s="39" t="str">
        <f t="shared" si="1"/>
        <v/>
      </c>
      <c r="B527" s="39"/>
      <c r="C527" s="40"/>
      <c r="D527" s="41"/>
      <c r="E527" s="40"/>
      <c r="F527" s="40"/>
    </row>
    <row r="528">
      <c r="A528" s="39" t="str">
        <f t="shared" si="1"/>
        <v/>
      </c>
      <c r="B528" s="39"/>
      <c r="C528" s="40"/>
      <c r="D528" s="41"/>
      <c r="E528" s="40"/>
      <c r="F528" s="40"/>
    </row>
    <row r="529">
      <c r="A529" s="39" t="str">
        <f t="shared" si="1"/>
        <v/>
      </c>
      <c r="B529" s="39"/>
      <c r="C529" s="40"/>
      <c r="D529" s="41"/>
      <c r="E529" s="40"/>
      <c r="F529" s="40"/>
    </row>
    <row r="530">
      <c r="A530" s="39" t="str">
        <f t="shared" si="1"/>
        <v/>
      </c>
      <c r="B530" s="39"/>
      <c r="C530" s="40"/>
      <c r="D530" s="41"/>
      <c r="E530" s="40"/>
      <c r="F530" s="40"/>
    </row>
    <row r="531">
      <c r="A531" s="39" t="str">
        <f t="shared" si="1"/>
        <v/>
      </c>
      <c r="B531" s="39"/>
      <c r="C531" s="40"/>
      <c r="D531" s="41"/>
      <c r="E531" s="40"/>
      <c r="F531" s="40"/>
    </row>
    <row r="532">
      <c r="A532" s="39" t="str">
        <f t="shared" si="1"/>
        <v/>
      </c>
      <c r="B532" s="39"/>
      <c r="C532" s="40"/>
      <c r="D532" s="41"/>
      <c r="E532" s="40"/>
      <c r="F532" s="40"/>
    </row>
    <row r="533">
      <c r="A533" s="39" t="str">
        <f t="shared" si="1"/>
        <v/>
      </c>
      <c r="B533" s="39"/>
      <c r="C533" s="40"/>
      <c r="D533" s="41"/>
      <c r="E533" s="40"/>
      <c r="F533" s="40"/>
    </row>
    <row r="534">
      <c r="A534" s="39" t="str">
        <f t="shared" si="1"/>
        <v/>
      </c>
      <c r="B534" s="39"/>
      <c r="C534" s="40"/>
      <c r="D534" s="41"/>
      <c r="E534" s="40"/>
      <c r="F534" s="40"/>
    </row>
    <row r="535">
      <c r="A535" s="39" t="str">
        <f t="shared" si="1"/>
        <v/>
      </c>
      <c r="B535" s="39"/>
      <c r="C535" s="40"/>
      <c r="D535" s="41"/>
      <c r="E535" s="40"/>
      <c r="F535" s="40"/>
    </row>
    <row r="536">
      <c r="A536" s="39" t="str">
        <f t="shared" si="1"/>
        <v/>
      </c>
      <c r="B536" s="39"/>
      <c r="C536" s="40"/>
      <c r="D536" s="41"/>
      <c r="E536" s="40"/>
      <c r="F536" s="40"/>
    </row>
    <row r="537">
      <c r="A537" s="39" t="str">
        <f t="shared" si="1"/>
        <v/>
      </c>
      <c r="B537" s="39"/>
      <c r="C537" s="40"/>
      <c r="D537" s="41"/>
      <c r="E537" s="40"/>
      <c r="F537" s="40"/>
    </row>
    <row r="538">
      <c r="A538" s="39" t="str">
        <f t="shared" si="1"/>
        <v/>
      </c>
      <c r="B538" s="39"/>
      <c r="C538" s="40"/>
      <c r="D538" s="41"/>
      <c r="E538" s="40"/>
      <c r="F538" s="40"/>
    </row>
    <row r="539">
      <c r="A539" s="39" t="str">
        <f t="shared" si="1"/>
        <v/>
      </c>
      <c r="B539" s="39"/>
      <c r="C539" s="40"/>
      <c r="D539" s="41"/>
      <c r="E539" s="40"/>
      <c r="F539" s="40"/>
    </row>
    <row r="540">
      <c r="A540" s="39" t="str">
        <f t="shared" si="1"/>
        <v/>
      </c>
      <c r="B540" s="39"/>
      <c r="C540" s="40"/>
      <c r="D540" s="41"/>
      <c r="E540" s="40"/>
      <c r="F540" s="40"/>
    </row>
    <row r="541">
      <c r="A541" s="39" t="str">
        <f t="shared" si="1"/>
        <v/>
      </c>
      <c r="B541" s="39"/>
      <c r="C541" s="40"/>
      <c r="D541" s="41"/>
      <c r="E541" s="40"/>
      <c r="F541" s="40"/>
    </row>
    <row r="542">
      <c r="A542" s="39" t="str">
        <f t="shared" si="1"/>
        <v/>
      </c>
      <c r="B542" s="39"/>
      <c r="C542" s="40"/>
      <c r="D542" s="41"/>
      <c r="E542" s="40"/>
      <c r="F542" s="40"/>
    </row>
    <row r="543">
      <c r="A543" s="39" t="str">
        <f t="shared" si="1"/>
        <v/>
      </c>
      <c r="B543" s="39"/>
      <c r="C543" s="40"/>
      <c r="D543" s="41"/>
      <c r="E543" s="40"/>
      <c r="F543" s="40"/>
    </row>
    <row r="544">
      <c r="A544" s="39" t="str">
        <f t="shared" si="1"/>
        <v/>
      </c>
      <c r="B544" s="39"/>
      <c r="C544" s="40"/>
      <c r="D544" s="41"/>
      <c r="E544" s="40"/>
      <c r="F544" s="40"/>
    </row>
    <row r="545">
      <c r="A545" s="39" t="str">
        <f t="shared" si="1"/>
        <v/>
      </c>
      <c r="B545" s="39"/>
      <c r="C545" s="40"/>
      <c r="D545" s="41"/>
      <c r="E545" s="40"/>
      <c r="F545" s="40"/>
    </row>
    <row r="546">
      <c r="A546" s="39" t="str">
        <f t="shared" si="1"/>
        <v/>
      </c>
      <c r="B546" s="39"/>
      <c r="C546" s="40"/>
      <c r="D546" s="41"/>
      <c r="E546" s="40"/>
      <c r="F546" s="40"/>
    </row>
    <row r="547">
      <c r="A547" s="39" t="str">
        <f t="shared" si="1"/>
        <v/>
      </c>
      <c r="B547" s="39"/>
      <c r="C547" s="40"/>
      <c r="D547" s="41"/>
      <c r="E547" s="40"/>
      <c r="F547" s="40"/>
    </row>
    <row r="548">
      <c r="A548" s="39" t="str">
        <f t="shared" si="1"/>
        <v/>
      </c>
      <c r="B548" s="39"/>
      <c r="C548" s="40"/>
      <c r="D548" s="41"/>
      <c r="E548" s="40"/>
      <c r="F548" s="40"/>
    </row>
    <row r="549">
      <c r="A549" s="39" t="str">
        <f t="shared" si="1"/>
        <v/>
      </c>
      <c r="B549" s="39"/>
      <c r="C549" s="40"/>
      <c r="D549" s="41"/>
      <c r="E549" s="40"/>
      <c r="F549" s="40"/>
    </row>
    <row r="550">
      <c r="A550" s="39" t="str">
        <f t="shared" si="1"/>
        <v/>
      </c>
      <c r="B550" s="39"/>
      <c r="C550" s="40"/>
      <c r="D550" s="41"/>
      <c r="E550" s="40"/>
      <c r="F550" s="40"/>
    </row>
    <row r="551">
      <c r="A551" s="39" t="str">
        <f t="shared" si="1"/>
        <v/>
      </c>
      <c r="B551" s="39"/>
      <c r="C551" s="40"/>
      <c r="D551" s="41"/>
      <c r="E551" s="40"/>
      <c r="F551" s="40"/>
    </row>
    <row r="552">
      <c r="A552" s="39" t="str">
        <f t="shared" si="1"/>
        <v/>
      </c>
      <c r="B552" s="39"/>
      <c r="C552" s="40"/>
      <c r="D552" s="41"/>
      <c r="E552" s="40"/>
      <c r="F552" s="40"/>
    </row>
    <row r="553">
      <c r="A553" s="39" t="str">
        <f t="shared" si="1"/>
        <v/>
      </c>
      <c r="B553" s="39"/>
      <c r="C553" s="40"/>
      <c r="D553" s="41"/>
      <c r="E553" s="40"/>
      <c r="F553" s="40"/>
    </row>
    <row r="554">
      <c r="A554" s="39" t="str">
        <f t="shared" si="1"/>
        <v/>
      </c>
      <c r="B554" s="39"/>
      <c r="C554" s="40"/>
      <c r="D554" s="41"/>
      <c r="E554" s="40"/>
      <c r="F554" s="40"/>
    </row>
    <row r="555">
      <c r="A555" s="39" t="str">
        <f t="shared" si="1"/>
        <v/>
      </c>
      <c r="B555" s="39"/>
      <c r="C555" s="40"/>
      <c r="D555" s="41"/>
      <c r="E555" s="40"/>
      <c r="F555" s="40"/>
    </row>
    <row r="556">
      <c r="A556" s="39" t="str">
        <f t="shared" si="1"/>
        <v/>
      </c>
      <c r="B556" s="39"/>
      <c r="C556" s="40"/>
      <c r="D556" s="41"/>
      <c r="E556" s="40"/>
      <c r="F556" s="40"/>
    </row>
    <row r="557">
      <c r="A557" s="39" t="str">
        <f t="shared" si="1"/>
        <v/>
      </c>
      <c r="B557" s="39"/>
      <c r="C557" s="40"/>
      <c r="D557" s="41"/>
      <c r="E557" s="40"/>
      <c r="F557" s="40"/>
    </row>
    <row r="558">
      <c r="A558" s="39" t="str">
        <f t="shared" si="1"/>
        <v/>
      </c>
      <c r="B558" s="39"/>
      <c r="C558" s="40"/>
      <c r="D558" s="41"/>
      <c r="E558" s="40"/>
      <c r="F558" s="40"/>
    </row>
    <row r="559">
      <c r="A559" s="39" t="str">
        <f t="shared" si="1"/>
        <v/>
      </c>
      <c r="B559" s="39"/>
      <c r="C559" s="40"/>
      <c r="D559" s="41"/>
      <c r="E559" s="40"/>
      <c r="F559" s="40"/>
    </row>
    <row r="560">
      <c r="A560" s="39" t="str">
        <f t="shared" si="1"/>
        <v/>
      </c>
      <c r="B560" s="39"/>
      <c r="C560" s="40"/>
      <c r="D560" s="41"/>
      <c r="E560" s="40"/>
      <c r="F560" s="40"/>
    </row>
    <row r="561">
      <c r="A561" s="39" t="str">
        <f t="shared" si="1"/>
        <v/>
      </c>
      <c r="B561" s="39"/>
      <c r="C561" s="40"/>
      <c r="D561" s="41"/>
      <c r="E561" s="40"/>
      <c r="F561" s="40"/>
    </row>
    <row r="562">
      <c r="A562" s="39" t="str">
        <f t="shared" si="1"/>
        <v/>
      </c>
      <c r="B562" s="39"/>
      <c r="C562" s="40"/>
      <c r="D562" s="41"/>
      <c r="E562" s="40"/>
      <c r="F562" s="40"/>
    </row>
    <row r="563">
      <c r="A563" s="39" t="str">
        <f t="shared" si="1"/>
        <v/>
      </c>
      <c r="B563" s="39"/>
      <c r="C563" s="40"/>
      <c r="D563" s="41"/>
      <c r="E563" s="40"/>
      <c r="F563" s="40"/>
    </row>
    <row r="564">
      <c r="A564" s="39" t="str">
        <f t="shared" si="1"/>
        <v/>
      </c>
      <c r="B564" s="39"/>
      <c r="C564" s="40"/>
      <c r="D564" s="41"/>
      <c r="E564" s="40"/>
      <c r="F564" s="40"/>
    </row>
    <row r="565">
      <c r="A565" s="39" t="str">
        <f t="shared" si="1"/>
        <v/>
      </c>
      <c r="B565" s="39"/>
      <c r="C565" s="40"/>
      <c r="D565" s="41"/>
      <c r="E565" s="40"/>
      <c r="F565" s="40"/>
    </row>
    <row r="566">
      <c r="A566" s="39" t="str">
        <f t="shared" si="1"/>
        <v/>
      </c>
      <c r="B566" s="39"/>
      <c r="C566" s="40"/>
      <c r="D566" s="41"/>
      <c r="E566" s="40"/>
      <c r="F566" s="40"/>
    </row>
    <row r="567">
      <c r="A567" s="39" t="str">
        <f t="shared" si="1"/>
        <v/>
      </c>
      <c r="B567" s="39"/>
      <c r="C567" s="40"/>
      <c r="D567" s="41"/>
      <c r="E567" s="40"/>
      <c r="F567" s="40"/>
    </row>
    <row r="568">
      <c r="A568" s="39" t="str">
        <f t="shared" si="1"/>
        <v/>
      </c>
      <c r="B568" s="39"/>
      <c r="C568" s="40"/>
      <c r="D568" s="41"/>
      <c r="E568" s="40"/>
      <c r="F568" s="40"/>
    </row>
    <row r="569">
      <c r="A569" s="39" t="str">
        <f t="shared" si="1"/>
        <v/>
      </c>
      <c r="B569" s="39"/>
      <c r="C569" s="40"/>
      <c r="D569" s="41"/>
      <c r="E569" s="40"/>
      <c r="F569" s="40"/>
    </row>
    <row r="570">
      <c r="A570" s="39" t="str">
        <f t="shared" si="1"/>
        <v/>
      </c>
      <c r="B570" s="39"/>
      <c r="C570" s="40"/>
      <c r="D570" s="41"/>
      <c r="E570" s="40"/>
      <c r="F570" s="40"/>
    </row>
    <row r="571">
      <c r="A571" s="39" t="str">
        <f t="shared" si="1"/>
        <v/>
      </c>
      <c r="B571" s="39"/>
      <c r="C571" s="40"/>
      <c r="D571" s="41"/>
      <c r="E571" s="40"/>
      <c r="F571" s="40"/>
    </row>
    <row r="572">
      <c r="A572" s="39" t="str">
        <f t="shared" si="1"/>
        <v/>
      </c>
      <c r="B572" s="39"/>
      <c r="C572" s="40"/>
      <c r="D572" s="41"/>
      <c r="E572" s="40"/>
      <c r="F572" s="40"/>
    </row>
    <row r="573">
      <c r="A573" s="39" t="str">
        <f t="shared" si="1"/>
        <v/>
      </c>
      <c r="B573" s="39"/>
      <c r="C573" s="40"/>
      <c r="D573" s="41"/>
      <c r="E573" s="40"/>
      <c r="F573" s="40"/>
    </row>
    <row r="574">
      <c r="A574" s="39" t="str">
        <f t="shared" si="1"/>
        <v/>
      </c>
      <c r="B574" s="39"/>
      <c r="C574" s="40"/>
      <c r="D574" s="41"/>
      <c r="E574" s="40"/>
      <c r="F574" s="40"/>
    </row>
    <row r="575">
      <c r="A575" s="39" t="str">
        <f t="shared" si="1"/>
        <v/>
      </c>
      <c r="B575" s="39"/>
      <c r="C575" s="40"/>
      <c r="D575" s="41"/>
      <c r="E575" s="40"/>
      <c r="F575" s="40"/>
    </row>
    <row r="576">
      <c r="A576" s="39" t="str">
        <f t="shared" si="1"/>
        <v/>
      </c>
      <c r="B576" s="39"/>
      <c r="C576" s="40"/>
      <c r="D576" s="41"/>
      <c r="E576" s="40"/>
      <c r="F576" s="40"/>
    </row>
    <row r="577">
      <c r="A577" s="39" t="str">
        <f t="shared" si="1"/>
        <v/>
      </c>
      <c r="B577" s="39"/>
      <c r="C577" s="40"/>
      <c r="D577" s="41"/>
      <c r="E577" s="40"/>
      <c r="F577" s="40"/>
    </row>
    <row r="578">
      <c r="A578" s="39" t="str">
        <f t="shared" si="1"/>
        <v/>
      </c>
      <c r="B578" s="39"/>
      <c r="C578" s="40"/>
      <c r="D578" s="41"/>
      <c r="E578" s="40"/>
      <c r="F578" s="40"/>
    </row>
    <row r="579">
      <c r="A579" s="39" t="str">
        <f t="shared" si="1"/>
        <v/>
      </c>
      <c r="B579" s="39"/>
      <c r="C579" s="40"/>
      <c r="D579" s="41"/>
      <c r="E579" s="40"/>
      <c r="F579" s="40"/>
    </row>
    <row r="580">
      <c r="A580" s="39" t="str">
        <f t="shared" si="1"/>
        <v/>
      </c>
      <c r="B580" s="39"/>
      <c r="C580" s="40"/>
      <c r="D580" s="41"/>
      <c r="E580" s="40"/>
      <c r="F580" s="40"/>
    </row>
    <row r="581">
      <c r="A581" s="39" t="str">
        <f t="shared" si="1"/>
        <v/>
      </c>
      <c r="B581" s="39"/>
      <c r="C581" s="40"/>
      <c r="D581" s="41"/>
      <c r="E581" s="40"/>
      <c r="F581" s="40"/>
    </row>
    <row r="582">
      <c r="A582" s="39" t="str">
        <f t="shared" si="1"/>
        <v/>
      </c>
      <c r="B582" s="39"/>
      <c r="C582" s="40"/>
      <c r="D582" s="41"/>
      <c r="E582" s="40"/>
      <c r="F582" s="40"/>
    </row>
    <row r="583">
      <c r="A583" s="39" t="str">
        <f t="shared" si="1"/>
        <v/>
      </c>
      <c r="B583" s="39"/>
      <c r="C583" s="40"/>
      <c r="D583" s="41"/>
      <c r="E583" s="40"/>
      <c r="F583" s="40"/>
    </row>
    <row r="584">
      <c r="A584" s="39" t="str">
        <f t="shared" si="1"/>
        <v/>
      </c>
      <c r="B584" s="39"/>
      <c r="C584" s="40"/>
      <c r="D584" s="41"/>
      <c r="E584" s="40"/>
      <c r="F584" s="40"/>
    </row>
    <row r="585">
      <c r="A585" s="39" t="str">
        <f t="shared" si="1"/>
        <v/>
      </c>
      <c r="B585" s="39"/>
      <c r="C585" s="40"/>
      <c r="D585" s="41"/>
      <c r="E585" s="40"/>
      <c r="F585" s="40"/>
    </row>
    <row r="586">
      <c r="A586" s="39" t="str">
        <f t="shared" si="1"/>
        <v/>
      </c>
      <c r="B586" s="39"/>
      <c r="C586" s="40"/>
      <c r="D586" s="41"/>
      <c r="E586" s="40"/>
      <c r="F586" s="40"/>
    </row>
    <row r="587">
      <c r="A587" s="39" t="str">
        <f t="shared" si="1"/>
        <v/>
      </c>
      <c r="B587" s="39"/>
      <c r="C587" s="40"/>
      <c r="D587" s="41"/>
      <c r="E587" s="40"/>
      <c r="F587" s="40"/>
    </row>
    <row r="588">
      <c r="A588" s="39" t="str">
        <f t="shared" si="1"/>
        <v/>
      </c>
      <c r="B588" s="39"/>
      <c r="C588" s="40"/>
      <c r="D588" s="41"/>
      <c r="E588" s="40"/>
      <c r="F588" s="40"/>
    </row>
    <row r="589">
      <c r="A589" s="39" t="str">
        <f t="shared" si="1"/>
        <v/>
      </c>
      <c r="B589" s="39"/>
      <c r="C589" s="40"/>
      <c r="D589" s="41"/>
      <c r="E589" s="40"/>
      <c r="F589" s="40"/>
    </row>
    <row r="590">
      <c r="A590" s="39" t="str">
        <f t="shared" si="1"/>
        <v/>
      </c>
      <c r="B590" s="39"/>
      <c r="C590" s="40"/>
      <c r="D590" s="41"/>
      <c r="E590" s="40"/>
      <c r="F590" s="40"/>
    </row>
    <row r="591">
      <c r="A591" s="39" t="str">
        <f t="shared" si="1"/>
        <v/>
      </c>
      <c r="B591" s="39"/>
      <c r="C591" s="40"/>
      <c r="D591" s="41"/>
      <c r="E591" s="40"/>
      <c r="F591" s="40"/>
    </row>
    <row r="592">
      <c r="A592" s="39" t="str">
        <f t="shared" si="1"/>
        <v/>
      </c>
      <c r="B592" s="39"/>
      <c r="C592" s="40"/>
      <c r="D592" s="41"/>
      <c r="E592" s="40"/>
      <c r="F592" s="40"/>
    </row>
    <row r="593">
      <c r="A593" s="39" t="str">
        <f t="shared" si="1"/>
        <v/>
      </c>
      <c r="B593" s="39"/>
      <c r="C593" s="40"/>
      <c r="D593" s="41"/>
      <c r="E593" s="40"/>
      <c r="F593" s="40"/>
    </row>
    <row r="594">
      <c r="A594" s="39" t="str">
        <f t="shared" si="1"/>
        <v/>
      </c>
      <c r="B594" s="39"/>
      <c r="C594" s="40"/>
      <c r="D594" s="41"/>
      <c r="E594" s="40"/>
      <c r="F594" s="40"/>
    </row>
    <row r="595">
      <c r="A595" s="39" t="str">
        <f t="shared" si="1"/>
        <v/>
      </c>
      <c r="B595" s="39"/>
      <c r="C595" s="40"/>
      <c r="D595" s="41"/>
      <c r="E595" s="40"/>
      <c r="F595" s="40"/>
    </row>
    <row r="596">
      <c r="A596" s="39" t="str">
        <f t="shared" si="1"/>
        <v/>
      </c>
      <c r="B596" s="39"/>
      <c r="C596" s="40"/>
      <c r="D596" s="41"/>
      <c r="E596" s="40"/>
      <c r="F596" s="40"/>
    </row>
    <row r="597">
      <c r="A597" s="39" t="str">
        <f t="shared" si="1"/>
        <v/>
      </c>
      <c r="B597" s="39"/>
      <c r="C597" s="40"/>
      <c r="D597" s="41"/>
      <c r="E597" s="40"/>
      <c r="F597" s="40"/>
    </row>
    <row r="598">
      <c r="A598" s="39" t="str">
        <f t="shared" si="1"/>
        <v/>
      </c>
      <c r="B598" s="39"/>
      <c r="C598" s="40"/>
      <c r="D598" s="41"/>
      <c r="E598" s="40"/>
      <c r="F598" s="40"/>
    </row>
    <row r="599">
      <c r="A599" s="39" t="str">
        <f t="shared" si="1"/>
        <v/>
      </c>
      <c r="B599" s="39"/>
      <c r="C599" s="40"/>
      <c r="D599" s="41"/>
      <c r="E599" s="40"/>
      <c r="F599" s="40"/>
    </row>
    <row r="600">
      <c r="A600" s="39" t="str">
        <f t="shared" si="1"/>
        <v/>
      </c>
      <c r="B600" s="39"/>
      <c r="C600" s="40"/>
      <c r="D600" s="41"/>
      <c r="E600" s="40"/>
      <c r="F600" s="40"/>
    </row>
    <row r="601">
      <c r="A601" s="39" t="str">
        <f t="shared" si="1"/>
        <v/>
      </c>
      <c r="B601" s="39"/>
      <c r="C601" s="40"/>
      <c r="D601" s="41"/>
      <c r="E601" s="40"/>
      <c r="F601" s="40"/>
    </row>
    <row r="602">
      <c r="A602" s="39" t="str">
        <f t="shared" si="1"/>
        <v/>
      </c>
      <c r="B602" s="39"/>
      <c r="C602" s="40"/>
      <c r="D602" s="41"/>
      <c r="E602" s="40"/>
      <c r="F602" s="40"/>
    </row>
    <row r="603">
      <c r="A603" s="39" t="str">
        <f t="shared" si="1"/>
        <v/>
      </c>
      <c r="B603" s="39"/>
      <c r="C603" s="40"/>
      <c r="D603" s="41"/>
      <c r="E603" s="40"/>
      <c r="F603" s="40"/>
    </row>
    <row r="604">
      <c r="A604" s="39" t="str">
        <f t="shared" si="1"/>
        <v/>
      </c>
      <c r="B604" s="39"/>
      <c r="C604" s="40"/>
      <c r="D604" s="41"/>
      <c r="E604" s="40"/>
      <c r="F604" s="40"/>
    </row>
    <row r="605">
      <c r="A605" s="39" t="str">
        <f t="shared" si="1"/>
        <v/>
      </c>
      <c r="B605" s="39"/>
      <c r="C605" s="40"/>
      <c r="D605" s="41"/>
      <c r="E605" s="40"/>
      <c r="F605" s="40"/>
    </row>
    <row r="606">
      <c r="A606" s="39" t="str">
        <f t="shared" si="1"/>
        <v/>
      </c>
      <c r="B606" s="39"/>
      <c r="C606" s="40"/>
      <c r="D606" s="41"/>
      <c r="E606" s="40"/>
      <c r="F606" s="40"/>
    </row>
    <row r="607">
      <c r="A607" s="39" t="str">
        <f t="shared" si="1"/>
        <v/>
      </c>
      <c r="B607" s="39"/>
      <c r="C607" s="40"/>
      <c r="D607" s="41"/>
      <c r="E607" s="40"/>
      <c r="F607" s="40"/>
    </row>
    <row r="608">
      <c r="A608" s="39" t="str">
        <f t="shared" si="1"/>
        <v/>
      </c>
      <c r="B608" s="39"/>
      <c r="C608" s="40"/>
      <c r="D608" s="41"/>
      <c r="E608" s="40"/>
      <c r="F608" s="40"/>
    </row>
    <row r="609">
      <c r="A609" s="39" t="str">
        <f t="shared" si="1"/>
        <v/>
      </c>
      <c r="B609" s="39"/>
      <c r="C609" s="40"/>
      <c r="D609" s="41"/>
      <c r="E609" s="40"/>
      <c r="F609" s="40"/>
    </row>
    <row r="610">
      <c r="A610" s="39" t="str">
        <f t="shared" si="1"/>
        <v/>
      </c>
      <c r="B610" s="39"/>
      <c r="C610" s="40"/>
      <c r="D610" s="41"/>
      <c r="E610" s="40"/>
      <c r="F610" s="40"/>
    </row>
    <row r="611">
      <c r="A611" s="39" t="str">
        <f t="shared" si="1"/>
        <v/>
      </c>
      <c r="B611" s="39"/>
      <c r="C611" s="40"/>
      <c r="D611" s="41"/>
      <c r="E611" s="40"/>
      <c r="F611" s="40"/>
    </row>
    <row r="612">
      <c r="A612" s="39" t="str">
        <f t="shared" si="1"/>
        <v/>
      </c>
      <c r="B612" s="39"/>
      <c r="C612" s="40"/>
      <c r="D612" s="41"/>
      <c r="E612" s="40"/>
      <c r="F612" s="40"/>
    </row>
    <row r="613">
      <c r="A613" s="39" t="str">
        <f t="shared" si="1"/>
        <v/>
      </c>
      <c r="B613" s="39"/>
      <c r="C613" s="40"/>
      <c r="D613" s="41"/>
      <c r="E613" s="40"/>
      <c r="F613" s="40"/>
    </row>
    <row r="614">
      <c r="A614" s="39" t="str">
        <f t="shared" si="1"/>
        <v/>
      </c>
      <c r="B614" s="39"/>
      <c r="C614" s="40"/>
      <c r="D614" s="41"/>
      <c r="E614" s="40"/>
      <c r="F614" s="40"/>
    </row>
    <row r="615">
      <c r="A615" s="39" t="str">
        <f t="shared" si="1"/>
        <v/>
      </c>
      <c r="B615" s="39"/>
      <c r="C615" s="40"/>
      <c r="D615" s="41"/>
      <c r="E615" s="40"/>
      <c r="F615" s="40"/>
    </row>
    <row r="616">
      <c r="A616" s="39" t="str">
        <f t="shared" si="1"/>
        <v/>
      </c>
      <c r="B616" s="39"/>
      <c r="C616" s="40"/>
      <c r="D616" s="41"/>
      <c r="E616" s="40"/>
      <c r="F616" s="40"/>
    </row>
    <row r="617">
      <c r="A617" s="39" t="str">
        <f t="shared" si="1"/>
        <v/>
      </c>
      <c r="B617" s="39"/>
      <c r="C617" s="40"/>
      <c r="D617" s="41"/>
      <c r="E617" s="40"/>
      <c r="F617" s="40"/>
    </row>
    <row r="618">
      <c r="A618" s="39" t="str">
        <f t="shared" si="1"/>
        <v/>
      </c>
      <c r="B618" s="39"/>
      <c r="C618" s="40"/>
      <c r="D618" s="41"/>
      <c r="E618" s="40"/>
      <c r="F618" s="40"/>
    </row>
    <row r="619">
      <c r="A619" s="39" t="str">
        <f t="shared" si="1"/>
        <v/>
      </c>
      <c r="B619" s="39"/>
      <c r="C619" s="40"/>
      <c r="D619" s="41"/>
      <c r="E619" s="40"/>
      <c r="F619" s="40"/>
    </row>
    <row r="620">
      <c r="A620" s="39" t="str">
        <f t="shared" si="1"/>
        <v/>
      </c>
      <c r="B620" s="39"/>
      <c r="C620" s="40"/>
      <c r="D620" s="41"/>
      <c r="E620" s="40"/>
      <c r="F620" s="40"/>
    </row>
    <row r="621">
      <c r="A621" s="39" t="str">
        <f t="shared" si="1"/>
        <v/>
      </c>
      <c r="B621" s="39"/>
      <c r="C621" s="40"/>
      <c r="D621" s="41"/>
      <c r="E621" s="40"/>
      <c r="F621" s="40"/>
    </row>
    <row r="622">
      <c r="A622" s="39" t="str">
        <f t="shared" si="1"/>
        <v/>
      </c>
      <c r="B622" s="39"/>
      <c r="C622" s="40"/>
      <c r="D622" s="41"/>
      <c r="E622" s="40"/>
      <c r="F622" s="40"/>
    </row>
    <row r="623">
      <c r="A623" s="39" t="str">
        <f t="shared" si="1"/>
        <v/>
      </c>
      <c r="B623" s="39"/>
      <c r="C623" s="40"/>
      <c r="D623" s="41"/>
      <c r="E623" s="40"/>
      <c r="F623" s="40"/>
    </row>
    <row r="624">
      <c r="A624" s="39" t="str">
        <f t="shared" si="1"/>
        <v/>
      </c>
      <c r="B624" s="39"/>
      <c r="C624" s="40"/>
      <c r="D624" s="41"/>
      <c r="E624" s="40"/>
      <c r="F624" s="40"/>
    </row>
    <row r="625">
      <c r="A625" s="39" t="str">
        <f t="shared" si="1"/>
        <v/>
      </c>
      <c r="B625" s="39"/>
      <c r="C625" s="40"/>
      <c r="D625" s="41"/>
      <c r="E625" s="40"/>
      <c r="F625" s="40"/>
    </row>
    <row r="626">
      <c r="A626" s="39" t="str">
        <f t="shared" si="1"/>
        <v/>
      </c>
      <c r="B626" s="39"/>
      <c r="C626" s="40"/>
      <c r="D626" s="41"/>
      <c r="E626" s="40"/>
      <c r="F626" s="40"/>
    </row>
    <row r="627">
      <c r="A627" s="39" t="str">
        <f t="shared" si="1"/>
        <v/>
      </c>
      <c r="B627" s="39"/>
      <c r="C627" s="40"/>
      <c r="D627" s="41"/>
      <c r="E627" s="40"/>
      <c r="F627" s="40"/>
    </row>
    <row r="628">
      <c r="A628" s="39" t="str">
        <f t="shared" si="1"/>
        <v/>
      </c>
      <c r="B628" s="39"/>
      <c r="C628" s="40"/>
      <c r="D628" s="41"/>
      <c r="E628" s="40"/>
      <c r="F628" s="40"/>
    </row>
    <row r="629">
      <c r="A629" s="39" t="str">
        <f t="shared" si="1"/>
        <v/>
      </c>
      <c r="B629" s="39"/>
      <c r="C629" s="40"/>
      <c r="D629" s="41"/>
      <c r="E629" s="40"/>
      <c r="F629" s="40"/>
    </row>
    <row r="630">
      <c r="A630" s="39" t="str">
        <f t="shared" si="1"/>
        <v/>
      </c>
      <c r="B630" s="39"/>
      <c r="C630" s="40"/>
      <c r="D630" s="41"/>
      <c r="E630" s="40"/>
      <c r="F630" s="40"/>
    </row>
    <row r="631">
      <c r="A631" s="39" t="str">
        <f t="shared" si="1"/>
        <v/>
      </c>
      <c r="B631" s="39"/>
      <c r="C631" s="40"/>
      <c r="D631" s="41"/>
      <c r="E631" s="40"/>
      <c r="F631" s="40"/>
    </row>
    <row r="632">
      <c r="A632" s="39" t="str">
        <f t="shared" si="1"/>
        <v/>
      </c>
      <c r="B632" s="39"/>
      <c r="C632" s="40"/>
      <c r="D632" s="41"/>
      <c r="E632" s="40"/>
      <c r="F632" s="40"/>
    </row>
    <row r="633">
      <c r="A633" s="39" t="str">
        <f t="shared" si="1"/>
        <v/>
      </c>
      <c r="B633" s="39"/>
      <c r="C633" s="40"/>
      <c r="D633" s="41"/>
      <c r="E633" s="40"/>
      <c r="F633" s="40"/>
    </row>
    <row r="634">
      <c r="A634" s="39" t="str">
        <f t="shared" si="1"/>
        <v/>
      </c>
      <c r="B634" s="39"/>
      <c r="C634" s="40"/>
      <c r="D634" s="41"/>
      <c r="E634" s="40"/>
      <c r="F634" s="40"/>
    </row>
    <row r="635">
      <c r="A635" s="39" t="str">
        <f t="shared" si="1"/>
        <v/>
      </c>
      <c r="B635" s="39"/>
      <c r="C635" s="40"/>
      <c r="D635" s="41"/>
      <c r="E635" s="40"/>
      <c r="F635" s="40"/>
    </row>
    <row r="636">
      <c r="A636" s="39" t="str">
        <f t="shared" si="1"/>
        <v/>
      </c>
      <c r="B636" s="39"/>
      <c r="C636" s="40"/>
      <c r="D636" s="41"/>
      <c r="E636" s="40"/>
      <c r="F636" s="40"/>
    </row>
    <row r="637">
      <c r="A637" s="39" t="str">
        <f t="shared" si="1"/>
        <v/>
      </c>
      <c r="B637" s="39"/>
      <c r="C637" s="40"/>
      <c r="D637" s="41"/>
      <c r="E637" s="40"/>
      <c r="F637" s="40"/>
    </row>
    <row r="638">
      <c r="A638" s="39" t="str">
        <f t="shared" si="1"/>
        <v/>
      </c>
      <c r="B638" s="39"/>
      <c r="C638" s="40"/>
      <c r="D638" s="41"/>
      <c r="E638" s="40"/>
      <c r="F638" s="40"/>
    </row>
    <row r="639">
      <c r="A639" s="39" t="str">
        <f t="shared" si="1"/>
        <v/>
      </c>
      <c r="B639" s="39"/>
      <c r="C639" s="40"/>
      <c r="D639" s="41"/>
      <c r="E639" s="40"/>
      <c r="F639" s="40"/>
    </row>
    <row r="640">
      <c r="A640" s="39" t="str">
        <f t="shared" si="1"/>
        <v/>
      </c>
      <c r="B640" s="39"/>
      <c r="C640" s="40"/>
      <c r="D640" s="41"/>
      <c r="E640" s="40"/>
      <c r="F640" s="40"/>
    </row>
    <row r="641">
      <c r="A641" s="39" t="str">
        <f t="shared" si="1"/>
        <v/>
      </c>
      <c r="B641" s="39"/>
      <c r="C641" s="40"/>
      <c r="D641" s="41"/>
      <c r="E641" s="40"/>
      <c r="F641" s="40"/>
    </row>
    <row r="642">
      <c r="A642" s="39" t="str">
        <f t="shared" si="1"/>
        <v/>
      </c>
      <c r="B642" s="39"/>
      <c r="C642" s="40"/>
      <c r="D642" s="41"/>
      <c r="E642" s="40"/>
      <c r="F642" s="40"/>
    </row>
    <row r="643">
      <c r="A643" s="39" t="str">
        <f t="shared" si="1"/>
        <v/>
      </c>
      <c r="B643" s="39"/>
      <c r="C643" s="40"/>
      <c r="D643" s="41"/>
      <c r="E643" s="40"/>
      <c r="F643" s="40"/>
    </row>
    <row r="644">
      <c r="A644" s="39" t="str">
        <f t="shared" si="1"/>
        <v/>
      </c>
      <c r="B644" s="39"/>
      <c r="C644" s="40"/>
      <c r="D644" s="41"/>
      <c r="E644" s="40"/>
      <c r="F644" s="40"/>
    </row>
    <row r="645">
      <c r="A645" s="39" t="str">
        <f t="shared" si="1"/>
        <v/>
      </c>
      <c r="B645" s="39"/>
      <c r="C645" s="40"/>
      <c r="D645" s="41"/>
      <c r="E645" s="40"/>
      <c r="F645" s="40"/>
    </row>
    <row r="646">
      <c r="A646" s="39" t="str">
        <f t="shared" si="1"/>
        <v/>
      </c>
      <c r="B646" s="39"/>
      <c r="C646" s="40"/>
      <c r="D646" s="41"/>
      <c r="E646" s="40"/>
      <c r="F646" s="40"/>
    </row>
    <row r="647">
      <c r="A647" s="39" t="str">
        <f t="shared" si="1"/>
        <v/>
      </c>
      <c r="B647" s="39"/>
      <c r="C647" s="40"/>
      <c r="D647" s="41"/>
      <c r="E647" s="40"/>
      <c r="F647" s="40"/>
    </row>
    <row r="648">
      <c r="A648" s="39" t="str">
        <f t="shared" si="1"/>
        <v/>
      </c>
      <c r="B648" s="39"/>
      <c r="C648" s="40"/>
      <c r="D648" s="41"/>
      <c r="E648" s="40"/>
      <c r="F648" s="40"/>
    </row>
    <row r="649">
      <c r="A649" s="39" t="str">
        <f t="shared" si="1"/>
        <v/>
      </c>
      <c r="B649" s="39"/>
      <c r="C649" s="40"/>
      <c r="D649" s="41"/>
      <c r="E649" s="40"/>
      <c r="F649" s="40"/>
    </row>
    <row r="650">
      <c r="A650" s="39" t="str">
        <f t="shared" si="1"/>
        <v/>
      </c>
      <c r="B650" s="39"/>
      <c r="C650" s="40"/>
      <c r="D650" s="41"/>
      <c r="E650" s="40"/>
      <c r="F650" s="40"/>
    </row>
    <row r="651">
      <c r="A651" s="39" t="str">
        <f t="shared" si="1"/>
        <v/>
      </c>
      <c r="B651" s="39"/>
      <c r="C651" s="40"/>
      <c r="D651" s="41"/>
      <c r="E651" s="40"/>
      <c r="F651" s="40"/>
    </row>
    <row r="652">
      <c r="A652" s="39" t="str">
        <f t="shared" si="1"/>
        <v/>
      </c>
      <c r="B652" s="39"/>
      <c r="C652" s="40"/>
      <c r="D652" s="41"/>
      <c r="E652" s="40"/>
      <c r="F652" s="40"/>
    </row>
    <row r="653">
      <c r="A653" s="39" t="str">
        <f t="shared" si="1"/>
        <v/>
      </c>
      <c r="B653" s="39"/>
      <c r="C653" s="40"/>
      <c r="D653" s="41"/>
      <c r="E653" s="40"/>
      <c r="F653" s="40"/>
    </row>
    <row r="654">
      <c r="A654" s="39" t="str">
        <f t="shared" si="1"/>
        <v/>
      </c>
      <c r="B654" s="39"/>
      <c r="C654" s="40"/>
      <c r="D654" s="41"/>
      <c r="E654" s="40"/>
      <c r="F654" s="40"/>
    </row>
    <row r="655">
      <c r="A655" s="39" t="str">
        <f t="shared" si="1"/>
        <v/>
      </c>
      <c r="B655" s="39"/>
      <c r="C655" s="40"/>
      <c r="D655" s="41"/>
      <c r="E655" s="40"/>
      <c r="F655" s="40"/>
    </row>
    <row r="656">
      <c r="A656" s="39" t="str">
        <f t="shared" si="1"/>
        <v/>
      </c>
      <c r="B656" s="39"/>
      <c r="C656" s="40"/>
      <c r="D656" s="41"/>
      <c r="E656" s="40"/>
      <c r="F656" s="40"/>
    </row>
    <row r="657">
      <c r="A657" s="39" t="str">
        <f t="shared" si="1"/>
        <v/>
      </c>
      <c r="B657" s="39"/>
      <c r="C657" s="40"/>
      <c r="D657" s="41"/>
      <c r="E657" s="40"/>
      <c r="F657" s="40"/>
    </row>
    <row r="658">
      <c r="A658" s="39" t="str">
        <f t="shared" si="1"/>
        <v/>
      </c>
      <c r="B658" s="39"/>
      <c r="C658" s="40"/>
      <c r="D658" s="41"/>
      <c r="E658" s="40"/>
      <c r="F658" s="40"/>
    </row>
    <row r="659">
      <c r="A659" s="39" t="str">
        <f t="shared" si="1"/>
        <v/>
      </c>
      <c r="B659" s="39"/>
      <c r="C659" s="40"/>
      <c r="D659" s="41"/>
      <c r="E659" s="40"/>
      <c r="F659" s="40"/>
    </row>
    <row r="660">
      <c r="A660" s="39" t="str">
        <f t="shared" si="1"/>
        <v/>
      </c>
      <c r="B660" s="39"/>
      <c r="C660" s="40"/>
      <c r="D660" s="41"/>
      <c r="E660" s="40"/>
      <c r="F660" s="40"/>
    </row>
    <row r="661">
      <c r="A661" s="39" t="str">
        <f t="shared" si="1"/>
        <v/>
      </c>
      <c r="B661" s="39"/>
      <c r="C661" s="40"/>
      <c r="D661" s="41"/>
      <c r="E661" s="40"/>
      <c r="F661" s="40"/>
    </row>
    <row r="662">
      <c r="A662" s="39" t="str">
        <f t="shared" si="1"/>
        <v/>
      </c>
      <c r="B662" s="39"/>
      <c r="C662" s="40"/>
      <c r="D662" s="41"/>
      <c r="E662" s="40"/>
      <c r="F662" s="40"/>
    </row>
    <row r="663">
      <c r="A663" s="39" t="str">
        <f t="shared" si="1"/>
        <v/>
      </c>
      <c r="B663" s="39"/>
      <c r="C663" s="40"/>
      <c r="D663" s="41"/>
      <c r="E663" s="40"/>
      <c r="F663" s="40"/>
    </row>
    <row r="664">
      <c r="A664" s="39" t="str">
        <f t="shared" si="1"/>
        <v/>
      </c>
      <c r="B664" s="39"/>
      <c r="C664" s="40"/>
      <c r="D664" s="41"/>
      <c r="E664" s="40"/>
      <c r="F664" s="40"/>
    </row>
    <row r="665">
      <c r="A665" s="39" t="str">
        <f t="shared" si="1"/>
        <v/>
      </c>
      <c r="B665" s="39"/>
      <c r="C665" s="40"/>
      <c r="D665" s="41"/>
      <c r="E665" s="40"/>
      <c r="F665" s="40"/>
    </row>
    <row r="666">
      <c r="A666" s="39" t="str">
        <f t="shared" si="1"/>
        <v/>
      </c>
      <c r="B666" s="39"/>
      <c r="C666" s="40"/>
      <c r="D666" s="41"/>
      <c r="E666" s="40"/>
      <c r="F666" s="40"/>
    </row>
    <row r="667">
      <c r="A667" s="39" t="str">
        <f t="shared" si="1"/>
        <v/>
      </c>
      <c r="B667" s="39"/>
      <c r="C667" s="40"/>
      <c r="D667" s="41"/>
      <c r="E667" s="40"/>
      <c r="F667" s="40"/>
    </row>
    <row r="668">
      <c r="A668" s="39" t="str">
        <f t="shared" si="1"/>
        <v/>
      </c>
      <c r="B668" s="39"/>
      <c r="C668" s="40"/>
      <c r="D668" s="41"/>
      <c r="E668" s="40"/>
      <c r="F668" s="40"/>
    </row>
    <row r="669">
      <c r="A669" s="39" t="str">
        <f t="shared" si="1"/>
        <v/>
      </c>
      <c r="B669" s="39"/>
      <c r="C669" s="40"/>
      <c r="D669" s="41"/>
      <c r="E669" s="40"/>
      <c r="F669" s="40"/>
    </row>
    <row r="670">
      <c r="A670" s="39" t="str">
        <f t="shared" si="1"/>
        <v/>
      </c>
      <c r="B670" s="39"/>
      <c r="C670" s="40"/>
      <c r="D670" s="41"/>
      <c r="E670" s="40"/>
      <c r="F670" s="40"/>
    </row>
    <row r="671">
      <c r="A671" s="39" t="str">
        <f t="shared" si="1"/>
        <v/>
      </c>
      <c r="B671" s="39"/>
      <c r="C671" s="40"/>
      <c r="D671" s="41"/>
      <c r="E671" s="40"/>
      <c r="F671" s="40"/>
    </row>
    <row r="672">
      <c r="A672" s="39" t="str">
        <f t="shared" si="1"/>
        <v/>
      </c>
      <c r="B672" s="39"/>
      <c r="C672" s="40"/>
      <c r="D672" s="41"/>
      <c r="E672" s="40"/>
      <c r="F672" s="40"/>
    </row>
    <row r="673">
      <c r="A673" s="39" t="str">
        <f t="shared" si="1"/>
        <v/>
      </c>
      <c r="B673" s="39"/>
      <c r="C673" s="40"/>
      <c r="D673" s="41"/>
      <c r="E673" s="40"/>
      <c r="F673" s="40"/>
    </row>
    <row r="674">
      <c r="A674" s="39" t="str">
        <f t="shared" si="1"/>
        <v/>
      </c>
      <c r="B674" s="39"/>
      <c r="C674" s="40"/>
      <c r="D674" s="41"/>
      <c r="E674" s="40"/>
      <c r="F674" s="40"/>
    </row>
    <row r="675">
      <c r="A675" s="39" t="str">
        <f t="shared" si="1"/>
        <v/>
      </c>
      <c r="B675" s="39"/>
      <c r="C675" s="40"/>
      <c r="D675" s="41"/>
      <c r="E675" s="40"/>
      <c r="F675" s="40"/>
    </row>
    <row r="676">
      <c r="A676" s="39" t="str">
        <f t="shared" si="1"/>
        <v/>
      </c>
      <c r="B676" s="39"/>
      <c r="C676" s="40"/>
      <c r="D676" s="41"/>
      <c r="E676" s="40"/>
      <c r="F676" s="40"/>
    </row>
    <row r="677">
      <c r="A677" s="39" t="str">
        <f t="shared" si="1"/>
        <v/>
      </c>
      <c r="B677" s="39"/>
      <c r="C677" s="40"/>
      <c r="D677" s="41"/>
      <c r="E677" s="40"/>
      <c r="F677" s="40"/>
    </row>
    <row r="678">
      <c r="A678" s="39" t="str">
        <f t="shared" si="1"/>
        <v/>
      </c>
      <c r="B678" s="39"/>
      <c r="C678" s="40"/>
      <c r="D678" s="41"/>
      <c r="E678" s="40"/>
      <c r="F678" s="40"/>
    </row>
    <row r="679">
      <c r="A679" s="39" t="str">
        <f t="shared" si="1"/>
        <v/>
      </c>
      <c r="B679" s="39"/>
      <c r="C679" s="40"/>
      <c r="D679" s="41"/>
      <c r="E679" s="40"/>
      <c r="F679" s="40"/>
    </row>
    <row r="680">
      <c r="A680" s="39" t="str">
        <f t="shared" si="1"/>
        <v/>
      </c>
      <c r="B680" s="39"/>
      <c r="C680" s="40"/>
      <c r="D680" s="41"/>
      <c r="E680" s="40"/>
      <c r="F680" s="40"/>
    </row>
    <row r="681">
      <c r="A681" s="39" t="str">
        <f t="shared" si="1"/>
        <v/>
      </c>
      <c r="B681" s="39"/>
      <c r="C681" s="40"/>
      <c r="D681" s="41"/>
      <c r="E681" s="40"/>
      <c r="F681" s="40"/>
    </row>
    <row r="682">
      <c r="A682" s="39" t="str">
        <f t="shared" si="1"/>
        <v/>
      </c>
      <c r="B682" s="39"/>
      <c r="C682" s="40"/>
      <c r="D682" s="41"/>
      <c r="E682" s="40"/>
      <c r="F682" s="40"/>
    </row>
    <row r="683">
      <c r="A683" s="39" t="str">
        <f t="shared" si="1"/>
        <v/>
      </c>
      <c r="B683" s="39"/>
      <c r="C683" s="40"/>
      <c r="D683" s="41"/>
      <c r="E683" s="40"/>
      <c r="F683" s="40"/>
    </row>
    <row r="684">
      <c r="A684" s="39" t="str">
        <f t="shared" si="1"/>
        <v/>
      </c>
      <c r="B684" s="39"/>
      <c r="C684" s="40"/>
      <c r="D684" s="41"/>
      <c r="E684" s="40"/>
      <c r="F684" s="40"/>
    </row>
    <row r="685">
      <c r="A685" s="39" t="str">
        <f t="shared" si="1"/>
        <v/>
      </c>
      <c r="B685" s="39"/>
      <c r="C685" s="40"/>
      <c r="D685" s="41"/>
      <c r="E685" s="40"/>
      <c r="F685" s="40"/>
    </row>
    <row r="686">
      <c r="A686" s="39" t="str">
        <f t="shared" si="1"/>
        <v/>
      </c>
      <c r="B686" s="39"/>
      <c r="C686" s="40"/>
      <c r="D686" s="41"/>
      <c r="E686" s="40"/>
      <c r="F686" s="40"/>
    </row>
    <row r="687">
      <c r="A687" s="39" t="str">
        <f t="shared" si="1"/>
        <v/>
      </c>
      <c r="B687" s="39"/>
      <c r="C687" s="40"/>
      <c r="D687" s="41"/>
      <c r="E687" s="40"/>
      <c r="F687" s="40"/>
    </row>
    <row r="688">
      <c r="A688" s="39" t="str">
        <f t="shared" si="1"/>
        <v/>
      </c>
      <c r="B688" s="39"/>
      <c r="C688" s="40"/>
      <c r="D688" s="41"/>
      <c r="E688" s="40"/>
      <c r="F688" s="40"/>
    </row>
    <row r="689">
      <c r="A689" s="39" t="str">
        <f t="shared" si="1"/>
        <v/>
      </c>
      <c r="B689" s="39"/>
      <c r="C689" s="40"/>
      <c r="D689" s="41"/>
      <c r="E689" s="40"/>
      <c r="F689" s="40"/>
    </row>
    <row r="690">
      <c r="A690" s="39" t="str">
        <f t="shared" si="1"/>
        <v/>
      </c>
      <c r="B690" s="39"/>
      <c r="C690" s="40"/>
      <c r="D690" s="41"/>
      <c r="E690" s="40"/>
      <c r="F690" s="40"/>
    </row>
    <row r="691">
      <c r="A691" s="39" t="str">
        <f t="shared" si="1"/>
        <v/>
      </c>
      <c r="B691" s="39"/>
      <c r="C691" s="40"/>
      <c r="D691" s="41"/>
      <c r="E691" s="40"/>
      <c r="F691" s="40"/>
    </row>
    <row r="692">
      <c r="A692" s="39" t="str">
        <f t="shared" si="1"/>
        <v/>
      </c>
      <c r="B692" s="39"/>
      <c r="C692" s="40"/>
      <c r="D692" s="41"/>
      <c r="E692" s="40"/>
      <c r="F692" s="40"/>
    </row>
    <row r="693">
      <c r="A693" s="39" t="str">
        <f t="shared" si="1"/>
        <v/>
      </c>
      <c r="B693" s="39"/>
      <c r="C693" s="40"/>
      <c r="D693" s="41"/>
      <c r="E693" s="40"/>
      <c r="F693" s="40"/>
    </row>
    <row r="694">
      <c r="A694" s="39" t="str">
        <f t="shared" si="1"/>
        <v/>
      </c>
      <c r="B694" s="39"/>
      <c r="C694" s="40"/>
      <c r="D694" s="41"/>
      <c r="E694" s="40"/>
      <c r="F694" s="40"/>
    </row>
    <row r="695">
      <c r="A695" s="39" t="str">
        <f t="shared" si="1"/>
        <v/>
      </c>
      <c r="B695" s="39"/>
      <c r="C695" s="40"/>
      <c r="D695" s="41"/>
      <c r="E695" s="40"/>
      <c r="F695" s="40"/>
    </row>
    <row r="696">
      <c r="A696" s="39" t="str">
        <f t="shared" si="1"/>
        <v/>
      </c>
      <c r="B696" s="39"/>
      <c r="C696" s="40"/>
      <c r="D696" s="41"/>
      <c r="E696" s="40"/>
      <c r="F696" s="40"/>
    </row>
    <row r="697">
      <c r="A697" s="39" t="str">
        <f t="shared" si="1"/>
        <v/>
      </c>
      <c r="B697" s="39"/>
      <c r="C697" s="40"/>
      <c r="D697" s="41"/>
      <c r="E697" s="40"/>
      <c r="F697" s="40"/>
    </row>
    <row r="698">
      <c r="A698" s="39" t="str">
        <f t="shared" si="1"/>
        <v/>
      </c>
      <c r="B698" s="39"/>
      <c r="C698" s="40"/>
      <c r="D698" s="41"/>
      <c r="E698" s="40"/>
      <c r="F698" s="40"/>
    </row>
    <row r="699">
      <c r="A699" s="39" t="str">
        <f t="shared" si="1"/>
        <v/>
      </c>
      <c r="B699" s="39"/>
      <c r="C699" s="40"/>
      <c r="D699" s="41"/>
      <c r="E699" s="40"/>
      <c r="F699" s="40"/>
    </row>
    <row r="700">
      <c r="A700" s="39" t="str">
        <f t="shared" si="1"/>
        <v/>
      </c>
      <c r="B700" s="39"/>
      <c r="C700" s="40"/>
      <c r="D700" s="41"/>
      <c r="E700" s="40"/>
      <c r="F700" s="40"/>
    </row>
    <row r="701">
      <c r="A701" s="39" t="str">
        <f t="shared" si="1"/>
        <v/>
      </c>
      <c r="B701" s="39"/>
      <c r="C701" s="40"/>
      <c r="D701" s="41"/>
      <c r="E701" s="40"/>
      <c r="F701" s="40"/>
    </row>
    <row r="702">
      <c r="A702" s="39" t="str">
        <f t="shared" si="1"/>
        <v/>
      </c>
      <c r="B702" s="39"/>
      <c r="C702" s="40"/>
      <c r="D702" s="41"/>
      <c r="E702" s="40"/>
      <c r="F702" s="40"/>
    </row>
    <row r="703">
      <c r="A703" s="39" t="str">
        <f t="shared" si="1"/>
        <v/>
      </c>
      <c r="B703" s="39"/>
      <c r="C703" s="40"/>
      <c r="D703" s="41"/>
      <c r="E703" s="40"/>
      <c r="F703" s="40"/>
    </row>
    <row r="704">
      <c r="A704" s="39" t="str">
        <f t="shared" si="1"/>
        <v/>
      </c>
      <c r="B704" s="39"/>
      <c r="C704" s="40"/>
      <c r="D704" s="41"/>
      <c r="E704" s="40"/>
      <c r="F704" s="40"/>
    </row>
    <row r="705">
      <c r="A705" s="39" t="str">
        <f t="shared" si="1"/>
        <v/>
      </c>
      <c r="B705" s="39"/>
      <c r="C705" s="40"/>
      <c r="D705" s="41"/>
      <c r="E705" s="40"/>
      <c r="F705" s="40"/>
    </row>
    <row r="706">
      <c r="A706" s="39" t="str">
        <f t="shared" si="1"/>
        <v/>
      </c>
      <c r="B706" s="39"/>
      <c r="C706" s="40"/>
      <c r="D706" s="41"/>
      <c r="E706" s="40"/>
      <c r="F706" s="40"/>
    </row>
    <row r="707">
      <c r="A707" s="39" t="str">
        <f t="shared" si="1"/>
        <v/>
      </c>
      <c r="B707" s="39"/>
      <c r="C707" s="40"/>
      <c r="D707" s="41"/>
      <c r="E707" s="40"/>
      <c r="F707" s="40"/>
    </row>
    <row r="708">
      <c r="A708" s="39" t="str">
        <f t="shared" si="1"/>
        <v/>
      </c>
      <c r="B708" s="39"/>
      <c r="C708" s="40"/>
      <c r="D708" s="41"/>
      <c r="E708" s="40"/>
      <c r="F708" s="40"/>
    </row>
    <row r="709">
      <c r="A709" s="39" t="str">
        <f t="shared" si="1"/>
        <v/>
      </c>
      <c r="B709" s="39"/>
      <c r="C709" s="40"/>
      <c r="D709" s="41"/>
      <c r="E709" s="40"/>
      <c r="F709" s="40"/>
    </row>
    <row r="710">
      <c r="A710" s="39" t="str">
        <f t="shared" si="1"/>
        <v/>
      </c>
      <c r="B710" s="39"/>
      <c r="C710" s="40"/>
      <c r="D710" s="41"/>
      <c r="E710" s="40"/>
      <c r="F710" s="40"/>
    </row>
    <row r="711">
      <c r="A711" s="39" t="str">
        <f t="shared" si="1"/>
        <v/>
      </c>
      <c r="B711" s="39"/>
      <c r="C711" s="40"/>
      <c r="D711" s="41"/>
      <c r="E711" s="40"/>
      <c r="F711" s="40"/>
    </row>
    <row r="712">
      <c r="A712" s="39" t="str">
        <f t="shared" si="1"/>
        <v/>
      </c>
      <c r="B712" s="39"/>
      <c r="C712" s="40"/>
      <c r="D712" s="41"/>
      <c r="E712" s="40"/>
      <c r="F712" s="40"/>
    </row>
    <row r="713">
      <c r="A713" s="39" t="str">
        <f t="shared" si="1"/>
        <v/>
      </c>
      <c r="B713" s="39"/>
      <c r="C713" s="40"/>
      <c r="D713" s="41"/>
      <c r="E713" s="40"/>
      <c r="F713" s="40"/>
    </row>
    <row r="714">
      <c r="A714" s="39" t="str">
        <f t="shared" si="1"/>
        <v/>
      </c>
      <c r="B714" s="39"/>
      <c r="C714" s="40"/>
      <c r="D714" s="41"/>
      <c r="E714" s="40"/>
      <c r="F714" s="40"/>
    </row>
    <row r="715">
      <c r="A715" s="39" t="str">
        <f t="shared" si="1"/>
        <v/>
      </c>
      <c r="B715" s="39"/>
      <c r="C715" s="40"/>
      <c r="D715" s="41"/>
      <c r="E715" s="40"/>
      <c r="F715" s="40"/>
    </row>
    <row r="716">
      <c r="A716" s="39" t="str">
        <f t="shared" si="1"/>
        <v/>
      </c>
      <c r="B716" s="39"/>
      <c r="C716" s="40"/>
      <c r="D716" s="41"/>
      <c r="E716" s="40"/>
      <c r="F716" s="40"/>
    </row>
    <row r="717">
      <c r="A717" s="39" t="str">
        <f t="shared" si="1"/>
        <v/>
      </c>
      <c r="B717" s="39"/>
      <c r="C717" s="40"/>
      <c r="D717" s="41"/>
      <c r="E717" s="40"/>
      <c r="F717" s="40"/>
    </row>
    <row r="718">
      <c r="A718" s="39" t="str">
        <f t="shared" si="1"/>
        <v/>
      </c>
      <c r="B718" s="39"/>
      <c r="C718" s="40"/>
      <c r="D718" s="41"/>
      <c r="E718" s="40"/>
      <c r="F718" s="40"/>
    </row>
    <row r="719">
      <c r="A719" s="39" t="str">
        <f t="shared" si="1"/>
        <v/>
      </c>
      <c r="B719" s="39"/>
      <c r="C719" s="40"/>
      <c r="D719" s="41"/>
      <c r="E719" s="40"/>
      <c r="F719" s="40"/>
    </row>
    <row r="720">
      <c r="A720" s="39" t="str">
        <f t="shared" si="1"/>
        <v/>
      </c>
      <c r="B720" s="39"/>
      <c r="C720" s="40"/>
      <c r="D720" s="41"/>
      <c r="E720" s="40"/>
      <c r="F720" s="40"/>
    </row>
    <row r="721">
      <c r="A721" s="39" t="str">
        <f t="shared" si="1"/>
        <v/>
      </c>
      <c r="B721" s="39"/>
      <c r="C721" s="40"/>
      <c r="D721" s="41"/>
      <c r="E721" s="40"/>
      <c r="F721" s="40"/>
    </row>
    <row r="722">
      <c r="A722" s="39" t="str">
        <f t="shared" si="1"/>
        <v/>
      </c>
      <c r="B722" s="39"/>
      <c r="C722" s="40"/>
      <c r="D722" s="41"/>
      <c r="E722" s="40"/>
      <c r="F722" s="40"/>
    </row>
    <row r="723">
      <c r="A723" s="39" t="str">
        <f t="shared" si="1"/>
        <v/>
      </c>
      <c r="B723" s="39"/>
      <c r="C723" s="40"/>
      <c r="D723" s="41"/>
      <c r="E723" s="40"/>
      <c r="F723" s="40"/>
    </row>
    <row r="724">
      <c r="A724" s="39" t="str">
        <f t="shared" si="1"/>
        <v/>
      </c>
      <c r="B724" s="39"/>
      <c r="C724" s="40"/>
      <c r="D724" s="41"/>
      <c r="E724" s="40"/>
      <c r="F724" s="40"/>
    </row>
    <row r="725">
      <c r="A725" s="39" t="str">
        <f t="shared" si="1"/>
        <v/>
      </c>
      <c r="B725" s="39"/>
      <c r="C725" s="40"/>
      <c r="D725" s="41"/>
      <c r="E725" s="40"/>
      <c r="F725" s="40"/>
    </row>
    <row r="726">
      <c r="A726" s="39" t="str">
        <f t="shared" si="1"/>
        <v/>
      </c>
      <c r="B726" s="39"/>
      <c r="C726" s="40"/>
      <c r="D726" s="41"/>
      <c r="E726" s="40"/>
      <c r="F726" s="40"/>
    </row>
    <row r="727">
      <c r="A727" s="39" t="str">
        <f t="shared" si="1"/>
        <v/>
      </c>
      <c r="B727" s="39"/>
      <c r="C727" s="40"/>
      <c r="D727" s="41"/>
      <c r="E727" s="40"/>
      <c r="F727" s="40"/>
    </row>
    <row r="728">
      <c r="A728" s="39" t="str">
        <f t="shared" si="1"/>
        <v/>
      </c>
      <c r="B728" s="39"/>
      <c r="C728" s="40"/>
      <c r="D728" s="41"/>
      <c r="E728" s="40"/>
      <c r="F728" s="40"/>
    </row>
    <row r="729">
      <c r="A729" s="39" t="str">
        <f t="shared" si="1"/>
        <v/>
      </c>
      <c r="B729" s="39"/>
      <c r="C729" s="40"/>
      <c r="D729" s="41"/>
      <c r="E729" s="40"/>
      <c r="F729" s="40"/>
    </row>
    <row r="730">
      <c r="A730" s="39" t="str">
        <f t="shared" si="1"/>
        <v/>
      </c>
      <c r="B730" s="39"/>
      <c r="C730" s="40"/>
      <c r="D730" s="41"/>
      <c r="E730" s="40"/>
      <c r="F730" s="40"/>
    </row>
    <row r="731">
      <c r="A731" s="39" t="str">
        <f t="shared" si="1"/>
        <v/>
      </c>
      <c r="B731" s="39"/>
      <c r="C731" s="40"/>
      <c r="D731" s="41"/>
      <c r="E731" s="40"/>
      <c r="F731" s="40"/>
    </row>
    <row r="732">
      <c r="A732" s="39" t="str">
        <f t="shared" si="1"/>
        <v/>
      </c>
      <c r="B732" s="39"/>
      <c r="C732" s="40"/>
      <c r="D732" s="41"/>
      <c r="E732" s="40"/>
      <c r="F732" s="40"/>
    </row>
    <row r="733">
      <c r="A733" s="39" t="str">
        <f t="shared" si="1"/>
        <v/>
      </c>
      <c r="B733" s="39"/>
      <c r="C733" s="40"/>
      <c r="D733" s="41"/>
      <c r="E733" s="40"/>
      <c r="F733" s="40"/>
    </row>
    <row r="734">
      <c r="A734" s="39" t="str">
        <f t="shared" si="1"/>
        <v/>
      </c>
      <c r="B734" s="39"/>
      <c r="C734" s="40"/>
      <c r="D734" s="41"/>
      <c r="E734" s="40"/>
      <c r="F734" s="40"/>
    </row>
    <row r="735">
      <c r="A735" s="39" t="str">
        <f t="shared" si="1"/>
        <v/>
      </c>
      <c r="B735" s="39"/>
      <c r="C735" s="40"/>
      <c r="D735" s="41"/>
      <c r="E735" s="40"/>
      <c r="F735" s="40"/>
    </row>
    <row r="736">
      <c r="A736" s="39" t="str">
        <f t="shared" si="1"/>
        <v/>
      </c>
      <c r="B736" s="39"/>
      <c r="C736" s="40"/>
      <c r="D736" s="41"/>
      <c r="E736" s="40"/>
      <c r="F736" s="40"/>
    </row>
    <row r="737">
      <c r="A737" s="39" t="str">
        <f t="shared" si="1"/>
        <v/>
      </c>
      <c r="B737" s="39"/>
      <c r="C737" s="40"/>
      <c r="D737" s="41"/>
      <c r="E737" s="40"/>
      <c r="F737" s="40"/>
    </row>
    <row r="738">
      <c r="A738" s="39" t="str">
        <f t="shared" si="1"/>
        <v/>
      </c>
      <c r="B738" s="39"/>
      <c r="C738" s="40"/>
      <c r="D738" s="41"/>
      <c r="E738" s="40"/>
      <c r="F738" s="40"/>
    </row>
    <row r="739">
      <c r="A739" s="39" t="str">
        <f t="shared" si="1"/>
        <v/>
      </c>
      <c r="B739" s="39"/>
      <c r="C739" s="40"/>
      <c r="D739" s="41"/>
      <c r="E739" s="40"/>
      <c r="F739" s="40"/>
    </row>
    <row r="740">
      <c r="A740" s="39" t="str">
        <f t="shared" si="1"/>
        <v/>
      </c>
      <c r="B740" s="39"/>
      <c r="C740" s="40"/>
      <c r="D740" s="41"/>
      <c r="E740" s="40"/>
      <c r="F740" s="40"/>
    </row>
    <row r="741">
      <c r="A741" s="39" t="str">
        <f t="shared" si="1"/>
        <v/>
      </c>
      <c r="B741" s="39"/>
      <c r="C741" s="40"/>
      <c r="D741" s="41"/>
      <c r="E741" s="40"/>
      <c r="F741" s="40"/>
    </row>
    <row r="742">
      <c r="A742" s="39" t="str">
        <f t="shared" si="1"/>
        <v/>
      </c>
      <c r="B742" s="39"/>
      <c r="C742" s="40"/>
      <c r="D742" s="41"/>
      <c r="E742" s="40"/>
      <c r="F742" s="40"/>
    </row>
    <row r="743">
      <c r="A743" s="39" t="str">
        <f t="shared" si="1"/>
        <v/>
      </c>
      <c r="B743" s="39"/>
      <c r="C743" s="40"/>
      <c r="D743" s="41"/>
      <c r="E743" s="40"/>
      <c r="F743" s="40"/>
    </row>
    <row r="744">
      <c r="A744" s="39" t="str">
        <f t="shared" si="1"/>
        <v/>
      </c>
      <c r="B744" s="39"/>
      <c r="C744" s="40"/>
      <c r="D744" s="41"/>
      <c r="E744" s="40"/>
      <c r="F744" s="40"/>
    </row>
    <row r="745">
      <c r="A745" s="39" t="str">
        <f t="shared" si="1"/>
        <v/>
      </c>
      <c r="B745" s="39"/>
      <c r="C745" s="40"/>
      <c r="D745" s="41"/>
      <c r="E745" s="40"/>
      <c r="F745" s="40"/>
    </row>
    <row r="746">
      <c r="A746" s="39" t="str">
        <f t="shared" si="1"/>
        <v/>
      </c>
      <c r="B746" s="39"/>
      <c r="C746" s="40"/>
      <c r="D746" s="41"/>
      <c r="E746" s="40"/>
      <c r="F746" s="40"/>
    </row>
    <row r="747">
      <c r="A747" s="39" t="str">
        <f t="shared" si="1"/>
        <v/>
      </c>
      <c r="B747" s="39"/>
      <c r="C747" s="40"/>
      <c r="D747" s="41"/>
      <c r="E747" s="40"/>
      <c r="F747" s="40"/>
    </row>
    <row r="748">
      <c r="A748" s="39" t="str">
        <f t="shared" si="1"/>
        <v/>
      </c>
      <c r="B748" s="39"/>
      <c r="C748" s="40"/>
      <c r="D748" s="41"/>
      <c r="E748" s="40"/>
      <c r="F748" s="40"/>
    </row>
    <row r="749">
      <c r="A749" s="39" t="str">
        <f t="shared" si="1"/>
        <v/>
      </c>
      <c r="B749" s="39"/>
      <c r="C749" s="40"/>
      <c r="D749" s="41"/>
      <c r="E749" s="40"/>
      <c r="F749" s="40"/>
    </row>
    <row r="750">
      <c r="A750" s="39" t="str">
        <f t="shared" si="1"/>
        <v/>
      </c>
      <c r="B750" s="39"/>
      <c r="C750" s="40"/>
      <c r="D750" s="41"/>
      <c r="E750" s="40"/>
      <c r="F750" s="40"/>
    </row>
    <row r="751">
      <c r="A751" s="39" t="str">
        <f t="shared" si="1"/>
        <v/>
      </c>
      <c r="B751" s="39"/>
      <c r="C751" s="40"/>
      <c r="D751" s="41"/>
      <c r="E751" s="40"/>
      <c r="F751" s="40"/>
    </row>
    <row r="752">
      <c r="A752" s="39" t="str">
        <f t="shared" si="1"/>
        <v/>
      </c>
      <c r="B752" s="39"/>
      <c r="C752" s="40"/>
      <c r="D752" s="41"/>
      <c r="E752" s="40"/>
      <c r="F752" s="40"/>
    </row>
    <row r="753">
      <c r="A753" s="39" t="str">
        <f t="shared" si="1"/>
        <v/>
      </c>
      <c r="B753" s="39"/>
      <c r="C753" s="40"/>
      <c r="D753" s="41"/>
      <c r="E753" s="40"/>
      <c r="F753" s="40"/>
    </row>
    <row r="754">
      <c r="A754" s="39" t="str">
        <f t="shared" si="1"/>
        <v/>
      </c>
      <c r="B754" s="39"/>
      <c r="C754" s="40"/>
      <c r="D754" s="41"/>
      <c r="E754" s="40"/>
      <c r="F754" s="40"/>
    </row>
    <row r="755">
      <c r="A755" s="39" t="str">
        <f t="shared" si="1"/>
        <v/>
      </c>
      <c r="B755" s="39"/>
      <c r="C755" s="40"/>
      <c r="D755" s="41"/>
      <c r="E755" s="40"/>
      <c r="F755" s="40"/>
    </row>
    <row r="756">
      <c r="A756" s="39" t="str">
        <f t="shared" si="1"/>
        <v/>
      </c>
      <c r="B756" s="39"/>
      <c r="C756" s="40"/>
      <c r="D756" s="41"/>
      <c r="E756" s="40"/>
      <c r="F756" s="40"/>
    </row>
    <row r="757">
      <c r="A757" s="39" t="str">
        <f t="shared" si="1"/>
        <v/>
      </c>
      <c r="B757" s="39"/>
      <c r="C757" s="40"/>
      <c r="D757" s="41"/>
      <c r="E757" s="40"/>
      <c r="F757" s="40"/>
    </row>
    <row r="758">
      <c r="A758" s="39" t="str">
        <f t="shared" si="1"/>
        <v/>
      </c>
      <c r="B758" s="39"/>
      <c r="C758" s="40"/>
      <c r="D758" s="41"/>
      <c r="E758" s="40"/>
      <c r="F758" s="40"/>
    </row>
    <row r="759">
      <c r="A759" s="39" t="str">
        <f t="shared" si="1"/>
        <v/>
      </c>
      <c r="B759" s="39"/>
      <c r="C759" s="40"/>
      <c r="D759" s="41"/>
      <c r="E759" s="40"/>
      <c r="F759" s="40"/>
    </row>
    <row r="760">
      <c r="A760" s="39" t="str">
        <f t="shared" si="1"/>
        <v/>
      </c>
      <c r="B760" s="39"/>
      <c r="C760" s="40"/>
      <c r="D760" s="41"/>
      <c r="E760" s="40"/>
      <c r="F760" s="40"/>
    </row>
    <row r="761">
      <c r="A761" s="39" t="str">
        <f t="shared" si="1"/>
        <v/>
      </c>
      <c r="B761" s="39"/>
      <c r="C761" s="40"/>
      <c r="D761" s="41"/>
      <c r="E761" s="40"/>
      <c r="F761" s="40"/>
    </row>
    <row r="762">
      <c r="A762" s="39" t="str">
        <f t="shared" si="1"/>
        <v/>
      </c>
      <c r="B762" s="39"/>
      <c r="C762" s="40"/>
      <c r="D762" s="41"/>
      <c r="E762" s="40"/>
      <c r="F762" s="40"/>
    </row>
    <row r="763">
      <c r="A763" s="39" t="str">
        <f t="shared" si="1"/>
        <v/>
      </c>
      <c r="B763" s="39"/>
      <c r="C763" s="40"/>
      <c r="D763" s="41"/>
      <c r="E763" s="40"/>
      <c r="F763" s="40"/>
    </row>
    <row r="764">
      <c r="A764" s="39" t="str">
        <f t="shared" si="1"/>
        <v/>
      </c>
      <c r="B764" s="39"/>
      <c r="C764" s="40"/>
      <c r="D764" s="41"/>
      <c r="E764" s="40"/>
      <c r="F764" s="40"/>
    </row>
    <row r="765">
      <c r="A765" s="39" t="str">
        <f t="shared" si="1"/>
        <v/>
      </c>
      <c r="B765" s="39"/>
      <c r="C765" s="40"/>
      <c r="D765" s="41"/>
      <c r="E765" s="40"/>
      <c r="F765" s="40"/>
    </row>
    <row r="766">
      <c r="A766" s="39" t="str">
        <f t="shared" si="1"/>
        <v/>
      </c>
      <c r="B766" s="39"/>
      <c r="C766" s="40"/>
      <c r="D766" s="41"/>
      <c r="E766" s="40"/>
      <c r="F766" s="40"/>
    </row>
    <row r="767">
      <c r="A767" s="39" t="str">
        <f t="shared" si="1"/>
        <v/>
      </c>
      <c r="B767" s="39"/>
      <c r="C767" s="40"/>
      <c r="D767" s="41"/>
      <c r="E767" s="40"/>
      <c r="F767" s="40"/>
    </row>
    <row r="768">
      <c r="A768" s="39" t="str">
        <f t="shared" si="1"/>
        <v/>
      </c>
      <c r="B768" s="39"/>
      <c r="C768" s="40"/>
      <c r="D768" s="41"/>
      <c r="E768" s="40"/>
      <c r="F768" s="40"/>
    </row>
    <row r="769">
      <c r="A769" s="39" t="str">
        <f t="shared" si="1"/>
        <v/>
      </c>
      <c r="B769" s="39"/>
      <c r="C769" s="40"/>
      <c r="D769" s="41"/>
      <c r="E769" s="40"/>
      <c r="F769" s="40"/>
    </row>
    <row r="770">
      <c r="A770" s="39" t="str">
        <f t="shared" si="1"/>
        <v/>
      </c>
      <c r="B770" s="39"/>
      <c r="C770" s="40"/>
      <c r="D770" s="41"/>
      <c r="E770" s="40"/>
      <c r="F770" s="40"/>
    </row>
    <row r="771">
      <c r="A771" s="39" t="str">
        <f t="shared" si="1"/>
        <v/>
      </c>
      <c r="B771" s="39"/>
      <c r="C771" s="40"/>
      <c r="D771" s="41"/>
      <c r="E771" s="40"/>
      <c r="F771" s="40"/>
    </row>
    <row r="772">
      <c r="A772" s="39" t="str">
        <f t="shared" si="1"/>
        <v/>
      </c>
      <c r="B772" s="39"/>
      <c r="C772" s="40"/>
      <c r="D772" s="41"/>
      <c r="E772" s="40"/>
      <c r="F772" s="40"/>
    </row>
    <row r="773">
      <c r="A773" s="39" t="str">
        <f t="shared" si="1"/>
        <v/>
      </c>
      <c r="B773" s="39"/>
      <c r="C773" s="40"/>
      <c r="D773" s="41"/>
      <c r="E773" s="40"/>
      <c r="F773" s="40"/>
    </row>
    <row r="774">
      <c r="A774" s="39" t="str">
        <f t="shared" si="1"/>
        <v/>
      </c>
      <c r="B774" s="39"/>
      <c r="C774" s="40"/>
      <c r="D774" s="41"/>
      <c r="E774" s="40"/>
      <c r="F774" s="40"/>
    </row>
    <row r="775">
      <c r="A775" s="39" t="str">
        <f t="shared" si="1"/>
        <v/>
      </c>
      <c r="B775" s="39"/>
      <c r="C775" s="40"/>
      <c r="D775" s="41"/>
      <c r="E775" s="40"/>
      <c r="F775" s="40"/>
    </row>
    <row r="776">
      <c r="A776" s="39" t="str">
        <f t="shared" si="1"/>
        <v/>
      </c>
      <c r="B776" s="39"/>
      <c r="C776" s="40"/>
      <c r="D776" s="41"/>
      <c r="E776" s="40"/>
      <c r="F776" s="40"/>
    </row>
    <row r="777">
      <c r="A777" s="39" t="str">
        <f t="shared" si="1"/>
        <v/>
      </c>
      <c r="B777" s="39"/>
      <c r="C777" s="40"/>
      <c r="D777" s="41"/>
      <c r="E777" s="40"/>
      <c r="F777" s="40"/>
    </row>
    <row r="778">
      <c r="A778" s="39" t="str">
        <f t="shared" si="1"/>
        <v/>
      </c>
      <c r="B778" s="39"/>
      <c r="C778" s="40"/>
      <c r="D778" s="41"/>
      <c r="E778" s="40"/>
      <c r="F778" s="40"/>
    </row>
    <row r="779">
      <c r="A779" s="39" t="str">
        <f t="shared" si="1"/>
        <v/>
      </c>
      <c r="B779" s="39"/>
      <c r="C779" s="40"/>
      <c r="D779" s="41"/>
      <c r="E779" s="40"/>
      <c r="F779" s="40"/>
    </row>
    <row r="780">
      <c r="A780" s="39" t="str">
        <f t="shared" si="1"/>
        <v/>
      </c>
      <c r="B780" s="39"/>
      <c r="C780" s="40"/>
      <c r="D780" s="41"/>
      <c r="E780" s="40"/>
      <c r="F780" s="40"/>
    </row>
    <row r="781">
      <c r="A781" s="39" t="str">
        <f t="shared" si="1"/>
        <v/>
      </c>
      <c r="B781" s="39"/>
      <c r="C781" s="40"/>
      <c r="D781" s="41"/>
      <c r="E781" s="40"/>
      <c r="F781" s="40"/>
    </row>
    <row r="782">
      <c r="A782" s="39" t="str">
        <f t="shared" si="1"/>
        <v/>
      </c>
      <c r="B782" s="39"/>
      <c r="C782" s="40"/>
      <c r="D782" s="41"/>
      <c r="E782" s="40"/>
      <c r="F782" s="40"/>
    </row>
    <row r="783">
      <c r="A783" s="39" t="str">
        <f t="shared" si="1"/>
        <v/>
      </c>
      <c r="B783" s="39"/>
      <c r="C783" s="40"/>
      <c r="D783" s="41"/>
      <c r="E783" s="40"/>
      <c r="F783" s="40"/>
    </row>
    <row r="784">
      <c r="A784" s="39" t="str">
        <f t="shared" si="1"/>
        <v/>
      </c>
      <c r="B784" s="39"/>
      <c r="C784" s="40"/>
      <c r="D784" s="41"/>
      <c r="E784" s="40"/>
      <c r="F784" s="40"/>
    </row>
    <row r="785">
      <c r="A785" s="39" t="str">
        <f t="shared" si="1"/>
        <v/>
      </c>
      <c r="B785" s="39"/>
      <c r="C785" s="40"/>
      <c r="D785" s="41"/>
      <c r="E785" s="40"/>
      <c r="F785" s="40"/>
    </row>
    <row r="786">
      <c r="A786" s="39" t="str">
        <f t="shared" si="1"/>
        <v/>
      </c>
      <c r="B786" s="39"/>
      <c r="C786" s="40"/>
      <c r="D786" s="41"/>
      <c r="E786" s="40"/>
      <c r="F786" s="40"/>
    </row>
    <row r="787">
      <c r="A787" s="39" t="str">
        <f t="shared" si="1"/>
        <v/>
      </c>
      <c r="B787" s="39"/>
      <c r="C787" s="40"/>
      <c r="D787" s="41"/>
      <c r="E787" s="40"/>
      <c r="F787" s="40"/>
    </row>
    <row r="788">
      <c r="A788" s="39" t="str">
        <f t="shared" si="1"/>
        <v/>
      </c>
      <c r="B788" s="39"/>
      <c r="C788" s="40"/>
      <c r="D788" s="41"/>
      <c r="E788" s="40"/>
      <c r="F788" s="40"/>
    </row>
    <row r="789">
      <c r="A789" s="39" t="str">
        <f t="shared" si="1"/>
        <v/>
      </c>
      <c r="B789" s="39"/>
      <c r="C789" s="40"/>
      <c r="D789" s="41"/>
      <c r="E789" s="40"/>
      <c r="F789" s="40"/>
    </row>
    <row r="790">
      <c r="A790" s="39" t="str">
        <f t="shared" si="1"/>
        <v/>
      </c>
      <c r="B790" s="39"/>
      <c r="C790" s="40"/>
      <c r="D790" s="41"/>
      <c r="E790" s="40"/>
      <c r="F790" s="40"/>
    </row>
    <row r="791">
      <c r="A791" s="39" t="str">
        <f t="shared" si="1"/>
        <v/>
      </c>
      <c r="B791" s="39"/>
      <c r="C791" s="40"/>
      <c r="D791" s="41"/>
      <c r="E791" s="40"/>
      <c r="F791" s="40"/>
    </row>
    <row r="792">
      <c r="A792" s="39" t="str">
        <f t="shared" si="1"/>
        <v/>
      </c>
      <c r="B792" s="39"/>
      <c r="C792" s="40"/>
      <c r="D792" s="41"/>
      <c r="E792" s="40"/>
      <c r="F792" s="40"/>
    </row>
    <row r="793">
      <c r="A793" s="39" t="str">
        <f t="shared" si="1"/>
        <v/>
      </c>
      <c r="B793" s="39"/>
      <c r="C793" s="40"/>
      <c r="D793" s="41"/>
      <c r="E793" s="40"/>
      <c r="F793" s="40"/>
    </row>
    <row r="794">
      <c r="A794" s="39" t="str">
        <f t="shared" si="1"/>
        <v/>
      </c>
      <c r="B794" s="39"/>
      <c r="C794" s="40"/>
      <c r="D794" s="41"/>
      <c r="E794" s="40"/>
      <c r="F794" s="40"/>
    </row>
    <row r="795">
      <c r="A795" s="39" t="str">
        <f t="shared" si="1"/>
        <v/>
      </c>
      <c r="B795" s="39"/>
      <c r="C795" s="40"/>
      <c r="D795" s="41"/>
      <c r="E795" s="40"/>
      <c r="F795" s="40"/>
    </row>
    <row r="796">
      <c r="A796" s="39" t="str">
        <f t="shared" si="1"/>
        <v/>
      </c>
      <c r="B796" s="39"/>
      <c r="C796" s="40"/>
      <c r="D796" s="41"/>
      <c r="E796" s="40"/>
      <c r="F796" s="40"/>
    </row>
    <row r="797">
      <c r="A797" s="39" t="str">
        <f t="shared" si="1"/>
        <v/>
      </c>
      <c r="B797" s="39"/>
      <c r="C797" s="40"/>
      <c r="D797" s="41"/>
      <c r="E797" s="40"/>
      <c r="F797" s="40"/>
    </row>
    <row r="798">
      <c r="A798" s="39" t="str">
        <f t="shared" si="1"/>
        <v/>
      </c>
      <c r="B798" s="39"/>
      <c r="C798" s="40"/>
      <c r="D798" s="41"/>
      <c r="E798" s="40"/>
      <c r="F798" s="40"/>
    </row>
    <row r="799">
      <c r="A799" s="39" t="str">
        <f t="shared" si="1"/>
        <v/>
      </c>
      <c r="B799" s="39"/>
      <c r="C799" s="40"/>
      <c r="D799" s="41"/>
      <c r="E799" s="40"/>
      <c r="F799" s="40"/>
    </row>
    <row r="800">
      <c r="A800" s="39" t="str">
        <f t="shared" si="1"/>
        <v/>
      </c>
      <c r="B800" s="39"/>
      <c r="C800" s="40"/>
      <c r="D800" s="41"/>
      <c r="E800" s="40"/>
      <c r="F800" s="40"/>
    </row>
    <row r="801">
      <c r="A801" s="39" t="str">
        <f t="shared" si="1"/>
        <v/>
      </c>
      <c r="B801" s="39"/>
      <c r="C801" s="40"/>
      <c r="D801" s="41"/>
      <c r="E801" s="40"/>
      <c r="F801" s="40"/>
    </row>
    <row r="802">
      <c r="A802" s="39" t="str">
        <f t="shared" si="1"/>
        <v/>
      </c>
      <c r="B802" s="39"/>
      <c r="C802" s="40"/>
      <c r="D802" s="41"/>
      <c r="E802" s="40"/>
      <c r="F802" s="40"/>
    </row>
    <row r="803">
      <c r="A803" s="39" t="str">
        <f t="shared" si="1"/>
        <v/>
      </c>
      <c r="B803" s="39"/>
      <c r="C803" s="40"/>
      <c r="D803" s="41"/>
      <c r="E803" s="40"/>
      <c r="F803" s="40"/>
    </row>
    <row r="804">
      <c r="A804" s="39" t="str">
        <f t="shared" si="1"/>
        <v/>
      </c>
      <c r="B804" s="39"/>
      <c r="C804" s="40"/>
      <c r="D804" s="41"/>
      <c r="E804" s="40"/>
      <c r="F804" s="40"/>
    </row>
    <row r="805">
      <c r="A805" s="39" t="str">
        <f t="shared" si="1"/>
        <v/>
      </c>
      <c r="B805" s="39"/>
      <c r="C805" s="40"/>
      <c r="D805" s="41"/>
      <c r="E805" s="40"/>
      <c r="F805" s="40"/>
    </row>
    <row r="806">
      <c r="A806" s="39" t="str">
        <f t="shared" si="1"/>
        <v/>
      </c>
      <c r="B806" s="39"/>
      <c r="C806" s="40"/>
      <c r="D806" s="41"/>
      <c r="E806" s="40"/>
      <c r="F806" s="40"/>
    </row>
    <row r="807">
      <c r="A807" s="39" t="str">
        <f t="shared" si="1"/>
        <v/>
      </c>
      <c r="B807" s="39"/>
      <c r="C807" s="40"/>
      <c r="D807" s="41"/>
      <c r="E807" s="40"/>
      <c r="F807" s="40"/>
    </row>
    <row r="808">
      <c r="A808" s="39" t="str">
        <f t="shared" si="1"/>
        <v/>
      </c>
      <c r="B808" s="39"/>
      <c r="C808" s="40"/>
      <c r="D808" s="41"/>
      <c r="E808" s="40"/>
      <c r="F808" s="40"/>
    </row>
    <row r="809">
      <c r="A809" s="39" t="str">
        <f t="shared" si="1"/>
        <v/>
      </c>
      <c r="B809" s="39"/>
      <c r="C809" s="40"/>
      <c r="D809" s="41"/>
      <c r="E809" s="40"/>
      <c r="F809" s="40"/>
    </row>
    <row r="810">
      <c r="A810" s="39" t="str">
        <f t="shared" si="1"/>
        <v/>
      </c>
      <c r="B810" s="39"/>
      <c r="C810" s="40"/>
      <c r="D810" s="41"/>
      <c r="E810" s="40"/>
      <c r="F810" s="40"/>
    </row>
    <row r="811">
      <c r="A811" s="39" t="str">
        <f t="shared" si="1"/>
        <v/>
      </c>
      <c r="B811" s="39"/>
      <c r="C811" s="40"/>
      <c r="D811" s="41"/>
      <c r="E811" s="40"/>
      <c r="F811" s="40"/>
    </row>
    <row r="812">
      <c r="A812" s="39" t="str">
        <f t="shared" si="1"/>
        <v/>
      </c>
      <c r="B812" s="39"/>
      <c r="C812" s="40"/>
      <c r="D812" s="41"/>
      <c r="E812" s="40"/>
      <c r="F812" s="40"/>
    </row>
    <row r="813">
      <c r="A813" s="39" t="str">
        <f t="shared" si="1"/>
        <v/>
      </c>
      <c r="B813" s="39"/>
      <c r="C813" s="40"/>
      <c r="D813" s="41"/>
      <c r="E813" s="40"/>
      <c r="F813" s="40"/>
    </row>
    <row r="814">
      <c r="A814" s="39" t="str">
        <f t="shared" si="1"/>
        <v/>
      </c>
      <c r="B814" s="39"/>
      <c r="C814" s="40"/>
      <c r="D814" s="41"/>
      <c r="E814" s="40"/>
      <c r="F814" s="40"/>
    </row>
    <row r="815">
      <c r="A815" s="39" t="str">
        <f t="shared" si="1"/>
        <v/>
      </c>
      <c r="B815" s="39"/>
      <c r="C815" s="40"/>
      <c r="D815" s="41"/>
      <c r="E815" s="40"/>
      <c r="F815" s="40"/>
    </row>
    <row r="816">
      <c r="A816" s="39" t="str">
        <f t="shared" si="1"/>
        <v/>
      </c>
      <c r="B816" s="39"/>
      <c r="C816" s="40"/>
      <c r="D816" s="41"/>
      <c r="E816" s="40"/>
      <c r="F816" s="40"/>
    </row>
    <row r="817">
      <c r="A817" s="39" t="str">
        <f t="shared" si="1"/>
        <v/>
      </c>
      <c r="B817" s="39"/>
      <c r="C817" s="40"/>
      <c r="D817" s="41"/>
      <c r="E817" s="40"/>
      <c r="F817" s="40"/>
    </row>
    <row r="818">
      <c r="A818" s="39" t="str">
        <f t="shared" si="1"/>
        <v/>
      </c>
      <c r="B818" s="39"/>
      <c r="C818" s="40"/>
      <c r="D818" s="41"/>
      <c r="E818" s="40"/>
      <c r="F818" s="40"/>
    </row>
    <row r="819">
      <c r="A819" s="39" t="str">
        <f t="shared" si="1"/>
        <v/>
      </c>
      <c r="B819" s="39"/>
      <c r="C819" s="40"/>
      <c r="D819" s="41"/>
      <c r="E819" s="40"/>
      <c r="F819" s="40"/>
    </row>
    <row r="820">
      <c r="A820" s="39" t="str">
        <f t="shared" si="1"/>
        <v/>
      </c>
      <c r="B820" s="39"/>
      <c r="C820" s="40"/>
      <c r="D820" s="41"/>
      <c r="E820" s="40"/>
      <c r="F820" s="40"/>
    </row>
    <row r="821">
      <c r="A821" s="39" t="str">
        <f t="shared" si="1"/>
        <v/>
      </c>
      <c r="B821" s="39"/>
      <c r="C821" s="40"/>
      <c r="D821" s="41"/>
      <c r="E821" s="40"/>
      <c r="F821" s="40"/>
    </row>
    <row r="822">
      <c r="A822" s="39" t="str">
        <f t="shared" si="1"/>
        <v/>
      </c>
      <c r="B822" s="39"/>
      <c r="C822" s="40"/>
      <c r="D822" s="41"/>
      <c r="E822" s="40"/>
      <c r="F822" s="40"/>
    </row>
    <row r="823">
      <c r="A823" s="39" t="str">
        <f t="shared" si="1"/>
        <v/>
      </c>
      <c r="B823" s="39"/>
      <c r="C823" s="40"/>
      <c r="D823" s="41"/>
      <c r="E823" s="40"/>
      <c r="F823" s="40"/>
    </row>
    <row r="824">
      <c r="A824" s="39" t="str">
        <f t="shared" si="1"/>
        <v/>
      </c>
      <c r="B824" s="39"/>
      <c r="C824" s="40"/>
      <c r="D824" s="41"/>
      <c r="E824" s="40"/>
      <c r="F824" s="40"/>
    </row>
    <row r="825">
      <c r="A825" s="39" t="str">
        <f t="shared" si="1"/>
        <v/>
      </c>
      <c r="B825" s="39"/>
      <c r="C825" s="40"/>
      <c r="D825" s="41"/>
      <c r="E825" s="40"/>
      <c r="F825" s="40"/>
    </row>
    <row r="826">
      <c r="A826" s="39" t="str">
        <f t="shared" si="1"/>
        <v/>
      </c>
      <c r="B826" s="39"/>
      <c r="C826" s="40"/>
      <c r="D826" s="41"/>
      <c r="E826" s="40"/>
      <c r="F826" s="40"/>
    </row>
    <row r="827">
      <c r="A827" s="39" t="str">
        <f t="shared" si="1"/>
        <v/>
      </c>
      <c r="B827" s="39"/>
      <c r="C827" s="40"/>
      <c r="D827" s="41"/>
      <c r="E827" s="40"/>
      <c r="F827" s="40"/>
    </row>
    <row r="828">
      <c r="A828" s="39" t="str">
        <f t="shared" si="1"/>
        <v/>
      </c>
      <c r="B828" s="39"/>
      <c r="C828" s="40"/>
      <c r="D828" s="41"/>
      <c r="E828" s="40"/>
      <c r="F828" s="40"/>
    </row>
    <row r="829">
      <c r="A829" s="39" t="str">
        <f t="shared" si="1"/>
        <v/>
      </c>
      <c r="B829" s="39"/>
      <c r="C829" s="40"/>
      <c r="D829" s="41"/>
      <c r="E829" s="40"/>
      <c r="F829" s="40"/>
    </row>
    <row r="830">
      <c r="A830" s="39" t="str">
        <f t="shared" si="1"/>
        <v/>
      </c>
      <c r="B830" s="39"/>
      <c r="C830" s="40"/>
      <c r="D830" s="41"/>
      <c r="E830" s="40"/>
      <c r="F830" s="40"/>
    </row>
    <row r="831">
      <c r="A831" s="39" t="str">
        <f t="shared" si="1"/>
        <v/>
      </c>
      <c r="B831" s="39"/>
      <c r="C831" s="40"/>
      <c r="D831" s="41"/>
      <c r="E831" s="40"/>
      <c r="F831" s="40"/>
    </row>
    <row r="832">
      <c r="A832" s="39" t="str">
        <f t="shared" si="1"/>
        <v/>
      </c>
      <c r="B832" s="39"/>
      <c r="C832" s="40"/>
      <c r="D832" s="41"/>
      <c r="E832" s="40"/>
      <c r="F832" s="40"/>
    </row>
    <row r="833">
      <c r="A833" s="39" t="str">
        <f t="shared" si="1"/>
        <v/>
      </c>
      <c r="B833" s="39"/>
      <c r="C833" s="40"/>
      <c r="D833" s="41"/>
      <c r="E833" s="40"/>
      <c r="F833" s="40"/>
    </row>
    <row r="834">
      <c r="A834" s="39" t="str">
        <f t="shared" si="1"/>
        <v/>
      </c>
      <c r="B834" s="39"/>
      <c r="C834" s="40"/>
      <c r="D834" s="41"/>
      <c r="E834" s="40"/>
      <c r="F834" s="40"/>
    </row>
    <row r="835">
      <c r="A835" s="39" t="str">
        <f t="shared" si="1"/>
        <v/>
      </c>
      <c r="B835" s="39"/>
      <c r="C835" s="40"/>
      <c r="D835" s="41"/>
      <c r="E835" s="40"/>
      <c r="F835" s="40"/>
    </row>
    <row r="836">
      <c r="A836" s="39" t="str">
        <f t="shared" si="1"/>
        <v/>
      </c>
      <c r="B836" s="39"/>
      <c r="C836" s="40"/>
      <c r="D836" s="41"/>
      <c r="E836" s="40"/>
      <c r="F836" s="40"/>
    </row>
    <row r="837">
      <c r="A837" s="39" t="str">
        <f t="shared" si="1"/>
        <v/>
      </c>
      <c r="B837" s="39"/>
      <c r="C837" s="40"/>
      <c r="D837" s="41"/>
      <c r="E837" s="40"/>
      <c r="F837" s="40"/>
    </row>
    <row r="838">
      <c r="A838" s="39" t="str">
        <f t="shared" si="1"/>
        <v/>
      </c>
      <c r="B838" s="39"/>
      <c r="C838" s="40"/>
      <c r="D838" s="41"/>
      <c r="E838" s="40"/>
      <c r="F838" s="40"/>
    </row>
    <row r="839">
      <c r="A839" s="39" t="str">
        <f t="shared" si="1"/>
        <v/>
      </c>
      <c r="B839" s="39"/>
      <c r="C839" s="40"/>
      <c r="D839" s="41"/>
      <c r="E839" s="40"/>
      <c r="F839" s="40"/>
    </row>
    <row r="840">
      <c r="A840" s="39" t="str">
        <f t="shared" si="1"/>
        <v/>
      </c>
      <c r="B840" s="39"/>
      <c r="C840" s="40"/>
      <c r="D840" s="41"/>
      <c r="E840" s="40"/>
      <c r="F840" s="40"/>
    </row>
    <row r="841">
      <c r="A841" s="39" t="str">
        <f t="shared" si="1"/>
        <v/>
      </c>
      <c r="B841" s="39"/>
      <c r="C841" s="40"/>
      <c r="D841" s="41"/>
      <c r="E841" s="40"/>
      <c r="F841" s="40"/>
    </row>
    <row r="842">
      <c r="A842" s="39" t="str">
        <f t="shared" si="1"/>
        <v/>
      </c>
      <c r="B842" s="39"/>
      <c r="C842" s="40"/>
      <c r="D842" s="41"/>
      <c r="E842" s="40"/>
      <c r="F842" s="40"/>
    </row>
    <row r="843">
      <c r="A843" s="39" t="str">
        <f t="shared" si="1"/>
        <v/>
      </c>
      <c r="B843" s="39"/>
      <c r="C843" s="40"/>
      <c r="D843" s="41"/>
      <c r="E843" s="40"/>
      <c r="F843" s="40"/>
    </row>
    <row r="844">
      <c r="A844" s="39" t="str">
        <f t="shared" si="1"/>
        <v/>
      </c>
      <c r="B844" s="39"/>
      <c r="C844" s="40"/>
      <c r="D844" s="41"/>
      <c r="E844" s="40"/>
      <c r="F844" s="40"/>
    </row>
    <row r="845">
      <c r="A845" s="39" t="str">
        <f t="shared" si="1"/>
        <v/>
      </c>
      <c r="B845" s="39"/>
      <c r="C845" s="40"/>
      <c r="D845" s="41"/>
      <c r="E845" s="40"/>
      <c r="F845" s="40"/>
    </row>
    <row r="846">
      <c r="A846" s="39" t="str">
        <f t="shared" si="1"/>
        <v/>
      </c>
      <c r="B846" s="39"/>
      <c r="C846" s="40"/>
      <c r="D846" s="41"/>
      <c r="E846" s="40"/>
      <c r="F846" s="40"/>
    </row>
    <row r="847">
      <c r="A847" s="39" t="str">
        <f t="shared" si="1"/>
        <v/>
      </c>
      <c r="B847" s="39"/>
      <c r="C847" s="40"/>
      <c r="D847" s="41"/>
      <c r="E847" s="40"/>
      <c r="F847" s="40"/>
    </row>
    <row r="848">
      <c r="A848" s="39" t="str">
        <f t="shared" si="1"/>
        <v/>
      </c>
      <c r="B848" s="39"/>
      <c r="C848" s="40"/>
      <c r="D848" s="41"/>
      <c r="E848" s="40"/>
      <c r="F848" s="40"/>
    </row>
    <row r="849">
      <c r="A849" s="39" t="str">
        <f t="shared" si="1"/>
        <v/>
      </c>
      <c r="B849" s="39"/>
      <c r="C849" s="40"/>
      <c r="D849" s="41"/>
      <c r="E849" s="40"/>
      <c r="F849" s="40"/>
    </row>
    <row r="850">
      <c r="A850" s="39" t="str">
        <f t="shared" si="1"/>
        <v/>
      </c>
      <c r="B850" s="39"/>
      <c r="C850" s="40"/>
      <c r="D850" s="41"/>
      <c r="E850" s="40"/>
      <c r="F850" s="40"/>
    </row>
    <row r="851">
      <c r="A851" s="39" t="str">
        <f t="shared" si="1"/>
        <v/>
      </c>
      <c r="B851" s="39"/>
      <c r="C851" s="40"/>
      <c r="D851" s="41"/>
      <c r="E851" s="40"/>
      <c r="F851" s="40"/>
    </row>
    <row r="852">
      <c r="A852" s="39" t="str">
        <f t="shared" si="1"/>
        <v/>
      </c>
      <c r="B852" s="39"/>
      <c r="C852" s="40"/>
      <c r="D852" s="41"/>
      <c r="E852" s="40"/>
      <c r="F852" s="40"/>
    </row>
    <row r="853">
      <c r="A853" s="39" t="str">
        <f t="shared" si="1"/>
        <v/>
      </c>
      <c r="B853" s="39"/>
      <c r="C853" s="40"/>
      <c r="D853" s="41"/>
      <c r="E853" s="40"/>
      <c r="F853" s="40"/>
    </row>
    <row r="854">
      <c r="A854" s="39" t="str">
        <f t="shared" si="1"/>
        <v/>
      </c>
      <c r="B854" s="39"/>
      <c r="C854" s="40"/>
      <c r="D854" s="41"/>
      <c r="E854" s="40"/>
      <c r="F854" s="40"/>
    </row>
    <row r="855">
      <c r="A855" s="39" t="str">
        <f t="shared" si="1"/>
        <v/>
      </c>
      <c r="B855" s="39"/>
      <c r="C855" s="40"/>
      <c r="D855" s="41"/>
      <c r="E855" s="40"/>
      <c r="F855" s="40"/>
    </row>
    <row r="856">
      <c r="A856" s="39" t="str">
        <f t="shared" si="1"/>
        <v/>
      </c>
      <c r="B856" s="39"/>
      <c r="C856" s="40"/>
      <c r="D856" s="41"/>
      <c r="E856" s="40"/>
      <c r="F856" s="40"/>
    </row>
    <row r="857">
      <c r="A857" s="39" t="str">
        <f t="shared" si="1"/>
        <v/>
      </c>
      <c r="B857" s="39"/>
      <c r="C857" s="40"/>
      <c r="D857" s="41"/>
      <c r="E857" s="40"/>
      <c r="F857" s="40"/>
    </row>
    <row r="858">
      <c r="A858" s="39" t="str">
        <f t="shared" si="1"/>
        <v/>
      </c>
      <c r="B858" s="39"/>
      <c r="C858" s="40"/>
      <c r="D858" s="41"/>
      <c r="E858" s="40"/>
      <c r="F858" s="40"/>
    </row>
    <row r="859">
      <c r="A859" s="39" t="str">
        <f t="shared" si="1"/>
        <v/>
      </c>
      <c r="B859" s="39"/>
      <c r="C859" s="40"/>
      <c r="D859" s="41"/>
      <c r="E859" s="40"/>
      <c r="F859" s="40"/>
    </row>
    <row r="860">
      <c r="A860" s="39" t="str">
        <f t="shared" si="1"/>
        <v/>
      </c>
      <c r="B860" s="39"/>
      <c r="C860" s="40"/>
      <c r="D860" s="41"/>
      <c r="E860" s="40"/>
      <c r="F860" s="40"/>
    </row>
    <row r="861">
      <c r="A861" s="39" t="str">
        <f t="shared" si="1"/>
        <v/>
      </c>
      <c r="B861" s="39"/>
      <c r="C861" s="40"/>
      <c r="D861" s="41"/>
      <c r="E861" s="40"/>
      <c r="F861" s="40"/>
    </row>
    <row r="862">
      <c r="A862" s="39" t="str">
        <f t="shared" si="1"/>
        <v/>
      </c>
      <c r="B862" s="39"/>
      <c r="C862" s="40"/>
      <c r="D862" s="41"/>
      <c r="E862" s="40"/>
      <c r="F862" s="40"/>
    </row>
    <row r="863">
      <c r="A863" s="39" t="str">
        <f t="shared" si="1"/>
        <v/>
      </c>
      <c r="B863" s="39"/>
      <c r="C863" s="40"/>
      <c r="D863" s="41"/>
      <c r="E863" s="40"/>
      <c r="F863" s="40"/>
    </row>
    <row r="864">
      <c r="A864" s="39" t="str">
        <f t="shared" si="1"/>
        <v/>
      </c>
      <c r="B864" s="39"/>
      <c r="C864" s="40"/>
      <c r="D864" s="41"/>
      <c r="E864" s="40"/>
      <c r="F864" s="40"/>
    </row>
    <row r="865">
      <c r="A865" s="39" t="str">
        <f t="shared" si="1"/>
        <v/>
      </c>
      <c r="B865" s="39"/>
      <c r="C865" s="40"/>
      <c r="D865" s="41"/>
      <c r="E865" s="40"/>
      <c r="F865" s="40"/>
    </row>
    <row r="866">
      <c r="A866" s="39" t="str">
        <f t="shared" si="1"/>
        <v/>
      </c>
      <c r="B866" s="39"/>
      <c r="C866" s="40"/>
      <c r="D866" s="41"/>
      <c r="E866" s="40"/>
      <c r="F866" s="40"/>
    </row>
    <row r="867">
      <c r="A867" s="39" t="str">
        <f t="shared" si="1"/>
        <v/>
      </c>
      <c r="B867" s="39"/>
      <c r="C867" s="40"/>
      <c r="D867" s="41"/>
      <c r="E867" s="40"/>
      <c r="F867" s="40"/>
    </row>
    <row r="868">
      <c r="A868" s="39" t="str">
        <f t="shared" si="1"/>
        <v/>
      </c>
      <c r="B868" s="39"/>
      <c r="C868" s="40"/>
      <c r="D868" s="41"/>
      <c r="E868" s="40"/>
      <c r="F868" s="40"/>
    </row>
    <row r="869">
      <c r="A869" s="39" t="str">
        <f t="shared" si="1"/>
        <v/>
      </c>
      <c r="B869" s="39"/>
      <c r="C869" s="40"/>
      <c r="D869" s="41"/>
      <c r="E869" s="40"/>
      <c r="F869" s="40"/>
    </row>
    <row r="870">
      <c r="A870" s="39" t="str">
        <f t="shared" si="1"/>
        <v/>
      </c>
      <c r="B870" s="39"/>
      <c r="C870" s="40"/>
      <c r="D870" s="41"/>
      <c r="E870" s="40"/>
      <c r="F870" s="40"/>
    </row>
    <row r="871">
      <c r="A871" s="39" t="str">
        <f t="shared" si="1"/>
        <v/>
      </c>
      <c r="B871" s="39"/>
      <c r="C871" s="40"/>
      <c r="D871" s="41"/>
      <c r="E871" s="40"/>
      <c r="F871" s="40"/>
    </row>
    <row r="872">
      <c r="A872" s="39" t="str">
        <f t="shared" si="1"/>
        <v/>
      </c>
      <c r="B872" s="39"/>
      <c r="C872" s="40"/>
      <c r="D872" s="41"/>
      <c r="E872" s="40"/>
      <c r="F872" s="40"/>
    </row>
    <row r="873">
      <c r="A873" s="39" t="str">
        <f t="shared" si="1"/>
        <v/>
      </c>
      <c r="B873" s="39"/>
      <c r="C873" s="40"/>
      <c r="D873" s="41"/>
      <c r="E873" s="40"/>
      <c r="F873" s="40"/>
    </row>
    <row r="874">
      <c r="A874" s="39" t="str">
        <f t="shared" si="1"/>
        <v/>
      </c>
      <c r="B874" s="39"/>
      <c r="C874" s="40"/>
      <c r="D874" s="41"/>
      <c r="E874" s="40"/>
      <c r="F874" s="40"/>
    </row>
    <row r="875">
      <c r="A875" s="39" t="str">
        <f t="shared" si="1"/>
        <v/>
      </c>
      <c r="B875" s="39"/>
      <c r="C875" s="40"/>
      <c r="D875" s="41"/>
      <c r="E875" s="40"/>
      <c r="F875" s="40"/>
    </row>
    <row r="876">
      <c r="A876" s="39" t="str">
        <f t="shared" si="1"/>
        <v/>
      </c>
      <c r="B876" s="39"/>
      <c r="C876" s="40"/>
      <c r="D876" s="41"/>
      <c r="E876" s="40"/>
      <c r="F876" s="40"/>
    </row>
    <row r="877">
      <c r="A877" s="39" t="str">
        <f t="shared" si="1"/>
        <v/>
      </c>
      <c r="B877" s="39"/>
      <c r="C877" s="40"/>
      <c r="D877" s="41"/>
      <c r="E877" s="40"/>
      <c r="F877" s="40"/>
    </row>
    <row r="878">
      <c r="A878" s="39" t="str">
        <f t="shared" si="1"/>
        <v/>
      </c>
      <c r="B878" s="39"/>
      <c r="C878" s="40"/>
      <c r="D878" s="41"/>
      <c r="E878" s="40"/>
      <c r="F878" s="40"/>
    </row>
    <row r="879">
      <c r="A879" s="39" t="str">
        <f t="shared" si="1"/>
        <v/>
      </c>
      <c r="B879" s="39"/>
      <c r="C879" s="40"/>
      <c r="D879" s="41"/>
      <c r="E879" s="40"/>
      <c r="F879" s="40"/>
    </row>
    <row r="880">
      <c r="A880" s="39" t="str">
        <f t="shared" si="1"/>
        <v/>
      </c>
      <c r="B880" s="39"/>
      <c r="C880" s="40"/>
      <c r="D880" s="41"/>
      <c r="E880" s="40"/>
      <c r="F880" s="40"/>
    </row>
    <row r="881">
      <c r="A881" s="39" t="str">
        <f t="shared" si="1"/>
        <v/>
      </c>
      <c r="B881" s="39"/>
      <c r="C881" s="40"/>
      <c r="D881" s="41"/>
      <c r="E881" s="40"/>
      <c r="F881" s="40"/>
    </row>
    <row r="882">
      <c r="A882" s="39" t="str">
        <f t="shared" si="1"/>
        <v/>
      </c>
      <c r="B882" s="39"/>
      <c r="C882" s="40"/>
      <c r="D882" s="41"/>
      <c r="E882" s="40"/>
      <c r="F882" s="40"/>
    </row>
    <row r="883">
      <c r="A883" s="39" t="str">
        <f t="shared" si="1"/>
        <v/>
      </c>
      <c r="B883" s="39"/>
      <c r="C883" s="40"/>
      <c r="D883" s="41"/>
      <c r="E883" s="40"/>
      <c r="F883" s="40"/>
    </row>
    <row r="884">
      <c r="A884" s="39" t="str">
        <f t="shared" si="1"/>
        <v/>
      </c>
      <c r="B884" s="39"/>
      <c r="C884" s="40"/>
      <c r="D884" s="41"/>
      <c r="E884" s="40"/>
      <c r="F884" s="40"/>
    </row>
    <row r="885">
      <c r="A885" s="39" t="str">
        <f t="shared" si="1"/>
        <v/>
      </c>
      <c r="B885" s="39"/>
      <c r="C885" s="40"/>
      <c r="D885" s="41"/>
      <c r="E885" s="40"/>
      <c r="F885" s="40"/>
    </row>
    <row r="886">
      <c r="A886" s="39" t="str">
        <f t="shared" si="1"/>
        <v/>
      </c>
      <c r="B886" s="39"/>
      <c r="C886" s="40"/>
      <c r="D886" s="41"/>
      <c r="E886" s="40"/>
      <c r="F886" s="40"/>
    </row>
    <row r="887">
      <c r="A887" s="39" t="str">
        <f t="shared" si="1"/>
        <v/>
      </c>
      <c r="B887" s="39"/>
      <c r="C887" s="40"/>
      <c r="D887" s="41"/>
      <c r="E887" s="40"/>
      <c r="F887" s="40"/>
    </row>
    <row r="888">
      <c r="A888" s="39" t="str">
        <f t="shared" si="1"/>
        <v/>
      </c>
      <c r="B888" s="39"/>
      <c r="C888" s="40"/>
      <c r="D888" s="41"/>
      <c r="E888" s="40"/>
      <c r="F888" s="40"/>
    </row>
    <row r="889">
      <c r="A889" s="39" t="str">
        <f t="shared" si="1"/>
        <v/>
      </c>
      <c r="B889" s="39"/>
      <c r="C889" s="40"/>
      <c r="D889" s="41"/>
      <c r="E889" s="40"/>
      <c r="F889" s="40"/>
    </row>
    <row r="890">
      <c r="A890" s="39" t="str">
        <f t="shared" si="1"/>
        <v/>
      </c>
      <c r="B890" s="39"/>
      <c r="C890" s="40"/>
      <c r="D890" s="41"/>
      <c r="E890" s="40"/>
      <c r="F890" s="40"/>
    </row>
    <row r="891">
      <c r="A891" s="39" t="str">
        <f t="shared" si="1"/>
        <v/>
      </c>
      <c r="B891" s="39"/>
      <c r="C891" s="40"/>
      <c r="D891" s="41"/>
      <c r="E891" s="40"/>
      <c r="F891" s="40"/>
    </row>
    <row r="892">
      <c r="A892" s="39" t="str">
        <f t="shared" si="1"/>
        <v/>
      </c>
      <c r="B892" s="39"/>
      <c r="C892" s="40"/>
      <c r="D892" s="41"/>
      <c r="E892" s="40"/>
      <c r="F892" s="40"/>
    </row>
    <row r="893">
      <c r="A893" s="39" t="str">
        <f t="shared" si="1"/>
        <v/>
      </c>
      <c r="B893" s="39"/>
      <c r="C893" s="40"/>
      <c r="D893" s="41"/>
      <c r="E893" s="40"/>
      <c r="F893" s="40"/>
    </row>
    <row r="894">
      <c r="A894" s="39" t="str">
        <f t="shared" si="1"/>
        <v/>
      </c>
      <c r="B894" s="39"/>
      <c r="C894" s="40"/>
      <c r="D894" s="41"/>
      <c r="E894" s="40"/>
      <c r="F894" s="40"/>
    </row>
    <row r="895">
      <c r="A895" s="39" t="str">
        <f t="shared" si="1"/>
        <v/>
      </c>
      <c r="B895" s="39"/>
      <c r="C895" s="40"/>
      <c r="D895" s="41"/>
      <c r="E895" s="40"/>
      <c r="F895" s="40"/>
    </row>
    <row r="896">
      <c r="A896" s="39" t="str">
        <f t="shared" si="1"/>
        <v/>
      </c>
      <c r="B896" s="39"/>
      <c r="C896" s="40"/>
      <c r="D896" s="41"/>
      <c r="E896" s="40"/>
      <c r="F896" s="40"/>
    </row>
    <row r="897">
      <c r="A897" s="39" t="str">
        <f t="shared" si="1"/>
        <v/>
      </c>
      <c r="B897" s="39"/>
      <c r="C897" s="40"/>
      <c r="D897" s="41"/>
      <c r="E897" s="40"/>
      <c r="F897" s="40"/>
    </row>
    <row r="898">
      <c r="A898" s="39" t="str">
        <f t="shared" si="1"/>
        <v/>
      </c>
      <c r="B898" s="39"/>
      <c r="C898" s="40"/>
      <c r="D898" s="41"/>
      <c r="E898" s="40"/>
      <c r="F898" s="40"/>
    </row>
    <row r="899">
      <c r="A899" s="39" t="str">
        <f t="shared" si="1"/>
        <v/>
      </c>
      <c r="B899" s="39"/>
      <c r="C899" s="40"/>
      <c r="D899" s="41"/>
      <c r="E899" s="40"/>
      <c r="F899" s="40"/>
    </row>
    <row r="900">
      <c r="A900" s="39" t="str">
        <f t="shared" si="1"/>
        <v/>
      </c>
      <c r="B900" s="39"/>
      <c r="C900" s="40"/>
      <c r="D900" s="41"/>
      <c r="E900" s="40"/>
      <c r="F900" s="40"/>
    </row>
    <row r="901">
      <c r="A901" s="39" t="str">
        <f t="shared" si="1"/>
        <v/>
      </c>
      <c r="B901" s="39"/>
      <c r="C901" s="40"/>
      <c r="D901" s="41"/>
      <c r="E901" s="40"/>
      <c r="F901" s="40"/>
    </row>
    <row r="902">
      <c r="A902" s="39" t="str">
        <f t="shared" si="1"/>
        <v/>
      </c>
      <c r="B902" s="39"/>
      <c r="C902" s="40"/>
      <c r="D902" s="41"/>
      <c r="E902" s="40"/>
      <c r="F902" s="40"/>
    </row>
    <row r="903">
      <c r="A903" s="39" t="str">
        <f t="shared" si="1"/>
        <v/>
      </c>
      <c r="B903" s="39"/>
      <c r="C903" s="40"/>
      <c r="D903" s="41"/>
      <c r="E903" s="40"/>
      <c r="F903" s="40"/>
    </row>
    <row r="904">
      <c r="A904" s="39" t="str">
        <f t="shared" si="1"/>
        <v/>
      </c>
      <c r="B904" s="39"/>
      <c r="C904" s="40"/>
      <c r="D904" s="41"/>
      <c r="E904" s="40"/>
      <c r="F904" s="40"/>
    </row>
    <row r="905">
      <c r="A905" s="39" t="str">
        <f t="shared" si="1"/>
        <v/>
      </c>
      <c r="B905" s="39"/>
      <c r="C905" s="40"/>
      <c r="D905" s="41"/>
      <c r="E905" s="40"/>
      <c r="F905" s="40"/>
    </row>
    <row r="906">
      <c r="A906" s="39" t="str">
        <f t="shared" si="1"/>
        <v/>
      </c>
      <c r="B906" s="39"/>
      <c r="C906" s="40"/>
      <c r="D906" s="41"/>
      <c r="E906" s="40"/>
      <c r="F906" s="40"/>
    </row>
    <row r="907">
      <c r="A907" s="39" t="str">
        <f t="shared" si="1"/>
        <v/>
      </c>
      <c r="B907" s="39"/>
      <c r="C907" s="40"/>
      <c r="D907" s="41"/>
      <c r="E907" s="40"/>
      <c r="F907" s="40"/>
    </row>
    <row r="908">
      <c r="A908" s="39" t="str">
        <f t="shared" si="1"/>
        <v/>
      </c>
      <c r="B908" s="39"/>
      <c r="C908" s="40"/>
      <c r="D908" s="41"/>
      <c r="E908" s="40"/>
      <c r="F908" s="40"/>
    </row>
    <row r="909">
      <c r="A909" s="39" t="str">
        <f t="shared" si="1"/>
        <v/>
      </c>
      <c r="B909" s="39"/>
      <c r="C909" s="40"/>
      <c r="D909" s="41"/>
      <c r="E909" s="40"/>
      <c r="F909" s="40"/>
    </row>
    <row r="910">
      <c r="A910" s="39" t="str">
        <f t="shared" si="1"/>
        <v/>
      </c>
      <c r="B910" s="39"/>
      <c r="C910" s="40"/>
      <c r="D910" s="41"/>
      <c r="E910" s="40"/>
      <c r="F910" s="40"/>
    </row>
    <row r="911">
      <c r="A911" s="39" t="str">
        <f t="shared" si="1"/>
        <v/>
      </c>
      <c r="B911" s="39"/>
      <c r="C911" s="40"/>
      <c r="D911" s="41"/>
      <c r="E911" s="40"/>
      <c r="F911" s="40"/>
    </row>
    <row r="912">
      <c r="A912" s="39" t="str">
        <f t="shared" si="1"/>
        <v/>
      </c>
      <c r="B912" s="39"/>
      <c r="C912" s="40"/>
      <c r="D912" s="41"/>
      <c r="E912" s="40"/>
      <c r="F912" s="40"/>
    </row>
    <row r="913">
      <c r="A913" s="39" t="str">
        <f t="shared" si="1"/>
        <v/>
      </c>
      <c r="B913" s="39"/>
      <c r="C913" s="40"/>
      <c r="D913" s="41"/>
      <c r="E913" s="40"/>
      <c r="F913" s="40"/>
    </row>
    <row r="914">
      <c r="A914" s="39" t="str">
        <f t="shared" si="1"/>
        <v/>
      </c>
      <c r="B914" s="39"/>
      <c r="C914" s="40"/>
      <c r="D914" s="41"/>
      <c r="E914" s="40"/>
      <c r="F914" s="40"/>
    </row>
    <row r="915">
      <c r="A915" s="39" t="str">
        <f t="shared" si="1"/>
        <v/>
      </c>
      <c r="B915" s="39"/>
      <c r="C915" s="40"/>
      <c r="D915" s="41"/>
      <c r="E915" s="40"/>
      <c r="F915" s="40"/>
    </row>
    <row r="916">
      <c r="A916" s="39" t="str">
        <f t="shared" si="1"/>
        <v/>
      </c>
      <c r="B916" s="39"/>
      <c r="C916" s="40"/>
      <c r="D916" s="41"/>
      <c r="E916" s="40"/>
      <c r="F916" s="40"/>
    </row>
    <row r="917">
      <c r="A917" s="39" t="str">
        <f t="shared" si="1"/>
        <v/>
      </c>
      <c r="B917" s="39"/>
      <c r="C917" s="40"/>
      <c r="D917" s="41"/>
      <c r="E917" s="40"/>
      <c r="F917" s="40"/>
    </row>
    <row r="918">
      <c r="A918" s="39" t="str">
        <f t="shared" si="1"/>
        <v/>
      </c>
      <c r="B918" s="39"/>
      <c r="C918" s="40"/>
      <c r="D918" s="41"/>
      <c r="E918" s="40"/>
      <c r="F918" s="40"/>
    </row>
    <row r="919">
      <c r="A919" s="39" t="str">
        <f t="shared" si="1"/>
        <v/>
      </c>
      <c r="B919" s="39"/>
      <c r="C919" s="40"/>
      <c r="D919" s="41"/>
      <c r="E919" s="40"/>
      <c r="F919" s="40"/>
    </row>
    <row r="920">
      <c r="A920" s="39" t="str">
        <f t="shared" si="1"/>
        <v/>
      </c>
      <c r="B920" s="39"/>
      <c r="C920" s="40"/>
      <c r="D920" s="41"/>
      <c r="E920" s="40"/>
      <c r="F920" s="40"/>
    </row>
    <row r="921">
      <c r="A921" s="39" t="str">
        <f t="shared" si="1"/>
        <v/>
      </c>
      <c r="B921" s="39"/>
      <c r="C921" s="40"/>
      <c r="D921" s="41"/>
      <c r="E921" s="40"/>
      <c r="F921" s="40"/>
    </row>
    <row r="922">
      <c r="A922" s="39" t="str">
        <f t="shared" si="1"/>
        <v/>
      </c>
      <c r="B922" s="39"/>
      <c r="C922" s="40"/>
      <c r="D922" s="41"/>
      <c r="E922" s="40"/>
      <c r="F922" s="40"/>
    </row>
    <row r="923">
      <c r="A923" s="39" t="str">
        <f t="shared" si="1"/>
        <v/>
      </c>
      <c r="B923" s="39"/>
      <c r="C923" s="40"/>
      <c r="D923" s="41"/>
      <c r="E923" s="40"/>
      <c r="F923" s="40"/>
    </row>
    <row r="924">
      <c r="A924" s="39" t="str">
        <f t="shared" si="1"/>
        <v/>
      </c>
      <c r="B924" s="39"/>
      <c r="C924" s="40"/>
      <c r="D924" s="41"/>
      <c r="E924" s="40"/>
      <c r="F924" s="40"/>
    </row>
    <row r="925">
      <c r="A925" s="39" t="str">
        <f t="shared" si="1"/>
        <v/>
      </c>
      <c r="B925" s="39"/>
      <c r="C925" s="40"/>
      <c r="D925" s="41"/>
      <c r="E925" s="40"/>
      <c r="F925" s="40"/>
    </row>
    <row r="926">
      <c r="A926" s="39" t="str">
        <f t="shared" si="1"/>
        <v/>
      </c>
      <c r="B926" s="39"/>
      <c r="C926" s="40"/>
      <c r="D926" s="41"/>
      <c r="E926" s="40"/>
      <c r="F926" s="40"/>
    </row>
    <row r="927">
      <c r="A927" s="39" t="str">
        <f t="shared" si="1"/>
        <v/>
      </c>
      <c r="B927" s="39"/>
      <c r="C927" s="40"/>
      <c r="D927" s="41"/>
      <c r="E927" s="40"/>
      <c r="F927" s="40"/>
    </row>
    <row r="928">
      <c r="A928" s="39" t="str">
        <f t="shared" si="1"/>
        <v/>
      </c>
      <c r="B928" s="39"/>
      <c r="C928" s="40"/>
      <c r="D928" s="41"/>
      <c r="E928" s="40"/>
      <c r="F928" s="40"/>
    </row>
    <row r="929">
      <c r="A929" s="39" t="str">
        <f t="shared" si="1"/>
        <v/>
      </c>
      <c r="B929" s="39"/>
      <c r="C929" s="40"/>
      <c r="D929" s="41"/>
      <c r="E929" s="40"/>
      <c r="F929" s="40"/>
    </row>
    <row r="930">
      <c r="A930" s="39" t="str">
        <f t="shared" si="1"/>
        <v/>
      </c>
      <c r="B930" s="39"/>
      <c r="C930" s="40"/>
      <c r="D930" s="41"/>
      <c r="E930" s="40"/>
      <c r="F930" s="40"/>
    </row>
    <row r="931">
      <c r="A931" s="39" t="str">
        <f t="shared" si="1"/>
        <v/>
      </c>
      <c r="B931" s="39"/>
      <c r="C931" s="40"/>
      <c r="D931" s="41"/>
      <c r="E931" s="40"/>
      <c r="F931" s="40"/>
    </row>
    <row r="932">
      <c r="A932" s="39" t="str">
        <f t="shared" si="1"/>
        <v/>
      </c>
      <c r="B932" s="39"/>
      <c r="C932" s="40"/>
      <c r="D932" s="41"/>
      <c r="E932" s="40"/>
      <c r="F932" s="40"/>
    </row>
    <row r="933">
      <c r="A933" s="39" t="str">
        <f t="shared" si="1"/>
        <v/>
      </c>
      <c r="B933" s="39"/>
      <c r="C933" s="40"/>
      <c r="D933" s="41"/>
      <c r="E933" s="40"/>
      <c r="F933" s="40"/>
    </row>
    <row r="934">
      <c r="A934" s="39" t="str">
        <f t="shared" si="1"/>
        <v/>
      </c>
      <c r="B934" s="39"/>
      <c r="C934" s="40"/>
      <c r="D934" s="41"/>
      <c r="E934" s="40"/>
      <c r="F934" s="40"/>
    </row>
    <row r="935">
      <c r="A935" s="39" t="str">
        <f t="shared" si="1"/>
        <v/>
      </c>
      <c r="B935" s="39"/>
      <c r="C935" s="40"/>
      <c r="D935" s="41"/>
      <c r="E935" s="40"/>
      <c r="F935" s="40"/>
    </row>
    <row r="936">
      <c r="A936" s="39" t="str">
        <f t="shared" si="1"/>
        <v/>
      </c>
      <c r="B936" s="39"/>
      <c r="C936" s="40"/>
      <c r="D936" s="41"/>
      <c r="E936" s="40"/>
      <c r="F936" s="40"/>
    </row>
    <row r="937">
      <c r="A937" s="39" t="str">
        <f t="shared" si="1"/>
        <v/>
      </c>
      <c r="B937" s="39"/>
      <c r="C937" s="40"/>
      <c r="D937" s="41"/>
      <c r="E937" s="40"/>
      <c r="F937" s="40"/>
    </row>
    <row r="938">
      <c r="A938" s="39" t="str">
        <f t="shared" si="1"/>
        <v/>
      </c>
      <c r="B938" s="39"/>
      <c r="C938" s="40"/>
      <c r="D938" s="41"/>
      <c r="E938" s="40"/>
      <c r="F938" s="40"/>
    </row>
    <row r="939">
      <c r="A939" s="39" t="str">
        <f t="shared" si="1"/>
        <v/>
      </c>
      <c r="B939" s="39"/>
      <c r="C939" s="40"/>
      <c r="D939" s="41"/>
      <c r="E939" s="40"/>
      <c r="F939" s="40"/>
    </row>
    <row r="940">
      <c r="A940" s="39" t="str">
        <f t="shared" si="1"/>
        <v/>
      </c>
      <c r="B940" s="39"/>
      <c r="C940" s="40"/>
      <c r="D940" s="41"/>
      <c r="E940" s="40"/>
      <c r="F940" s="40"/>
    </row>
    <row r="941">
      <c r="A941" s="39" t="str">
        <f t="shared" si="1"/>
        <v/>
      </c>
      <c r="B941" s="39"/>
      <c r="C941" s="40"/>
      <c r="D941" s="41"/>
      <c r="E941" s="40"/>
      <c r="F941" s="40"/>
    </row>
    <row r="942">
      <c r="A942" s="39" t="str">
        <f t="shared" si="1"/>
        <v/>
      </c>
      <c r="B942" s="39"/>
      <c r="C942" s="40"/>
      <c r="D942" s="41"/>
      <c r="E942" s="40"/>
      <c r="F942" s="40"/>
    </row>
    <row r="943">
      <c r="A943" s="39" t="str">
        <f t="shared" si="1"/>
        <v/>
      </c>
      <c r="B943" s="39"/>
      <c r="C943" s="40"/>
      <c r="D943" s="41"/>
      <c r="E943" s="40"/>
      <c r="F943" s="40"/>
    </row>
    <row r="944">
      <c r="A944" s="39" t="str">
        <f t="shared" si="1"/>
        <v/>
      </c>
      <c r="B944" s="39"/>
      <c r="C944" s="40"/>
      <c r="D944" s="41"/>
      <c r="E944" s="40"/>
      <c r="F944" s="40"/>
    </row>
    <row r="945">
      <c r="A945" s="39" t="str">
        <f t="shared" si="1"/>
        <v/>
      </c>
      <c r="B945" s="39"/>
      <c r="C945" s="40"/>
      <c r="D945" s="41"/>
      <c r="E945" s="40"/>
      <c r="F945" s="40"/>
    </row>
    <row r="946">
      <c r="A946" s="39" t="str">
        <f t="shared" si="1"/>
        <v/>
      </c>
      <c r="B946" s="39"/>
      <c r="C946" s="40"/>
      <c r="D946" s="41"/>
      <c r="E946" s="40"/>
      <c r="F946" s="40"/>
    </row>
    <row r="947">
      <c r="A947" s="39" t="str">
        <f t="shared" si="1"/>
        <v/>
      </c>
      <c r="B947" s="39"/>
      <c r="C947" s="40"/>
      <c r="D947" s="41"/>
      <c r="E947" s="40"/>
      <c r="F947" s="40"/>
    </row>
    <row r="948">
      <c r="A948" s="39" t="str">
        <f t="shared" si="1"/>
        <v/>
      </c>
      <c r="B948" s="39"/>
      <c r="C948" s="40"/>
      <c r="D948" s="41"/>
      <c r="E948" s="40"/>
      <c r="F948" s="40"/>
    </row>
    <row r="949">
      <c r="A949" s="39" t="str">
        <f t="shared" si="1"/>
        <v/>
      </c>
      <c r="B949" s="39"/>
      <c r="C949" s="40"/>
      <c r="D949" s="41"/>
      <c r="E949" s="40"/>
      <c r="F949" s="40"/>
    </row>
    <row r="950">
      <c r="A950" s="39" t="str">
        <f t="shared" si="1"/>
        <v/>
      </c>
      <c r="B950" s="39"/>
      <c r="C950" s="40"/>
      <c r="D950" s="41"/>
      <c r="E950" s="40"/>
      <c r="F950" s="40"/>
    </row>
    <row r="951">
      <c r="A951" s="39" t="str">
        <f t="shared" si="1"/>
        <v/>
      </c>
      <c r="B951" s="39"/>
      <c r="C951" s="40"/>
      <c r="D951" s="41"/>
      <c r="E951" s="40"/>
      <c r="F951" s="40"/>
    </row>
    <row r="952">
      <c r="A952" s="39" t="str">
        <f t="shared" si="1"/>
        <v/>
      </c>
      <c r="B952" s="39"/>
      <c r="C952" s="40"/>
      <c r="D952" s="41"/>
      <c r="E952" s="40"/>
      <c r="F952" s="40"/>
    </row>
    <row r="953">
      <c r="A953" s="39" t="str">
        <f t="shared" si="1"/>
        <v/>
      </c>
      <c r="B953" s="39"/>
      <c r="C953" s="40"/>
      <c r="D953" s="41"/>
      <c r="E953" s="40"/>
      <c r="F953" s="40"/>
    </row>
    <row r="954">
      <c r="A954" s="39" t="str">
        <f t="shared" si="1"/>
        <v/>
      </c>
      <c r="B954" s="39"/>
      <c r="C954" s="40"/>
      <c r="D954" s="41"/>
      <c r="E954" s="40"/>
      <c r="F954" s="40"/>
    </row>
    <row r="955">
      <c r="A955" s="39" t="str">
        <f t="shared" si="1"/>
        <v/>
      </c>
      <c r="B955" s="39"/>
      <c r="C955" s="40"/>
      <c r="D955" s="41"/>
      <c r="E955" s="40"/>
      <c r="F955" s="40"/>
    </row>
    <row r="956">
      <c r="A956" s="39" t="str">
        <f t="shared" si="1"/>
        <v/>
      </c>
      <c r="B956" s="39"/>
      <c r="C956" s="40"/>
      <c r="D956" s="41"/>
      <c r="E956" s="40"/>
      <c r="F956" s="40"/>
    </row>
    <row r="957">
      <c r="A957" s="39" t="str">
        <f t="shared" si="1"/>
        <v/>
      </c>
      <c r="B957" s="39"/>
      <c r="C957" s="40"/>
      <c r="D957" s="41"/>
      <c r="E957" s="40"/>
      <c r="F957" s="40"/>
    </row>
    <row r="958">
      <c r="A958" s="39" t="str">
        <f t="shared" si="1"/>
        <v/>
      </c>
      <c r="B958" s="39"/>
      <c r="C958" s="40"/>
      <c r="D958" s="41"/>
      <c r="E958" s="40"/>
      <c r="F958" s="40"/>
    </row>
    <row r="959">
      <c r="A959" s="39" t="str">
        <f t="shared" si="1"/>
        <v/>
      </c>
      <c r="B959" s="39"/>
      <c r="C959" s="40"/>
      <c r="D959" s="41"/>
      <c r="E959" s="40"/>
      <c r="F959" s="40"/>
    </row>
    <row r="960">
      <c r="A960" s="39" t="str">
        <f t="shared" si="1"/>
        <v/>
      </c>
      <c r="B960" s="39"/>
      <c r="C960" s="40"/>
      <c r="D960" s="41"/>
      <c r="E960" s="40"/>
      <c r="F960" s="40"/>
    </row>
    <row r="961">
      <c r="A961" s="39" t="str">
        <f t="shared" si="1"/>
        <v/>
      </c>
      <c r="B961" s="39"/>
      <c r="C961" s="40"/>
      <c r="D961" s="41"/>
      <c r="E961" s="40"/>
      <c r="F961" s="40"/>
    </row>
    <row r="962">
      <c r="A962" s="39" t="str">
        <f t="shared" si="1"/>
        <v/>
      </c>
      <c r="B962" s="39"/>
      <c r="C962" s="40"/>
      <c r="D962" s="41"/>
      <c r="E962" s="40"/>
      <c r="F962" s="40"/>
    </row>
    <row r="963">
      <c r="A963" s="39" t="str">
        <f t="shared" si="1"/>
        <v/>
      </c>
      <c r="B963" s="39"/>
      <c r="C963" s="40"/>
      <c r="D963" s="41"/>
      <c r="E963" s="40"/>
      <c r="F963" s="40"/>
    </row>
    <row r="964">
      <c r="A964" s="39" t="str">
        <f t="shared" si="1"/>
        <v/>
      </c>
      <c r="B964" s="39"/>
      <c r="C964" s="40"/>
      <c r="D964" s="41"/>
      <c r="E964" s="40"/>
      <c r="F964" s="40"/>
    </row>
    <row r="965">
      <c r="A965" s="39" t="str">
        <f t="shared" si="1"/>
        <v/>
      </c>
      <c r="B965" s="39"/>
      <c r="C965" s="40"/>
      <c r="D965" s="41"/>
      <c r="E965" s="40"/>
      <c r="F965" s="40"/>
    </row>
    <row r="966">
      <c r="A966" s="39" t="str">
        <f t="shared" si="1"/>
        <v/>
      </c>
      <c r="B966" s="39"/>
      <c r="C966" s="40"/>
      <c r="D966" s="41"/>
      <c r="E966" s="40"/>
      <c r="F966" s="40"/>
    </row>
    <row r="967">
      <c r="A967" s="39" t="str">
        <f t="shared" si="1"/>
        <v/>
      </c>
      <c r="B967" s="39"/>
      <c r="C967" s="40"/>
      <c r="D967" s="41"/>
      <c r="E967" s="40"/>
      <c r="F967" s="40"/>
    </row>
    <row r="968">
      <c r="A968" s="39" t="str">
        <f t="shared" si="1"/>
        <v/>
      </c>
      <c r="B968" s="39"/>
      <c r="C968" s="40"/>
      <c r="D968" s="41"/>
      <c r="E968" s="40"/>
      <c r="F968" s="40"/>
    </row>
    <row r="969">
      <c r="A969" s="39" t="str">
        <f t="shared" si="1"/>
        <v/>
      </c>
      <c r="B969" s="39"/>
      <c r="C969" s="40"/>
      <c r="D969" s="41"/>
      <c r="E969" s="40"/>
      <c r="F969" s="40"/>
    </row>
    <row r="970">
      <c r="A970" s="39" t="str">
        <f t="shared" si="1"/>
        <v/>
      </c>
      <c r="B970" s="39"/>
      <c r="C970" s="40"/>
      <c r="D970" s="41"/>
      <c r="E970" s="40"/>
      <c r="F970" s="40"/>
    </row>
    <row r="971">
      <c r="A971" s="39" t="str">
        <f t="shared" si="1"/>
        <v/>
      </c>
      <c r="B971" s="39"/>
      <c r="C971" s="40"/>
      <c r="D971" s="41"/>
      <c r="E971" s="40"/>
      <c r="F971" s="40"/>
    </row>
    <row r="972">
      <c r="A972" s="39" t="str">
        <f t="shared" si="1"/>
        <v/>
      </c>
      <c r="B972" s="39"/>
      <c r="C972" s="40"/>
      <c r="D972" s="41"/>
      <c r="E972" s="40"/>
      <c r="F972" s="40"/>
    </row>
    <row r="973">
      <c r="A973" s="39" t="str">
        <f t="shared" si="1"/>
        <v/>
      </c>
      <c r="B973" s="39"/>
      <c r="C973" s="40"/>
      <c r="D973" s="41"/>
      <c r="E973" s="40"/>
      <c r="F973" s="40"/>
    </row>
    <row r="974">
      <c r="A974" s="39" t="str">
        <f t="shared" si="1"/>
        <v/>
      </c>
      <c r="B974" s="39"/>
      <c r="C974" s="40"/>
      <c r="D974" s="41"/>
      <c r="E974" s="40"/>
      <c r="F974" s="40"/>
    </row>
    <row r="975">
      <c r="A975" s="39" t="str">
        <f t="shared" si="1"/>
        <v/>
      </c>
      <c r="B975" s="39"/>
      <c r="C975" s="40"/>
      <c r="D975" s="41"/>
      <c r="E975" s="40"/>
      <c r="F975" s="40"/>
    </row>
    <row r="976">
      <c r="A976" s="39" t="str">
        <f t="shared" si="1"/>
        <v/>
      </c>
      <c r="B976" s="39"/>
      <c r="C976" s="40"/>
      <c r="D976" s="41"/>
      <c r="E976" s="40"/>
      <c r="F976" s="40"/>
    </row>
    <row r="977">
      <c r="A977" s="39" t="str">
        <f t="shared" si="1"/>
        <v/>
      </c>
      <c r="B977" s="39"/>
      <c r="C977" s="40"/>
      <c r="D977" s="41"/>
      <c r="E977" s="40"/>
      <c r="F977" s="40"/>
    </row>
    <row r="978">
      <c r="A978" s="39" t="str">
        <f t="shared" si="1"/>
        <v/>
      </c>
      <c r="B978" s="39"/>
      <c r="C978" s="40"/>
      <c r="D978" s="41"/>
      <c r="E978" s="40"/>
      <c r="F978" s="40"/>
    </row>
    <row r="979">
      <c r="A979" s="39" t="str">
        <f t="shared" si="1"/>
        <v/>
      </c>
      <c r="B979" s="39"/>
      <c r="C979" s="40"/>
      <c r="D979" s="41"/>
      <c r="E979" s="40"/>
      <c r="F979" s="40"/>
    </row>
    <row r="980">
      <c r="A980" s="39" t="str">
        <f t="shared" si="1"/>
        <v/>
      </c>
      <c r="B980" s="39"/>
      <c r="C980" s="40"/>
      <c r="D980" s="41"/>
      <c r="E980" s="40"/>
      <c r="F980" s="40"/>
    </row>
    <row r="981">
      <c r="A981" s="39" t="str">
        <f t="shared" si="1"/>
        <v/>
      </c>
      <c r="B981" s="39"/>
      <c r="C981" s="40"/>
      <c r="D981" s="41"/>
      <c r="E981" s="40"/>
      <c r="F981" s="40"/>
    </row>
    <row r="982">
      <c r="A982" s="39" t="str">
        <f t="shared" si="1"/>
        <v/>
      </c>
      <c r="B982" s="39"/>
      <c r="C982" s="40"/>
      <c r="D982" s="41"/>
      <c r="E982" s="40"/>
      <c r="F982" s="40"/>
    </row>
    <row r="983">
      <c r="A983" s="39" t="str">
        <f t="shared" si="1"/>
        <v/>
      </c>
      <c r="B983" s="39"/>
      <c r="C983" s="40"/>
      <c r="D983" s="41"/>
      <c r="E983" s="40"/>
      <c r="F983" s="40"/>
    </row>
    <row r="984">
      <c r="A984" s="39" t="str">
        <f t="shared" si="1"/>
        <v/>
      </c>
      <c r="B984" s="39"/>
      <c r="C984" s="40"/>
      <c r="D984" s="41"/>
      <c r="E984" s="40"/>
      <c r="F984" s="40"/>
    </row>
    <row r="985">
      <c r="A985" s="39" t="str">
        <f t="shared" si="1"/>
        <v/>
      </c>
      <c r="B985" s="39"/>
      <c r="C985" s="40"/>
      <c r="D985" s="41"/>
      <c r="E985" s="40"/>
      <c r="F985" s="40"/>
    </row>
    <row r="986">
      <c r="A986" s="39" t="str">
        <f t="shared" si="1"/>
        <v/>
      </c>
      <c r="B986" s="39"/>
      <c r="C986" s="40"/>
      <c r="D986" s="41"/>
      <c r="E986" s="40"/>
      <c r="F986" s="40"/>
    </row>
    <row r="987">
      <c r="A987" s="39" t="str">
        <f t="shared" si="1"/>
        <v/>
      </c>
      <c r="B987" s="39"/>
      <c r="C987" s="40"/>
      <c r="D987" s="41"/>
      <c r="E987" s="40"/>
      <c r="F987" s="40"/>
    </row>
    <row r="988">
      <c r="A988" s="39" t="str">
        <f t="shared" si="1"/>
        <v/>
      </c>
      <c r="B988" s="39"/>
      <c r="C988" s="40"/>
      <c r="D988" s="41"/>
      <c r="E988" s="40"/>
      <c r="F988" s="40"/>
    </row>
    <row r="989">
      <c r="A989" s="39" t="str">
        <f t="shared" si="1"/>
        <v/>
      </c>
      <c r="B989" s="39"/>
      <c r="C989" s="40"/>
      <c r="D989" s="41"/>
      <c r="E989" s="40"/>
      <c r="F989" s="40"/>
    </row>
    <row r="990">
      <c r="A990" s="39" t="str">
        <f t="shared" si="1"/>
        <v/>
      </c>
      <c r="B990" s="39"/>
      <c r="C990" s="40"/>
      <c r="D990" s="41"/>
      <c r="E990" s="40"/>
      <c r="F990" s="40"/>
    </row>
    <row r="991">
      <c r="A991" s="39" t="str">
        <f t="shared" si="1"/>
        <v/>
      </c>
      <c r="B991" s="39"/>
      <c r="C991" s="40"/>
      <c r="D991" s="41"/>
      <c r="E991" s="40"/>
      <c r="F991" s="40"/>
    </row>
    <row r="992">
      <c r="A992" s="39" t="str">
        <f t="shared" si="1"/>
        <v/>
      </c>
      <c r="B992" s="39"/>
      <c r="C992" s="40"/>
      <c r="D992" s="41"/>
      <c r="E992" s="40"/>
      <c r="F992" s="40"/>
    </row>
    <row r="993">
      <c r="A993" s="39" t="str">
        <f t="shared" si="1"/>
        <v/>
      </c>
      <c r="B993" s="39"/>
      <c r="C993" s="40"/>
      <c r="D993" s="41"/>
      <c r="E993" s="40"/>
      <c r="F993" s="40"/>
    </row>
    <row r="994">
      <c r="A994" s="39" t="str">
        <f t="shared" si="1"/>
        <v/>
      </c>
      <c r="B994" s="39"/>
      <c r="C994" s="40"/>
      <c r="D994" s="41"/>
      <c r="E994" s="40"/>
      <c r="F994" s="40"/>
    </row>
    <row r="995">
      <c r="A995" s="39" t="str">
        <f t="shared" si="1"/>
        <v/>
      </c>
      <c r="B995" s="39"/>
      <c r="C995" s="40"/>
      <c r="D995" s="41"/>
      <c r="E995" s="40"/>
      <c r="F995" s="40"/>
    </row>
    <row r="996">
      <c r="A996" s="39" t="str">
        <f t="shared" si="1"/>
        <v/>
      </c>
      <c r="B996" s="39"/>
      <c r="C996" s="40"/>
      <c r="D996" s="41"/>
      <c r="E996" s="40"/>
      <c r="F996" s="40"/>
    </row>
    <row r="997">
      <c r="A997" s="39" t="str">
        <f t="shared" si="1"/>
        <v/>
      </c>
      <c r="B997" s="39"/>
      <c r="C997" s="40"/>
      <c r="D997" s="41"/>
      <c r="E997" s="40"/>
      <c r="F997" s="40"/>
    </row>
    <row r="998">
      <c r="A998" s="39" t="str">
        <f t="shared" si="1"/>
        <v/>
      </c>
      <c r="B998" s="39"/>
      <c r="C998" s="40"/>
      <c r="D998" s="41"/>
      <c r="E998" s="40"/>
      <c r="F998" s="40"/>
    </row>
    <row r="999">
      <c r="A999" s="39" t="str">
        <f t="shared" si="1"/>
        <v/>
      </c>
      <c r="B999" s="39"/>
      <c r="C999" s="40"/>
      <c r="D999" s="41"/>
      <c r="E999" s="40"/>
      <c r="F999" s="40"/>
    </row>
    <row r="1000">
      <c r="A1000" s="39" t="str">
        <f t="shared" si="1"/>
        <v/>
      </c>
      <c r="B1000" s="39"/>
      <c r="C1000" s="40"/>
      <c r="D1000" s="41"/>
      <c r="E1000" s="40"/>
      <c r="F1000" s="40"/>
    </row>
  </sheetData>
  <mergeCells count="2">
    <mergeCell ref="A1:B1"/>
    <mergeCell ref="C1:F1"/>
  </mergeCells>
  <dataValidations>
    <dataValidation type="list" allowBlank="1" showInputMessage="1" prompt="Pilih bulan" sqref="C1">
      <formula1>db!$J$2:$J1000</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11.5"/>
    <col customWidth="1" min="3" max="3" width="30.13"/>
    <col customWidth="1" min="4" max="4" width="20.38"/>
    <col customWidth="1" min="5" max="6" width="13.88"/>
  </cols>
  <sheetData>
    <row r="1">
      <c r="A1" s="29" t="s">
        <v>1885</v>
      </c>
      <c r="C1" s="42" t="s">
        <v>1889</v>
      </c>
    </row>
    <row r="2">
      <c r="A2" s="31"/>
      <c r="B2" s="31"/>
      <c r="C2" s="32" t="str">
        <f>text(C1,"mmmm yyyy")</f>
        <v>TW 3</v>
      </c>
      <c r="D2" s="33"/>
      <c r="E2" s="34"/>
      <c r="F2" s="34"/>
    </row>
    <row r="3">
      <c r="A3" s="35" t="s">
        <v>1886</v>
      </c>
      <c r="B3" s="35" t="s">
        <v>1887</v>
      </c>
      <c r="C3" s="35" t="s">
        <v>1</v>
      </c>
      <c r="D3" s="35" t="s">
        <v>1888</v>
      </c>
      <c r="E3" s="35" t="s">
        <v>2</v>
      </c>
      <c r="F3" s="35" t="s">
        <v>6</v>
      </c>
    </row>
    <row r="4">
      <c r="A4" s="36"/>
      <c r="B4" s="36" t="str">
        <f>IFERROR(__xludf.DUMMYFUNCTION("query(db!A:L,""select K, B, E, C, G where L = '""&amp;C2&amp;""'"",1)"),"tanggal")</f>
        <v>tanggal</v>
      </c>
      <c r="C4" s="37" t="str">
        <f>IFERROR(__xludf.DUMMYFUNCTION("""COMPUTED_VALUE"""),"Nama")</f>
        <v>Nama</v>
      </c>
      <c r="D4" s="38" t="str">
        <f>IFERROR(__xludf.DUMMYFUNCTION("""COMPUTED_VALUE"""),"Asal Instansi")</f>
        <v>Asal Instansi</v>
      </c>
      <c r="E4" s="37" t="str">
        <f>IFERROR(__xludf.DUMMYFUNCTION("""COMPUTED_VALUE"""),"Nomor Whatsapp")</f>
        <v>Nomor Whatsapp</v>
      </c>
      <c r="F4" s="37" t="str">
        <f>IFERROR(__xludf.DUMMYFUNCTION("""COMPUTED_VALUE"""),"Foto")</f>
        <v>Foto</v>
      </c>
    </row>
    <row r="5">
      <c r="A5" s="39">
        <f>if(B5="","",1)</f>
        <v>1</v>
      </c>
      <c r="B5" s="39" t="str">
        <f>IFERROR(__xludf.DUMMYFUNCTION("""COMPUTED_VALUE"""),"05 Jul 2024")</f>
        <v>05 Jul 2024</v>
      </c>
      <c r="C5" s="40" t="str">
        <f>IFERROR(__xludf.DUMMYFUNCTION("""COMPUTED_VALUE"""),"Nuroso")</f>
        <v>Nuroso</v>
      </c>
      <c r="D5" s="41" t="str">
        <f>IFERROR(__xludf.DUMMYFUNCTION("""COMPUTED_VALUE"""),"TNI/POLRI")</f>
        <v>TNI/POLRI</v>
      </c>
      <c r="E5" s="40" t="str">
        <f>IFERROR(__xludf.DUMMYFUNCTION("""COMPUTED_VALUE"""),"081265733121")</f>
        <v>081265733121</v>
      </c>
      <c r="F5" s="40" t="str">
        <f>IFERROR(__xludf.DUMMYFUNCTION("""COMPUTED_VALUE"""),"https://drive:google:com/open?id=16EBhunKe2kyEdufMaqP8ENkbJRTOPNH0")</f>
        <v>https://drive:google:com/open?id=16EBhunKe2kyEdufMaqP8ENkbJRTOPNH0</v>
      </c>
    </row>
    <row r="6">
      <c r="A6" s="39">
        <f t="shared" ref="A6:A1000" si="1">if(A5="","",if(B6="","",A5+1))</f>
        <v>2</v>
      </c>
      <c r="B6" s="39" t="str">
        <f>IFERROR(__xludf.DUMMYFUNCTION("""COMPUTED_VALUE"""),"15 Jul 2024")</f>
        <v>15 Jul 2024</v>
      </c>
      <c r="C6" s="40" t="str">
        <f>IFERROR(__xludf.DUMMYFUNCTION("""COMPUTED_VALUE"""),"david hutagalun")</f>
        <v>david hutagalun</v>
      </c>
      <c r="D6" s="41" t="str">
        <f>IFERROR(__xludf.DUMMYFUNCTION("""COMPUTED_VALUE"""),"BUMN/BUMD")</f>
        <v>BUMN/BUMD</v>
      </c>
      <c r="E6" s="40"/>
      <c r="F6" s="40" t="str">
        <f>IFERROR(__xludf.DUMMYFUNCTION("""COMPUTED_VALUE"""),"https://drive:google:com/open?id=1gC75YaNg9_0pckxMx-WJk51iD_qV858R")</f>
        <v>https://drive:google:com/open?id=1gC75YaNg9_0pckxMx-WJk51iD_qV858R</v>
      </c>
    </row>
    <row r="7">
      <c r="A7" s="39">
        <f t="shared" si="1"/>
        <v>3</v>
      </c>
      <c r="B7" s="39" t="str">
        <f>IFERROR(__xludf.DUMMYFUNCTION("""COMPUTED_VALUE"""),"24 Jul 2024")</f>
        <v>24 Jul 2024</v>
      </c>
      <c r="C7" s="40" t="str">
        <f>IFERROR(__xludf.DUMMYFUNCTION("""COMPUTED_VALUE"""),"Mardianto")</f>
        <v>Mardianto</v>
      </c>
      <c r="D7" s="41" t="str">
        <f>IFERROR(__xludf.DUMMYFUNCTION("""COMPUTED_VALUE"""),"TNI/POLRI")</f>
        <v>TNI/POLRI</v>
      </c>
      <c r="E7" s="40" t="str">
        <f>IFERROR(__xludf.DUMMYFUNCTION("""COMPUTED_VALUE"""),"082214608988")</f>
        <v>082214608988</v>
      </c>
      <c r="F7" s="40" t="str">
        <f>IFERROR(__xludf.DUMMYFUNCTION("""COMPUTED_VALUE"""),"https://drive:google:com/open?id=1NEA_9bGs9DIRIRFtfmjrV_4x5xIHD6Xf")</f>
        <v>https://drive:google:com/open?id=1NEA_9bGs9DIRIRFtfmjrV_4x5xIHD6Xf</v>
      </c>
    </row>
    <row r="8">
      <c r="A8" s="39">
        <f t="shared" si="1"/>
        <v>4</v>
      </c>
      <c r="B8" s="39" t="str">
        <f>IFERROR(__xludf.DUMMYFUNCTION("""COMPUTED_VALUE"""),"25 Jul 2024")</f>
        <v>25 Jul 2024</v>
      </c>
      <c r="C8" s="40" t="str">
        <f>IFERROR(__xludf.DUMMYFUNCTION("""COMPUTED_VALUE"""),"Hotlina")</f>
        <v>Hotlina</v>
      </c>
      <c r="D8" s="41" t="str">
        <f>IFERROR(__xludf.DUMMYFUNCTION("""COMPUTED_VALUE"""),"OPD (Pemerintah Daerah)")</f>
        <v>OPD (Pemerintah Daerah)</v>
      </c>
      <c r="E8" s="40" t="str">
        <f>IFERROR(__xludf.DUMMYFUNCTION("""COMPUTED_VALUE"""),"082276049882")</f>
        <v>082276049882</v>
      </c>
      <c r="F8" s="40" t="str">
        <f>IFERROR(__xludf.DUMMYFUNCTION("""COMPUTED_VALUE"""),"https://drive:google:com/open?id=1B3L2EhXJG6PBtY2tgdKe3yR7JDlypFlj")</f>
        <v>https://drive:google:com/open?id=1B3L2EhXJG6PBtY2tgdKe3yR7JDlypFlj</v>
      </c>
    </row>
    <row r="9">
      <c r="A9" s="39">
        <f t="shared" si="1"/>
        <v>5</v>
      </c>
      <c r="B9" s="39" t="str">
        <f>IFERROR(__xludf.DUMMYFUNCTION("""COMPUTED_VALUE"""),"25 Jul 2024")</f>
        <v>25 Jul 2024</v>
      </c>
      <c r="C9" s="40" t="str">
        <f>IFERROR(__xludf.DUMMYFUNCTION("""COMPUTED_VALUE"""),"Selgia Sitohang")</f>
        <v>Selgia Sitohang</v>
      </c>
      <c r="D9" s="41" t="str">
        <f>IFERROR(__xludf.DUMMYFUNCTION("""COMPUTED_VALUE"""),"OPD (Pemerintah Daerah)")</f>
        <v>OPD (Pemerintah Daerah)</v>
      </c>
      <c r="E9" s="40" t="str">
        <f>IFERROR(__xludf.DUMMYFUNCTION("""COMPUTED_VALUE"""),"082366578154")</f>
        <v>082366578154</v>
      </c>
      <c r="F9" s="40" t="str">
        <f>IFERROR(__xludf.DUMMYFUNCTION("""COMPUTED_VALUE"""),"https://drive:google:com/open?id=1Ge3egJmSFu3nR-3ao4EMD4xMPJ9lf0AM")</f>
        <v>https://drive:google:com/open?id=1Ge3egJmSFu3nR-3ao4EMD4xMPJ9lf0AM</v>
      </c>
    </row>
    <row r="10">
      <c r="A10" s="39">
        <f t="shared" si="1"/>
        <v>6</v>
      </c>
      <c r="B10" s="39" t="str">
        <f>IFERROR(__xludf.DUMMYFUNCTION("""COMPUTED_VALUE"""),"02 Agu 2024")</f>
        <v>02 Agu 2024</v>
      </c>
      <c r="C10" s="40" t="str">
        <f>IFERROR(__xludf.DUMMYFUNCTION("""COMPUTED_VALUE"""),"Surung Charles Bantjin")</f>
        <v>Surung Charles Bantjin</v>
      </c>
      <c r="D10" s="41" t="str">
        <f>IFERROR(__xludf.DUMMYFUNCTION("""COMPUTED_VALUE"""),"OPD (Pemerintah Daerah)")</f>
        <v>OPD (Pemerintah Daerah)</v>
      </c>
      <c r="E10" s="40" t="str">
        <f>IFERROR(__xludf.DUMMYFUNCTION("""COMPUTED_VALUE"""),"085362329767")</f>
        <v>085362329767</v>
      </c>
      <c r="F10" s="40" t="str">
        <f>IFERROR(__xludf.DUMMYFUNCTION("""COMPUTED_VALUE"""),"https://drive:google:com/open?id=1mdWRwuLqpSsx6OdObUywnoI7E1sb4gdK")</f>
        <v>https://drive:google:com/open?id=1mdWRwuLqpSsx6OdObUywnoI7E1sb4gdK</v>
      </c>
    </row>
    <row r="11">
      <c r="A11" s="39">
        <f t="shared" si="1"/>
        <v>7</v>
      </c>
      <c r="B11" s="39" t="str">
        <f>IFERROR(__xludf.DUMMYFUNCTION("""COMPUTED_VALUE"""),"07 Agu 2024")</f>
        <v>07 Agu 2024</v>
      </c>
      <c r="C11" s="40" t="str">
        <f>IFERROR(__xludf.DUMMYFUNCTION("""COMPUTED_VALUE"""),"Samuel Simbolon")</f>
        <v>Samuel Simbolon</v>
      </c>
      <c r="D11" s="41" t="str">
        <f>IFERROR(__xludf.DUMMYFUNCTION("""COMPUTED_VALUE"""),"PT Mikrotek Komputindo")</f>
        <v>PT Mikrotek Komputindo</v>
      </c>
      <c r="E11" s="40" t="str">
        <f>IFERROR(__xludf.DUMMYFUNCTION("""COMPUTED_VALUE"""),"085262806376")</f>
        <v>085262806376</v>
      </c>
      <c r="F11" s="40" t="str">
        <f>IFERROR(__xludf.DUMMYFUNCTION("""COMPUTED_VALUE"""),"https://drive:google:com/open?id=1fHrUOrevB4SDc7BfuIFyEf0fho8wQz-e")</f>
        <v>https://drive:google:com/open?id=1fHrUOrevB4SDc7BfuIFyEf0fho8wQz-e</v>
      </c>
    </row>
    <row r="12">
      <c r="A12" s="39">
        <f t="shared" si="1"/>
        <v>8</v>
      </c>
      <c r="B12" s="39" t="str">
        <f>IFERROR(__xludf.DUMMYFUNCTION("""COMPUTED_VALUE"""),"27 Agu 2024")</f>
        <v>27 Agu 2024</v>
      </c>
      <c r="C12" s="40" t="str">
        <f>IFERROR(__xludf.DUMMYFUNCTION("""COMPUTED_VALUE"""),"Joel Roy Perangin Angin")</f>
        <v>Joel Roy Perangin Angin</v>
      </c>
      <c r="D12" s="41" t="str">
        <f>IFERROR(__xludf.DUMMYFUNCTION("""COMPUTED_VALUE"""),"Pegawai BPS")</f>
        <v>Pegawai BPS</v>
      </c>
      <c r="E12" s="40" t="str">
        <f>IFERROR(__xludf.DUMMYFUNCTION("""COMPUTED_VALUE"""),"081362105907")</f>
        <v>081362105907</v>
      </c>
      <c r="F12" s="40" t="str">
        <f>IFERROR(__xludf.DUMMYFUNCTION("""COMPUTED_VALUE"""),"https://drive:google:com/open?id=1D4S6L8Ah64xYPMnjfXM8fHlCl6skw-lG")</f>
        <v>https://drive:google:com/open?id=1D4S6L8Ah64xYPMnjfXM8fHlCl6skw-lG</v>
      </c>
    </row>
    <row r="13">
      <c r="A13" s="39">
        <f t="shared" si="1"/>
        <v>9</v>
      </c>
      <c r="B13" s="39" t="str">
        <f>IFERROR(__xludf.DUMMYFUNCTION("""COMPUTED_VALUE"""),"11 Sep 2024")</f>
        <v>11 Sep 2024</v>
      </c>
      <c r="C13" s="40" t="str">
        <f>IFERROR(__xludf.DUMMYFUNCTION("""COMPUTED_VALUE"""),"tetty situmorang")</f>
        <v>tetty situmorang</v>
      </c>
      <c r="D13" s="41" t="str">
        <f>IFERROR(__xludf.DUMMYFUNCTION("""COMPUTED_VALUE"""),"Dinas Pertanian")</f>
        <v>Dinas Pertanian</v>
      </c>
      <c r="E13" s="40" t="str">
        <f>IFERROR(__xludf.DUMMYFUNCTION("""COMPUTED_VALUE"""),"082167071275")</f>
        <v>082167071275</v>
      </c>
      <c r="F13" s="40"/>
    </row>
    <row r="14">
      <c r="A14" s="39">
        <f t="shared" si="1"/>
        <v>10</v>
      </c>
      <c r="B14" s="39" t="str">
        <f>IFERROR(__xludf.DUMMYFUNCTION("""COMPUTED_VALUE"""),"13 Sep 2024")</f>
        <v>13 Sep 2024</v>
      </c>
      <c r="C14" s="40" t="str">
        <f>IFERROR(__xludf.DUMMYFUNCTION("""COMPUTED_VALUE"""),"Usmansyah")</f>
        <v>Usmansyah</v>
      </c>
      <c r="D14" s="41" t="str">
        <f>IFERROR(__xludf.DUMMYFUNCTION("""COMPUTED_VALUE"""),"BPS Provinsi Sumatera Utara")</f>
        <v>BPS Provinsi Sumatera Utara</v>
      </c>
      <c r="E14" s="40" t="str">
        <f>IFERROR(__xludf.DUMMYFUNCTION("""COMPUTED_VALUE"""),"085262798155")</f>
        <v>085262798155</v>
      </c>
      <c r="F14" s="40" t="str">
        <f>IFERROR(__xludf.DUMMYFUNCTION("""COMPUTED_VALUE"""),"https://drive:google:com/open?id=1Kc0VbvrjXPNRPsrnGZVMcE0lXJWtz0Wm")</f>
        <v>https://drive:google:com/open?id=1Kc0VbvrjXPNRPsrnGZVMcE0lXJWtz0Wm</v>
      </c>
    </row>
    <row r="15">
      <c r="A15" s="39">
        <f t="shared" si="1"/>
        <v>11</v>
      </c>
      <c r="B15" s="39" t="str">
        <f>IFERROR(__xludf.DUMMYFUNCTION("""COMPUTED_VALUE"""),"17 Sep 2024")</f>
        <v>17 Sep 2024</v>
      </c>
      <c r="C15" s="40" t="str">
        <f>IFERROR(__xludf.DUMMYFUNCTION("""COMPUTED_VALUE"""),"Septina Silalahi")</f>
        <v>Septina Silalahi</v>
      </c>
      <c r="D15" s="41" t="str">
        <f>IFERROR(__xludf.DUMMYFUNCTION("""COMPUTED_VALUE"""),"Mitra BPS Dairi")</f>
        <v>Mitra BPS Dairi</v>
      </c>
      <c r="E15" s="40" t="str">
        <f>IFERROR(__xludf.DUMMYFUNCTION("""COMPUTED_VALUE"""),"082110918981")</f>
        <v>082110918981</v>
      </c>
      <c r="F15" s="40" t="str">
        <f>IFERROR(__xludf.DUMMYFUNCTION("""COMPUTED_VALUE"""),"https://drive:google:com/open?id=12j05zMfdMkPjojossztS3qxYASbbCs9-")</f>
        <v>https://drive:google:com/open?id=12j05zMfdMkPjojossztS3qxYASbbCs9-</v>
      </c>
    </row>
    <row r="16">
      <c r="A16" s="39">
        <f t="shared" si="1"/>
        <v>12</v>
      </c>
      <c r="B16" s="39" t="str">
        <f>IFERROR(__xludf.DUMMYFUNCTION("""COMPUTED_VALUE"""),"17 Sep 2024")</f>
        <v>17 Sep 2024</v>
      </c>
      <c r="C16" s="40" t="str">
        <f>IFERROR(__xludf.DUMMYFUNCTION("""COMPUTED_VALUE"""),"Ida Kartini Sirait")</f>
        <v>Ida Kartini Sirait</v>
      </c>
      <c r="D16" s="41" t="str">
        <f>IFERROR(__xludf.DUMMYFUNCTION("""COMPUTED_VALUE"""),"Mitra BPS Dairi")</f>
        <v>Mitra BPS Dairi</v>
      </c>
      <c r="E16" s="40" t="str">
        <f>IFERROR(__xludf.DUMMYFUNCTION("""COMPUTED_VALUE"""),"082164576150")</f>
        <v>082164576150</v>
      </c>
      <c r="F16" s="40" t="str">
        <f>IFERROR(__xludf.DUMMYFUNCTION("""COMPUTED_VALUE"""),"https://drive:google:com/open?id=1Z4FBWODwQg3c83OzLiCKuF0HYJGo7tVI")</f>
        <v>https://drive:google:com/open?id=1Z4FBWODwQg3c83OzLiCKuF0HYJGo7tVI</v>
      </c>
    </row>
    <row r="17">
      <c r="A17" s="39">
        <f t="shared" si="1"/>
        <v>13</v>
      </c>
      <c r="B17" s="39" t="str">
        <f>IFERROR(__xludf.DUMMYFUNCTION("""COMPUTED_VALUE"""),"23 Sep 2024")</f>
        <v>23 Sep 2024</v>
      </c>
      <c r="C17" s="40" t="str">
        <f>IFERROR(__xludf.DUMMYFUNCTION("""COMPUTED_VALUE"""),"Jubeletta  Lumban Gaol")</f>
        <v>Jubeletta  Lumban Gaol</v>
      </c>
      <c r="D17" s="41" t="str">
        <f>IFERROR(__xludf.DUMMYFUNCTION("""COMPUTED_VALUE"""),"OPD (Pemerintah Daerah)")</f>
        <v>OPD (Pemerintah Daerah)</v>
      </c>
      <c r="E17" s="40" t="str">
        <f>IFERROR(__xludf.DUMMYFUNCTION("""COMPUTED_VALUE"""),"081396441344")</f>
        <v>081396441344</v>
      </c>
      <c r="F17" s="40" t="str">
        <f>IFERROR(__xludf.DUMMYFUNCTION("""COMPUTED_VALUE"""),"https://drive:google:com/open?id=1TpY0oySYGlntOdS5kPEReUPaBi1bq8LT")</f>
        <v>https://drive:google:com/open?id=1TpY0oySYGlntOdS5kPEReUPaBi1bq8LT</v>
      </c>
    </row>
    <row r="18">
      <c r="A18" s="39">
        <f t="shared" si="1"/>
        <v>14</v>
      </c>
      <c r="B18" s="39" t="str">
        <f>IFERROR(__xludf.DUMMYFUNCTION("""COMPUTED_VALUE"""),"23 Sep 2024")</f>
        <v>23 Sep 2024</v>
      </c>
      <c r="C18" s="40" t="str">
        <f>IFERROR(__xludf.DUMMYFUNCTION("""COMPUTED_VALUE"""),"Sonta Siagian")</f>
        <v>Sonta Siagian</v>
      </c>
      <c r="D18" s="41" t="str">
        <f>IFERROR(__xludf.DUMMYFUNCTION("""COMPUTED_VALUE"""),"OPD (Pemerintah Daerah)")</f>
        <v>OPD (Pemerintah Daerah)</v>
      </c>
      <c r="E18" s="40" t="str">
        <f>IFERROR(__xludf.DUMMYFUNCTION("""COMPUTED_VALUE"""),"085206199198")</f>
        <v>085206199198</v>
      </c>
      <c r="F18" s="40" t="str">
        <f>IFERROR(__xludf.DUMMYFUNCTION("""COMPUTED_VALUE"""),"https://drive:google:com/open?id=1MRKTEo6CwEXAvjiO5DdF-f8gs4vG0Ruy")</f>
        <v>https://drive:google:com/open?id=1MRKTEo6CwEXAvjiO5DdF-f8gs4vG0Ruy</v>
      </c>
    </row>
    <row r="19">
      <c r="A19" s="39">
        <f t="shared" si="1"/>
        <v>15</v>
      </c>
      <c r="B19" s="39" t="str">
        <f>IFERROR(__xludf.DUMMYFUNCTION("""COMPUTED_VALUE"""),"02 Jul 2025")</f>
        <v>02 Jul 2025</v>
      </c>
      <c r="C19" s="40" t="str">
        <f>IFERROR(__xludf.DUMMYFUNCTION("""COMPUTED_VALUE"""),"tetty rr situmorang")</f>
        <v>tetty rr situmorang</v>
      </c>
      <c r="D19" s="41" t="str">
        <f>IFERROR(__xludf.DUMMYFUNCTION("""COMPUTED_VALUE"""),"OPD (Pemerintah Daerah)")</f>
        <v>OPD (Pemerintah Daerah)</v>
      </c>
      <c r="E19" s="40" t="str">
        <f>IFERROR(__xludf.DUMMYFUNCTION("""COMPUTED_VALUE"""),"082167071275")</f>
        <v>082167071275</v>
      </c>
      <c r="F19" s="40"/>
    </row>
    <row r="20">
      <c r="A20" s="39" t="str">
        <f t="shared" si="1"/>
        <v/>
      </c>
      <c r="B20" s="39"/>
      <c r="C20" s="40"/>
      <c r="D20" s="41"/>
      <c r="E20" s="40"/>
      <c r="F20" s="40"/>
    </row>
    <row r="21">
      <c r="A21" s="39" t="str">
        <f t="shared" si="1"/>
        <v/>
      </c>
      <c r="B21" s="39"/>
      <c r="C21" s="40"/>
      <c r="D21" s="41"/>
      <c r="E21" s="40"/>
      <c r="F21" s="40"/>
    </row>
    <row r="22">
      <c r="A22" s="39" t="str">
        <f t="shared" si="1"/>
        <v/>
      </c>
      <c r="B22" s="39"/>
      <c r="C22" s="40"/>
      <c r="D22" s="41"/>
      <c r="E22" s="40"/>
      <c r="F22" s="40"/>
    </row>
    <row r="23">
      <c r="A23" s="39" t="str">
        <f t="shared" si="1"/>
        <v/>
      </c>
      <c r="B23" s="39"/>
      <c r="C23" s="40"/>
      <c r="D23" s="41"/>
      <c r="E23" s="40"/>
      <c r="F23" s="40"/>
    </row>
    <row r="24">
      <c r="A24" s="39" t="str">
        <f t="shared" si="1"/>
        <v/>
      </c>
      <c r="B24" s="39"/>
      <c r="C24" s="40"/>
      <c r="D24" s="41"/>
      <c r="E24" s="40"/>
      <c r="F24" s="40"/>
    </row>
    <row r="25">
      <c r="A25" s="39" t="str">
        <f t="shared" si="1"/>
        <v/>
      </c>
      <c r="B25" s="39"/>
      <c r="C25" s="40"/>
      <c r="D25" s="41"/>
      <c r="E25" s="40"/>
      <c r="F25" s="40"/>
    </row>
    <row r="26">
      <c r="A26" s="39" t="str">
        <f t="shared" si="1"/>
        <v/>
      </c>
      <c r="B26" s="39"/>
      <c r="C26" s="40"/>
      <c r="D26" s="41"/>
      <c r="E26" s="40"/>
      <c r="F26" s="40"/>
    </row>
    <row r="27">
      <c r="A27" s="39" t="str">
        <f t="shared" si="1"/>
        <v/>
      </c>
      <c r="B27" s="39"/>
      <c r="C27" s="40"/>
      <c r="D27" s="41"/>
      <c r="E27" s="40"/>
      <c r="F27" s="40"/>
    </row>
    <row r="28">
      <c r="A28" s="39" t="str">
        <f t="shared" si="1"/>
        <v/>
      </c>
      <c r="B28" s="39"/>
      <c r="C28" s="40"/>
      <c r="D28" s="41"/>
      <c r="E28" s="40"/>
      <c r="F28" s="40"/>
    </row>
    <row r="29">
      <c r="A29" s="39" t="str">
        <f t="shared" si="1"/>
        <v/>
      </c>
      <c r="B29" s="39"/>
      <c r="C29" s="40"/>
      <c r="D29" s="41"/>
      <c r="E29" s="40"/>
      <c r="F29" s="40"/>
    </row>
    <row r="30">
      <c r="A30" s="39" t="str">
        <f t="shared" si="1"/>
        <v/>
      </c>
      <c r="B30" s="39"/>
      <c r="C30" s="40"/>
      <c r="D30" s="41"/>
      <c r="E30" s="40"/>
      <c r="F30" s="40"/>
    </row>
    <row r="31">
      <c r="A31" s="39" t="str">
        <f t="shared" si="1"/>
        <v/>
      </c>
      <c r="B31" s="39"/>
      <c r="C31" s="40"/>
      <c r="D31" s="41"/>
      <c r="E31" s="40"/>
      <c r="F31" s="40"/>
    </row>
    <row r="32">
      <c r="A32" s="39" t="str">
        <f t="shared" si="1"/>
        <v/>
      </c>
      <c r="B32" s="39"/>
      <c r="C32" s="40"/>
      <c r="D32" s="41"/>
      <c r="E32" s="40"/>
      <c r="F32" s="40"/>
    </row>
    <row r="33">
      <c r="A33" s="39" t="str">
        <f t="shared" si="1"/>
        <v/>
      </c>
      <c r="B33" s="39"/>
      <c r="C33" s="40"/>
      <c r="D33" s="41"/>
      <c r="E33" s="40"/>
      <c r="F33" s="40"/>
    </row>
    <row r="34">
      <c r="A34" s="39" t="str">
        <f t="shared" si="1"/>
        <v/>
      </c>
      <c r="B34" s="39"/>
      <c r="C34" s="40"/>
      <c r="D34" s="41"/>
      <c r="E34" s="40"/>
      <c r="F34" s="40"/>
    </row>
    <row r="35">
      <c r="A35" s="39" t="str">
        <f t="shared" si="1"/>
        <v/>
      </c>
      <c r="B35" s="39"/>
      <c r="C35" s="40"/>
      <c r="D35" s="41"/>
      <c r="E35" s="40"/>
      <c r="F35" s="40"/>
    </row>
    <row r="36">
      <c r="A36" s="39" t="str">
        <f t="shared" si="1"/>
        <v/>
      </c>
      <c r="B36" s="39"/>
      <c r="C36" s="40"/>
      <c r="D36" s="41"/>
      <c r="E36" s="40"/>
      <c r="F36" s="40"/>
    </row>
    <row r="37">
      <c r="A37" s="39" t="str">
        <f t="shared" si="1"/>
        <v/>
      </c>
      <c r="B37" s="39"/>
      <c r="C37" s="40"/>
      <c r="D37" s="41"/>
      <c r="E37" s="40"/>
      <c r="F37" s="40"/>
    </row>
    <row r="38">
      <c r="A38" s="39" t="str">
        <f t="shared" si="1"/>
        <v/>
      </c>
      <c r="B38" s="39"/>
      <c r="C38" s="40"/>
      <c r="D38" s="41"/>
      <c r="E38" s="40"/>
      <c r="F38" s="40"/>
    </row>
    <row r="39">
      <c r="A39" s="39" t="str">
        <f t="shared" si="1"/>
        <v/>
      </c>
      <c r="B39" s="39"/>
      <c r="C39" s="40"/>
      <c r="D39" s="41"/>
      <c r="E39" s="40"/>
      <c r="F39" s="40"/>
    </row>
    <row r="40">
      <c r="A40" s="39" t="str">
        <f t="shared" si="1"/>
        <v/>
      </c>
      <c r="B40" s="39"/>
      <c r="C40" s="40"/>
      <c r="D40" s="41"/>
      <c r="E40" s="40"/>
      <c r="F40" s="40"/>
    </row>
    <row r="41">
      <c r="A41" s="39" t="str">
        <f t="shared" si="1"/>
        <v/>
      </c>
      <c r="B41" s="39"/>
      <c r="C41" s="40"/>
      <c r="D41" s="41"/>
      <c r="E41" s="40"/>
      <c r="F41" s="40"/>
    </row>
    <row r="42">
      <c r="A42" s="39" t="str">
        <f t="shared" si="1"/>
        <v/>
      </c>
      <c r="B42" s="39"/>
      <c r="C42" s="40"/>
      <c r="D42" s="41"/>
      <c r="E42" s="40"/>
      <c r="F42" s="40"/>
    </row>
    <row r="43">
      <c r="A43" s="39" t="str">
        <f t="shared" si="1"/>
        <v/>
      </c>
      <c r="B43" s="39"/>
      <c r="C43" s="40"/>
      <c r="D43" s="41"/>
      <c r="E43" s="40"/>
      <c r="F43" s="40"/>
    </row>
    <row r="44">
      <c r="A44" s="39" t="str">
        <f t="shared" si="1"/>
        <v/>
      </c>
      <c r="B44" s="39"/>
      <c r="C44" s="40"/>
      <c r="D44" s="41"/>
      <c r="E44" s="40"/>
      <c r="F44" s="40"/>
    </row>
    <row r="45">
      <c r="A45" s="39" t="str">
        <f t="shared" si="1"/>
        <v/>
      </c>
      <c r="B45" s="39"/>
      <c r="C45" s="40"/>
      <c r="D45" s="41"/>
      <c r="E45" s="40"/>
      <c r="F45" s="40"/>
    </row>
    <row r="46">
      <c r="A46" s="39" t="str">
        <f t="shared" si="1"/>
        <v/>
      </c>
      <c r="B46" s="39"/>
      <c r="C46" s="40"/>
      <c r="D46" s="41"/>
      <c r="E46" s="40"/>
      <c r="F46" s="40"/>
    </row>
    <row r="47">
      <c r="A47" s="39" t="str">
        <f t="shared" si="1"/>
        <v/>
      </c>
      <c r="B47" s="39"/>
      <c r="C47" s="40"/>
      <c r="D47" s="41"/>
      <c r="E47" s="40"/>
      <c r="F47" s="40"/>
    </row>
    <row r="48">
      <c r="A48" s="39" t="str">
        <f t="shared" si="1"/>
        <v/>
      </c>
      <c r="B48" s="39"/>
      <c r="C48" s="40"/>
      <c r="D48" s="41"/>
      <c r="E48" s="40"/>
      <c r="F48" s="40"/>
    </row>
    <row r="49">
      <c r="A49" s="39" t="str">
        <f t="shared" si="1"/>
        <v/>
      </c>
      <c r="B49" s="39"/>
      <c r="C49" s="40"/>
      <c r="D49" s="41"/>
      <c r="E49" s="40"/>
      <c r="F49" s="40"/>
    </row>
    <row r="50">
      <c r="A50" s="39" t="str">
        <f t="shared" si="1"/>
        <v/>
      </c>
      <c r="B50" s="39"/>
      <c r="C50" s="40"/>
      <c r="D50" s="41"/>
      <c r="E50" s="40"/>
      <c r="F50" s="40"/>
    </row>
    <row r="51">
      <c r="A51" s="39" t="str">
        <f t="shared" si="1"/>
        <v/>
      </c>
      <c r="B51" s="39"/>
      <c r="C51" s="40"/>
      <c r="D51" s="41"/>
      <c r="E51" s="40"/>
      <c r="F51" s="40"/>
    </row>
    <row r="52">
      <c r="A52" s="39" t="str">
        <f t="shared" si="1"/>
        <v/>
      </c>
      <c r="B52" s="39"/>
      <c r="C52" s="40"/>
      <c r="D52" s="41"/>
      <c r="E52" s="40"/>
      <c r="F52" s="40"/>
    </row>
    <row r="53">
      <c r="A53" s="39" t="str">
        <f t="shared" si="1"/>
        <v/>
      </c>
      <c r="B53" s="39"/>
      <c r="C53" s="40"/>
      <c r="D53" s="41"/>
      <c r="E53" s="40"/>
      <c r="F53" s="40"/>
    </row>
    <row r="54">
      <c r="A54" s="39" t="str">
        <f t="shared" si="1"/>
        <v/>
      </c>
      <c r="B54" s="39"/>
      <c r="C54" s="40"/>
      <c r="D54" s="41"/>
      <c r="E54" s="40"/>
      <c r="F54" s="40"/>
    </row>
    <row r="55">
      <c r="A55" s="39" t="str">
        <f t="shared" si="1"/>
        <v/>
      </c>
      <c r="B55" s="39"/>
      <c r="C55" s="40"/>
      <c r="D55" s="41"/>
      <c r="E55" s="40"/>
      <c r="F55" s="40"/>
    </row>
    <row r="56">
      <c r="A56" s="39" t="str">
        <f t="shared" si="1"/>
        <v/>
      </c>
      <c r="B56" s="39"/>
      <c r="C56" s="40"/>
      <c r="D56" s="41"/>
      <c r="E56" s="40"/>
      <c r="F56" s="40"/>
    </row>
    <row r="57">
      <c r="A57" s="39" t="str">
        <f t="shared" si="1"/>
        <v/>
      </c>
      <c r="B57" s="39"/>
      <c r="C57" s="40"/>
      <c r="D57" s="41"/>
      <c r="E57" s="40"/>
      <c r="F57" s="40"/>
    </row>
    <row r="58">
      <c r="A58" s="39" t="str">
        <f t="shared" si="1"/>
        <v/>
      </c>
      <c r="B58" s="39"/>
      <c r="C58" s="40"/>
      <c r="D58" s="41"/>
      <c r="E58" s="40"/>
      <c r="F58" s="40"/>
    </row>
    <row r="59">
      <c r="A59" s="39" t="str">
        <f t="shared" si="1"/>
        <v/>
      </c>
      <c r="B59" s="39"/>
      <c r="C59" s="40"/>
      <c r="D59" s="41"/>
      <c r="E59" s="40"/>
      <c r="F59" s="40"/>
    </row>
    <row r="60">
      <c r="A60" s="39" t="str">
        <f t="shared" si="1"/>
        <v/>
      </c>
      <c r="B60" s="39"/>
      <c r="C60" s="40"/>
      <c r="D60" s="41"/>
      <c r="E60" s="40"/>
      <c r="F60" s="40"/>
    </row>
    <row r="61">
      <c r="A61" s="39" t="str">
        <f t="shared" si="1"/>
        <v/>
      </c>
      <c r="B61" s="39"/>
      <c r="C61" s="40"/>
      <c r="D61" s="41"/>
      <c r="E61" s="40"/>
      <c r="F61" s="40"/>
    </row>
    <row r="62">
      <c r="A62" s="39" t="str">
        <f t="shared" si="1"/>
        <v/>
      </c>
      <c r="B62" s="39"/>
      <c r="C62" s="40"/>
      <c r="D62" s="41"/>
      <c r="E62" s="40"/>
      <c r="F62" s="40"/>
    </row>
    <row r="63">
      <c r="A63" s="39" t="str">
        <f t="shared" si="1"/>
        <v/>
      </c>
      <c r="B63" s="39"/>
      <c r="C63" s="40"/>
      <c r="D63" s="41"/>
      <c r="E63" s="40"/>
      <c r="F63" s="40"/>
    </row>
    <row r="64">
      <c r="A64" s="39" t="str">
        <f t="shared" si="1"/>
        <v/>
      </c>
      <c r="B64" s="39"/>
      <c r="C64" s="40"/>
      <c r="D64" s="41"/>
      <c r="E64" s="40"/>
      <c r="F64" s="40"/>
    </row>
    <row r="65">
      <c r="A65" s="39" t="str">
        <f t="shared" si="1"/>
        <v/>
      </c>
      <c r="B65" s="39"/>
      <c r="C65" s="40"/>
      <c r="D65" s="41"/>
      <c r="E65" s="40"/>
      <c r="F65" s="40"/>
    </row>
    <row r="66">
      <c r="A66" s="39" t="str">
        <f t="shared" si="1"/>
        <v/>
      </c>
      <c r="B66" s="39"/>
      <c r="C66" s="40"/>
      <c r="D66" s="41"/>
      <c r="E66" s="40"/>
      <c r="F66" s="40"/>
    </row>
    <row r="67">
      <c r="A67" s="39" t="str">
        <f t="shared" si="1"/>
        <v/>
      </c>
      <c r="B67" s="39"/>
      <c r="C67" s="40"/>
      <c r="D67" s="41"/>
      <c r="E67" s="40"/>
      <c r="F67" s="40"/>
    </row>
    <row r="68">
      <c r="A68" s="39" t="str">
        <f t="shared" si="1"/>
        <v/>
      </c>
      <c r="B68" s="39"/>
      <c r="C68" s="40"/>
      <c r="D68" s="41"/>
      <c r="E68" s="40"/>
      <c r="F68" s="40"/>
    </row>
    <row r="69">
      <c r="A69" s="39" t="str">
        <f t="shared" si="1"/>
        <v/>
      </c>
      <c r="B69" s="39"/>
      <c r="C69" s="40"/>
      <c r="D69" s="41"/>
      <c r="E69" s="40"/>
      <c r="F69" s="40"/>
    </row>
    <row r="70">
      <c r="A70" s="39" t="str">
        <f t="shared" si="1"/>
        <v/>
      </c>
      <c r="B70" s="39"/>
      <c r="C70" s="40"/>
      <c r="D70" s="41"/>
      <c r="E70" s="40"/>
      <c r="F70" s="40"/>
    </row>
    <row r="71">
      <c r="A71" s="39" t="str">
        <f t="shared" si="1"/>
        <v/>
      </c>
      <c r="B71" s="39"/>
      <c r="C71" s="40"/>
      <c r="D71" s="41"/>
      <c r="E71" s="40"/>
      <c r="F71" s="40"/>
    </row>
    <row r="72">
      <c r="A72" s="39" t="str">
        <f t="shared" si="1"/>
        <v/>
      </c>
      <c r="B72" s="39"/>
      <c r="C72" s="40"/>
      <c r="D72" s="41"/>
      <c r="E72" s="40"/>
      <c r="F72" s="40"/>
    </row>
    <row r="73">
      <c r="A73" s="39" t="str">
        <f t="shared" si="1"/>
        <v/>
      </c>
      <c r="B73" s="39"/>
      <c r="C73" s="40"/>
      <c r="D73" s="41"/>
      <c r="E73" s="40"/>
      <c r="F73" s="40"/>
    </row>
    <row r="74">
      <c r="A74" s="39" t="str">
        <f t="shared" si="1"/>
        <v/>
      </c>
      <c r="B74" s="39"/>
      <c r="C74" s="40"/>
      <c r="D74" s="41"/>
      <c r="E74" s="40"/>
      <c r="F74" s="40"/>
    </row>
    <row r="75">
      <c r="A75" s="39" t="str">
        <f t="shared" si="1"/>
        <v/>
      </c>
      <c r="B75" s="39"/>
      <c r="C75" s="40"/>
      <c r="D75" s="41"/>
      <c r="E75" s="40"/>
      <c r="F75" s="40"/>
    </row>
    <row r="76">
      <c r="A76" s="39" t="str">
        <f t="shared" si="1"/>
        <v/>
      </c>
      <c r="B76" s="39"/>
      <c r="C76" s="40"/>
      <c r="D76" s="41"/>
      <c r="E76" s="40"/>
      <c r="F76" s="40"/>
    </row>
    <row r="77">
      <c r="A77" s="39" t="str">
        <f t="shared" si="1"/>
        <v/>
      </c>
      <c r="B77" s="39"/>
      <c r="C77" s="40"/>
      <c r="D77" s="41"/>
      <c r="E77" s="40"/>
      <c r="F77" s="40"/>
    </row>
    <row r="78">
      <c r="A78" s="39" t="str">
        <f t="shared" si="1"/>
        <v/>
      </c>
      <c r="B78" s="39"/>
      <c r="C78" s="40"/>
      <c r="D78" s="41"/>
      <c r="E78" s="40"/>
      <c r="F78" s="40"/>
    </row>
    <row r="79">
      <c r="A79" s="39" t="str">
        <f t="shared" si="1"/>
        <v/>
      </c>
      <c r="B79" s="39"/>
      <c r="C79" s="40"/>
      <c r="D79" s="41"/>
      <c r="E79" s="40"/>
      <c r="F79" s="40"/>
    </row>
    <row r="80">
      <c r="A80" s="39" t="str">
        <f t="shared" si="1"/>
        <v/>
      </c>
      <c r="B80" s="39"/>
      <c r="C80" s="40"/>
      <c r="D80" s="41"/>
      <c r="E80" s="40"/>
      <c r="F80" s="40"/>
    </row>
    <row r="81">
      <c r="A81" s="39" t="str">
        <f t="shared" si="1"/>
        <v/>
      </c>
      <c r="B81" s="39"/>
      <c r="C81" s="40"/>
      <c r="D81" s="41"/>
      <c r="E81" s="40"/>
      <c r="F81" s="40"/>
    </row>
    <row r="82">
      <c r="A82" s="39" t="str">
        <f t="shared" si="1"/>
        <v/>
      </c>
      <c r="B82" s="39"/>
      <c r="C82" s="40"/>
      <c r="D82" s="41"/>
      <c r="E82" s="40"/>
      <c r="F82" s="40"/>
    </row>
    <row r="83">
      <c r="A83" s="39" t="str">
        <f t="shared" si="1"/>
        <v/>
      </c>
      <c r="B83" s="39"/>
      <c r="C83" s="40"/>
      <c r="D83" s="41"/>
      <c r="E83" s="40"/>
      <c r="F83" s="40"/>
    </row>
    <row r="84">
      <c r="A84" s="39" t="str">
        <f t="shared" si="1"/>
        <v/>
      </c>
      <c r="B84" s="39"/>
      <c r="C84" s="40"/>
      <c r="D84" s="41"/>
      <c r="E84" s="40"/>
      <c r="F84" s="40"/>
    </row>
    <row r="85">
      <c r="A85" s="39" t="str">
        <f t="shared" si="1"/>
        <v/>
      </c>
      <c r="B85" s="39"/>
      <c r="C85" s="40"/>
      <c r="D85" s="41"/>
      <c r="E85" s="40"/>
      <c r="F85" s="40"/>
    </row>
    <row r="86">
      <c r="A86" s="39" t="str">
        <f t="shared" si="1"/>
        <v/>
      </c>
      <c r="B86" s="39"/>
      <c r="C86" s="40"/>
      <c r="D86" s="41"/>
      <c r="E86" s="40"/>
      <c r="F86" s="40"/>
    </row>
    <row r="87">
      <c r="A87" s="39" t="str">
        <f t="shared" si="1"/>
        <v/>
      </c>
      <c r="B87" s="39"/>
      <c r="C87" s="40"/>
      <c r="D87" s="41"/>
      <c r="E87" s="40"/>
      <c r="F87" s="40"/>
    </row>
    <row r="88">
      <c r="A88" s="39" t="str">
        <f t="shared" si="1"/>
        <v/>
      </c>
      <c r="B88" s="39"/>
      <c r="C88" s="40"/>
      <c r="D88" s="41"/>
      <c r="E88" s="40"/>
      <c r="F88" s="40"/>
    </row>
    <row r="89">
      <c r="A89" s="39" t="str">
        <f t="shared" si="1"/>
        <v/>
      </c>
      <c r="B89" s="39"/>
      <c r="C89" s="40"/>
      <c r="D89" s="41"/>
      <c r="E89" s="40"/>
      <c r="F89" s="40"/>
    </row>
    <row r="90">
      <c r="A90" s="39" t="str">
        <f t="shared" si="1"/>
        <v/>
      </c>
      <c r="B90" s="39"/>
      <c r="C90" s="40"/>
      <c r="D90" s="41"/>
      <c r="E90" s="40"/>
      <c r="F90" s="40"/>
    </row>
    <row r="91">
      <c r="A91" s="39" t="str">
        <f t="shared" si="1"/>
        <v/>
      </c>
      <c r="B91" s="39"/>
      <c r="C91" s="40"/>
      <c r="D91" s="41"/>
      <c r="E91" s="40"/>
      <c r="F91" s="40"/>
    </row>
    <row r="92">
      <c r="A92" s="39" t="str">
        <f t="shared" si="1"/>
        <v/>
      </c>
      <c r="B92" s="39"/>
      <c r="C92" s="40"/>
      <c r="D92" s="41"/>
      <c r="E92" s="40"/>
      <c r="F92" s="40"/>
    </row>
    <row r="93">
      <c r="A93" s="39" t="str">
        <f t="shared" si="1"/>
        <v/>
      </c>
      <c r="B93" s="39"/>
      <c r="C93" s="40"/>
      <c r="D93" s="41"/>
      <c r="E93" s="40"/>
      <c r="F93" s="40"/>
    </row>
    <row r="94">
      <c r="A94" s="39" t="str">
        <f t="shared" si="1"/>
        <v/>
      </c>
      <c r="B94" s="39"/>
      <c r="C94" s="40"/>
      <c r="D94" s="41"/>
      <c r="E94" s="40"/>
      <c r="F94" s="40"/>
    </row>
    <row r="95">
      <c r="A95" s="39" t="str">
        <f t="shared" si="1"/>
        <v/>
      </c>
      <c r="B95" s="39"/>
      <c r="C95" s="40"/>
      <c r="D95" s="41"/>
      <c r="E95" s="40"/>
      <c r="F95" s="40"/>
    </row>
    <row r="96">
      <c r="A96" s="39" t="str">
        <f t="shared" si="1"/>
        <v/>
      </c>
      <c r="B96" s="39"/>
      <c r="C96" s="40"/>
      <c r="D96" s="41"/>
      <c r="E96" s="40"/>
      <c r="F96" s="40"/>
    </row>
    <row r="97">
      <c r="A97" s="39" t="str">
        <f t="shared" si="1"/>
        <v/>
      </c>
      <c r="B97" s="39"/>
      <c r="C97" s="40"/>
      <c r="D97" s="41"/>
      <c r="E97" s="40"/>
      <c r="F97" s="40"/>
    </row>
    <row r="98">
      <c r="A98" s="39" t="str">
        <f t="shared" si="1"/>
        <v/>
      </c>
      <c r="B98" s="39"/>
      <c r="C98" s="40"/>
      <c r="D98" s="41"/>
      <c r="E98" s="40"/>
      <c r="F98" s="40"/>
    </row>
    <row r="99">
      <c r="A99" s="39" t="str">
        <f t="shared" si="1"/>
        <v/>
      </c>
      <c r="B99" s="39"/>
      <c r="C99" s="40"/>
      <c r="D99" s="41"/>
      <c r="E99" s="40"/>
      <c r="F99" s="40"/>
    </row>
    <row r="100">
      <c r="A100" s="39" t="str">
        <f t="shared" si="1"/>
        <v/>
      </c>
      <c r="B100" s="39"/>
      <c r="C100" s="40"/>
      <c r="D100" s="41"/>
      <c r="E100" s="40"/>
      <c r="F100" s="40"/>
    </row>
    <row r="101">
      <c r="A101" s="39" t="str">
        <f t="shared" si="1"/>
        <v/>
      </c>
      <c r="B101" s="39"/>
      <c r="C101" s="40"/>
      <c r="D101" s="41"/>
      <c r="E101" s="40"/>
      <c r="F101" s="40"/>
    </row>
    <row r="102">
      <c r="A102" s="39" t="str">
        <f t="shared" si="1"/>
        <v/>
      </c>
      <c r="B102" s="39"/>
      <c r="C102" s="40"/>
      <c r="D102" s="41"/>
      <c r="E102" s="40"/>
      <c r="F102" s="40"/>
    </row>
    <row r="103">
      <c r="A103" s="39" t="str">
        <f t="shared" si="1"/>
        <v/>
      </c>
      <c r="B103" s="39"/>
      <c r="C103" s="40"/>
      <c r="D103" s="41"/>
      <c r="E103" s="40"/>
      <c r="F103" s="40"/>
    </row>
    <row r="104">
      <c r="A104" s="39" t="str">
        <f t="shared" si="1"/>
        <v/>
      </c>
      <c r="B104" s="39"/>
      <c r="C104" s="40"/>
      <c r="D104" s="41"/>
      <c r="E104" s="40"/>
      <c r="F104" s="40"/>
    </row>
    <row r="105">
      <c r="A105" s="39" t="str">
        <f t="shared" si="1"/>
        <v/>
      </c>
      <c r="B105" s="39"/>
      <c r="C105" s="40"/>
      <c r="D105" s="41"/>
      <c r="E105" s="40"/>
      <c r="F105" s="40"/>
    </row>
    <row r="106">
      <c r="A106" s="39" t="str">
        <f t="shared" si="1"/>
        <v/>
      </c>
      <c r="B106" s="39"/>
      <c r="C106" s="40"/>
      <c r="D106" s="41"/>
      <c r="E106" s="40"/>
      <c r="F106" s="40"/>
    </row>
    <row r="107">
      <c r="A107" s="39" t="str">
        <f t="shared" si="1"/>
        <v/>
      </c>
      <c r="B107" s="39"/>
      <c r="C107" s="40"/>
      <c r="D107" s="41"/>
      <c r="E107" s="40"/>
      <c r="F107" s="40"/>
    </row>
    <row r="108">
      <c r="A108" s="39" t="str">
        <f t="shared" si="1"/>
        <v/>
      </c>
      <c r="B108" s="39"/>
      <c r="C108" s="40"/>
      <c r="D108" s="41"/>
      <c r="E108" s="40"/>
      <c r="F108" s="40"/>
    </row>
    <row r="109">
      <c r="A109" s="39" t="str">
        <f t="shared" si="1"/>
        <v/>
      </c>
      <c r="B109" s="39"/>
      <c r="C109" s="40"/>
      <c r="D109" s="41"/>
      <c r="E109" s="40"/>
      <c r="F109" s="40"/>
    </row>
    <row r="110">
      <c r="A110" s="39" t="str">
        <f t="shared" si="1"/>
        <v/>
      </c>
      <c r="B110" s="39"/>
      <c r="C110" s="40"/>
      <c r="D110" s="41"/>
      <c r="E110" s="40"/>
      <c r="F110" s="40"/>
    </row>
    <row r="111">
      <c r="A111" s="39" t="str">
        <f t="shared" si="1"/>
        <v/>
      </c>
      <c r="B111" s="39"/>
      <c r="C111" s="40"/>
      <c r="D111" s="41"/>
      <c r="E111" s="40"/>
      <c r="F111" s="40"/>
    </row>
    <row r="112">
      <c r="A112" s="39" t="str">
        <f t="shared" si="1"/>
        <v/>
      </c>
      <c r="B112" s="39"/>
      <c r="C112" s="40"/>
      <c r="D112" s="41"/>
      <c r="E112" s="40"/>
      <c r="F112" s="40"/>
    </row>
    <row r="113">
      <c r="A113" s="39" t="str">
        <f t="shared" si="1"/>
        <v/>
      </c>
      <c r="B113" s="39"/>
      <c r="C113" s="40"/>
      <c r="D113" s="41"/>
      <c r="E113" s="40"/>
      <c r="F113" s="40"/>
    </row>
    <row r="114">
      <c r="A114" s="39" t="str">
        <f t="shared" si="1"/>
        <v/>
      </c>
      <c r="B114" s="39"/>
      <c r="C114" s="40"/>
      <c r="D114" s="41"/>
      <c r="E114" s="40"/>
      <c r="F114" s="40"/>
    </row>
    <row r="115">
      <c r="A115" s="39" t="str">
        <f t="shared" si="1"/>
        <v/>
      </c>
      <c r="B115" s="39"/>
      <c r="C115" s="40"/>
      <c r="D115" s="41"/>
      <c r="E115" s="40"/>
      <c r="F115" s="40"/>
    </row>
    <row r="116">
      <c r="A116" s="39" t="str">
        <f t="shared" si="1"/>
        <v/>
      </c>
      <c r="B116" s="39"/>
      <c r="C116" s="40"/>
      <c r="D116" s="41"/>
      <c r="E116" s="40"/>
      <c r="F116" s="40"/>
    </row>
    <row r="117">
      <c r="A117" s="39" t="str">
        <f t="shared" si="1"/>
        <v/>
      </c>
      <c r="B117" s="39"/>
      <c r="C117" s="40"/>
      <c r="D117" s="41"/>
      <c r="E117" s="40"/>
      <c r="F117" s="40"/>
    </row>
    <row r="118">
      <c r="A118" s="39" t="str">
        <f t="shared" si="1"/>
        <v/>
      </c>
      <c r="B118" s="39"/>
      <c r="C118" s="40"/>
      <c r="D118" s="41"/>
      <c r="E118" s="40"/>
      <c r="F118" s="40"/>
    </row>
    <row r="119">
      <c r="A119" s="39" t="str">
        <f t="shared" si="1"/>
        <v/>
      </c>
      <c r="B119" s="39"/>
      <c r="C119" s="40"/>
      <c r="D119" s="41"/>
      <c r="E119" s="40"/>
      <c r="F119" s="40"/>
    </row>
    <row r="120">
      <c r="A120" s="39" t="str">
        <f t="shared" si="1"/>
        <v/>
      </c>
      <c r="B120" s="39"/>
      <c r="C120" s="40"/>
      <c r="D120" s="41"/>
      <c r="E120" s="40"/>
      <c r="F120" s="40"/>
    </row>
    <row r="121">
      <c r="A121" s="39" t="str">
        <f t="shared" si="1"/>
        <v/>
      </c>
      <c r="B121" s="39"/>
      <c r="C121" s="40"/>
      <c r="D121" s="41"/>
      <c r="E121" s="40"/>
      <c r="F121" s="40"/>
    </row>
    <row r="122">
      <c r="A122" s="39" t="str">
        <f t="shared" si="1"/>
        <v/>
      </c>
      <c r="B122" s="39"/>
      <c r="C122" s="40"/>
      <c r="D122" s="41"/>
      <c r="E122" s="40"/>
      <c r="F122" s="40"/>
    </row>
    <row r="123">
      <c r="A123" s="39" t="str">
        <f t="shared" si="1"/>
        <v/>
      </c>
      <c r="B123" s="39"/>
      <c r="C123" s="40"/>
      <c r="D123" s="41"/>
      <c r="E123" s="40"/>
      <c r="F123" s="40"/>
    </row>
    <row r="124">
      <c r="A124" s="39" t="str">
        <f t="shared" si="1"/>
        <v/>
      </c>
      <c r="B124" s="39"/>
      <c r="C124" s="40"/>
      <c r="D124" s="41"/>
      <c r="E124" s="40"/>
      <c r="F124" s="40"/>
    </row>
    <row r="125">
      <c r="A125" s="39" t="str">
        <f t="shared" si="1"/>
        <v/>
      </c>
      <c r="B125" s="39"/>
      <c r="C125" s="40"/>
      <c r="D125" s="41"/>
      <c r="E125" s="40"/>
      <c r="F125" s="40"/>
    </row>
    <row r="126">
      <c r="A126" s="39" t="str">
        <f t="shared" si="1"/>
        <v/>
      </c>
      <c r="B126" s="39"/>
      <c r="C126" s="40"/>
      <c r="D126" s="41"/>
      <c r="E126" s="40"/>
      <c r="F126" s="40"/>
    </row>
    <row r="127">
      <c r="A127" s="39" t="str">
        <f t="shared" si="1"/>
        <v/>
      </c>
      <c r="B127" s="39"/>
      <c r="C127" s="40"/>
      <c r="D127" s="41"/>
      <c r="E127" s="40"/>
      <c r="F127" s="40"/>
    </row>
    <row r="128">
      <c r="A128" s="39" t="str">
        <f t="shared" si="1"/>
        <v/>
      </c>
      <c r="B128" s="39"/>
      <c r="C128" s="40"/>
      <c r="D128" s="41"/>
      <c r="E128" s="40"/>
      <c r="F128" s="40"/>
    </row>
    <row r="129">
      <c r="A129" s="39" t="str">
        <f t="shared" si="1"/>
        <v/>
      </c>
      <c r="B129" s="39"/>
      <c r="C129" s="40"/>
      <c r="D129" s="41"/>
      <c r="E129" s="40"/>
      <c r="F129" s="40"/>
    </row>
    <row r="130">
      <c r="A130" s="39" t="str">
        <f t="shared" si="1"/>
        <v/>
      </c>
      <c r="B130" s="39"/>
      <c r="C130" s="40"/>
      <c r="D130" s="41"/>
      <c r="E130" s="40"/>
      <c r="F130" s="40"/>
    </row>
    <row r="131">
      <c r="A131" s="39" t="str">
        <f t="shared" si="1"/>
        <v/>
      </c>
      <c r="B131" s="39"/>
      <c r="C131" s="40"/>
      <c r="D131" s="41"/>
      <c r="E131" s="40"/>
      <c r="F131" s="40"/>
    </row>
    <row r="132">
      <c r="A132" s="39" t="str">
        <f t="shared" si="1"/>
        <v/>
      </c>
      <c r="B132" s="39"/>
      <c r="C132" s="40"/>
      <c r="D132" s="41"/>
      <c r="E132" s="40"/>
      <c r="F132" s="40"/>
    </row>
    <row r="133">
      <c r="A133" s="39" t="str">
        <f t="shared" si="1"/>
        <v/>
      </c>
      <c r="B133" s="39"/>
      <c r="C133" s="40"/>
      <c r="D133" s="41"/>
      <c r="E133" s="40"/>
      <c r="F133" s="40"/>
    </row>
    <row r="134">
      <c r="A134" s="39" t="str">
        <f t="shared" si="1"/>
        <v/>
      </c>
      <c r="B134" s="39"/>
      <c r="C134" s="40"/>
      <c r="D134" s="41"/>
      <c r="E134" s="40"/>
      <c r="F134" s="40"/>
    </row>
    <row r="135">
      <c r="A135" s="39" t="str">
        <f t="shared" si="1"/>
        <v/>
      </c>
      <c r="B135" s="39"/>
      <c r="C135" s="40"/>
      <c r="D135" s="41"/>
      <c r="E135" s="40"/>
      <c r="F135" s="40"/>
    </row>
    <row r="136">
      <c r="A136" s="39" t="str">
        <f t="shared" si="1"/>
        <v/>
      </c>
      <c r="B136" s="39"/>
      <c r="C136" s="40"/>
      <c r="D136" s="41"/>
      <c r="E136" s="40"/>
      <c r="F136" s="40"/>
    </row>
    <row r="137">
      <c r="A137" s="39" t="str">
        <f t="shared" si="1"/>
        <v/>
      </c>
      <c r="B137" s="39"/>
      <c r="C137" s="40"/>
      <c r="D137" s="41"/>
      <c r="E137" s="40"/>
      <c r="F137" s="40"/>
    </row>
    <row r="138">
      <c r="A138" s="39" t="str">
        <f t="shared" si="1"/>
        <v/>
      </c>
      <c r="B138" s="39"/>
      <c r="C138" s="40"/>
      <c r="D138" s="41"/>
      <c r="E138" s="40"/>
      <c r="F138" s="40"/>
    </row>
    <row r="139">
      <c r="A139" s="39" t="str">
        <f t="shared" si="1"/>
        <v/>
      </c>
      <c r="B139" s="39"/>
      <c r="C139" s="40"/>
      <c r="D139" s="41"/>
      <c r="E139" s="40"/>
      <c r="F139" s="40"/>
    </row>
    <row r="140">
      <c r="A140" s="39" t="str">
        <f t="shared" si="1"/>
        <v/>
      </c>
      <c r="B140" s="39"/>
      <c r="C140" s="40"/>
      <c r="D140" s="41"/>
      <c r="E140" s="40"/>
      <c r="F140" s="40"/>
    </row>
    <row r="141">
      <c r="A141" s="39" t="str">
        <f t="shared" si="1"/>
        <v/>
      </c>
      <c r="B141" s="39"/>
      <c r="C141" s="40"/>
      <c r="D141" s="41"/>
      <c r="E141" s="40"/>
      <c r="F141" s="40"/>
    </row>
    <row r="142">
      <c r="A142" s="39" t="str">
        <f t="shared" si="1"/>
        <v/>
      </c>
      <c r="B142" s="39"/>
      <c r="C142" s="40"/>
      <c r="D142" s="41"/>
      <c r="E142" s="40"/>
      <c r="F142" s="40"/>
    </row>
    <row r="143">
      <c r="A143" s="39" t="str">
        <f t="shared" si="1"/>
        <v/>
      </c>
      <c r="B143" s="39"/>
      <c r="C143" s="40"/>
      <c r="D143" s="41"/>
      <c r="E143" s="40"/>
      <c r="F143" s="40"/>
    </row>
    <row r="144">
      <c r="A144" s="39" t="str">
        <f t="shared" si="1"/>
        <v/>
      </c>
      <c r="B144" s="39"/>
      <c r="C144" s="40"/>
      <c r="D144" s="41"/>
      <c r="E144" s="40"/>
      <c r="F144" s="40"/>
    </row>
    <row r="145">
      <c r="A145" s="39" t="str">
        <f t="shared" si="1"/>
        <v/>
      </c>
      <c r="B145" s="39"/>
      <c r="C145" s="40"/>
      <c r="D145" s="41"/>
      <c r="E145" s="40"/>
      <c r="F145" s="40"/>
    </row>
    <row r="146">
      <c r="A146" s="39" t="str">
        <f t="shared" si="1"/>
        <v/>
      </c>
      <c r="B146" s="39"/>
      <c r="C146" s="40"/>
      <c r="D146" s="41"/>
      <c r="E146" s="40"/>
      <c r="F146" s="40"/>
    </row>
    <row r="147">
      <c r="A147" s="39" t="str">
        <f t="shared" si="1"/>
        <v/>
      </c>
      <c r="B147" s="39"/>
      <c r="C147" s="40"/>
      <c r="D147" s="41"/>
      <c r="E147" s="40"/>
      <c r="F147" s="40"/>
    </row>
    <row r="148">
      <c r="A148" s="39" t="str">
        <f t="shared" si="1"/>
        <v/>
      </c>
      <c r="B148" s="39"/>
      <c r="C148" s="40"/>
      <c r="D148" s="41"/>
      <c r="E148" s="40"/>
      <c r="F148" s="40"/>
    </row>
    <row r="149">
      <c r="A149" s="39" t="str">
        <f t="shared" si="1"/>
        <v/>
      </c>
      <c r="B149" s="39"/>
      <c r="C149" s="40"/>
      <c r="D149" s="41"/>
      <c r="E149" s="40"/>
      <c r="F149" s="40"/>
    </row>
    <row r="150">
      <c r="A150" s="39" t="str">
        <f t="shared" si="1"/>
        <v/>
      </c>
      <c r="B150" s="39"/>
      <c r="C150" s="40"/>
      <c r="D150" s="41"/>
      <c r="E150" s="40"/>
      <c r="F150" s="40"/>
    </row>
    <row r="151">
      <c r="A151" s="39" t="str">
        <f t="shared" si="1"/>
        <v/>
      </c>
      <c r="B151" s="39"/>
      <c r="C151" s="40"/>
      <c r="D151" s="41"/>
      <c r="E151" s="40"/>
      <c r="F151" s="40"/>
    </row>
    <row r="152">
      <c r="A152" s="39" t="str">
        <f t="shared" si="1"/>
        <v/>
      </c>
      <c r="B152" s="39"/>
      <c r="C152" s="40"/>
      <c r="D152" s="41"/>
      <c r="E152" s="40"/>
      <c r="F152" s="40"/>
    </row>
    <row r="153">
      <c r="A153" s="39" t="str">
        <f t="shared" si="1"/>
        <v/>
      </c>
      <c r="B153" s="39"/>
      <c r="C153" s="40"/>
      <c r="D153" s="41"/>
      <c r="E153" s="40"/>
      <c r="F153" s="40"/>
    </row>
    <row r="154">
      <c r="A154" s="39" t="str">
        <f t="shared" si="1"/>
        <v/>
      </c>
      <c r="B154" s="39"/>
      <c r="C154" s="40"/>
      <c r="D154" s="41"/>
      <c r="E154" s="40"/>
      <c r="F154" s="40"/>
    </row>
    <row r="155">
      <c r="A155" s="39" t="str">
        <f t="shared" si="1"/>
        <v/>
      </c>
      <c r="B155" s="39"/>
      <c r="C155" s="40"/>
      <c r="D155" s="41"/>
      <c r="E155" s="40"/>
      <c r="F155" s="40"/>
    </row>
    <row r="156">
      <c r="A156" s="39" t="str">
        <f t="shared" si="1"/>
        <v/>
      </c>
      <c r="B156" s="39"/>
      <c r="C156" s="40"/>
      <c r="D156" s="41"/>
      <c r="E156" s="40"/>
      <c r="F156" s="40"/>
    </row>
    <row r="157">
      <c r="A157" s="39" t="str">
        <f t="shared" si="1"/>
        <v/>
      </c>
      <c r="B157" s="39"/>
      <c r="C157" s="40"/>
      <c r="D157" s="41"/>
      <c r="E157" s="40"/>
      <c r="F157" s="40"/>
    </row>
    <row r="158">
      <c r="A158" s="39" t="str">
        <f t="shared" si="1"/>
        <v/>
      </c>
      <c r="B158" s="39"/>
      <c r="C158" s="40"/>
      <c r="D158" s="41"/>
      <c r="E158" s="40"/>
      <c r="F158" s="40"/>
    </row>
    <row r="159">
      <c r="A159" s="39" t="str">
        <f t="shared" si="1"/>
        <v/>
      </c>
      <c r="B159" s="39"/>
      <c r="C159" s="40"/>
      <c r="D159" s="41"/>
      <c r="E159" s="40"/>
      <c r="F159" s="40"/>
    </row>
    <row r="160">
      <c r="A160" s="39" t="str">
        <f t="shared" si="1"/>
        <v/>
      </c>
      <c r="B160" s="39"/>
      <c r="C160" s="40"/>
      <c r="D160" s="41"/>
      <c r="E160" s="40"/>
      <c r="F160" s="40"/>
    </row>
    <row r="161">
      <c r="A161" s="39" t="str">
        <f t="shared" si="1"/>
        <v/>
      </c>
      <c r="B161" s="39"/>
      <c r="C161" s="40"/>
      <c r="D161" s="41"/>
      <c r="E161" s="40"/>
      <c r="F161" s="40"/>
    </row>
    <row r="162">
      <c r="A162" s="39" t="str">
        <f t="shared" si="1"/>
        <v/>
      </c>
      <c r="B162" s="39"/>
      <c r="C162" s="40"/>
      <c r="D162" s="41"/>
      <c r="E162" s="40"/>
      <c r="F162" s="40"/>
    </row>
    <row r="163">
      <c r="A163" s="39" t="str">
        <f t="shared" si="1"/>
        <v/>
      </c>
      <c r="B163" s="39"/>
      <c r="C163" s="40"/>
      <c r="D163" s="41"/>
      <c r="E163" s="40"/>
      <c r="F163" s="40"/>
    </row>
    <row r="164">
      <c r="A164" s="39" t="str">
        <f t="shared" si="1"/>
        <v/>
      </c>
      <c r="B164" s="39"/>
      <c r="C164" s="40"/>
      <c r="D164" s="41"/>
      <c r="E164" s="40"/>
      <c r="F164" s="40"/>
    </row>
    <row r="165">
      <c r="A165" s="39" t="str">
        <f t="shared" si="1"/>
        <v/>
      </c>
      <c r="B165" s="39"/>
      <c r="C165" s="40"/>
      <c r="D165" s="41"/>
      <c r="E165" s="40"/>
      <c r="F165" s="40"/>
    </row>
    <row r="166">
      <c r="A166" s="39" t="str">
        <f t="shared" si="1"/>
        <v/>
      </c>
      <c r="B166" s="39"/>
      <c r="C166" s="40"/>
      <c r="D166" s="41"/>
      <c r="E166" s="40"/>
      <c r="F166" s="40"/>
    </row>
    <row r="167">
      <c r="A167" s="39" t="str">
        <f t="shared" si="1"/>
        <v/>
      </c>
      <c r="B167" s="39"/>
      <c r="C167" s="40"/>
      <c r="D167" s="41"/>
      <c r="E167" s="40"/>
      <c r="F167" s="40"/>
    </row>
    <row r="168">
      <c r="A168" s="39" t="str">
        <f t="shared" si="1"/>
        <v/>
      </c>
      <c r="B168" s="39"/>
      <c r="C168" s="40"/>
      <c r="D168" s="41"/>
      <c r="E168" s="40"/>
      <c r="F168" s="40"/>
    </row>
    <row r="169">
      <c r="A169" s="39" t="str">
        <f t="shared" si="1"/>
        <v/>
      </c>
      <c r="B169" s="39"/>
      <c r="C169" s="40"/>
      <c r="D169" s="41"/>
      <c r="E169" s="40"/>
      <c r="F169" s="40"/>
    </row>
    <row r="170">
      <c r="A170" s="39" t="str">
        <f t="shared" si="1"/>
        <v/>
      </c>
      <c r="B170" s="39"/>
      <c r="C170" s="40"/>
      <c r="D170" s="41"/>
      <c r="E170" s="40"/>
      <c r="F170" s="40"/>
    </row>
    <row r="171">
      <c r="A171" s="39" t="str">
        <f t="shared" si="1"/>
        <v/>
      </c>
      <c r="B171" s="39"/>
      <c r="C171" s="40"/>
      <c r="D171" s="41"/>
      <c r="E171" s="40"/>
      <c r="F171" s="40"/>
    </row>
    <row r="172">
      <c r="A172" s="39" t="str">
        <f t="shared" si="1"/>
        <v/>
      </c>
      <c r="B172" s="39"/>
      <c r="C172" s="40"/>
      <c r="D172" s="41"/>
      <c r="E172" s="40"/>
      <c r="F172" s="40"/>
    </row>
    <row r="173">
      <c r="A173" s="39" t="str">
        <f t="shared" si="1"/>
        <v/>
      </c>
      <c r="B173" s="39"/>
      <c r="C173" s="40"/>
      <c r="D173" s="41"/>
      <c r="E173" s="40"/>
      <c r="F173" s="40"/>
    </row>
    <row r="174">
      <c r="A174" s="39" t="str">
        <f t="shared" si="1"/>
        <v/>
      </c>
      <c r="B174" s="39"/>
      <c r="C174" s="40"/>
      <c r="D174" s="41"/>
      <c r="E174" s="40"/>
      <c r="F174" s="40"/>
    </row>
    <row r="175">
      <c r="A175" s="39" t="str">
        <f t="shared" si="1"/>
        <v/>
      </c>
      <c r="B175" s="39"/>
      <c r="C175" s="40"/>
      <c r="D175" s="41"/>
      <c r="E175" s="40"/>
      <c r="F175" s="40"/>
    </row>
    <row r="176">
      <c r="A176" s="39" t="str">
        <f t="shared" si="1"/>
        <v/>
      </c>
      <c r="B176" s="39"/>
      <c r="C176" s="40"/>
      <c r="D176" s="41"/>
      <c r="E176" s="40"/>
      <c r="F176" s="40"/>
    </row>
    <row r="177">
      <c r="A177" s="39" t="str">
        <f t="shared" si="1"/>
        <v/>
      </c>
      <c r="B177" s="39"/>
      <c r="C177" s="40"/>
      <c r="D177" s="41"/>
      <c r="E177" s="40"/>
      <c r="F177" s="40"/>
    </row>
    <row r="178">
      <c r="A178" s="39" t="str">
        <f t="shared" si="1"/>
        <v/>
      </c>
      <c r="B178" s="39"/>
      <c r="C178" s="40"/>
      <c r="D178" s="41"/>
      <c r="E178" s="40"/>
      <c r="F178" s="40"/>
    </row>
    <row r="179">
      <c r="A179" s="39" t="str">
        <f t="shared" si="1"/>
        <v/>
      </c>
      <c r="B179" s="39"/>
      <c r="C179" s="40"/>
      <c r="D179" s="41"/>
      <c r="E179" s="40"/>
      <c r="F179" s="40"/>
    </row>
    <row r="180">
      <c r="A180" s="39" t="str">
        <f t="shared" si="1"/>
        <v/>
      </c>
      <c r="B180" s="39"/>
      <c r="C180" s="40"/>
      <c r="D180" s="41"/>
      <c r="E180" s="40"/>
      <c r="F180" s="40"/>
    </row>
    <row r="181">
      <c r="A181" s="39" t="str">
        <f t="shared" si="1"/>
        <v/>
      </c>
      <c r="B181" s="39"/>
      <c r="C181" s="40"/>
      <c r="D181" s="41"/>
      <c r="E181" s="40"/>
      <c r="F181" s="40"/>
    </row>
    <row r="182">
      <c r="A182" s="39" t="str">
        <f t="shared" si="1"/>
        <v/>
      </c>
      <c r="B182" s="39"/>
      <c r="C182" s="40"/>
      <c r="D182" s="41"/>
      <c r="E182" s="40"/>
      <c r="F182" s="40"/>
    </row>
    <row r="183">
      <c r="A183" s="39" t="str">
        <f t="shared" si="1"/>
        <v/>
      </c>
      <c r="B183" s="39"/>
      <c r="C183" s="40"/>
      <c r="D183" s="41"/>
      <c r="E183" s="40"/>
      <c r="F183" s="40"/>
    </row>
    <row r="184">
      <c r="A184" s="39" t="str">
        <f t="shared" si="1"/>
        <v/>
      </c>
      <c r="B184" s="39"/>
      <c r="C184" s="40"/>
      <c r="D184" s="41"/>
      <c r="E184" s="40"/>
      <c r="F184" s="40"/>
    </row>
    <row r="185">
      <c r="A185" s="39" t="str">
        <f t="shared" si="1"/>
        <v/>
      </c>
      <c r="B185" s="39"/>
      <c r="C185" s="40"/>
      <c r="D185" s="41"/>
      <c r="E185" s="40"/>
      <c r="F185" s="40"/>
    </row>
    <row r="186">
      <c r="A186" s="39" t="str">
        <f t="shared" si="1"/>
        <v/>
      </c>
      <c r="B186" s="39"/>
      <c r="C186" s="40"/>
      <c r="D186" s="41"/>
      <c r="E186" s="40"/>
      <c r="F186" s="40"/>
    </row>
    <row r="187">
      <c r="A187" s="39" t="str">
        <f t="shared" si="1"/>
        <v/>
      </c>
      <c r="B187" s="39"/>
      <c r="C187" s="40"/>
      <c r="D187" s="41"/>
      <c r="E187" s="40"/>
      <c r="F187" s="40"/>
    </row>
    <row r="188">
      <c r="A188" s="39" t="str">
        <f t="shared" si="1"/>
        <v/>
      </c>
      <c r="B188" s="39"/>
      <c r="C188" s="40"/>
      <c r="D188" s="41"/>
      <c r="E188" s="40"/>
      <c r="F188" s="40"/>
    </row>
    <row r="189">
      <c r="A189" s="39" t="str">
        <f t="shared" si="1"/>
        <v/>
      </c>
      <c r="B189" s="39"/>
      <c r="C189" s="40"/>
      <c r="D189" s="41"/>
      <c r="E189" s="40"/>
      <c r="F189" s="40"/>
    </row>
    <row r="190">
      <c r="A190" s="39" t="str">
        <f t="shared" si="1"/>
        <v/>
      </c>
      <c r="B190" s="39"/>
      <c r="C190" s="40"/>
      <c r="D190" s="41"/>
      <c r="E190" s="40"/>
      <c r="F190" s="40"/>
    </row>
    <row r="191">
      <c r="A191" s="39" t="str">
        <f t="shared" si="1"/>
        <v/>
      </c>
      <c r="B191" s="39"/>
      <c r="C191" s="40"/>
      <c r="D191" s="41"/>
      <c r="E191" s="40"/>
      <c r="F191" s="40"/>
    </row>
    <row r="192">
      <c r="A192" s="39" t="str">
        <f t="shared" si="1"/>
        <v/>
      </c>
      <c r="B192" s="39"/>
      <c r="C192" s="40"/>
      <c r="D192" s="41"/>
      <c r="E192" s="40"/>
      <c r="F192" s="40"/>
    </row>
    <row r="193">
      <c r="A193" s="39" t="str">
        <f t="shared" si="1"/>
        <v/>
      </c>
      <c r="B193" s="39"/>
      <c r="C193" s="40"/>
      <c r="D193" s="41"/>
      <c r="E193" s="40"/>
      <c r="F193" s="40"/>
    </row>
    <row r="194">
      <c r="A194" s="39" t="str">
        <f t="shared" si="1"/>
        <v/>
      </c>
      <c r="B194" s="39"/>
      <c r="C194" s="40"/>
      <c r="D194" s="41"/>
      <c r="E194" s="40"/>
      <c r="F194" s="40"/>
    </row>
    <row r="195">
      <c r="A195" s="39" t="str">
        <f t="shared" si="1"/>
        <v/>
      </c>
      <c r="B195" s="39"/>
      <c r="C195" s="40"/>
      <c r="D195" s="41"/>
      <c r="E195" s="40"/>
      <c r="F195" s="40"/>
    </row>
    <row r="196">
      <c r="A196" s="39" t="str">
        <f t="shared" si="1"/>
        <v/>
      </c>
      <c r="B196" s="39"/>
      <c r="C196" s="40"/>
      <c r="D196" s="41"/>
      <c r="E196" s="40"/>
      <c r="F196" s="40"/>
    </row>
    <row r="197">
      <c r="A197" s="39" t="str">
        <f t="shared" si="1"/>
        <v/>
      </c>
      <c r="B197" s="39"/>
      <c r="C197" s="40"/>
      <c r="D197" s="41"/>
      <c r="E197" s="40"/>
      <c r="F197" s="40"/>
    </row>
    <row r="198">
      <c r="A198" s="39" t="str">
        <f t="shared" si="1"/>
        <v/>
      </c>
      <c r="B198" s="39"/>
      <c r="C198" s="40"/>
      <c r="D198" s="41"/>
      <c r="E198" s="40"/>
      <c r="F198" s="40"/>
    </row>
    <row r="199">
      <c r="A199" s="39" t="str">
        <f t="shared" si="1"/>
        <v/>
      </c>
      <c r="B199" s="39"/>
      <c r="C199" s="40"/>
      <c r="D199" s="41"/>
      <c r="E199" s="40"/>
      <c r="F199" s="40"/>
    </row>
    <row r="200">
      <c r="A200" s="39" t="str">
        <f t="shared" si="1"/>
        <v/>
      </c>
      <c r="B200" s="39"/>
      <c r="C200" s="40"/>
      <c r="D200" s="41"/>
      <c r="E200" s="40"/>
      <c r="F200" s="40"/>
    </row>
    <row r="201">
      <c r="A201" s="39" t="str">
        <f t="shared" si="1"/>
        <v/>
      </c>
      <c r="B201" s="39"/>
      <c r="C201" s="40"/>
      <c r="D201" s="41"/>
      <c r="E201" s="40"/>
      <c r="F201" s="40"/>
    </row>
    <row r="202">
      <c r="A202" s="39" t="str">
        <f t="shared" si="1"/>
        <v/>
      </c>
      <c r="B202" s="39"/>
      <c r="C202" s="40"/>
      <c r="D202" s="41"/>
      <c r="E202" s="40"/>
      <c r="F202" s="40"/>
    </row>
    <row r="203">
      <c r="A203" s="39" t="str">
        <f t="shared" si="1"/>
        <v/>
      </c>
      <c r="B203" s="39"/>
      <c r="C203" s="40"/>
      <c r="D203" s="41"/>
      <c r="E203" s="40"/>
      <c r="F203" s="40"/>
    </row>
    <row r="204">
      <c r="A204" s="39" t="str">
        <f t="shared" si="1"/>
        <v/>
      </c>
      <c r="B204" s="39"/>
      <c r="C204" s="40"/>
      <c r="D204" s="41"/>
      <c r="E204" s="40"/>
      <c r="F204" s="40"/>
    </row>
    <row r="205">
      <c r="A205" s="39" t="str">
        <f t="shared" si="1"/>
        <v/>
      </c>
      <c r="B205" s="39"/>
      <c r="C205" s="40"/>
      <c r="D205" s="41"/>
      <c r="E205" s="40"/>
      <c r="F205" s="40"/>
    </row>
    <row r="206">
      <c r="A206" s="39" t="str">
        <f t="shared" si="1"/>
        <v/>
      </c>
      <c r="B206" s="39"/>
      <c r="C206" s="40"/>
      <c r="D206" s="41"/>
      <c r="E206" s="40"/>
      <c r="F206" s="40"/>
    </row>
    <row r="207">
      <c r="A207" s="39" t="str">
        <f t="shared" si="1"/>
        <v/>
      </c>
      <c r="B207" s="39"/>
      <c r="C207" s="40"/>
      <c r="D207" s="41"/>
      <c r="E207" s="40"/>
      <c r="F207" s="40"/>
    </row>
    <row r="208">
      <c r="A208" s="39" t="str">
        <f t="shared" si="1"/>
        <v/>
      </c>
      <c r="B208" s="39"/>
      <c r="C208" s="40"/>
      <c r="D208" s="41"/>
      <c r="E208" s="40"/>
      <c r="F208" s="40"/>
    </row>
    <row r="209">
      <c r="A209" s="39" t="str">
        <f t="shared" si="1"/>
        <v/>
      </c>
      <c r="B209" s="39"/>
      <c r="C209" s="40"/>
      <c r="D209" s="41"/>
      <c r="E209" s="40"/>
      <c r="F209" s="40"/>
    </row>
    <row r="210">
      <c r="A210" s="39" t="str">
        <f t="shared" si="1"/>
        <v/>
      </c>
      <c r="B210" s="39"/>
      <c r="C210" s="40"/>
      <c r="D210" s="41"/>
      <c r="E210" s="40"/>
      <c r="F210" s="40"/>
    </row>
    <row r="211">
      <c r="A211" s="39" t="str">
        <f t="shared" si="1"/>
        <v/>
      </c>
      <c r="B211" s="39"/>
      <c r="C211" s="40"/>
      <c r="D211" s="41"/>
      <c r="E211" s="40"/>
      <c r="F211" s="40"/>
    </row>
    <row r="212">
      <c r="A212" s="39" t="str">
        <f t="shared" si="1"/>
        <v/>
      </c>
      <c r="B212" s="39"/>
      <c r="C212" s="40"/>
      <c r="D212" s="41"/>
      <c r="E212" s="40"/>
      <c r="F212" s="40"/>
    </row>
    <row r="213">
      <c r="A213" s="39" t="str">
        <f t="shared" si="1"/>
        <v/>
      </c>
      <c r="B213" s="39"/>
      <c r="C213" s="40"/>
      <c r="D213" s="41"/>
      <c r="E213" s="40"/>
      <c r="F213" s="40"/>
    </row>
    <row r="214">
      <c r="A214" s="39" t="str">
        <f t="shared" si="1"/>
        <v/>
      </c>
      <c r="B214" s="39"/>
      <c r="C214" s="40"/>
      <c r="D214" s="41"/>
      <c r="E214" s="40"/>
      <c r="F214" s="40"/>
    </row>
    <row r="215">
      <c r="A215" s="39" t="str">
        <f t="shared" si="1"/>
        <v/>
      </c>
      <c r="B215" s="39"/>
      <c r="C215" s="40"/>
      <c r="D215" s="41"/>
      <c r="E215" s="40"/>
      <c r="F215" s="40"/>
    </row>
    <row r="216">
      <c r="A216" s="39" t="str">
        <f t="shared" si="1"/>
        <v/>
      </c>
      <c r="B216" s="39"/>
      <c r="C216" s="40"/>
      <c r="D216" s="41"/>
      <c r="E216" s="40"/>
      <c r="F216" s="40"/>
    </row>
    <row r="217">
      <c r="A217" s="39" t="str">
        <f t="shared" si="1"/>
        <v/>
      </c>
      <c r="B217" s="39"/>
      <c r="C217" s="40"/>
      <c r="D217" s="41"/>
      <c r="E217" s="40"/>
      <c r="F217" s="40"/>
    </row>
    <row r="218">
      <c r="A218" s="39" t="str">
        <f t="shared" si="1"/>
        <v/>
      </c>
      <c r="B218" s="39"/>
      <c r="C218" s="40"/>
      <c r="D218" s="41"/>
      <c r="E218" s="40"/>
      <c r="F218" s="40"/>
    </row>
    <row r="219">
      <c r="A219" s="39" t="str">
        <f t="shared" si="1"/>
        <v/>
      </c>
      <c r="B219" s="39"/>
      <c r="C219" s="40"/>
      <c r="D219" s="41"/>
      <c r="E219" s="40"/>
      <c r="F219" s="40"/>
    </row>
    <row r="220">
      <c r="A220" s="39" t="str">
        <f t="shared" si="1"/>
        <v/>
      </c>
      <c r="B220" s="39"/>
      <c r="C220" s="40"/>
      <c r="D220" s="41"/>
      <c r="E220" s="40"/>
      <c r="F220" s="40"/>
    </row>
    <row r="221">
      <c r="A221" s="39" t="str">
        <f t="shared" si="1"/>
        <v/>
      </c>
      <c r="B221" s="39"/>
      <c r="C221" s="40"/>
      <c r="D221" s="41"/>
      <c r="E221" s="40"/>
      <c r="F221" s="40"/>
    </row>
    <row r="222">
      <c r="A222" s="39" t="str">
        <f t="shared" si="1"/>
        <v/>
      </c>
      <c r="B222" s="39"/>
      <c r="C222" s="40"/>
      <c r="D222" s="41"/>
      <c r="E222" s="40"/>
      <c r="F222" s="40"/>
    </row>
    <row r="223">
      <c r="A223" s="39" t="str">
        <f t="shared" si="1"/>
        <v/>
      </c>
      <c r="B223" s="39"/>
      <c r="C223" s="40"/>
      <c r="D223" s="41"/>
      <c r="E223" s="40"/>
      <c r="F223" s="40"/>
    </row>
    <row r="224">
      <c r="A224" s="39" t="str">
        <f t="shared" si="1"/>
        <v/>
      </c>
      <c r="B224" s="39"/>
      <c r="C224" s="40"/>
      <c r="D224" s="41"/>
      <c r="E224" s="40"/>
      <c r="F224" s="40"/>
    </row>
    <row r="225">
      <c r="A225" s="39" t="str">
        <f t="shared" si="1"/>
        <v/>
      </c>
      <c r="B225" s="39"/>
      <c r="C225" s="40"/>
      <c r="D225" s="41"/>
      <c r="E225" s="40"/>
      <c r="F225" s="40"/>
    </row>
    <row r="226">
      <c r="A226" s="39" t="str">
        <f t="shared" si="1"/>
        <v/>
      </c>
      <c r="B226" s="39"/>
      <c r="C226" s="40"/>
      <c r="D226" s="41"/>
      <c r="E226" s="40"/>
      <c r="F226" s="40"/>
    </row>
    <row r="227">
      <c r="A227" s="39" t="str">
        <f t="shared" si="1"/>
        <v/>
      </c>
      <c r="B227" s="39"/>
      <c r="C227" s="40"/>
      <c r="D227" s="41"/>
      <c r="E227" s="40"/>
      <c r="F227" s="40"/>
    </row>
    <row r="228">
      <c r="A228" s="39" t="str">
        <f t="shared" si="1"/>
        <v/>
      </c>
      <c r="B228" s="39"/>
      <c r="C228" s="40"/>
      <c r="D228" s="41"/>
      <c r="E228" s="40"/>
      <c r="F228" s="40"/>
    </row>
    <row r="229">
      <c r="A229" s="39" t="str">
        <f t="shared" si="1"/>
        <v/>
      </c>
      <c r="B229" s="39"/>
      <c r="C229" s="40"/>
      <c r="D229" s="41"/>
      <c r="E229" s="40"/>
      <c r="F229" s="40"/>
    </row>
    <row r="230">
      <c r="A230" s="39" t="str">
        <f t="shared" si="1"/>
        <v/>
      </c>
      <c r="B230" s="39"/>
      <c r="C230" s="40"/>
      <c r="D230" s="41"/>
      <c r="E230" s="40"/>
      <c r="F230" s="40"/>
    </row>
    <row r="231">
      <c r="A231" s="39" t="str">
        <f t="shared" si="1"/>
        <v/>
      </c>
      <c r="B231" s="39"/>
      <c r="C231" s="40"/>
      <c r="D231" s="41"/>
      <c r="E231" s="40"/>
      <c r="F231" s="40"/>
    </row>
    <row r="232">
      <c r="A232" s="39" t="str">
        <f t="shared" si="1"/>
        <v/>
      </c>
      <c r="B232" s="39"/>
      <c r="C232" s="40"/>
      <c r="D232" s="41"/>
      <c r="E232" s="40"/>
      <c r="F232" s="40"/>
    </row>
    <row r="233">
      <c r="A233" s="39" t="str">
        <f t="shared" si="1"/>
        <v/>
      </c>
      <c r="B233" s="39"/>
      <c r="C233" s="40"/>
      <c r="D233" s="41"/>
      <c r="E233" s="40"/>
      <c r="F233" s="40"/>
    </row>
    <row r="234">
      <c r="A234" s="39" t="str">
        <f t="shared" si="1"/>
        <v/>
      </c>
      <c r="B234" s="39"/>
      <c r="C234" s="40"/>
      <c r="D234" s="41"/>
      <c r="E234" s="40"/>
      <c r="F234" s="40"/>
    </row>
    <row r="235">
      <c r="A235" s="39" t="str">
        <f t="shared" si="1"/>
        <v/>
      </c>
      <c r="B235" s="39"/>
      <c r="C235" s="40"/>
      <c r="D235" s="41"/>
      <c r="E235" s="40"/>
      <c r="F235" s="40"/>
    </row>
    <row r="236">
      <c r="A236" s="39" t="str">
        <f t="shared" si="1"/>
        <v/>
      </c>
      <c r="B236" s="39"/>
      <c r="C236" s="40"/>
      <c r="D236" s="41"/>
      <c r="E236" s="40"/>
      <c r="F236" s="40"/>
    </row>
    <row r="237">
      <c r="A237" s="39" t="str">
        <f t="shared" si="1"/>
        <v/>
      </c>
      <c r="B237" s="39"/>
      <c r="C237" s="40"/>
      <c r="D237" s="41"/>
      <c r="E237" s="40"/>
      <c r="F237" s="40"/>
    </row>
    <row r="238">
      <c r="A238" s="39" t="str">
        <f t="shared" si="1"/>
        <v/>
      </c>
      <c r="B238" s="39"/>
      <c r="C238" s="40"/>
      <c r="D238" s="41"/>
      <c r="E238" s="40"/>
      <c r="F238" s="40"/>
    </row>
    <row r="239">
      <c r="A239" s="39" t="str">
        <f t="shared" si="1"/>
        <v/>
      </c>
      <c r="B239" s="39"/>
      <c r="C239" s="40"/>
      <c r="D239" s="41"/>
      <c r="E239" s="40"/>
      <c r="F239" s="40"/>
    </row>
    <row r="240">
      <c r="A240" s="39" t="str">
        <f t="shared" si="1"/>
        <v/>
      </c>
      <c r="B240" s="39"/>
      <c r="C240" s="40"/>
      <c r="D240" s="41"/>
      <c r="E240" s="40"/>
      <c r="F240" s="40"/>
    </row>
    <row r="241">
      <c r="A241" s="39" t="str">
        <f t="shared" si="1"/>
        <v/>
      </c>
      <c r="B241" s="39"/>
      <c r="C241" s="40"/>
      <c r="D241" s="41"/>
      <c r="E241" s="40"/>
      <c r="F241" s="40"/>
    </row>
    <row r="242">
      <c r="A242" s="39" t="str">
        <f t="shared" si="1"/>
        <v/>
      </c>
      <c r="B242" s="39"/>
      <c r="C242" s="40"/>
      <c r="D242" s="41"/>
      <c r="E242" s="40"/>
      <c r="F242" s="40"/>
    </row>
    <row r="243">
      <c r="A243" s="39" t="str">
        <f t="shared" si="1"/>
        <v/>
      </c>
      <c r="B243" s="39"/>
      <c r="C243" s="40"/>
      <c r="D243" s="41"/>
      <c r="E243" s="40"/>
      <c r="F243" s="40"/>
    </row>
    <row r="244">
      <c r="A244" s="39" t="str">
        <f t="shared" si="1"/>
        <v/>
      </c>
      <c r="B244" s="39"/>
      <c r="C244" s="40"/>
      <c r="D244" s="41"/>
      <c r="E244" s="40"/>
      <c r="F244" s="40"/>
    </row>
    <row r="245">
      <c r="A245" s="39" t="str">
        <f t="shared" si="1"/>
        <v/>
      </c>
      <c r="B245" s="39"/>
      <c r="C245" s="40"/>
      <c r="D245" s="41"/>
      <c r="E245" s="40"/>
      <c r="F245" s="40"/>
    </row>
    <row r="246">
      <c r="A246" s="39" t="str">
        <f t="shared" si="1"/>
        <v/>
      </c>
      <c r="B246" s="39"/>
      <c r="C246" s="40"/>
      <c r="D246" s="41"/>
      <c r="E246" s="40"/>
      <c r="F246" s="40"/>
    </row>
    <row r="247">
      <c r="A247" s="39" t="str">
        <f t="shared" si="1"/>
        <v/>
      </c>
      <c r="B247" s="39"/>
      <c r="C247" s="40"/>
      <c r="D247" s="41"/>
      <c r="E247" s="40"/>
      <c r="F247" s="40"/>
    </row>
    <row r="248">
      <c r="A248" s="39" t="str">
        <f t="shared" si="1"/>
        <v/>
      </c>
      <c r="B248" s="39"/>
      <c r="C248" s="40"/>
      <c r="D248" s="41"/>
      <c r="E248" s="40"/>
      <c r="F248" s="40"/>
    </row>
    <row r="249">
      <c r="A249" s="39" t="str">
        <f t="shared" si="1"/>
        <v/>
      </c>
      <c r="B249" s="39"/>
      <c r="C249" s="40"/>
      <c r="D249" s="41"/>
      <c r="E249" s="40"/>
      <c r="F249" s="40"/>
    </row>
    <row r="250">
      <c r="A250" s="39" t="str">
        <f t="shared" si="1"/>
        <v/>
      </c>
      <c r="B250" s="39"/>
      <c r="C250" s="40"/>
      <c r="D250" s="41"/>
      <c r="E250" s="40"/>
      <c r="F250" s="40"/>
    </row>
    <row r="251">
      <c r="A251" s="39" t="str">
        <f t="shared" si="1"/>
        <v/>
      </c>
      <c r="B251" s="39"/>
      <c r="C251" s="40"/>
      <c r="D251" s="41"/>
      <c r="E251" s="40"/>
      <c r="F251" s="40"/>
    </row>
    <row r="252">
      <c r="A252" s="39" t="str">
        <f t="shared" si="1"/>
        <v/>
      </c>
      <c r="B252" s="39"/>
      <c r="C252" s="40"/>
      <c r="D252" s="41"/>
      <c r="E252" s="40"/>
      <c r="F252" s="40"/>
    </row>
    <row r="253">
      <c r="A253" s="39" t="str">
        <f t="shared" si="1"/>
        <v/>
      </c>
      <c r="B253" s="39"/>
      <c r="C253" s="40"/>
      <c r="D253" s="41"/>
      <c r="E253" s="40"/>
      <c r="F253" s="40"/>
    </row>
    <row r="254">
      <c r="A254" s="39" t="str">
        <f t="shared" si="1"/>
        <v/>
      </c>
      <c r="B254" s="39"/>
      <c r="C254" s="40"/>
      <c r="D254" s="41"/>
      <c r="E254" s="40"/>
      <c r="F254" s="40"/>
    </row>
    <row r="255">
      <c r="A255" s="39" t="str">
        <f t="shared" si="1"/>
        <v/>
      </c>
      <c r="B255" s="39"/>
      <c r="C255" s="40"/>
      <c r="D255" s="41"/>
      <c r="E255" s="40"/>
      <c r="F255" s="40"/>
    </row>
    <row r="256">
      <c r="A256" s="39" t="str">
        <f t="shared" si="1"/>
        <v/>
      </c>
      <c r="B256" s="39"/>
      <c r="C256" s="40"/>
      <c r="D256" s="41"/>
      <c r="E256" s="40"/>
      <c r="F256" s="40"/>
    </row>
    <row r="257">
      <c r="A257" s="39" t="str">
        <f t="shared" si="1"/>
        <v/>
      </c>
      <c r="B257" s="39"/>
      <c r="C257" s="40"/>
      <c r="D257" s="41"/>
      <c r="E257" s="40"/>
      <c r="F257" s="40"/>
    </row>
    <row r="258">
      <c r="A258" s="39" t="str">
        <f t="shared" si="1"/>
        <v/>
      </c>
      <c r="B258" s="39"/>
      <c r="C258" s="40"/>
      <c r="D258" s="41"/>
      <c r="E258" s="40"/>
      <c r="F258" s="40"/>
    </row>
    <row r="259">
      <c r="A259" s="39" t="str">
        <f t="shared" si="1"/>
        <v/>
      </c>
      <c r="B259" s="39"/>
      <c r="C259" s="40"/>
      <c r="D259" s="41"/>
      <c r="E259" s="40"/>
      <c r="F259" s="40"/>
    </row>
    <row r="260">
      <c r="A260" s="39" t="str">
        <f t="shared" si="1"/>
        <v/>
      </c>
      <c r="B260" s="39"/>
      <c r="C260" s="40"/>
      <c r="D260" s="41"/>
      <c r="E260" s="40"/>
      <c r="F260" s="40"/>
    </row>
    <row r="261">
      <c r="A261" s="39" t="str">
        <f t="shared" si="1"/>
        <v/>
      </c>
      <c r="B261" s="39"/>
      <c r="C261" s="40"/>
      <c r="D261" s="41"/>
      <c r="E261" s="40"/>
      <c r="F261" s="40"/>
    </row>
    <row r="262">
      <c r="A262" s="39" t="str">
        <f t="shared" si="1"/>
        <v/>
      </c>
      <c r="B262" s="39"/>
      <c r="C262" s="40"/>
      <c r="D262" s="41"/>
      <c r="E262" s="40"/>
      <c r="F262" s="40"/>
    </row>
    <row r="263">
      <c r="A263" s="39" t="str">
        <f t="shared" si="1"/>
        <v/>
      </c>
      <c r="B263" s="39"/>
      <c r="C263" s="40"/>
      <c r="D263" s="41"/>
      <c r="E263" s="40"/>
      <c r="F263" s="40"/>
    </row>
    <row r="264">
      <c r="A264" s="39" t="str">
        <f t="shared" si="1"/>
        <v/>
      </c>
      <c r="B264" s="39"/>
      <c r="C264" s="40"/>
      <c r="D264" s="41"/>
      <c r="E264" s="40"/>
      <c r="F264" s="40"/>
    </row>
    <row r="265">
      <c r="A265" s="39" t="str">
        <f t="shared" si="1"/>
        <v/>
      </c>
      <c r="B265" s="39"/>
      <c r="C265" s="40"/>
      <c r="D265" s="41"/>
      <c r="E265" s="40"/>
      <c r="F265" s="40"/>
    </row>
    <row r="266">
      <c r="A266" s="39" t="str">
        <f t="shared" si="1"/>
        <v/>
      </c>
      <c r="B266" s="39"/>
      <c r="C266" s="40"/>
      <c r="D266" s="41"/>
      <c r="E266" s="40"/>
      <c r="F266" s="40"/>
    </row>
    <row r="267">
      <c r="A267" s="39" t="str">
        <f t="shared" si="1"/>
        <v/>
      </c>
      <c r="B267" s="39"/>
      <c r="C267" s="40"/>
      <c r="D267" s="41"/>
      <c r="E267" s="40"/>
      <c r="F267" s="40"/>
    </row>
    <row r="268">
      <c r="A268" s="39" t="str">
        <f t="shared" si="1"/>
        <v/>
      </c>
      <c r="B268" s="39"/>
      <c r="C268" s="40"/>
      <c r="D268" s="41"/>
      <c r="E268" s="40"/>
      <c r="F268" s="40"/>
    </row>
    <row r="269">
      <c r="A269" s="39" t="str">
        <f t="shared" si="1"/>
        <v/>
      </c>
      <c r="B269" s="39"/>
      <c r="C269" s="40"/>
      <c r="D269" s="41"/>
      <c r="E269" s="40"/>
      <c r="F269" s="40"/>
    </row>
    <row r="270">
      <c r="A270" s="39" t="str">
        <f t="shared" si="1"/>
        <v/>
      </c>
      <c r="B270" s="39"/>
      <c r="C270" s="40"/>
      <c r="D270" s="41"/>
      <c r="E270" s="40"/>
      <c r="F270" s="40"/>
    </row>
    <row r="271">
      <c r="A271" s="39" t="str">
        <f t="shared" si="1"/>
        <v/>
      </c>
      <c r="B271" s="39"/>
      <c r="C271" s="40"/>
      <c r="D271" s="41"/>
      <c r="E271" s="40"/>
      <c r="F271" s="40"/>
    </row>
    <row r="272">
      <c r="A272" s="39" t="str">
        <f t="shared" si="1"/>
        <v/>
      </c>
      <c r="B272" s="39"/>
      <c r="C272" s="40"/>
      <c r="D272" s="41"/>
      <c r="E272" s="40"/>
      <c r="F272" s="40"/>
    </row>
    <row r="273">
      <c r="A273" s="39" t="str">
        <f t="shared" si="1"/>
        <v/>
      </c>
      <c r="B273" s="39"/>
      <c r="C273" s="40"/>
      <c r="D273" s="41"/>
      <c r="E273" s="40"/>
      <c r="F273" s="40"/>
    </row>
    <row r="274">
      <c r="A274" s="39" t="str">
        <f t="shared" si="1"/>
        <v/>
      </c>
      <c r="B274" s="39"/>
      <c r="C274" s="40"/>
      <c r="D274" s="41"/>
      <c r="E274" s="40"/>
      <c r="F274" s="40"/>
    </row>
    <row r="275">
      <c r="A275" s="39" t="str">
        <f t="shared" si="1"/>
        <v/>
      </c>
      <c r="B275" s="39"/>
      <c r="C275" s="40"/>
      <c r="D275" s="41"/>
      <c r="E275" s="40"/>
      <c r="F275" s="40"/>
    </row>
    <row r="276">
      <c r="A276" s="39" t="str">
        <f t="shared" si="1"/>
        <v/>
      </c>
      <c r="B276" s="39"/>
      <c r="C276" s="40"/>
      <c r="D276" s="41"/>
      <c r="E276" s="40"/>
      <c r="F276" s="40"/>
    </row>
    <row r="277">
      <c r="A277" s="39" t="str">
        <f t="shared" si="1"/>
        <v/>
      </c>
      <c r="B277" s="39"/>
      <c r="C277" s="40"/>
      <c r="D277" s="41"/>
      <c r="E277" s="40"/>
      <c r="F277" s="40"/>
    </row>
    <row r="278">
      <c r="A278" s="39" t="str">
        <f t="shared" si="1"/>
        <v/>
      </c>
      <c r="B278" s="39"/>
      <c r="C278" s="40"/>
      <c r="D278" s="41"/>
      <c r="E278" s="40"/>
      <c r="F278" s="40"/>
    </row>
    <row r="279">
      <c r="A279" s="39" t="str">
        <f t="shared" si="1"/>
        <v/>
      </c>
      <c r="B279" s="39"/>
      <c r="C279" s="40"/>
      <c r="D279" s="41"/>
      <c r="E279" s="40"/>
      <c r="F279" s="40"/>
    </row>
    <row r="280">
      <c r="A280" s="39" t="str">
        <f t="shared" si="1"/>
        <v/>
      </c>
      <c r="B280" s="39"/>
      <c r="C280" s="40"/>
      <c r="D280" s="41"/>
      <c r="E280" s="40"/>
      <c r="F280" s="40"/>
    </row>
    <row r="281">
      <c r="A281" s="39" t="str">
        <f t="shared" si="1"/>
        <v/>
      </c>
      <c r="B281" s="39"/>
      <c r="C281" s="40"/>
      <c r="D281" s="41"/>
      <c r="E281" s="40"/>
      <c r="F281" s="40"/>
    </row>
    <row r="282">
      <c r="A282" s="39" t="str">
        <f t="shared" si="1"/>
        <v/>
      </c>
      <c r="B282" s="39"/>
      <c r="C282" s="40"/>
      <c r="D282" s="41"/>
      <c r="E282" s="40"/>
      <c r="F282" s="40"/>
    </row>
    <row r="283">
      <c r="A283" s="39" t="str">
        <f t="shared" si="1"/>
        <v/>
      </c>
      <c r="B283" s="39"/>
      <c r="C283" s="40"/>
      <c r="D283" s="41"/>
      <c r="E283" s="40"/>
      <c r="F283" s="40"/>
    </row>
    <row r="284">
      <c r="A284" s="39" t="str">
        <f t="shared" si="1"/>
        <v/>
      </c>
      <c r="B284" s="39"/>
      <c r="C284" s="40"/>
      <c r="D284" s="41"/>
      <c r="E284" s="40"/>
      <c r="F284" s="40"/>
    </row>
    <row r="285">
      <c r="A285" s="39" t="str">
        <f t="shared" si="1"/>
        <v/>
      </c>
      <c r="B285" s="39"/>
      <c r="C285" s="40"/>
      <c r="D285" s="41"/>
      <c r="E285" s="40"/>
      <c r="F285" s="40"/>
    </row>
    <row r="286">
      <c r="A286" s="39" t="str">
        <f t="shared" si="1"/>
        <v/>
      </c>
      <c r="B286" s="39"/>
      <c r="C286" s="40"/>
      <c r="D286" s="41"/>
      <c r="E286" s="40"/>
      <c r="F286" s="40"/>
    </row>
    <row r="287">
      <c r="A287" s="39" t="str">
        <f t="shared" si="1"/>
        <v/>
      </c>
      <c r="B287" s="39"/>
      <c r="C287" s="40"/>
      <c r="D287" s="41"/>
      <c r="E287" s="40"/>
      <c r="F287" s="40"/>
    </row>
    <row r="288">
      <c r="A288" s="39" t="str">
        <f t="shared" si="1"/>
        <v/>
      </c>
      <c r="B288" s="39"/>
      <c r="C288" s="40"/>
      <c r="D288" s="41"/>
      <c r="E288" s="40"/>
      <c r="F288" s="40"/>
    </row>
    <row r="289">
      <c r="A289" s="39" t="str">
        <f t="shared" si="1"/>
        <v/>
      </c>
      <c r="B289" s="39"/>
      <c r="C289" s="40"/>
      <c r="D289" s="41"/>
      <c r="E289" s="40"/>
      <c r="F289" s="40"/>
    </row>
    <row r="290">
      <c r="A290" s="39" t="str">
        <f t="shared" si="1"/>
        <v/>
      </c>
      <c r="B290" s="39"/>
      <c r="C290" s="40"/>
      <c r="D290" s="41"/>
      <c r="E290" s="40"/>
      <c r="F290" s="40"/>
    </row>
    <row r="291">
      <c r="A291" s="39" t="str">
        <f t="shared" si="1"/>
        <v/>
      </c>
      <c r="B291" s="39"/>
      <c r="C291" s="40"/>
      <c r="D291" s="41"/>
      <c r="E291" s="40"/>
      <c r="F291" s="40"/>
    </row>
    <row r="292">
      <c r="A292" s="39" t="str">
        <f t="shared" si="1"/>
        <v/>
      </c>
      <c r="B292" s="39"/>
      <c r="C292" s="40"/>
      <c r="D292" s="41"/>
      <c r="E292" s="40"/>
      <c r="F292" s="40"/>
    </row>
    <row r="293">
      <c r="A293" s="39" t="str">
        <f t="shared" si="1"/>
        <v/>
      </c>
      <c r="B293" s="39"/>
      <c r="C293" s="40"/>
      <c r="D293" s="41"/>
      <c r="E293" s="40"/>
      <c r="F293" s="40"/>
    </row>
    <row r="294">
      <c r="A294" s="39" t="str">
        <f t="shared" si="1"/>
        <v/>
      </c>
      <c r="B294" s="39"/>
      <c r="C294" s="40"/>
      <c r="D294" s="41"/>
      <c r="E294" s="40"/>
      <c r="F294" s="40"/>
    </row>
    <row r="295">
      <c r="A295" s="39" t="str">
        <f t="shared" si="1"/>
        <v/>
      </c>
      <c r="B295" s="39"/>
      <c r="C295" s="40"/>
      <c r="D295" s="41"/>
      <c r="E295" s="40"/>
      <c r="F295" s="40"/>
    </row>
    <row r="296">
      <c r="A296" s="39" t="str">
        <f t="shared" si="1"/>
        <v/>
      </c>
      <c r="B296" s="39"/>
      <c r="C296" s="40"/>
      <c r="D296" s="41"/>
      <c r="E296" s="40"/>
      <c r="F296" s="40"/>
    </row>
    <row r="297">
      <c r="A297" s="39" t="str">
        <f t="shared" si="1"/>
        <v/>
      </c>
      <c r="B297" s="39"/>
      <c r="C297" s="40"/>
      <c r="D297" s="41"/>
      <c r="E297" s="40"/>
      <c r="F297" s="40"/>
    </row>
    <row r="298">
      <c r="A298" s="39" t="str">
        <f t="shared" si="1"/>
        <v/>
      </c>
      <c r="B298" s="39"/>
      <c r="C298" s="40"/>
      <c r="D298" s="41"/>
      <c r="E298" s="40"/>
      <c r="F298" s="40"/>
    </row>
    <row r="299">
      <c r="A299" s="39" t="str">
        <f t="shared" si="1"/>
        <v/>
      </c>
      <c r="B299" s="39"/>
      <c r="C299" s="40"/>
      <c r="D299" s="41"/>
      <c r="E299" s="40"/>
      <c r="F299" s="40"/>
    </row>
    <row r="300">
      <c r="A300" s="39" t="str">
        <f t="shared" si="1"/>
        <v/>
      </c>
      <c r="B300" s="39"/>
      <c r="C300" s="40"/>
      <c r="D300" s="41"/>
      <c r="E300" s="40"/>
      <c r="F300" s="40"/>
    </row>
    <row r="301">
      <c r="A301" s="39" t="str">
        <f t="shared" si="1"/>
        <v/>
      </c>
      <c r="B301" s="39"/>
      <c r="C301" s="40"/>
      <c r="D301" s="41"/>
      <c r="E301" s="40"/>
      <c r="F301" s="40"/>
    </row>
    <row r="302">
      <c r="A302" s="39" t="str">
        <f t="shared" si="1"/>
        <v/>
      </c>
      <c r="B302" s="39"/>
      <c r="C302" s="40"/>
      <c r="D302" s="41"/>
      <c r="E302" s="40"/>
      <c r="F302" s="40"/>
    </row>
    <row r="303">
      <c r="A303" s="39" t="str">
        <f t="shared" si="1"/>
        <v/>
      </c>
      <c r="B303" s="39"/>
      <c r="C303" s="40"/>
      <c r="D303" s="41"/>
      <c r="E303" s="40"/>
      <c r="F303" s="40"/>
    </row>
    <row r="304">
      <c r="A304" s="39" t="str">
        <f t="shared" si="1"/>
        <v/>
      </c>
      <c r="B304" s="39"/>
      <c r="C304" s="40"/>
      <c r="D304" s="41"/>
      <c r="E304" s="40"/>
      <c r="F304" s="40"/>
    </row>
    <row r="305">
      <c r="A305" s="39" t="str">
        <f t="shared" si="1"/>
        <v/>
      </c>
      <c r="B305" s="39"/>
      <c r="C305" s="40"/>
      <c r="D305" s="41"/>
      <c r="E305" s="40"/>
      <c r="F305" s="40"/>
    </row>
    <row r="306">
      <c r="A306" s="39" t="str">
        <f t="shared" si="1"/>
        <v/>
      </c>
      <c r="B306" s="39"/>
      <c r="C306" s="40"/>
      <c r="D306" s="41"/>
      <c r="E306" s="40"/>
      <c r="F306" s="40"/>
    </row>
    <row r="307">
      <c r="A307" s="39" t="str">
        <f t="shared" si="1"/>
        <v/>
      </c>
      <c r="B307" s="39"/>
      <c r="C307" s="40"/>
      <c r="D307" s="41"/>
      <c r="E307" s="40"/>
      <c r="F307" s="40"/>
    </row>
    <row r="308">
      <c r="A308" s="39" t="str">
        <f t="shared" si="1"/>
        <v/>
      </c>
      <c r="B308" s="39"/>
      <c r="C308" s="40"/>
      <c r="D308" s="41"/>
      <c r="E308" s="40"/>
      <c r="F308" s="40"/>
    </row>
    <row r="309">
      <c r="A309" s="39" t="str">
        <f t="shared" si="1"/>
        <v/>
      </c>
      <c r="B309" s="39"/>
      <c r="C309" s="40"/>
      <c r="D309" s="41"/>
      <c r="E309" s="40"/>
      <c r="F309" s="40"/>
    </row>
    <row r="310">
      <c r="A310" s="39" t="str">
        <f t="shared" si="1"/>
        <v/>
      </c>
      <c r="B310" s="39"/>
      <c r="C310" s="40"/>
      <c r="D310" s="41"/>
      <c r="E310" s="40"/>
      <c r="F310" s="40"/>
    </row>
    <row r="311">
      <c r="A311" s="39" t="str">
        <f t="shared" si="1"/>
        <v/>
      </c>
      <c r="B311" s="39"/>
      <c r="C311" s="40"/>
      <c r="D311" s="41"/>
      <c r="E311" s="40"/>
      <c r="F311" s="40"/>
    </row>
    <row r="312">
      <c r="A312" s="39" t="str">
        <f t="shared" si="1"/>
        <v/>
      </c>
      <c r="B312" s="39"/>
      <c r="C312" s="40"/>
      <c r="D312" s="41"/>
      <c r="E312" s="40"/>
      <c r="F312" s="40"/>
    </row>
    <row r="313">
      <c r="A313" s="39" t="str">
        <f t="shared" si="1"/>
        <v/>
      </c>
      <c r="B313" s="39"/>
      <c r="C313" s="40"/>
      <c r="D313" s="41"/>
      <c r="E313" s="40"/>
      <c r="F313" s="40"/>
    </row>
    <row r="314">
      <c r="A314" s="39" t="str">
        <f t="shared" si="1"/>
        <v/>
      </c>
      <c r="B314" s="39"/>
      <c r="C314" s="40"/>
      <c r="D314" s="41"/>
      <c r="E314" s="40"/>
      <c r="F314" s="40"/>
    </row>
    <row r="315">
      <c r="A315" s="39" t="str">
        <f t="shared" si="1"/>
        <v/>
      </c>
      <c r="B315" s="39"/>
      <c r="C315" s="40"/>
      <c r="D315" s="41"/>
      <c r="E315" s="40"/>
      <c r="F315" s="40"/>
    </row>
    <row r="316">
      <c r="A316" s="39" t="str">
        <f t="shared" si="1"/>
        <v/>
      </c>
      <c r="B316" s="39"/>
      <c r="C316" s="40"/>
      <c r="D316" s="41"/>
      <c r="E316" s="40"/>
      <c r="F316" s="40"/>
    </row>
    <row r="317">
      <c r="A317" s="39" t="str">
        <f t="shared" si="1"/>
        <v/>
      </c>
      <c r="B317" s="39"/>
      <c r="C317" s="40"/>
      <c r="D317" s="41"/>
      <c r="E317" s="40"/>
      <c r="F317" s="40"/>
    </row>
    <row r="318">
      <c r="A318" s="39" t="str">
        <f t="shared" si="1"/>
        <v/>
      </c>
      <c r="B318" s="39"/>
      <c r="C318" s="40"/>
      <c r="D318" s="41"/>
      <c r="E318" s="40"/>
      <c r="F318" s="40"/>
    </row>
    <row r="319">
      <c r="A319" s="39" t="str">
        <f t="shared" si="1"/>
        <v/>
      </c>
      <c r="B319" s="39"/>
      <c r="C319" s="40"/>
      <c r="D319" s="41"/>
      <c r="E319" s="40"/>
      <c r="F319" s="40"/>
    </row>
    <row r="320">
      <c r="A320" s="39" t="str">
        <f t="shared" si="1"/>
        <v/>
      </c>
      <c r="B320" s="39"/>
      <c r="C320" s="40"/>
      <c r="D320" s="41"/>
      <c r="E320" s="40"/>
      <c r="F320" s="40"/>
    </row>
    <row r="321">
      <c r="A321" s="39" t="str">
        <f t="shared" si="1"/>
        <v/>
      </c>
      <c r="B321" s="39"/>
      <c r="C321" s="40"/>
      <c r="D321" s="41"/>
      <c r="E321" s="40"/>
      <c r="F321" s="40"/>
    </row>
    <row r="322">
      <c r="A322" s="39" t="str">
        <f t="shared" si="1"/>
        <v/>
      </c>
      <c r="B322" s="39"/>
      <c r="C322" s="40"/>
      <c r="D322" s="41"/>
      <c r="E322" s="40"/>
      <c r="F322" s="40"/>
    </row>
    <row r="323">
      <c r="A323" s="39" t="str">
        <f t="shared" si="1"/>
        <v/>
      </c>
      <c r="B323" s="39"/>
      <c r="C323" s="40"/>
      <c r="D323" s="41"/>
      <c r="E323" s="40"/>
      <c r="F323" s="40"/>
    </row>
    <row r="324">
      <c r="A324" s="39" t="str">
        <f t="shared" si="1"/>
        <v/>
      </c>
      <c r="B324" s="39"/>
      <c r="C324" s="40"/>
      <c r="D324" s="41"/>
      <c r="E324" s="40"/>
      <c r="F324" s="40"/>
    </row>
    <row r="325">
      <c r="A325" s="39" t="str">
        <f t="shared" si="1"/>
        <v/>
      </c>
      <c r="B325" s="39"/>
      <c r="C325" s="40"/>
      <c r="D325" s="41"/>
      <c r="E325" s="40"/>
      <c r="F325" s="40"/>
    </row>
    <row r="326">
      <c r="A326" s="39" t="str">
        <f t="shared" si="1"/>
        <v/>
      </c>
      <c r="B326" s="39"/>
      <c r="C326" s="40"/>
      <c r="D326" s="41"/>
      <c r="E326" s="40"/>
      <c r="F326" s="40"/>
    </row>
    <row r="327">
      <c r="A327" s="39" t="str">
        <f t="shared" si="1"/>
        <v/>
      </c>
      <c r="B327" s="39"/>
      <c r="C327" s="40"/>
      <c r="D327" s="41"/>
      <c r="E327" s="40"/>
      <c r="F327" s="40"/>
    </row>
    <row r="328">
      <c r="A328" s="39" t="str">
        <f t="shared" si="1"/>
        <v/>
      </c>
      <c r="B328" s="39"/>
      <c r="C328" s="40"/>
      <c r="D328" s="41"/>
      <c r="E328" s="40"/>
      <c r="F328" s="40"/>
    </row>
    <row r="329">
      <c r="A329" s="39" t="str">
        <f t="shared" si="1"/>
        <v/>
      </c>
      <c r="B329" s="39"/>
      <c r="C329" s="40"/>
      <c r="D329" s="41"/>
      <c r="E329" s="40"/>
      <c r="F329" s="40"/>
    </row>
    <row r="330">
      <c r="A330" s="39" t="str">
        <f t="shared" si="1"/>
        <v/>
      </c>
      <c r="B330" s="39"/>
      <c r="C330" s="40"/>
      <c r="D330" s="41"/>
      <c r="E330" s="40"/>
      <c r="F330" s="40"/>
    </row>
    <row r="331">
      <c r="A331" s="39" t="str">
        <f t="shared" si="1"/>
        <v/>
      </c>
      <c r="B331" s="39"/>
      <c r="C331" s="40"/>
      <c r="D331" s="41"/>
      <c r="E331" s="40"/>
      <c r="F331" s="40"/>
    </row>
    <row r="332">
      <c r="A332" s="39" t="str">
        <f t="shared" si="1"/>
        <v/>
      </c>
      <c r="B332" s="39"/>
      <c r="C332" s="40"/>
      <c r="D332" s="41"/>
      <c r="E332" s="40"/>
      <c r="F332" s="40"/>
    </row>
    <row r="333">
      <c r="A333" s="39" t="str">
        <f t="shared" si="1"/>
        <v/>
      </c>
      <c r="B333" s="39"/>
      <c r="C333" s="40"/>
      <c r="D333" s="41"/>
      <c r="E333" s="40"/>
      <c r="F333" s="40"/>
    </row>
    <row r="334">
      <c r="A334" s="39" t="str">
        <f t="shared" si="1"/>
        <v/>
      </c>
      <c r="B334" s="39"/>
      <c r="C334" s="40"/>
      <c r="D334" s="41"/>
      <c r="E334" s="40"/>
      <c r="F334" s="40"/>
    </row>
    <row r="335">
      <c r="A335" s="39" t="str">
        <f t="shared" si="1"/>
        <v/>
      </c>
      <c r="B335" s="39"/>
      <c r="C335" s="40"/>
      <c r="D335" s="41"/>
      <c r="E335" s="40"/>
      <c r="F335" s="40"/>
    </row>
    <row r="336">
      <c r="A336" s="39" t="str">
        <f t="shared" si="1"/>
        <v/>
      </c>
      <c r="B336" s="39"/>
      <c r="C336" s="40"/>
      <c r="D336" s="41"/>
      <c r="E336" s="40"/>
      <c r="F336" s="40"/>
    </row>
    <row r="337">
      <c r="A337" s="39" t="str">
        <f t="shared" si="1"/>
        <v/>
      </c>
      <c r="B337" s="39"/>
      <c r="C337" s="40"/>
      <c r="D337" s="41"/>
      <c r="E337" s="40"/>
      <c r="F337" s="40"/>
    </row>
    <row r="338">
      <c r="A338" s="39" t="str">
        <f t="shared" si="1"/>
        <v/>
      </c>
      <c r="B338" s="39"/>
      <c r="C338" s="40"/>
      <c r="D338" s="41"/>
      <c r="E338" s="40"/>
      <c r="F338" s="40"/>
    </row>
    <row r="339">
      <c r="A339" s="39" t="str">
        <f t="shared" si="1"/>
        <v/>
      </c>
      <c r="B339" s="39"/>
      <c r="C339" s="40"/>
      <c r="D339" s="41"/>
      <c r="E339" s="40"/>
      <c r="F339" s="40"/>
    </row>
    <row r="340">
      <c r="A340" s="39" t="str">
        <f t="shared" si="1"/>
        <v/>
      </c>
      <c r="B340" s="39"/>
      <c r="C340" s="40"/>
      <c r="D340" s="41"/>
      <c r="E340" s="40"/>
      <c r="F340" s="40"/>
    </row>
    <row r="341">
      <c r="A341" s="39" t="str">
        <f t="shared" si="1"/>
        <v/>
      </c>
      <c r="B341" s="39"/>
      <c r="C341" s="40"/>
      <c r="D341" s="41"/>
      <c r="E341" s="40"/>
      <c r="F341" s="40"/>
    </row>
    <row r="342">
      <c r="A342" s="39" t="str">
        <f t="shared" si="1"/>
        <v/>
      </c>
      <c r="B342" s="39"/>
      <c r="C342" s="40"/>
      <c r="D342" s="41"/>
      <c r="E342" s="40"/>
      <c r="F342" s="40"/>
    </row>
    <row r="343">
      <c r="A343" s="39" t="str">
        <f t="shared" si="1"/>
        <v/>
      </c>
      <c r="B343" s="39"/>
      <c r="C343" s="40"/>
      <c r="D343" s="41"/>
      <c r="E343" s="40"/>
      <c r="F343" s="40"/>
    </row>
    <row r="344">
      <c r="A344" s="39" t="str">
        <f t="shared" si="1"/>
        <v/>
      </c>
      <c r="B344" s="39"/>
      <c r="C344" s="40"/>
      <c r="D344" s="41"/>
      <c r="E344" s="40"/>
      <c r="F344" s="40"/>
    </row>
    <row r="345">
      <c r="A345" s="39" t="str">
        <f t="shared" si="1"/>
        <v/>
      </c>
      <c r="B345" s="39"/>
      <c r="C345" s="40"/>
      <c r="D345" s="41"/>
      <c r="E345" s="40"/>
      <c r="F345" s="40"/>
    </row>
    <row r="346">
      <c r="A346" s="39" t="str">
        <f t="shared" si="1"/>
        <v/>
      </c>
      <c r="B346" s="39"/>
      <c r="C346" s="40"/>
      <c r="D346" s="41"/>
      <c r="E346" s="40"/>
      <c r="F346" s="40"/>
    </row>
    <row r="347">
      <c r="A347" s="39" t="str">
        <f t="shared" si="1"/>
        <v/>
      </c>
      <c r="B347" s="39"/>
      <c r="C347" s="40"/>
      <c r="D347" s="41"/>
      <c r="E347" s="40"/>
      <c r="F347" s="40"/>
    </row>
    <row r="348">
      <c r="A348" s="39" t="str">
        <f t="shared" si="1"/>
        <v/>
      </c>
      <c r="B348" s="39"/>
      <c r="C348" s="40"/>
      <c r="D348" s="41"/>
      <c r="E348" s="40"/>
      <c r="F348" s="40"/>
    </row>
    <row r="349">
      <c r="A349" s="39" t="str">
        <f t="shared" si="1"/>
        <v/>
      </c>
      <c r="B349" s="39"/>
      <c r="C349" s="40"/>
      <c r="D349" s="41"/>
      <c r="E349" s="40"/>
      <c r="F349" s="40"/>
    </row>
    <row r="350">
      <c r="A350" s="39" t="str">
        <f t="shared" si="1"/>
        <v/>
      </c>
      <c r="B350" s="39"/>
      <c r="C350" s="40"/>
      <c r="D350" s="41"/>
      <c r="E350" s="40"/>
      <c r="F350" s="40"/>
    </row>
    <row r="351">
      <c r="A351" s="39" t="str">
        <f t="shared" si="1"/>
        <v/>
      </c>
      <c r="B351" s="39"/>
      <c r="C351" s="40"/>
      <c r="D351" s="41"/>
      <c r="E351" s="40"/>
      <c r="F351" s="40"/>
    </row>
    <row r="352">
      <c r="A352" s="39" t="str">
        <f t="shared" si="1"/>
        <v/>
      </c>
      <c r="B352" s="39"/>
      <c r="C352" s="40"/>
      <c r="D352" s="41"/>
      <c r="E352" s="40"/>
      <c r="F352" s="40"/>
    </row>
    <row r="353">
      <c r="A353" s="39" t="str">
        <f t="shared" si="1"/>
        <v/>
      </c>
      <c r="B353" s="39"/>
      <c r="C353" s="40"/>
      <c r="D353" s="41"/>
      <c r="E353" s="40"/>
      <c r="F353" s="40"/>
    </row>
    <row r="354">
      <c r="A354" s="39" t="str">
        <f t="shared" si="1"/>
        <v/>
      </c>
      <c r="B354" s="39"/>
      <c r="C354" s="40"/>
      <c r="D354" s="41"/>
      <c r="E354" s="40"/>
      <c r="F354" s="40"/>
    </row>
    <row r="355">
      <c r="A355" s="39" t="str">
        <f t="shared" si="1"/>
        <v/>
      </c>
      <c r="B355" s="39"/>
      <c r="C355" s="40"/>
      <c r="D355" s="41"/>
      <c r="E355" s="40"/>
      <c r="F355" s="40"/>
    </row>
    <row r="356">
      <c r="A356" s="39" t="str">
        <f t="shared" si="1"/>
        <v/>
      </c>
      <c r="B356" s="39"/>
      <c r="C356" s="40"/>
      <c r="D356" s="41"/>
      <c r="E356" s="40"/>
      <c r="F356" s="40"/>
    </row>
    <row r="357">
      <c r="A357" s="39" t="str">
        <f t="shared" si="1"/>
        <v/>
      </c>
      <c r="B357" s="39"/>
      <c r="C357" s="40"/>
      <c r="D357" s="41"/>
      <c r="E357" s="40"/>
      <c r="F357" s="40"/>
    </row>
    <row r="358">
      <c r="A358" s="39" t="str">
        <f t="shared" si="1"/>
        <v/>
      </c>
      <c r="B358" s="39"/>
      <c r="C358" s="40"/>
      <c r="D358" s="41"/>
      <c r="E358" s="40"/>
      <c r="F358" s="40"/>
    </row>
    <row r="359">
      <c r="A359" s="39" t="str">
        <f t="shared" si="1"/>
        <v/>
      </c>
      <c r="B359" s="39"/>
      <c r="C359" s="40"/>
      <c r="D359" s="41"/>
      <c r="E359" s="40"/>
      <c r="F359" s="40"/>
    </row>
    <row r="360">
      <c r="A360" s="39" t="str">
        <f t="shared" si="1"/>
        <v/>
      </c>
      <c r="B360" s="39"/>
      <c r="C360" s="40"/>
      <c r="D360" s="41"/>
      <c r="E360" s="40"/>
      <c r="F360" s="40"/>
    </row>
    <row r="361">
      <c r="A361" s="39" t="str">
        <f t="shared" si="1"/>
        <v/>
      </c>
      <c r="B361" s="39"/>
      <c r="C361" s="40"/>
      <c r="D361" s="41"/>
      <c r="E361" s="40"/>
      <c r="F361" s="40"/>
    </row>
    <row r="362">
      <c r="A362" s="39" t="str">
        <f t="shared" si="1"/>
        <v/>
      </c>
      <c r="B362" s="39"/>
      <c r="C362" s="40"/>
      <c r="D362" s="41"/>
      <c r="E362" s="40"/>
      <c r="F362" s="40"/>
    </row>
    <row r="363">
      <c r="A363" s="39" t="str">
        <f t="shared" si="1"/>
        <v/>
      </c>
      <c r="B363" s="39"/>
      <c r="C363" s="40"/>
      <c r="D363" s="41"/>
      <c r="E363" s="40"/>
      <c r="F363" s="40"/>
    </row>
    <row r="364">
      <c r="A364" s="39" t="str">
        <f t="shared" si="1"/>
        <v/>
      </c>
      <c r="B364" s="39"/>
      <c r="C364" s="40"/>
      <c r="D364" s="41"/>
      <c r="E364" s="40"/>
      <c r="F364" s="40"/>
    </row>
    <row r="365">
      <c r="A365" s="39" t="str">
        <f t="shared" si="1"/>
        <v/>
      </c>
      <c r="B365" s="39"/>
      <c r="C365" s="40"/>
      <c r="D365" s="41"/>
      <c r="E365" s="40"/>
      <c r="F365" s="40"/>
    </row>
    <row r="366">
      <c r="A366" s="39" t="str">
        <f t="shared" si="1"/>
        <v/>
      </c>
      <c r="B366" s="39"/>
      <c r="C366" s="40"/>
      <c r="D366" s="41"/>
      <c r="E366" s="40"/>
      <c r="F366" s="40"/>
    </row>
    <row r="367">
      <c r="A367" s="39" t="str">
        <f t="shared" si="1"/>
        <v/>
      </c>
      <c r="B367" s="39"/>
      <c r="C367" s="40"/>
      <c r="D367" s="41"/>
      <c r="E367" s="40"/>
      <c r="F367" s="40"/>
    </row>
    <row r="368">
      <c r="A368" s="39" t="str">
        <f t="shared" si="1"/>
        <v/>
      </c>
      <c r="B368" s="39"/>
      <c r="C368" s="40"/>
      <c r="D368" s="41"/>
      <c r="E368" s="40"/>
      <c r="F368" s="40"/>
    </row>
    <row r="369">
      <c r="A369" s="39" t="str">
        <f t="shared" si="1"/>
        <v/>
      </c>
      <c r="B369" s="39"/>
      <c r="C369" s="40"/>
      <c r="D369" s="41"/>
      <c r="E369" s="40"/>
      <c r="F369" s="40"/>
    </row>
    <row r="370">
      <c r="A370" s="39" t="str">
        <f t="shared" si="1"/>
        <v/>
      </c>
      <c r="B370" s="39"/>
      <c r="C370" s="40"/>
      <c r="D370" s="41"/>
      <c r="E370" s="40"/>
      <c r="F370" s="40"/>
    </row>
    <row r="371">
      <c r="A371" s="39" t="str">
        <f t="shared" si="1"/>
        <v/>
      </c>
      <c r="B371" s="39"/>
      <c r="C371" s="40"/>
      <c r="D371" s="41"/>
      <c r="E371" s="40"/>
      <c r="F371" s="40"/>
    </row>
    <row r="372">
      <c r="A372" s="39" t="str">
        <f t="shared" si="1"/>
        <v/>
      </c>
      <c r="B372" s="39"/>
      <c r="C372" s="40"/>
      <c r="D372" s="41"/>
      <c r="E372" s="40"/>
      <c r="F372" s="40"/>
    </row>
    <row r="373">
      <c r="A373" s="39" t="str">
        <f t="shared" si="1"/>
        <v/>
      </c>
      <c r="B373" s="39"/>
      <c r="C373" s="40"/>
      <c r="D373" s="41"/>
      <c r="E373" s="40"/>
      <c r="F373" s="40"/>
    </row>
    <row r="374">
      <c r="A374" s="39" t="str">
        <f t="shared" si="1"/>
        <v/>
      </c>
      <c r="B374" s="39"/>
      <c r="C374" s="40"/>
      <c r="D374" s="41"/>
      <c r="E374" s="40"/>
      <c r="F374" s="40"/>
    </row>
    <row r="375">
      <c r="A375" s="39" t="str">
        <f t="shared" si="1"/>
        <v/>
      </c>
      <c r="B375" s="39"/>
      <c r="C375" s="40"/>
      <c r="D375" s="41"/>
      <c r="E375" s="40"/>
      <c r="F375" s="40"/>
    </row>
    <row r="376">
      <c r="A376" s="39" t="str">
        <f t="shared" si="1"/>
        <v/>
      </c>
      <c r="B376" s="39"/>
      <c r="C376" s="40"/>
      <c r="D376" s="41"/>
      <c r="E376" s="40"/>
      <c r="F376" s="40"/>
    </row>
    <row r="377">
      <c r="A377" s="39" t="str">
        <f t="shared" si="1"/>
        <v/>
      </c>
      <c r="B377" s="39"/>
      <c r="C377" s="40"/>
      <c r="D377" s="41"/>
      <c r="E377" s="40"/>
      <c r="F377" s="40"/>
    </row>
    <row r="378">
      <c r="A378" s="39" t="str">
        <f t="shared" si="1"/>
        <v/>
      </c>
      <c r="B378" s="39"/>
      <c r="C378" s="40"/>
      <c r="D378" s="41"/>
      <c r="E378" s="40"/>
      <c r="F378" s="40"/>
    </row>
    <row r="379">
      <c r="A379" s="39" t="str">
        <f t="shared" si="1"/>
        <v/>
      </c>
      <c r="B379" s="39"/>
      <c r="C379" s="40"/>
      <c r="D379" s="41"/>
      <c r="E379" s="40"/>
      <c r="F379" s="40"/>
    </row>
    <row r="380">
      <c r="A380" s="39" t="str">
        <f t="shared" si="1"/>
        <v/>
      </c>
      <c r="B380" s="39"/>
      <c r="C380" s="40"/>
      <c r="D380" s="41"/>
      <c r="E380" s="40"/>
      <c r="F380" s="40"/>
    </row>
    <row r="381">
      <c r="A381" s="39" t="str">
        <f t="shared" si="1"/>
        <v/>
      </c>
      <c r="B381" s="39"/>
      <c r="C381" s="40"/>
      <c r="D381" s="41"/>
      <c r="E381" s="40"/>
      <c r="F381" s="40"/>
    </row>
    <row r="382">
      <c r="A382" s="39" t="str">
        <f t="shared" si="1"/>
        <v/>
      </c>
      <c r="B382" s="39"/>
      <c r="C382" s="40"/>
      <c r="D382" s="41"/>
      <c r="E382" s="40"/>
      <c r="F382" s="40"/>
    </row>
    <row r="383">
      <c r="A383" s="39" t="str">
        <f t="shared" si="1"/>
        <v/>
      </c>
      <c r="B383" s="39"/>
      <c r="C383" s="40"/>
      <c r="D383" s="41"/>
      <c r="E383" s="40"/>
      <c r="F383" s="40"/>
    </row>
    <row r="384">
      <c r="A384" s="39" t="str">
        <f t="shared" si="1"/>
        <v/>
      </c>
      <c r="B384" s="39"/>
      <c r="C384" s="40"/>
      <c r="D384" s="41"/>
      <c r="E384" s="40"/>
      <c r="F384" s="40"/>
    </row>
    <row r="385">
      <c r="A385" s="39" t="str">
        <f t="shared" si="1"/>
        <v/>
      </c>
      <c r="B385" s="39"/>
      <c r="C385" s="40"/>
      <c r="D385" s="41"/>
      <c r="E385" s="40"/>
      <c r="F385" s="40"/>
    </row>
    <row r="386">
      <c r="A386" s="39" t="str">
        <f t="shared" si="1"/>
        <v/>
      </c>
      <c r="B386" s="39"/>
      <c r="C386" s="40"/>
      <c r="D386" s="41"/>
      <c r="E386" s="40"/>
      <c r="F386" s="40"/>
    </row>
    <row r="387">
      <c r="A387" s="39" t="str">
        <f t="shared" si="1"/>
        <v/>
      </c>
      <c r="B387" s="39"/>
      <c r="C387" s="40"/>
      <c r="D387" s="41"/>
      <c r="E387" s="40"/>
      <c r="F387" s="40"/>
    </row>
    <row r="388">
      <c r="A388" s="39" t="str">
        <f t="shared" si="1"/>
        <v/>
      </c>
      <c r="B388" s="39"/>
      <c r="C388" s="40"/>
      <c r="D388" s="41"/>
      <c r="E388" s="40"/>
      <c r="F388" s="40"/>
    </row>
    <row r="389">
      <c r="A389" s="39" t="str">
        <f t="shared" si="1"/>
        <v/>
      </c>
      <c r="B389" s="39"/>
      <c r="C389" s="40"/>
      <c r="D389" s="41"/>
      <c r="E389" s="40"/>
      <c r="F389" s="40"/>
    </row>
    <row r="390">
      <c r="A390" s="39" t="str">
        <f t="shared" si="1"/>
        <v/>
      </c>
      <c r="B390" s="39"/>
      <c r="C390" s="40"/>
      <c r="D390" s="41"/>
      <c r="E390" s="40"/>
      <c r="F390" s="40"/>
    </row>
    <row r="391">
      <c r="A391" s="39" t="str">
        <f t="shared" si="1"/>
        <v/>
      </c>
      <c r="B391" s="39"/>
      <c r="C391" s="40"/>
      <c r="D391" s="41"/>
      <c r="E391" s="40"/>
      <c r="F391" s="40"/>
    </row>
    <row r="392">
      <c r="A392" s="39" t="str">
        <f t="shared" si="1"/>
        <v/>
      </c>
      <c r="B392" s="39"/>
      <c r="C392" s="40"/>
      <c r="D392" s="41"/>
      <c r="E392" s="40"/>
      <c r="F392" s="40"/>
    </row>
    <row r="393">
      <c r="A393" s="39" t="str">
        <f t="shared" si="1"/>
        <v/>
      </c>
      <c r="B393" s="39"/>
      <c r="C393" s="40"/>
      <c r="D393" s="41"/>
      <c r="E393" s="40"/>
      <c r="F393" s="40"/>
    </row>
    <row r="394">
      <c r="A394" s="39" t="str">
        <f t="shared" si="1"/>
        <v/>
      </c>
      <c r="B394" s="39"/>
      <c r="C394" s="40"/>
      <c r="D394" s="41"/>
      <c r="E394" s="40"/>
      <c r="F394" s="40"/>
    </row>
    <row r="395">
      <c r="A395" s="39" t="str">
        <f t="shared" si="1"/>
        <v/>
      </c>
      <c r="B395" s="39"/>
      <c r="C395" s="40"/>
      <c r="D395" s="41"/>
      <c r="E395" s="40"/>
      <c r="F395" s="40"/>
    </row>
    <row r="396">
      <c r="A396" s="39" t="str">
        <f t="shared" si="1"/>
        <v/>
      </c>
      <c r="B396" s="39"/>
      <c r="C396" s="40"/>
      <c r="D396" s="41"/>
      <c r="E396" s="40"/>
      <c r="F396" s="40"/>
    </row>
    <row r="397">
      <c r="A397" s="39" t="str">
        <f t="shared" si="1"/>
        <v/>
      </c>
      <c r="B397" s="39"/>
      <c r="C397" s="40"/>
      <c r="D397" s="41"/>
      <c r="E397" s="40"/>
      <c r="F397" s="40"/>
    </row>
    <row r="398">
      <c r="A398" s="39" t="str">
        <f t="shared" si="1"/>
        <v/>
      </c>
      <c r="B398" s="39"/>
      <c r="C398" s="40"/>
      <c r="D398" s="41"/>
      <c r="E398" s="40"/>
      <c r="F398" s="40"/>
    </row>
    <row r="399">
      <c r="A399" s="39" t="str">
        <f t="shared" si="1"/>
        <v/>
      </c>
      <c r="B399" s="39"/>
      <c r="C399" s="40"/>
      <c r="D399" s="41"/>
      <c r="E399" s="40"/>
      <c r="F399" s="40"/>
    </row>
    <row r="400">
      <c r="A400" s="39" t="str">
        <f t="shared" si="1"/>
        <v/>
      </c>
      <c r="B400" s="39"/>
      <c r="C400" s="40"/>
      <c r="D400" s="41"/>
      <c r="E400" s="40"/>
      <c r="F400" s="40"/>
    </row>
    <row r="401">
      <c r="A401" s="39" t="str">
        <f t="shared" si="1"/>
        <v/>
      </c>
      <c r="B401" s="39"/>
      <c r="C401" s="40"/>
      <c r="D401" s="41"/>
      <c r="E401" s="40"/>
      <c r="F401" s="40"/>
    </row>
    <row r="402">
      <c r="A402" s="39" t="str">
        <f t="shared" si="1"/>
        <v/>
      </c>
      <c r="B402" s="39"/>
      <c r="C402" s="40"/>
      <c r="D402" s="41"/>
      <c r="E402" s="40"/>
      <c r="F402" s="40"/>
    </row>
    <row r="403">
      <c r="A403" s="39" t="str">
        <f t="shared" si="1"/>
        <v/>
      </c>
      <c r="B403" s="39"/>
      <c r="C403" s="40"/>
      <c r="D403" s="41"/>
      <c r="E403" s="40"/>
      <c r="F403" s="40"/>
    </row>
    <row r="404">
      <c r="A404" s="39" t="str">
        <f t="shared" si="1"/>
        <v/>
      </c>
      <c r="B404" s="39"/>
      <c r="C404" s="40"/>
      <c r="D404" s="41"/>
      <c r="E404" s="40"/>
      <c r="F404" s="40"/>
    </row>
    <row r="405">
      <c r="A405" s="39" t="str">
        <f t="shared" si="1"/>
        <v/>
      </c>
      <c r="B405" s="39"/>
      <c r="C405" s="40"/>
      <c r="D405" s="41"/>
      <c r="E405" s="40"/>
      <c r="F405" s="40"/>
    </row>
    <row r="406">
      <c r="A406" s="39" t="str">
        <f t="shared" si="1"/>
        <v/>
      </c>
      <c r="B406" s="39"/>
      <c r="C406" s="40"/>
      <c r="D406" s="41"/>
      <c r="E406" s="40"/>
      <c r="F406" s="40"/>
    </row>
    <row r="407">
      <c r="A407" s="39" t="str">
        <f t="shared" si="1"/>
        <v/>
      </c>
      <c r="B407" s="39"/>
      <c r="C407" s="40"/>
      <c r="D407" s="41"/>
      <c r="E407" s="40"/>
      <c r="F407" s="40"/>
    </row>
    <row r="408">
      <c r="A408" s="39" t="str">
        <f t="shared" si="1"/>
        <v/>
      </c>
      <c r="B408" s="39"/>
      <c r="C408" s="40"/>
      <c r="D408" s="41"/>
      <c r="E408" s="40"/>
      <c r="F408" s="40"/>
    </row>
    <row r="409">
      <c r="A409" s="39" t="str">
        <f t="shared" si="1"/>
        <v/>
      </c>
      <c r="B409" s="39"/>
      <c r="C409" s="40"/>
      <c r="D409" s="41"/>
      <c r="E409" s="40"/>
      <c r="F409" s="40"/>
    </row>
    <row r="410">
      <c r="A410" s="39" t="str">
        <f t="shared" si="1"/>
        <v/>
      </c>
      <c r="B410" s="39"/>
      <c r="C410" s="40"/>
      <c r="D410" s="41"/>
      <c r="E410" s="40"/>
      <c r="F410" s="40"/>
    </row>
    <row r="411">
      <c r="A411" s="39" t="str">
        <f t="shared" si="1"/>
        <v/>
      </c>
      <c r="B411" s="39"/>
      <c r="C411" s="40"/>
      <c r="D411" s="41"/>
      <c r="E411" s="40"/>
      <c r="F411" s="40"/>
    </row>
    <row r="412">
      <c r="A412" s="39" t="str">
        <f t="shared" si="1"/>
        <v/>
      </c>
      <c r="B412" s="39"/>
      <c r="C412" s="40"/>
      <c r="D412" s="41"/>
      <c r="E412" s="40"/>
      <c r="F412" s="40"/>
    </row>
    <row r="413">
      <c r="A413" s="39" t="str">
        <f t="shared" si="1"/>
        <v/>
      </c>
      <c r="B413" s="39"/>
      <c r="C413" s="40"/>
      <c r="D413" s="41"/>
      <c r="E413" s="40"/>
      <c r="F413" s="40"/>
    </row>
    <row r="414">
      <c r="A414" s="39" t="str">
        <f t="shared" si="1"/>
        <v/>
      </c>
      <c r="B414" s="39"/>
      <c r="C414" s="40"/>
      <c r="D414" s="41"/>
      <c r="E414" s="40"/>
      <c r="F414" s="40"/>
    </row>
    <row r="415">
      <c r="A415" s="39" t="str">
        <f t="shared" si="1"/>
        <v/>
      </c>
      <c r="B415" s="39"/>
      <c r="C415" s="40"/>
      <c r="D415" s="41"/>
      <c r="E415" s="40"/>
      <c r="F415" s="40"/>
    </row>
    <row r="416">
      <c r="A416" s="39" t="str">
        <f t="shared" si="1"/>
        <v/>
      </c>
      <c r="B416" s="39"/>
      <c r="C416" s="40"/>
      <c r="D416" s="41"/>
      <c r="E416" s="40"/>
      <c r="F416" s="40"/>
    </row>
    <row r="417">
      <c r="A417" s="39" t="str">
        <f t="shared" si="1"/>
        <v/>
      </c>
      <c r="B417" s="39"/>
      <c r="C417" s="40"/>
      <c r="D417" s="41"/>
      <c r="E417" s="40"/>
      <c r="F417" s="40"/>
    </row>
    <row r="418">
      <c r="A418" s="39" t="str">
        <f t="shared" si="1"/>
        <v/>
      </c>
      <c r="B418" s="39"/>
      <c r="C418" s="40"/>
      <c r="D418" s="41"/>
      <c r="E418" s="40"/>
      <c r="F418" s="40"/>
    </row>
    <row r="419">
      <c r="A419" s="39" t="str">
        <f t="shared" si="1"/>
        <v/>
      </c>
      <c r="B419" s="39"/>
      <c r="C419" s="40"/>
      <c r="D419" s="41"/>
      <c r="E419" s="40"/>
      <c r="F419" s="40"/>
    </row>
    <row r="420">
      <c r="A420" s="39" t="str">
        <f t="shared" si="1"/>
        <v/>
      </c>
      <c r="B420" s="39"/>
      <c r="C420" s="40"/>
      <c r="D420" s="41"/>
      <c r="E420" s="40"/>
      <c r="F420" s="40"/>
    </row>
    <row r="421">
      <c r="A421" s="39" t="str">
        <f t="shared" si="1"/>
        <v/>
      </c>
      <c r="B421" s="39"/>
      <c r="C421" s="40"/>
      <c r="D421" s="41"/>
      <c r="E421" s="40"/>
      <c r="F421" s="40"/>
    </row>
    <row r="422">
      <c r="A422" s="39" t="str">
        <f t="shared" si="1"/>
        <v/>
      </c>
      <c r="B422" s="39"/>
      <c r="C422" s="40"/>
      <c r="D422" s="41"/>
      <c r="E422" s="40"/>
      <c r="F422" s="40"/>
    </row>
    <row r="423">
      <c r="A423" s="39" t="str">
        <f t="shared" si="1"/>
        <v/>
      </c>
      <c r="B423" s="39"/>
      <c r="C423" s="40"/>
      <c r="D423" s="41"/>
      <c r="E423" s="40"/>
      <c r="F423" s="40"/>
    </row>
    <row r="424">
      <c r="A424" s="39" t="str">
        <f t="shared" si="1"/>
        <v/>
      </c>
      <c r="B424" s="39"/>
      <c r="C424" s="40"/>
      <c r="D424" s="41"/>
      <c r="E424" s="40"/>
      <c r="F424" s="40"/>
    </row>
    <row r="425">
      <c r="A425" s="39" t="str">
        <f t="shared" si="1"/>
        <v/>
      </c>
      <c r="B425" s="39"/>
      <c r="C425" s="40"/>
      <c r="D425" s="41"/>
      <c r="E425" s="40"/>
      <c r="F425" s="40"/>
    </row>
    <row r="426">
      <c r="A426" s="39" t="str">
        <f t="shared" si="1"/>
        <v/>
      </c>
      <c r="B426" s="39"/>
      <c r="C426" s="40"/>
      <c r="D426" s="41"/>
      <c r="E426" s="40"/>
      <c r="F426" s="40"/>
    </row>
    <row r="427">
      <c r="A427" s="39" t="str">
        <f t="shared" si="1"/>
        <v/>
      </c>
      <c r="B427" s="39"/>
      <c r="C427" s="40"/>
      <c r="D427" s="41"/>
      <c r="E427" s="40"/>
      <c r="F427" s="40"/>
    </row>
    <row r="428">
      <c r="A428" s="39" t="str">
        <f t="shared" si="1"/>
        <v/>
      </c>
      <c r="B428" s="39"/>
      <c r="C428" s="40"/>
      <c r="D428" s="41"/>
      <c r="E428" s="40"/>
      <c r="F428" s="40"/>
    </row>
    <row r="429">
      <c r="A429" s="39" t="str">
        <f t="shared" si="1"/>
        <v/>
      </c>
      <c r="B429" s="39"/>
      <c r="C429" s="40"/>
      <c r="D429" s="41"/>
      <c r="E429" s="40"/>
      <c r="F429" s="40"/>
    </row>
    <row r="430">
      <c r="A430" s="39" t="str">
        <f t="shared" si="1"/>
        <v/>
      </c>
      <c r="B430" s="39"/>
      <c r="C430" s="40"/>
      <c r="D430" s="41"/>
      <c r="E430" s="40"/>
      <c r="F430" s="40"/>
    </row>
    <row r="431">
      <c r="A431" s="39" t="str">
        <f t="shared" si="1"/>
        <v/>
      </c>
      <c r="B431" s="39"/>
      <c r="C431" s="40"/>
      <c r="D431" s="41"/>
      <c r="E431" s="40"/>
      <c r="F431" s="40"/>
    </row>
    <row r="432">
      <c r="A432" s="39" t="str">
        <f t="shared" si="1"/>
        <v/>
      </c>
      <c r="B432" s="39"/>
      <c r="C432" s="40"/>
      <c r="D432" s="41"/>
      <c r="E432" s="40"/>
      <c r="F432" s="40"/>
    </row>
    <row r="433">
      <c r="A433" s="39" t="str">
        <f t="shared" si="1"/>
        <v/>
      </c>
      <c r="B433" s="39"/>
      <c r="C433" s="40"/>
      <c r="D433" s="41"/>
      <c r="E433" s="40"/>
      <c r="F433" s="40"/>
    </row>
    <row r="434">
      <c r="A434" s="39" t="str">
        <f t="shared" si="1"/>
        <v/>
      </c>
      <c r="B434" s="39"/>
      <c r="C434" s="40"/>
      <c r="D434" s="41"/>
      <c r="E434" s="40"/>
      <c r="F434" s="40"/>
    </row>
    <row r="435">
      <c r="A435" s="39" t="str">
        <f t="shared" si="1"/>
        <v/>
      </c>
      <c r="B435" s="39"/>
      <c r="C435" s="40"/>
      <c r="D435" s="41"/>
      <c r="E435" s="40"/>
      <c r="F435" s="40"/>
    </row>
    <row r="436">
      <c r="A436" s="39" t="str">
        <f t="shared" si="1"/>
        <v/>
      </c>
      <c r="B436" s="39"/>
      <c r="C436" s="40"/>
      <c r="D436" s="41"/>
      <c r="E436" s="40"/>
      <c r="F436" s="40"/>
    </row>
    <row r="437">
      <c r="A437" s="39" t="str">
        <f t="shared" si="1"/>
        <v/>
      </c>
      <c r="B437" s="39"/>
      <c r="C437" s="40"/>
      <c r="D437" s="41"/>
      <c r="E437" s="40"/>
      <c r="F437" s="40"/>
    </row>
    <row r="438">
      <c r="A438" s="39" t="str">
        <f t="shared" si="1"/>
        <v/>
      </c>
      <c r="B438" s="39"/>
      <c r="C438" s="40"/>
      <c r="D438" s="41"/>
      <c r="E438" s="40"/>
      <c r="F438" s="40"/>
    </row>
    <row r="439">
      <c r="A439" s="39" t="str">
        <f t="shared" si="1"/>
        <v/>
      </c>
      <c r="B439" s="39"/>
      <c r="C439" s="40"/>
      <c r="D439" s="41"/>
      <c r="E439" s="40"/>
      <c r="F439" s="40"/>
    </row>
    <row r="440">
      <c r="A440" s="39" t="str">
        <f t="shared" si="1"/>
        <v/>
      </c>
      <c r="B440" s="39"/>
      <c r="C440" s="40"/>
      <c r="D440" s="41"/>
      <c r="E440" s="40"/>
      <c r="F440" s="40"/>
    </row>
    <row r="441">
      <c r="A441" s="39" t="str">
        <f t="shared" si="1"/>
        <v/>
      </c>
      <c r="B441" s="39"/>
      <c r="C441" s="40"/>
      <c r="D441" s="41"/>
      <c r="E441" s="40"/>
      <c r="F441" s="40"/>
    </row>
    <row r="442">
      <c r="A442" s="39" t="str">
        <f t="shared" si="1"/>
        <v/>
      </c>
      <c r="B442" s="39"/>
      <c r="C442" s="40"/>
      <c r="D442" s="41"/>
      <c r="E442" s="40"/>
      <c r="F442" s="40"/>
    </row>
    <row r="443">
      <c r="A443" s="39" t="str">
        <f t="shared" si="1"/>
        <v/>
      </c>
      <c r="B443" s="39"/>
      <c r="C443" s="40"/>
      <c r="D443" s="41"/>
      <c r="E443" s="40"/>
      <c r="F443" s="40"/>
    </row>
    <row r="444">
      <c r="A444" s="39" t="str">
        <f t="shared" si="1"/>
        <v/>
      </c>
      <c r="B444" s="39"/>
      <c r="C444" s="40"/>
      <c r="D444" s="41"/>
      <c r="E444" s="40"/>
      <c r="F444" s="40"/>
    </row>
    <row r="445">
      <c r="A445" s="39" t="str">
        <f t="shared" si="1"/>
        <v/>
      </c>
      <c r="B445" s="39"/>
      <c r="C445" s="40"/>
      <c r="D445" s="41"/>
      <c r="E445" s="40"/>
      <c r="F445" s="40"/>
    </row>
    <row r="446">
      <c r="A446" s="39" t="str">
        <f t="shared" si="1"/>
        <v/>
      </c>
      <c r="B446" s="39"/>
      <c r="C446" s="40"/>
      <c r="D446" s="41"/>
      <c r="E446" s="40"/>
      <c r="F446" s="40"/>
    </row>
    <row r="447">
      <c r="A447" s="39" t="str">
        <f t="shared" si="1"/>
        <v/>
      </c>
      <c r="B447" s="39"/>
      <c r="C447" s="40"/>
      <c r="D447" s="41"/>
      <c r="E447" s="40"/>
      <c r="F447" s="40"/>
    </row>
    <row r="448">
      <c r="A448" s="39" t="str">
        <f t="shared" si="1"/>
        <v/>
      </c>
      <c r="B448" s="39"/>
      <c r="C448" s="40"/>
      <c r="D448" s="41"/>
      <c r="E448" s="40"/>
      <c r="F448" s="40"/>
    </row>
    <row r="449">
      <c r="A449" s="39" t="str">
        <f t="shared" si="1"/>
        <v/>
      </c>
      <c r="B449" s="39"/>
      <c r="C449" s="40"/>
      <c r="D449" s="41"/>
      <c r="E449" s="40"/>
      <c r="F449" s="40"/>
    </row>
    <row r="450">
      <c r="A450" s="39" t="str">
        <f t="shared" si="1"/>
        <v/>
      </c>
      <c r="B450" s="39"/>
      <c r="C450" s="40"/>
      <c r="D450" s="41"/>
      <c r="E450" s="40"/>
      <c r="F450" s="40"/>
    </row>
    <row r="451">
      <c r="A451" s="39" t="str">
        <f t="shared" si="1"/>
        <v/>
      </c>
      <c r="B451" s="39"/>
      <c r="C451" s="40"/>
      <c r="D451" s="41"/>
      <c r="E451" s="40"/>
      <c r="F451" s="40"/>
    </row>
    <row r="452">
      <c r="A452" s="39" t="str">
        <f t="shared" si="1"/>
        <v/>
      </c>
      <c r="B452" s="39"/>
      <c r="C452" s="40"/>
      <c r="D452" s="41"/>
      <c r="E452" s="40"/>
      <c r="F452" s="40"/>
    </row>
    <row r="453">
      <c r="A453" s="39" t="str">
        <f t="shared" si="1"/>
        <v/>
      </c>
      <c r="B453" s="39"/>
      <c r="C453" s="40"/>
      <c r="D453" s="41"/>
      <c r="E453" s="40"/>
      <c r="F453" s="40"/>
    </row>
    <row r="454">
      <c r="A454" s="39" t="str">
        <f t="shared" si="1"/>
        <v/>
      </c>
      <c r="B454" s="39"/>
      <c r="C454" s="40"/>
      <c r="D454" s="41"/>
      <c r="E454" s="40"/>
      <c r="F454" s="40"/>
    </row>
    <row r="455">
      <c r="A455" s="39" t="str">
        <f t="shared" si="1"/>
        <v/>
      </c>
      <c r="B455" s="39"/>
      <c r="C455" s="40"/>
      <c r="D455" s="41"/>
      <c r="E455" s="40"/>
      <c r="F455" s="40"/>
    </row>
    <row r="456">
      <c r="A456" s="39" t="str">
        <f t="shared" si="1"/>
        <v/>
      </c>
      <c r="B456" s="39"/>
      <c r="C456" s="40"/>
      <c r="D456" s="41"/>
      <c r="E456" s="40"/>
      <c r="F456" s="40"/>
    </row>
    <row r="457">
      <c r="A457" s="39" t="str">
        <f t="shared" si="1"/>
        <v/>
      </c>
      <c r="B457" s="39"/>
      <c r="C457" s="40"/>
      <c r="D457" s="41"/>
      <c r="E457" s="40"/>
      <c r="F457" s="40"/>
    </row>
    <row r="458">
      <c r="A458" s="39" t="str">
        <f t="shared" si="1"/>
        <v/>
      </c>
      <c r="B458" s="39"/>
      <c r="C458" s="40"/>
      <c r="D458" s="41"/>
      <c r="E458" s="40"/>
      <c r="F458" s="40"/>
    </row>
    <row r="459">
      <c r="A459" s="39" t="str">
        <f t="shared" si="1"/>
        <v/>
      </c>
      <c r="B459" s="39"/>
      <c r="C459" s="40"/>
      <c r="D459" s="41"/>
      <c r="E459" s="40"/>
      <c r="F459" s="40"/>
    </row>
    <row r="460">
      <c r="A460" s="39" t="str">
        <f t="shared" si="1"/>
        <v/>
      </c>
      <c r="B460" s="39"/>
      <c r="C460" s="40"/>
      <c r="D460" s="41"/>
      <c r="E460" s="40"/>
      <c r="F460" s="40"/>
    </row>
    <row r="461">
      <c r="A461" s="39" t="str">
        <f t="shared" si="1"/>
        <v/>
      </c>
      <c r="B461" s="39"/>
      <c r="C461" s="40"/>
      <c r="D461" s="41"/>
      <c r="E461" s="40"/>
      <c r="F461" s="40"/>
    </row>
    <row r="462">
      <c r="A462" s="39" t="str">
        <f t="shared" si="1"/>
        <v/>
      </c>
      <c r="B462" s="39"/>
      <c r="C462" s="40"/>
      <c r="D462" s="41"/>
      <c r="E462" s="40"/>
      <c r="F462" s="40"/>
    </row>
    <row r="463">
      <c r="A463" s="39" t="str">
        <f t="shared" si="1"/>
        <v/>
      </c>
      <c r="B463" s="39"/>
      <c r="C463" s="40"/>
      <c r="D463" s="41"/>
      <c r="E463" s="40"/>
      <c r="F463" s="40"/>
    </row>
    <row r="464">
      <c r="A464" s="39" t="str">
        <f t="shared" si="1"/>
        <v/>
      </c>
      <c r="B464" s="39"/>
      <c r="C464" s="40"/>
      <c r="D464" s="41"/>
      <c r="E464" s="40"/>
      <c r="F464" s="40"/>
    </row>
    <row r="465">
      <c r="A465" s="39" t="str">
        <f t="shared" si="1"/>
        <v/>
      </c>
      <c r="B465" s="39"/>
      <c r="C465" s="40"/>
      <c r="D465" s="41"/>
      <c r="E465" s="40"/>
      <c r="F465" s="40"/>
    </row>
    <row r="466">
      <c r="A466" s="39" t="str">
        <f t="shared" si="1"/>
        <v/>
      </c>
      <c r="B466" s="39"/>
      <c r="C466" s="40"/>
      <c r="D466" s="41"/>
      <c r="E466" s="40"/>
      <c r="F466" s="40"/>
    </row>
    <row r="467">
      <c r="A467" s="39" t="str">
        <f t="shared" si="1"/>
        <v/>
      </c>
      <c r="B467" s="39"/>
      <c r="C467" s="40"/>
      <c r="D467" s="41"/>
      <c r="E467" s="40"/>
      <c r="F467" s="40"/>
    </row>
    <row r="468">
      <c r="A468" s="39" t="str">
        <f t="shared" si="1"/>
        <v/>
      </c>
      <c r="B468" s="39"/>
      <c r="C468" s="40"/>
      <c r="D468" s="41"/>
      <c r="E468" s="40"/>
      <c r="F468" s="40"/>
    </row>
    <row r="469">
      <c r="A469" s="39" t="str">
        <f t="shared" si="1"/>
        <v/>
      </c>
      <c r="B469" s="39"/>
      <c r="C469" s="40"/>
      <c r="D469" s="41"/>
      <c r="E469" s="40"/>
      <c r="F469" s="40"/>
    </row>
    <row r="470">
      <c r="A470" s="39" t="str">
        <f t="shared" si="1"/>
        <v/>
      </c>
      <c r="B470" s="39"/>
      <c r="C470" s="40"/>
      <c r="D470" s="41"/>
      <c r="E470" s="40"/>
      <c r="F470" s="40"/>
    </row>
    <row r="471">
      <c r="A471" s="39" t="str">
        <f t="shared" si="1"/>
        <v/>
      </c>
      <c r="B471" s="39"/>
      <c r="C471" s="40"/>
      <c r="D471" s="41"/>
      <c r="E471" s="40"/>
      <c r="F471" s="40"/>
    </row>
    <row r="472">
      <c r="A472" s="39" t="str">
        <f t="shared" si="1"/>
        <v/>
      </c>
      <c r="B472" s="39"/>
      <c r="C472" s="40"/>
      <c r="D472" s="41"/>
      <c r="E472" s="40"/>
      <c r="F472" s="40"/>
    </row>
    <row r="473">
      <c r="A473" s="39" t="str">
        <f t="shared" si="1"/>
        <v/>
      </c>
      <c r="B473" s="39"/>
      <c r="C473" s="40"/>
      <c r="D473" s="41"/>
      <c r="E473" s="40"/>
      <c r="F473" s="40"/>
    </row>
    <row r="474">
      <c r="A474" s="39" t="str">
        <f t="shared" si="1"/>
        <v/>
      </c>
      <c r="B474" s="39"/>
      <c r="C474" s="40"/>
      <c r="D474" s="41"/>
      <c r="E474" s="40"/>
      <c r="F474" s="40"/>
    </row>
    <row r="475">
      <c r="A475" s="39" t="str">
        <f t="shared" si="1"/>
        <v/>
      </c>
      <c r="B475" s="39"/>
      <c r="C475" s="40"/>
      <c r="D475" s="41"/>
      <c r="E475" s="40"/>
      <c r="F475" s="40"/>
    </row>
    <row r="476">
      <c r="A476" s="39" t="str">
        <f t="shared" si="1"/>
        <v/>
      </c>
      <c r="B476" s="39"/>
      <c r="C476" s="40"/>
      <c r="D476" s="41"/>
      <c r="E476" s="40"/>
      <c r="F476" s="40"/>
    </row>
    <row r="477">
      <c r="A477" s="39" t="str">
        <f t="shared" si="1"/>
        <v/>
      </c>
      <c r="B477" s="39"/>
      <c r="C477" s="40"/>
      <c r="D477" s="41"/>
      <c r="E477" s="40"/>
      <c r="F477" s="40"/>
    </row>
    <row r="478">
      <c r="A478" s="39" t="str">
        <f t="shared" si="1"/>
        <v/>
      </c>
      <c r="B478" s="39"/>
      <c r="C478" s="40"/>
      <c r="D478" s="41"/>
      <c r="E478" s="40"/>
      <c r="F478" s="40"/>
    </row>
    <row r="479">
      <c r="A479" s="39" t="str">
        <f t="shared" si="1"/>
        <v/>
      </c>
      <c r="B479" s="39"/>
      <c r="C479" s="40"/>
      <c r="D479" s="41"/>
      <c r="E479" s="40"/>
      <c r="F479" s="40"/>
    </row>
    <row r="480">
      <c r="A480" s="39" t="str">
        <f t="shared" si="1"/>
        <v/>
      </c>
      <c r="B480" s="39"/>
      <c r="C480" s="40"/>
      <c r="D480" s="41"/>
      <c r="E480" s="40"/>
      <c r="F480" s="40"/>
    </row>
    <row r="481">
      <c r="A481" s="39" t="str">
        <f t="shared" si="1"/>
        <v/>
      </c>
      <c r="B481" s="39"/>
      <c r="C481" s="40"/>
      <c r="D481" s="41"/>
      <c r="E481" s="40"/>
      <c r="F481" s="40"/>
    </row>
    <row r="482">
      <c r="A482" s="39" t="str">
        <f t="shared" si="1"/>
        <v/>
      </c>
      <c r="B482" s="39"/>
      <c r="C482" s="40"/>
      <c r="D482" s="41"/>
      <c r="E482" s="40"/>
      <c r="F482" s="40"/>
    </row>
    <row r="483">
      <c r="A483" s="39" t="str">
        <f t="shared" si="1"/>
        <v/>
      </c>
      <c r="B483" s="39"/>
      <c r="C483" s="40"/>
      <c r="D483" s="41"/>
      <c r="E483" s="40"/>
      <c r="F483" s="40"/>
    </row>
    <row r="484">
      <c r="A484" s="39" t="str">
        <f t="shared" si="1"/>
        <v/>
      </c>
      <c r="B484" s="39"/>
      <c r="C484" s="40"/>
      <c r="D484" s="41"/>
      <c r="E484" s="40"/>
      <c r="F484" s="40"/>
    </row>
    <row r="485">
      <c r="A485" s="39" t="str">
        <f t="shared" si="1"/>
        <v/>
      </c>
      <c r="B485" s="39"/>
      <c r="C485" s="40"/>
      <c r="D485" s="41"/>
      <c r="E485" s="40"/>
      <c r="F485" s="40"/>
    </row>
    <row r="486">
      <c r="A486" s="39" t="str">
        <f t="shared" si="1"/>
        <v/>
      </c>
      <c r="B486" s="39"/>
      <c r="C486" s="40"/>
      <c r="D486" s="41"/>
      <c r="E486" s="40"/>
      <c r="F486" s="40"/>
    </row>
    <row r="487">
      <c r="A487" s="39" t="str">
        <f t="shared" si="1"/>
        <v/>
      </c>
      <c r="B487" s="39"/>
      <c r="C487" s="40"/>
      <c r="D487" s="41"/>
      <c r="E487" s="40"/>
      <c r="F487" s="40"/>
    </row>
    <row r="488">
      <c r="A488" s="39" t="str">
        <f t="shared" si="1"/>
        <v/>
      </c>
      <c r="B488" s="39"/>
      <c r="C488" s="40"/>
      <c r="D488" s="41"/>
      <c r="E488" s="40"/>
      <c r="F488" s="40"/>
    </row>
    <row r="489">
      <c r="A489" s="39" t="str">
        <f t="shared" si="1"/>
        <v/>
      </c>
      <c r="B489" s="39"/>
      <c r="C489" s="40"/>
      <c r="D489" s="41"/>
      <c r="E489" s="40"/>
      <c r="F489" s="40"/>
    </row>
    <row r="490">
      <c r="A490" s="39" t="str">
        <f t="shared" si="1"/>
        <v/>
      </c>
      <c r="B490" s="39"/>
      <c r="C490" s="40"/>
      <c r="D490" s="41"/>
      <c r="E490" s="40"/>
      <c r="F490" s="40"/>
    </row>
    <row r="491">
      <c r="A491" s="39" t="str">
        <f t="shared" si="1"/>
        <v/>
      </c>
      <c r="B491" s="39"/>
      <c r="C491" s="40"/>
      <c r="D491" s="41"/>
      <c r="E491" s="40"/>
      <c r="F491" s="40"/>
    </row>
    <row r="492">
      <c r="A492" s="39" t="str">
        <f t="shared" si="1"/>
        <v/>
      </c>
      <c r="B492" s="39"/>
      <c r="C492" s="40"/>
      <c r="D492" s="41"/>
      <c r="E492" s="40"/>
      <c r="F492" s="40"/>
    </row>
    <row r="493">
      <c r="A493" s="39" t="str">
        <f t="shared" si="1"/>
        <v/>
      </c>
      <c r="B493" s="39"/>
      <c r="C493" s="40"/>
      <c r="D493" s="41"/>
      <c r="E493" s="40"/>
      <c r="F493" s="40"/>
    </row>
    <row r="494">
      <c r="A494" s="39" t="str">
        <f t="shared" si="1"/>
        <v/>
      </c>
      <c r="B494" s="39"/>
      <c r="C494" s="40"/>
      <c r="D494" s="41"/>
      <c r="E494" s="40"/>
      <c r="F494" s="40"/>
    </row>
    <row r="495">
      <c r="A495" s="39" t="str">
        <f t="shared" si="1"/>
        <v/>
      </c>
      <c r="B495" s="39"/>
      <c r="C495" s="40"/>
      <c r="D495" s="41"/>
      <c r="E495" s="40"/>
      <c r="F495" s="40"/>
    </row>
    <row r="496">
      <c r="A496" s="39" t="str">
        <f t="shared" si="1"/>
        <v/>
      </c>
      <c r="B496" s="39"/>
      <c r="C496" s="40"/>
      <c r="D496" s="41"/>
      <c r="E496" s="40"/>
      <c r="F496" s="40"/>
    </row>
    <row r="497">
      <c r="A497" s="39" t="str">
        <f t="shared" si="1"/>
        <v/>
      </c>
      <c r="B497" s="39"/>
      <c r="C497" s="40"/>
      <c r="D497" s="41"/>
      <c r="E497" s="40"/>
      <c r="F497" s="40"/>
    </row>
    <row r="498">
      <c r="A498" s="39" t="str">
        <f t="shared" si="1"/>
        <v/>
      </c>
      <c r="B498" s="39"/>
      <c r="C498" s="40"/>
      <c r="D498" s="41"/>
      <c r="E498" s="40"/>
      <c r="F498" s="40"/>
    </row>
    <row r="499">
      <c r="A499" s="39" t="str">
        <f t="shared" si="1"/>
        <v/>
      </c>
      <c r="B499" s="39"/>
      <c r="C499" s="40"/>
      <c r="D499" s="41"/>
      <c r="E499" s="40"/>
      <c r="F499" s="40"/>
    </row>
    <row r="500">
      <c r="A500" s="39" t="str">
        <f t="shared" si="1"/>
        <v/>
      </c>
      <c r="B500" s="39"/>
      <c r="C500" s="40"/>
      <c r="D500" s="41"/>
      <c r="E500" s="40"/>
      <c r="F500" s="40"/>
    </row>
    <row r="501">
      <c r="A501" s="39" t="str">
        <f t="shared" si="1"/>
        <v/>
      </c>
      <c r="B501" s="39"/>
      <c r="C501" s="40"/>
      <c r="D501" s="41"/>
      <c r="E501" s="40"/>
      <c r="F501" s="40"/>
    </row>
    <row r="502">
      <c r="A502" s="39" t="str">
        <f t="shared" si="1"/>
        <v/>
      </c>
      <c r="B502" s="39"/>
      <c r="C502" s="40"/>
      <c r="D502" s="41"/>
      <c r="E502" s="40"/>
      <c r="F502" s="40"/>
    </row>
    <row r="503">
      <c r="A503" s="39" t="str">
        <f t="shared" si="1"/>
        <v/>
      </c>
      <c r="B503" s="39"/>
      <c r="C503" s="40"/>
      <c r="D503" s="41"/>
      <c r="E503" s="40"/>
      <c r="F503" s="40"/>
    </row>
    <row r="504">
      <c r="A504" s="39" t="str">
        <f t="shared" si="1"/>
        <v/>
      </c>
      <c r="B504" s="39"/>
      <c r="C504" s="40"/>
      <c r="D504" s="41"/>
      <c r="E504" s="40"/>
      <c r="F504" s="40"/>
    </row>
    <row r="505">
      <c r="A505" s="39" t="str">
        <f t="shared" si="1"/>
        <v/>
      </c>
      <c r="B505" s="39"/>
      <c r="C505" s="40"/>
      <c r="D505" s="41"/>
      <c r="E505" s="40"/>
      <c r="F505" s="40"/>
    </row>
    <row r="506">
      <c r="A506" s="39" t="str">
        <f t="shared" si="1"/>
        <v/>
      </c>
      <c r="B506" s="39"/>
      <c r="C506" s="40"/>
      <c r="D506" s="41"/>
      <c r="E506" s="40"/>
      <c r="F506" s="40"/>
    </row>
    <row r="507">
      <c r="A507" s="39" t="str">
        <f t="shared" si="1"/>
        <v/>
      </c>
      <c r="B507" s="39"/>
      <c r="C507" s="40"/>
      <c r="D507" s="41"/>
      <c r="E507" s="40"/>
      <c r="F507" s="40"/>
    </row>
    <row r="508">
      <c r="A508" s="39" t="str">
        <f t="shared" si="1"/>
        <v/>
      </c>
      <c r="B508" s="39"/>
      <c r="C508" s="40"/>
      <c r="D508" s="41"/>
      <c r="E508" s="40"/>
      <c r="F508" s="40"/>
    </row>
    <row r="509">
      <c r="A509" s="39" t="str">
        <f t="shared" si="1"/>
        <v/>
      </c>
      <c r="B509" s="39"/>
      <c r="C509" s="40"/>
      <c r="D509" s="41"/>
      <c r="E509" s="40"/>
      <c r="F509" s="40"/>
    </row>
    <row r="510">
      <c r="A510" s="39" t="str">
        <f t="shared" si="1"/>
        <v/>
      </c>
      <c r="B510" s="39"/>
      <c r="C510" s="40"/>
      <c r="D510" s="41"/>
      <c r="E510" s="40"/>
      <c r="F510" s="40"/>
    </row>
    <row r="511">
      <c r="A511" s="39" t="str">
        <f t="shared" si="1"/>
        <v/>
      </c>
      <c r="B511" s="39"/>
      <c r="C511" s="40"/>
      <c r="D511" s="41"/>
      <c r="E511" s="40"/>
      <c r="F511" s="40"/>
    </row>
    <row r="512">
      <c r="A512" s="39" t="str">
        <f t="shared" si="1"/>
        <v/>
      </c>
      <c r="B512" s="39"/>
      <c r="C512" s="40"/>
      <c r="D512" s="41"/>
      <c r="E512" s="40"/>
      <c r="F512" s="40"/>
    </row>
    <row r="513">
      <c r="A513" s="39" t="str">
        <f t="shared" si="1"/>
        <v/>
      </c>
      <c r="B513" s="39"/>
      <c r="C513" s="40"/>
      <c r="D513" s="41"/>
      <c r="E513" s="40"/>
      <c r="F513" s="40"/>
    </row>
    <row r="514">
      <c r="A514" s="39" t="str">
        <f t="shared" si="1"/>
        <v/>
      </c>
      <c r="B514" s="39"/>
      <c r="C514" s="40"/>
      <c r="D514" s="41"/>
      <c r="E514" s="40"/>
      <c r="F514" s="40"/>
    </row>
    <row r="515">
      <c r="A515" s="39" t="str">
        <f t="shared" si="1"/>
        <v/>
      </c>
      <c r="B515" s="39"/>
      <c r="C515" s="40"/>
      <c r="D515" s="41"/>
      <c r="E515" s="40"/>
      <c r="F515" s="40"/>
    </row>
    <row r="516">
      <c r="A516" s="39" t="str">
        <f t="shared" si="1"/>
        <v/>
      </c>
      <c r="B516" s="39"/>
      <c r="C516" s="40"/>
      <c r="D516" s="41"/>
      <c r="E516" s="40"/>
      <c r="F516" s="40"/>
    </row>
    <row r="517">
      <c r="A517" s="39" t="str">
        <f t="shared" si="1"/>
        <v/>
      </c>
      <c r="B517" s="39"/>
      <c r="C517" s="40"/>
      <c r="D517" s="41"/>
      <c r="E517" s="40"/>
      <c r="F517" s="40"/>
    </row>
    <row r="518">
      <c r="A518" s="39" t="str">
        <f t="shared" si="1"/>
        <v/>
      </c>
      <c r="B518" s="39"/>
      <c r="C518" s="40"/>
      <c r="D518" s="41"/>
      <c r="E518" s="40"/>
      <c r="F518" s="40"/>
    </row>
    <row r="519">
      <c r="A519" s="39" t="str">
        <f t="shared" si="1"/>
        <v/>
      </c>
      <c r="B519" s="39"/>
      <c r="C519" s="40"/>
      <c r="D519" s="41"/>
      <c r="E519" s="40"/>
      <c r="F519" s="40"/>
    </row>
    <row r="520">
      <c r="A520" s="39" t="str">
        <f t="shared" si="1"/>
        <v/>
      </c>
      <c r="B520" s="39"/>
      <c r="C520" s="40"/>
      <c r="D520" s="41"/>
      <c r="E520" s="40"/>
      <c r="F520" s="40"/>
    </row>
    <row r="521">
      <c r="A521" s="39" t="str">
        <f t="shared" si="1"/>
        <v/>
      </c>
      <c r="B521" s="39"/>
      <c r="C521" s="40"/>
      <c r="D521" s="41"/>
      <c r="E521" s="40"/>
      <c r="F521" s="40"/>
    </row>
    <row r="522">
      <c r="A522" s="39" t="str">
        <f t="shared" si="1"/>
        <v/>
      </c>
      <c r="B522" s="39"/>
      <c r="C522" s="40"/>
      <c r="D522" s="41"/>
      <c r="E522" s="40"/>
      <c r="F522" s="40"/>
    </row>
    <row r="523">
      <c r="A523" s="39" t="str">
        <f t="shared" si="1"/>
        <v/>
      </c>
      <c r="B523" s="39"/>
      <c r="C523" s="40"/>
      <c r="D523" s="41"/>
      <c r="E523" s="40"/>
      <c r="F523" s="40"/>
    </row>
    <row r="524">
      <c r="A524" s="39" t="str">
        <f t="shared" si="1"/>
        <v/>
      </c>
      <c r="B524" s="39"/>
      <c r="C524" s="40"/>
      <c r="D524" s="41"/>
      <c r="E524" s="40"/>
      <c r="F524" s="40"/>
    </row>
    <row r="525">
      <c r="A525" s="39" t="str">
        <f t="shared" si="1"/>
        <v/>
      </c>
      <c r="B525" s="39"/>
      <c r="C525" s="40"/>
      <c r="D525" s="41"/>
      <c r="E525" s="40"/>
      <c r="F525" s="40"/>
    </row>
    <row r="526">
      <c r="A526" s="39" t="str">
        <f t="shared" si="1"/>
        <v/>
      </c>
      <c r="B526" s="39"/>
      <c r="C526" s="40"/>
      <c r="D526" s="41"/>
      <c r="E526" s="40"/>
      <c r="F526" s="40"/>
    </row>
    <row r="527">
      <c r="A527" s="39" t="str">
        <f t="shared" si="1"/>
        <v/>
      </c>
      <c r="B527" s="39"/>
      <c r="C527" s="40"/>
      <c r="D527" s="41"/>
      <c r="E527" s="40"/>
      <c r="F527" s="40"/>
    </row>
    <row r="528">
      <c r="A528" s="39" t="str">
        <f t="shared" si="1"/>
        <v/>
      </c>
      <c r="B528" s="39"/>
      <c r="C528" s="40"/>
      <c r="D528" s="41"/>
      <c r="E528" s="40"/>
      <c r="F528" s="40"/>
    </row>
    <row r="529">
      <c r="A529" s="39" t="str">
        <f t="shared" si="1"/>
        <v/>
      </c>
      <c r="B529" s="39"/>
      <c r="C529" s="40"/>
      <c r="D529" s="41"/>
      <c r="E529" s="40"/>
      <c r="F529" s="40"/>
    </row>
    <row r="530">
      <c r="A530" s="39" t="str">
        <f t="shared" si="1"/>
        <v/>
      </c>
      <c r="B530" s="39"/>
      <c r="C530" s="40"/>
      <c r="D530" s="41"/>
      <c r="E530" s="40"/>
      <c r="F530" s="40"/>
    </row>
    <row r="531">
      <c r="A531" s="39" t="str">
        <f t="shared" si="1"/>
        <v/>
      </c>
      <c r="B531" s="39"/>
      <c r="C531" s="40"/>
      <c r="D531" s="41"/>
      <c r="E531" s="40"/>
      <c r="F531" s="40"/>
    </row>
    <row r="532">
      <c r="A532" s="39" t="str">
        <f t="shared" si="1"/>
        <v/>
      </c>
      <c r="B532" s="39"/>
      <c r="C532" s="40"/>
      <c r="D532" s="41"/>
      <c r="E532" s="40"/>
      <c r="F532" s="40"/>
    </row>
    <row r="533">
      <c r="A533" s="39" t="str">
        <f t="shared" si="1"/>
        <v/>
      </c>
      <c r="B533" s="39"/>
      <c r="C533" s="40"/>
      <c r="D533" s="41"/>
      <c r="E533" s="40"/>
      <c r="F533" s="40"/>
    </row>
    <row r="534">
      <c r="A534" s="39" t="str">
        <f t="shared" si="1"/>
        <v/>
      </c>
      <c r="B534" s="39"/>
      <c r="C534" s="40"/>
      <c r="D534" s="41"/>
      <c r="E534" s="40"/>
      <c r="F534" s="40"/>
    </row>
    <row r="535">
      <c r="A535" s="39" t="str">
        <f t="shared" si="1"/>
        <v/>
      </c>
      <c r="B535" s="39"/>
      <c r="C535" s="40"/>
      <c r="D535" s="41"/>
      <c r="E535" s="40"/>
      <c r="F535" s="40"/>
    </row>
    <row r="536">
      <c r="A536" s="39" t="str">
        <f t="shared" si="1"/>
        <v/>
      </c>
      <c r="B536" s="39"/>
      <c r="C536" s="40"/>
      <c r="D536" s="41"/>
      <c r="E536" s="40"/>
      <c r="F536" s="40"/>
    </row>
    <row r="537">
      <c r="A537" s="39" t="str">
        <f t="shared" si="1"/>
        <v/>
      </c>
      <c r="B537" s="39"/>
      <c r="C537" s="40"/>
      <c r="D537" s="41"/>
      <c r="E537" s="40"/>
      <c r="F537" s="40"/>
    </row>
    <row r="538">
      <c r="A538" s="39" t="str">
        <f t="shared" si="1"/>
        <v/>
      </c>
      <c r="B538" s="39"/>
      <c r="C538" s="40"/>
      <c r="D538" s="41"/>
      <c r="E538" s="40"/>
      <c r="F538" s="40"/>
    </row>
    <row r="539">
      <c r="A539" s="39" t="str">
        <f t="shared" si="1"/>
        <v/>
      </c>
      <c r="B539" s="39"/>
      <c r="C539" s="40"/>
      <c r="D539" s="41"/>
      <c r="E539" s="40"/>
      <c r="F539" s="40"/>
    </row>
    <row r="540">
      <c r="A540" s="39" t="str">
        <f t="shared" si="1"/>
        <v/>
      </c>
      <c r="B540" s="39"/>
      <c r="C540" s="40"/>
      <c r="D540" s="41"/>
      <c r="E540" s="40"/>
      <c r="F540" s="40"/>
    </row>
    <row r="541">
      <c r="A541" s="39" t="str">
        <f t="shared" si="1"/>
        <v/>
      </c>
      <c r="B541" s="39"/>
      <c r="C541" s="40"/>
      <c r="D541" s="41"/>
      <c r="E541" s="40"/>
      <c r="F541" s="40"/>
    </row>
    <row r="542">
      <c r="A542" s="39" t="str">
        <f t="shared" si="1"/>
        <v/>
      </c>
      <c r="B542" s="39"/>
      <c r="C542" s="40"/>
      <c r="D542" s="41"/>
      <c r="E542" s="40"/>
      <c r="F542" s="40"/>
    </row>
    <row r="543">
      <c r="A543" s="39" t="str">
        <f t="shared" si="1"/>
        <v/>
      </c>
      <c r="B543" s="39"/>
      <c r="C543" s="40"/>
      <c r="D543" s="41"/>
      <c r="E543" s="40"/>
      <c r="F543" s="40"/>
    </row>
    <row r="544">
      <c r="A544" s="39" t="str">
        <f t="shared" si="1"/>
        <v/>
      </c>
      <c r="B544" s="39"/>
      <c r="C544" s="40"/>
      <c r="D544" s="41"/>
      <c r="E544" s="40"/>
      <c r="F544" s="40"/>
    </row>
    <row r="545">
      <c r="A545" s="39" t="str">
        <f t="shared" si="1"/>
        <v/>
      </c>
      <c r="B545" s="39"/>
      <c r="C545" s="40"/>
      <c r="D545" s="41"/>
      <c r="E545" s="40"/>
      <c r="F545" s="40"/>
    </row>
    <row r="546">
      <c r="A546" s="39" t="str">
        <f t="shared" si="1"/>
        <v/>
      </c>
      <c r="B546" s="39"/>
      <c r="C546" s="40"/>
      <c r="D546" s="41"/>
      <c r="E546" s="40"/>
      <c r="F546" s="40"/>
    </row>
    <row r="547">
      <c r="A547" s="39" t="str">
        <f t="shared" si="1"/>
        <v/>
      </c>
      <c r="B547" s="39"/>
      <c r="C547" s="40"/>
      <c r="D547" s="41"/>
      <c r="E547" s="40"/>
      <c r="F547" s="40"/>
    </row>
    <row r="548">
      <c r="A548" s="39" t="str">
        <f t="shared" si="1"/>
        <v/>
      </c>
      <c r="B548" s="39"/>
      <c r="C548" s="40"/>
      <c r="D548" s="41"/>
      <c r="E548" s="40"/>
      <c r="F548" s="40"/>
    </row>
    <row r="549">
      <c r="A549" s="39" t="str">
        <f t="shared" si="1"/>
        <v/>
      </c>
      <c r="B549" s="39"/>
      <c r="C549" s="40"/>
      <c r="D549" s="41"/>
      <c r="E549" s="40"/>
      <c r="F549" s="40"/>
    </row>
    <row r="550">
      <c r="A550" s="39" t="str">
        <f t="shared" si="1"/>
        <v/>
      </c>
      <c r="B550" s="39"/>
      <c r="C550" s="40"/>
      <c r="D550" s="41"/>
      <c r="E550" s="40"/>
      <c r="F550" s="40"/>
    </row>
    <row r="551">
      <c r="A551" s="39" t="str">
        <f t="shared" si="1"/>
        <v/>
      </c>
      <c r="B551" s="39"/>
      <c r="C551" s="40"/>
      <c r="D551" s="41"/>
      <c r="E551" s="40"/>
      <c r="F551" s="40"/>
    </row>
    <row r="552">
      <c r="A552" s="39" t="str">
        <f t="shared" si="1"/>
        <v/>
      </c>
      <c r="B552" s="39"/>
      <c r="C552" s="40"/>
      <c r="D552" s="41"/>
      <c r="E552" s="40"/>
      <c r="F552" s="40"/>
    </row>
    <row r="553">
      <c r="A553" s="39" t="str">
        <f t="shared" si="1"/>
        <v/>
      </c>
      <c r="B553" s="39"/>
      <c r="C553" s="40"/>
      <c r="D553" s="41"/>
      <c r="E553" s="40"/>
      <c r="F553" s="40"/>
    </row>
    <row r="554">
      <c r="A554" s="39" t="str">
        <f t="shared" si="1"/>
        <v/>
      </c>
      <c r="B554" s="39"/>
      <c r="C554" s="40"/>
      <c r="D554" s="41"/>
      <c r="E554" s="40"/>
      <c r="F554" s="40"/>
    </row>
    <row r="555">
      <c r="A555" s="39" t="str">
        <f t="shared" si="1"/>
        <v/>
      </c>
      <c r="B555" s="39"/>
      <c r="C555" s="40"/>
      <c r="D555" s="41"/>
      <c r="E555" s="40"/>
      <c r="F555" s="40"/>
    </row>
    <row r="556">
      <c r="A556" s="39" t="str">
        <f t="shared" si="1"/>
        <v/>
      </c>
      <c r="B556" s="39"/>
      <c r="C556" s="40"/>
      <c r="D556" s="41"/>
      <c r="E556" s="40"/>
      <c r="F556" s="40"/>
    </row>
    <row r="557">
      <c r="A557" s="39" t="str">
        <f t="shared" si="1"/>
        <v/>
      </c>
      <c r="B557" s="39"/>
      <c r="C557" s="40"/>
      <c r="D557" s="41"/>
      <c r="E557" s="40"/>
      <c r="F557" s="40"/>
    </row>
    <row r="558">
      <c r="A558" s="39" t="str">
        <f t="shared" si="1"/>
        <v/>
      </c>
      <c r="B558" s="39"/>
      <c r="C558" s="40"/>
      <c r="D558" s="41"/>
      <c r="E558" s="40"/>
      <c r="F558" s="40"/>
    </row>
    <row r="559">
      <c r="A559" s="39" t="str">
        <f t="shared" si="1"/>
        <v/>
      </c>
      <c r="B559" s="39"/>
      <c r="C559" s="40"/>
      <c r="D559" s="41"/>
      <c r="E559" s="40"/>
      <c r="F559" s="40"/>
    </row>
    <row r="560">
      <c r="A560" s="39" t="str">
        <f t="shared" si="1"/>
        <v/>
      </c>
      <c r="B560" s="39"/>
      <c r="C560" s="40"/>
      <c r="D560" s="41"/>
      <c r="E560" s="40"/>
      <c r="F560" s="40"/>
    </row>
    <row r="561">
      <c r="A561" s="39" t="str">
        <f t="shared" si="1"/>
        <v/>
      </c>
      <c r="B561" s="39"/>
      <c r="C561" s="40"/>
      <c r="D561" s="41"/>
      <c r="E561" s="40"/>
      <c r="F561" s="40"/>
    </row>
    <row r="562">
      <c r="A562" s="39" t="str">
        <f t="shared" si="1"/>
        <v/>
      </c>
      <c r="B562" s="39"/>
      <c r="C562" s="40"/>
      <c r="D562" s="41"/>
      <c r="E562" s="40"/>
      <c r="F562" s="40"/>
    </row>
    <row r="563">
      <c r="A563" s="39" t="str">
        <f t="shared" si="1"/>
        <v/>
      </c>
      <c r="B563" s="39"/>
      <c r="C563" s="40"/>
      <c r="D563" s="41"/>
      <c r="E563" s="40"/>
      <c r="F563" s="40"/>
    </row>
    <row r="564">
      <c r="A564" s="39" t="str">
        <f t="shared" si="1"/>
        <v/>
      </c>
      <c r="B564" s="39"/>
      <c r="C564" s="40"/>
      <c r="D564" s="41"/>
      <c r="E564" s="40"/>
      <c r="F564" s="40"/>
    </row>
    <row r="565">
      <c r="A565" s="39" t="str">
        <f t="shared" si="1"/>
        <v/>
      </c>
      <c r="B565" s="39"/>
      <c r="C565" s="40"/>
      <c r="D565" s="41"/>
      <c r="E565" s="40"/>
      <c r="F565" s="40"/>
    </row>
    <row r="566">
      <c r="A566" s="39" t="str">
        <f t="shared" si="1"/>
        <v/>
      </c>
      <c r="B566" s="39"/>
      <c r="C566" s="40"/>
      <c r="D566" s="41"/>
      <c r="E566" s="40"/>
      <c r="F566" s="40"/>
    </row>
    <row r="567">
      <c r="A567" s="39" t="str">
        <f t="shared" si="1"/>
        <v/>
      </c>
      <c r="B567" s="39"/>
      <c r="C567" s="40"/>
      <c r="D567" s="41"/>
      <c r="E567" s="40"/>
      <c r="F567" s="40"/>
    </row>
    <row r="568">
      <c r="A568" s="39" t="str">
        <f t="shared" si="1"/>
        <v/>
      </c>
      <c r="B568" s="39"/>
      <c r="C568" s="40"/>
      <c r="D568" s="41"/>
      <c r="E568" s="40"/>
      <c r="F568" s="40"/>
    </row>
    <row r="569">
      <c r="A569" s="39" t="str">
        <f t="shared" si="1"/>
        <v/>
      </c>
      <c r="B569" s="39"/>
      <c r="C569" s="40"/>
      <c r="D569" s="41"/>
      <c r="E569" s="40"/>
      <c r="F569" s="40"/>
    </row>
    <row r="570">
      <c r="A570" s="39" t="str">
        <f t="shared" si="1"/>
        <v/>
      </c>
      <c r="B570" s="39"/>
      <c r="C570" s="40"/>
      <c r="D570" s="41"/>
      <c r="E570" s="40"/>
      <c r="F570" s="40"/>
    </row>
    <row r="571">
      <c r="A571" s="39" t="str">
        <f t="shared" si="1"/>
        <v/>
      </c>
      <c r="B571" s="39"/>
      <c r="C571" s="40"/>
      <c r="D571" s="41"/>
      <c r="E571" s="40"/>
      <c r="F571" s="40"/>
    </row>
    <row r="572">
      <c r="A572" s="39" t="str">
        <f t="shared" si="1"/>
        <v/>
      </c>
      <c r="B572" s="39"/>
      <c r="C572" s="40"/>
      <c r="D572" s="41"/>
      <c r="E572" s="40"/>
      <c r="F572" s="40"/>
    </row>
    <row r="573">
      <c r="A573" s="39" t="str">
        <f t="shared" si="1"/>
        <v/>
      </c>
      <c r="B573" s="39"/>
      <c r="C573" s="40"/>
      <c r="D573" s="41"/>
      <c r="E573" s="40"/>
      <c r="F573" s="40"/>
    </row>
    <row r="574">
      <c r="A574" s="39" t="str">
        <f t="shared" si="1"/>
        <v/>
      </c>
      <c r="B574" s="39"/>
      <c r="C574" s="40"/>
      <c r="D574" s="41"/>
      <c r="E574" s="40"/>
      <c r="F574" s="40"/>
    </row>
    <row r="575">
      <c r="A575" s="39" t="str">
        <f t="shared" si="1"/>
        <v/>
      </c>
      <c r="B575" s="39"/>
      <c r="C575" s="40"/>
      <c r="D575" s="41"/>
      <c r="E575" s="40"/>
      <c r="F575" s="40"/>
    </row>
    <row r="576">
      <c r="A576" s="39" t="str">
        <f t="shared" si="1"/>
        <v/>
      </c>
      <c r="B576" s="39"/>
      <c r="C576" s="40"/>
      <c r="D576" s="41"/>
      <c r="E576" s="40"/>
      <c r="F576" s="40"/>
    </row>
    <row r="577">
      <c r="A577" s="39" t="str">
        <f t="shared" si="1"/>
        <v/>
      </c>
      <c r="B577" s="39"/>
      <c r="C577" s="40"/>
      <c r="D577" s="41"/>
      <c r="E577" s="40"/>
      <c r="F577" s="40"/>
    </row>
    <row r="578">
      <c r="A578" s="39" t="str">
        <f t="shared" si="1"/>
        <v/>
      </c>
      <c r="B578" s="39"/>
      <c r="C578" s="40"/>
      <c r="D578" s="41"/>
      <c r="E578" s="40"/>
      <c r="F578" s="40"/>
    </row>
    <row r="579">
      <c r="A579" s="39" t="str">
        <f t="shared" si="1"/>
        <v/>
      </c>
      <c r="B579" s="39"/>
      <c r="C579" s="40"/>
      <c r="D579" s="41"/>
      <c r="E579" s="40"/>
      <c r="F579" s="40"/>
    </row>
    <row r="580">
      <c r="A580" s="39" t="str">
        <f t="shared" si="1"/>
        <v/>
      </c>
      <c r="B580" s="39"/>
      <c r="C580" s="40"/>
      <c r="D580" s="41"/>
      <c r="E580" s="40"/>
      <c r="F580" s="40"/>
    </row>
    <row r="581">
      <c r="A581" s="39" t="str">
        <f t="shared" si="1"/>
        <v/>
      </c>
      <c r="B581" s="39"/>
      <c r="C581" s="40"/>
      <c r="D581" s="41"/>
      <c r="E581" s="40"/>
      <c r="F581" s="40"/>
    </row>
    <row r="582">
      <c r="A582" s="39" t="str">
        <f t="shared" si="1"/>
        <v/>
      </c>
      <c r="B582" s="39"/>
      <c r="C582" s="40"/>
      <c r="D582" s="41"/>
      <c r="E582" s="40"/>
      <c r="F582" s="40"/>
    </row>
    <row r="583">
      <c r="A583" s="39" t="str">
        <f t="shared" si="1"/>
        <v/>
      </c>
      <c r="B583" s="39"/>
      <c r="C583" s="40"/>
      <c r="D583" s="41"/>
      <c r="E583" s="40"/>
      <c r="F583" s="40"/>
    </row>
    <row r="584">
      <c r="A584" s="39" t="str">
        <f t="shared" si="1"/>
        <v/>
      </c>
      <c r="B584" s="39"/>
      <c r="C584" s="40"/>
      <c r="D584" s="41"/>
      <c r="E584" s="40"/>
      <c r="F584" s="40"/>
    </row>
    <row r="585">
      <c r="A585" s="39" t="str">
        <f t="shared" si="1"/>
        <v/>
      </c>
      <c r="B585" s="39"/>
      <c r="C585" s="40"/>
      <c r="D585" s="41"/>
      <c r="E585" s="40"/>
      <c r="F585" s="40"/>
    </row>
    <row r="586">
      <c r="A586" s="39" t="str">
        <f t="shared" si="1"/>
        <v/>
      </c>
      <c r="B586" s="39"/>
      <c r="C586" s="40"/>
      <c r="D586" s="41"/>
      <c r="E586" s="40"/>
      <c r="F586" s="40"/>
    </row>
    <row r="587">
      <c r="A587" s="39" t="str">
        <f t="shared" si="1"/>
        <v/>
      </c>
      <c r="B587" s="39"/>
      <c r="C587" s="40"/>
      <c r="D587" s="41"/>
      <c r="E587" s="40"/>
      <c r="F587" s="40"/>
    </row>
    <row r="588">
      <c r="A588" s="39" t="str">
        <f t="shared" si="1"/>
        <v/>
      </c>
      <c r="B588" s="39"/>
      <c r="C588" s="40"/>
      <c r="D588" s="41"/>
      <c r="E588" s="40"/>
      <c r="F588" s="40"/>
    </row>
    <row r="589">
      <c r="A589" s="39" t="str">
        <f t="shared" si="1"/>
        <v/>
      </c>
      <c r="B589" s="39"/>
      <c r="C589" s="40"/>
      <c r="D589" s="41"/>
      <c r="E589" s="40"/>
      <c r="F589" s="40"/>
    </row>
    <row r="590">
      <c r="A590" s="39" t="str">
        <f t="shared" si="1"/>
        <v/>
      </c>
      <c r="B590" s="39"/>
      <c r="C590" s="40"/>
      <c r="D590" s="41"/>
      <c r="E590" s="40"/>
      <c r="F590" s="40"/>
    </row>
    <row r="591">
      <c r="A591" s="39" t="str">
        <f t="shared" si="1"/>
        <v/>
      </c>
      <c r="B591" s="39"/>
      <c r="C591" s="40"/>
      <c r="D591" s="41"/>
      <c r="E591" s="40"/>
      <c r="F591" s="40"/>
    </row>
    <row r="592">
      <c r="A592" s="39" t="str">
        <f t="shared" si="1"/>
        <v/>
      </c>
      <c r="B592" s="39"/>
      <c r="C592" s="40"/>
      <c r="D592" s="41"/>
      <c r="E592" s="40"/>
      <c r="F592" s="40"/>
    </row>
    <row r="593">
      <c r="A593" s="39" t="str">
        <f t="shared" si="1"/>
        <v/>
      </c>
      <c r="B593" s="39"/>
      <c r="C593" s="40"/>
      <c r="D593" s="41"/>
      <c r="E593" s="40"/>
      <c r="F593" s="40"/>
    </row>
    <row r="594">
      <c r="A594" s="39" t="str">
        <f t="shared" si="1"/>
        <v/>
      </c>
      <c r="B594" s="39"/>
      <c r="C594" s="40"/>
      <c r="D594" s="41"/>
      <c r="E594" s="40"/>
      <c r="F594" s="40"/>
    </row>
    <row r="595">
      <c r="A595" s="39" t="str">
        <f t="shared" si="1"/>
        <v/>
      </c>
      <c r="B595" s="39"/>
      <c r="C595" s="40"/>
      <c r="D595" s="41"/>
      <c r="E595" s="40"/>
      <c r="F595" s="40"/>
    </row>
    <row r="596">
      <c r="A596" s="39" t="str">
        <f t="shared" si="1"/>
        <v/>
      </c>
      <c r="B596" s="39"/>
      <c r="C596" s="40"/>
      <c r="D596" s="41"/>
      <c r="E596" s="40"/>
      <c r="F596" s="40"/>
    </row>
    <row r="597">
      <c r="A597" s="39" t="str">
        <f t="shared" si="1"/>
        <v/>
      </c>
      <c r="B597" s="39"/>
      <c r="C597" s="40"/>
      <c r="D597" s="41"/>
      <c r="E597" s="40"/>
      <c r="F597" s="40"/>
    </row>
    <row r="598">
      <c r="A598" s="39" t="str">
        <f t="shared" si="1"/>
        <v/>
      </c>
      <c r="B598" s="39"/>
      <c r="C598" s="40"/>
      <c r="D598" s="41"/>
      <c r="E598" s="40"/>
      <c r="F598" s="40"/>
    </row>
    <row r="599">
      <c r="A599" s="39" t="str">
        <f t="shared" si="1"/>
        <v/>
      </c>
      <c r="B599" s="39"/>
      <c r="C599" s="40"/>
      <c r="D599" s="41"/>
      <c r="E599" s="40"/>
      <c r="F599" s="40"/>
    </row>
    <row r="600">
      <c r="A600" s="39" t="str">
        <f t="shared" si="1"/>
        <v/>
      </c>
      <c r="B600" s="39"/>
      <c r="C600" s="40"/>
      <c r="D600" s="41"/>
      <c r="E600" s="40"/>
      <c r="F600" s="40"/>
    </row>
    <row r="601">
      <c r="A601" s="39" t="str">
        <f t="shared" si="1"/>
        <v/>
      </c>
      <c r="B601" s="39"/>
      <c r="C601" s="40"/>
      <c r="D601" s="41"/>
      <c r="E601" s="40"/>
      <c r="F601" s="40"/>
    </row>
    <row r="602">
      <c r="A602" s="39" t="str">
        <f t="shared" si="1"/>
        <v/>
      </c>
      <c r="B602" s="39"/>
      <c r="C602" s="40"/>
      <c r="D602" s="41"/>
      <c r="E602" s="40"/>
      <c r="F602" s="40"/>
    </row>
    <row r="603">
      <c r="A603" s="39" t="str">
        <f t="shared" si="1"/>
        <v/>
      </c>
      <c r="B603" s="39"/>
      <c r="C603" s="40"/>
      <c r="D603" s="41"/>
      <c r="E603" s="40"/>
      <c r="F603" s="40"/>
    </row>
    <row r="604">
      <c r="A604" s="39" t="str">
        <f t="shared" si="1"/>
        <v/>
      </c>
      <c r="B604" s="39"/>
      <c r="C604" s="40"/>
      <c r="D604" s="41"/>
      <c r="E604" s="40"/>
      <c r="F604" s="40"/>
    </row>
    <row r="605">
      <c r="A605" s="39" t="str">
        <f t="shared" si="1"/>
        <v/>
      </c>
      <c r="B605" s="39"/>
      <c r="C605" s="40"/>
      <c r="D605" s="41"/>
      <c r="E605" s="40"/>
      <c r="F605" s="40"/>
    </row>
    <row r="606">
      <c r="A606" s="39" t="str">
        <f t="shared" si="1"/>
        <v/>
      </c>
      <c r="B606" s="39"/>
      <c r="C606" s="40"/>
      <c r="D606" s="41"/>
      <c r="E606" s="40"/>
      <c r="F606" s="40"/>
    </row>
    <row r="607">
      <c r="A607" s="39" t="str">
        <f t="shared" si="1"/>
        <v/>
      </c>
      <c r="B607" s="39"/>
      <c r="C607" s="40"/>
      <c r="D607" s="41"/>
      <c r="E607" s="40"/>
      <c r="F607" s="40"/>
    </row>
    <row r="608">
      <c r="A608" s="39" t="str">
        <f t="shared" si="1"/>
        <v/>
      </c>
      <c r="B608" s="39"/>
      <c r="C608" s="40"/>
      <c r="D608" s="41"/>
      <c r="E608" s="40"/>
      <c r="F608" s="40"/>
    </row>
    <row r="609">
      <c r="A609" s="39" t="str">
        <f t="shared" si="1"/>
        <v/>
      </c>
      <c r="B609" s="39"/>
      <c r="C609" s="40"/>
      <c r="D609" s="41"/>
      <c r="E609" s="40"/>
      <c r="F609" s="40"/>
    </row>
    <row r="610">
      <c r="A610" s="39" t="str">
        <f t="shared" si="1"/>
        <v/>
      </c>
      <c r="B610" s="39"/>
      <c r="C610" s="40"/>
      <c r="D610" s="41"/>
      <c r="E610" s="40"/>
      <c r="F610" s="40"/>
    </row>
    <row r="611">
      <c r="A611" s="39" t="str">
        <f t="shared" si="1"/>
        <v/>
      </c>
      <c r="B611" s="39"/>
      <c r="C611" s="40"/>
      <c r="D611" s="41"/>
      <c r="E611" s="40"/>
      <c r="F611" s="40"/>
    </row>
    <row r="612">
      <c r="A612" s="39" t="str">
        <f t="shared" si="1"/>
        <v/>
      </c>
      <c r="B612" s="39"/>
      <c r="C612" s="40"/>
      <c r="D612" s="41"/>
      <c r="E612" s="40"/>
      <c r="F612" s="40"/>
    </row>
    <row r="613">
      <c r="A613" s="39" t="str">
        <f t="shared" si="1"/>
        <v/>
      </c>
      <c r="B613" s="39"/>
      <c r="C613" s="40"/>
      <c r="D613" s="41"/>
      <c r="E613" s="40"/>
      <c r="F613" s="40"/>
    </row>
    <row r="614">
      <c r="A614" s="39" t="str">
        <f t="shared" si="1"/>
        <v/>
      </c>
      <c r="B614" s="39"/>
      <c r="C614" s="40"/>
      <c r="D614" s="41"/>
      <c r="E614" s="40"/>
      <c r="F614" s="40"/>
    </row>
    <row r="615">
      <c r="A615" s="39" t="str">
        <f t="shared" si="1"/>
        <v/>
      </c>
      <c r="B615" s="39"/>
      <c r="C615" s="40"/>
      <c r="D615" s="41"/>
      <c r="E615" s="40"/>
      <c r="F615" s="40"/>
    </row>
    <row r="616">
      <c r="A616" s="39" t="str">
        <f t="shared" si="1"/>
        <v/>
      </c>
      <c r="B616" s="39"/>
      <c r="C616" s="40"/>
      <c r="D616" s="41"/>
      <c r="E616" s="40"/>
      <c r="F616" s="40"/>
    </row>
    <row r="617">
      <c r="A617" s="39" t="str">
        <f t="shared" si="1"/>
        <v/>
      </c>
      <c r="B617" s="39"/>
      <c r="C617" s="40"/>
      <c r="D617" s="41"/>
      <c r="E617" s="40"/>
      <c r="F617" s="40"/>
    </row>
    <row r="618">
      <c r="A618" s="39" t="str">
        <f t="shared" si="1"/>
        <v/>
      </c>
      <c r="B618" s="39"/>
      <c r="C618" s="40"/>
      <c r="D618" s="41"/>
      <c r="E618" s="40"/>
      <c r="F618" s="40"/>
    </row>
    <row r="619">
      <c r="A619" s="39" t="str">
        <f t="shared" si="1"/>
        <v/>
      </c>
      <c r="B619" s="39"/>
      <c r="C619" s="40"/>
      <c r="D619" s="41"/>
      <c r="E619" s="40"/>
      <c r="F619" s="40"/>
    </row>
    <row r="620">
      <c r="A620" s="39" t="str">
        <f t="shared" si="1"/>
        <v/>
      </c>
      <c r="B620" s="39"/>
      <c r="C620" s="40"/>
      <c r="D620" s="41"/>
      <c r="E620" s="40"/>
      <c r="F620" s="40"/>
    </row>
    <row r="621">
      <c r="A621" s="39" t="str">
        <f t="shared" si="1"/>
        <v/>
      </c>
      <c r="B621" s="39"/>
      <c r="C621" s="40"/>
      <c r="D621" s="41"/>
      <c r="E621" s="40"/>
      <c r="F621" s="40"/>
    </row>
    <row r="622">
      <c r="A622" s="39" t="str">
        <f t="shared" si="1"/>
        <v/>
      </c>
      <c r="B622" s="39"/>
      <c r="C622" s="40"/>
      <c r="D622" s="41"/>
      <c r="E622" s="40"/>
      <c r="F622" s="40"/>
    </row>
    <row r="623">
      <c r="A623" s="39" t="str">
        <f t="shared" si="1"/>
        <v/>
      </c>
      <c r="B623" s="39"/>
      <c r="C623" s="40"/>
      <c r="D623" s="41"/>
      <c r="E623" s="40"/>
      <c r="F623" s="40"/>
    </row>
    <row r="624">
      <c r="A624" s="39" t="str">
        <f t="shared" si="1"/>
        <v/>
      </c>
      <c r="B624" s="39"/>
      <c r="C624" s="40"/>
      <c r="D624" s="41"/>
      <c r="E624" s="40"/>
      <c r="F624" s="40"/>
    </row>
    <row r="625">
      <c r="A625" s="39" t="str">
        <f t="shared" si="1"/>
        <v/>
      </c>
      <c r="B625" s="39"/>
      <c r="C625" s="40"/>
      <c r="D625" s="41"/>
      <c r="E625" s="40"/>
      <c r="F625" s="40"/>
    </row>
    <row r="626">
      <c r="A626" s="39" t="str">
        <f t="shared" si="1"/>
        <v/>
      </c>
      <c r="B626" s="39"/>
      <c r="C626" s="40"/>
      <c r="D626" s="41"/>
      <c r="E626" s="40"/>
      <c r="F626" s="40"/>
    </row>
    <row r="627">
      <c r="A627" s="39" t="str">
        <f t="shared" si="1"/>
        <v/>
      </c>
      <c r="B627" s="39"/>
      <c r="C627" s="40"/>
      <c r="D627" s="41"/>
      <c r="E627" s="40"/>
      <c r="F627" s="40"/>
    </row>
    <row r="628">
      <c r="A628" s="39" t="str">
        <f t="shared" si="1"/>
        <v/>
      </c>
      <c r="B628" s="39"/>
      <c r="C628" s="40"/>
      <c r="D628" s="41"/>
      <c r="E628" s="40"/>
      <c r="F628" s="40"/>
    </row>
    <row r="629">
      <c r="A629" s="39" t="str">
        <f t="shared" si="1"/>
        <v/>
      </c>
      <c r="B629" s="39"/>
      <c r="C629" s="40"/>
      <c r="D629" s="41"/>
      <c r="E629" s="40"/>
      <c r="F629" s="40"/>
    </row>
    <row r="630">
      <c r="A630" s="39" t="str">
        <f t="shared" si="1"/>
        <v/>
      </c>
      <c r="B630" s="39"/>
      <c r="C630" s="40"/>
      <c r="D630" s="41"/>
      <c r="E630" s="40"/>
      <c r="F630" s="40"/>
    </row>
    <row r="631">
      <c r="A631" s="39" t="str">
        <f t="shared" si="1"/>
        <v/>
      </c>
      <c r="B631" s="39"/>
      <c r="C631" s="40"/>
      <c r="D631" s="41"/>
      <c r="E631" s="40"/>
      <c r="F631" s="40"/>
    </row>
    <row r="632">
      <c r="A632" s="39" t="str">
        <f t="shared" si="1"/>
        <v/>
      </c>
      <c r="B632" s="39"/>
      <c r="C632" s="40"/>
      <c r="D632" s="41"/>
      <c r="E632" s="40"/>
      <c r="F632" s="40"/>
    </row>
    <row r="633">
      <c r="A633" s="39" t="str">
        <f t="shared" si="1"/>
        <v/>
      </c>
      <c r="B633" s="39"/>
      <c r="C633" s="40"/>
      <c r="D633" s="41"/>
      <c r="E633" s="40"/>
      <c r="F633" s="40"/>
    </row>
    <row r="634">
      <c r="A634" s="39" t="str">
        <f t="shared" si="1"/>
        <v/>
      </c>
      <c r="B634" s="39"/>
      <c r="C634" s="40"/>
      <c r="D634" s="41"/>
      <c r="E634" s="40"/>
      <c r="F634" s="40"/>
    </row>
    <row r="635">
      <c r="A635" s="39" t="str">
        <f t="shared" si="1"/>
        <v/>
      </c>
      <c r="B635" s="39"/>
      <c r="C635" s="40"/>
      <c r="D635" s="41"/>
      <c r="E635" s="40"/>
      <c r="F635" s="40"/>
    </row>
    <row r="636">
      <c r="A636" s="39" t="str">
        <f t="shared" si="1"/>
        <v/>
      </c>
      <c r="B636" s="39"/>
      <c r="C636" s="40"/>
      <c r="D636" s="41"/>
      <c r="E636" s="40"/>
      <c r="F636" s="40"/>
    </row>
    <row r="637">
      <c r="A637" s="39" t="str">
        <f t="shared" si="1"/>
        <v/>
      </c>
      <c r="B637" s="39"/>
      <c r="C637" s="40"/>
      <c r="D637" s="41"/>
      <c r="E637" s="40"/>
      <c r="F637" s="40"/>
    </row>
    <row r="638">
      <c r="A638" s="39" t="str">
        <f t="shared" si="1"/>
        <v/>
      </c>
      <c r="B638" s="39"/>
      <c r="C638" s="40"/>
      <c r="D638" s="41"/>
      <c r="E638" s="40"/>
      <c r="F638" s="40"/>
    </row>
    <row r="639">
      <c r="A639" s="39" t="str">
        <f t="shared" si="1"/>
        <v/>
      </c>
      <c r="B639" s="39"/>
      <c r="C639" s="40"/>
      <c r="D639" s="41"/>
      <c r="E639" s="40"/>
      <c r="F639" s="40"/>
    </row>
    <row r="640">
      <c r="A640" s="39" t="str">
        <f t="shared" si="1"/>
        <v/>
      </c>
      <c r="B640" s="39"/>
      <c r="C640" s="40"/>
      <c r="D640" s="41"/>
      <c r="E640" s="40"/>
      <c r="F640" s="40"/>
    </row>
    <row r="641">
      <c r="A641" s="39" t="str">
        <f t="shared" si="1"/>
        <v/>
      </c>
      <c r="B641" s="39"/>
      <c r="C641" s="40"/>
      <c r="D641" s="41"/>
      <c r="E641" s="40"/>
      <c r="F641" s="40"/>
    </row>
    <row r="642">
      <c r="A642" s="39" t="str">
        <f t="shared" si="1"/>
        <v/>
      </c>
      <c r="B642" s="39"/>
      <c r="C642" s="40"/>
      <c r="D642" s="41"/>
      <c r="E642" s="40"/>
      <c r="F642" s="40"/>
    </row>
    <row r="643">
      <c r="A643" s="39" t="str">
        <f t="shared" si="1"/>
        <v/>
      </c>
      <c r="B643" s="39"/>
      <c r="C643" s="40"/>
      <c r="D643" s="41"/>
      <c r="E643" s="40"/>
      <c r="F643" s="40"/>
    </row>
    <row r="644">
      <c r="A644" s="39" t="str">
        <f t="shared" si="1"/>
        <v/>
      </c>
      <c r="B644" s="39"/>
      <c r="C644" s="40"/>
      <c r="D644" s="41"/>
      <c r="E644" s="40"/>
      <c r="F644" s="40"/>
    </row>
    <row r="645">
      <c r="A645" s="39" t="str">
        <f t="shared" si="1"/>
        <v/>
      </c>
      <c r="B645" s="39"/>
      <c r="C645" s="40"/>
      <c r="D645" s="41"/>
      <c r="E645" s="40"/>
      <c r="F645" s="40"/>
    </row>
    <row r="646">
      <c r="A646" s="39" t="str">
        <f t="shared" si="1"/>
        <v/>
      </c>
      <c r="B646" s="39"/>
      <c r="C646" s="40"/>
      <c r="D646" s="41"/>
      <c r="E646" s="40"/>
      <c r="F646" s="40"/>
    </row>
    <row r="647">
      <c r="A647" s="39" t="str">
        <f t="shared" si="1"/>
        <v/>
      </c>
      <c r="B647" s="39"/>
      <c r="C647" s="40"/>
      <c r="D647" s="41"/>
      <c r="E647" s="40"/>
      <c r="F647" s="40"/>
    </row>
    <row r="648">
      <c r="A648" s="39" t="str">
        <f t="shared" si="1"/>
        <v/>
      </c>
      <c r="B648" s="39"/>
      <c r="C648" s="40"/>
      <c r="D648" s="41"/>
      <c r="E648" s="40"/>
      <c r="F648" s="40"/>
    </row>
    <row r="649">
      <c r="A649" s="39" t="str">
        <f t="shared" si="1"/>
        <v/>
      </c>
      <c r="B649" s="39"/>
      <c r="C649" s="40"/>
      <c r="D649" s="41"/>
      <c r="E649" s="40"/>
      <c r="F649" s="40"/>
    </row>
    <row r="650">
      <c r="A650" s="39" t="str">
        <f t="shared" si="1"/>
        <v/>
      </c>
      <c r="B650" s="39"/>
      <c r="C650" s="40"/>
      <c r="D650" s="41"/>
      <c r="E650" s="40"/>
      <c r="F650" s="40"/>
    </row>
    <row r="651">
      <c r="A651" s="39" t="str">
        <f t="shared" si="1"/>
        <v/>
      </c>
      <c r="B651" s="39"/>
      <c r="C651" s="40"/>
      <c r="D651" s="41"/>
      <c r="E651" s="40"/>
      <c r="F651" s="40"/>
    </row>
    <row r="652">
      <c r="A652" s="39" t="str">
        <f t="shared" si="1"/>
        <v/>
      </c>
      <c r="B652" s="39"/>
      <c r="C652" s="40"/>
      <c r="D652" s="41"/>
      <c r="E652" s="40"/>
      <c r="F652" s="40"/>
    </row>
    <row r="653">
      <c r="A653" s="39" t="str">
        <f t="shared" si="1"/>
        <v/>
      </c>
      <c r="B653" s="39"/>
      <c r="C653" s="40"/>
      <c r="D653" s="41"/>
      <c r="E653" s="40"/>
      <c r="F653" s="40"/>
    </row>
    <row r="654">
      <c r="A654" s="39" t="str">
        <f t="shared" si="1"/>
        <v/>
      </c>
      <c r="B654" s="39"/>
      <c r="C654" s="40"/>
      <c r="D654" s="41"/>
      <c r="E654" s="40"/>
      <c r="F654" s="40"/>
    </row>
    <row r="655">
      <c r="A655" s="39" t="str">
        <f t="shared" si="1"/>
        <v/>
      </c>
      <c r="B655" s="39"/>
      <c r="C655" s="40"/>
      <c r="D655" s="41"/>
      <c r="E655" s="40"/>
      <c r="F655" s="40"/>
    </row>
    <row r="656">
      <c r="A656" s="39" t="str">
        <f t="shared" si="1"/>
        <v/>
      </c>
      <c r="B656" s="39"/>
      <c r="C656" s="40"/>
      <c r="D656" s="41"/>
      <c r="E656" s="40"/>
      <c r="F656" s="40"/>
    </row>
    <row r="657">
      <c r="A657" s="39" t="str">
        <f t="shared" si="1"/>
        <v/>
      </c>
      <c r="B657" s="39"/>
      <c r="C657" s="40"/>
      <c r="D657" s="41"/>
      <c r="E657" s="40"/>
      <c r="F657" s="40"/>
    </row>
    <row r="658">
      <c r="A658" s="39" t="str">
        <f t="shared" si="1"/>
        <v/>
      </c>
      <c r="B658" s="39"/>
      <c r="C658" s="40"/>
      <c r="D658" s="41"/>
      <c r="E658" s="40"/>
      <c r="F658" s="40"/>
    </row>
    <row r="659">
      <c r="A659" s="39" t="str">
        <f t="shared" si="1"/>
        <v/>
      </c>
      <c r="B659" s="39"/>
      <c r="C659" s="40"/>
      <c r="D659" s="41"/>
      <c r="E659" s="40"/>
      <c r="F659" s="40"/>
    </row>
    <row r="660">
      <c r="A660" s="39" t="str">
        <f t="shared" si="1"/>
        <v/>
      </c>
      <c r="B660" s="39"/>
      <c r="C660" s="40"/>
      <c r="D660" s="41"/>
      <c r="E660" s="40"/>
      <c r="F660" s="40"/>
    </row>
    <row r="661">
      <c r="A661" s="39" t="str">
        <f t="shared" si="1"/>
        <v/>
      </c>
      <c r="B661" s="39"/>
      <c r="C661" s="40"/>
      <c r="D661" s="41"/>
      <c r="E661" s="40"/>
      <c r="F661" s="40"/>
    </row>
    <row r="662">
      <c r="A662" s="39" t="str">
        <f t="shared" si="1"/>
        <v/>
      </c>
      <c r="B662" s="39"/>
      <c r="C662" s="40"/>
      <c r="D662" s="41"/>
      <c r="E662" s="40"/>
      <c r="F662" s="40"/>
    </row>
    <row r="663">
      <c r="A663" s="39" t="str">
        <f t="shared" si="1"/>
        <v/>
      </c>
      <c r="B663" s="39"/>
      <c r="C663" s="40"/>
      <c r="D663" s="41"/>
      <c r="E663" s="40"/>
      <c r="F663" s="40"/>
    </row>
    <row r="664">
      <c r="A664" s="39" t="str">
        <f t="shared" si="1"/>
        <v/>
      </c>
      <c r="B664" s="39"/>
      <c r="C664" s="40"/>
      <c r="D664" s="41"/>
      <c r="E664" s="40"/>
      <c r="F664" s="40"/>
    </row>
    <row r="665">
      <c r="A665" s="39" t="str">
        <f t="shared" si="1"/>
        <v/>
      </c>
      <c r="B665" s="39"/>
      <c r="C665" s="40"/>
      <c r="D665" s="41"/>
      <c r="E665" s="40"/>
      <c r="F665" s="40"/>
    </row>
    <row r="666">
      <c r="A666" s="39" t="str">
        <f t="shared" si="1"/>
        <v/>
      </c>
      <c r="B666" s="39"/>
      <c r="C666" s="40"/>
      <c r="D666" s="41"/>
      <c r="E666" s="40"/>
      <c r="F666" s="40"/>
    </row>
    <row r="667">
      <c r="A667" s="39" t="str">
        <f t="shared" si="1"/>
        <v/>
      </c>
      <c r="B667" s="39"/>
      <c r="C667" s="40"/>
      <c r="D667" s="41"/>
      <c r="E667" s="40"/>
      <c r="F667" s="40"/>
    </row>
    <row r="668">
      <c r="A668" s="39" t="str">
        <f t="shared" si="1"/>
        <v/>
      </c>
      <c r="B668" s="39"/>
      <c r="C668" s="40"/>
      <c r="D668" s="41"/>
      <c r="E668" s="40"/>
      <c r="F668" s="40"/>
    </row>
    <row r="669">
      <c r="A669" s="39" t="str">
        <f t="shared" si="1"/>
        <v/>
      </c>
      <c r="B669" s="39"/>
      <c r="C669" s="40"/>
      <c r="D669" s="41"/>
      <c r="E669" s="40"/>
      <c r="F669" s="40"/>
    </row>
    <row r="670">
      <c r="A670" s="39" t="str">
        <f t="shared" si="1"/>
        <v/>
      </c>
      <c r="B670" s="39"/>
      <c r="C670" s="40"/>
      <c r="D670" s="41"/>
      <c r="E670" s="40"/>
      <c r="F670" s="40"/>
    </row>
    <row r="671">
      <c r="A671" s="39" t="str">
        <f t="shared" si="1"/>
        <v/>
      </c>
      <c r="B671" s="39"/>
      <c r="C671" s="40"/>
      <c r="D671" s="41"/>
      <c r="E671" s="40"/>
      <c r="F671" s="40"/>
    </row>
    <row r="672">
      <c r="A672" s="39" t="str">
        <f t="shared" si="1"/>
        <v/>
      </c>
      <c r="B672" s="39"/>
      <c r="C672" s="40"/>
      <c r="D672" s="41"/>
      <c r="E672" s="40"/>
      <c r="F672" s="40"/>
    </row>
    <row r="673">
      <c r="A673" s="39" t="str">
        <f t="shared" si="1"/>
        <v/>
      </c>
      <c r="B673" s="39"/>
      <c r="C673" s="40"/>
      <c r="D673" s="41"/>
      <c r="E673" s="40"/>
      <c r="F673" s="40"/>
    </row>
    <row r="674">
      <c r="A674" s="39" t="str">
        <f t="shared" si="1"/>
        <v/>
      </c>
      <c r="B674" s="39"/>
      <c r="C674" s="40"/>
      <c r="D674" s="41"/>
      <c r="E674" s="40"/>
      <c r="F674" s="40"/>
    </row>
    <row r="675">
      <c r="A675" s="39" t="str">
        <f t="shared" si="1"/>
        <v/>
      </c>
      <c r="B675" s="39"/>
      <c r="C675" s="40"/>
      <c r="D675" s="41"/>
      <c r="E675" s="40"/>
      <c r="F675" s="40"/>
    </row>
    <row r="676">
      <c r="A676" s="39" t="str">
        <f t="shared" si="1"/>
        <v/>
      </c>
      <c r="B676" s="39"/>
      <c r="C676" s="40"/>
      <c r="D676" s="41"/>
      <c r="E676" s="40"/>
      <c r="F676" s="40"/>
    </row>
    <row r="677">
      <c r="A677" s="39" t="str">
        <f t="shared" si="1"/>
        <v/>
      </c>
      <c r="B677" s="39"/>
      <c r="C677" s="40"/>
      <c r="D677" s="41"/>
      <c r="E677" s="40"/>
      <c r="F677" s="40"/>
    </row>
    <row r="678">
      <c r="A678" s="39" t="str">
        <f t="shared" si="1"/>
        <v/>
      </c>
      <c r="B678" s="39"/>
      <c r="C678" s="40"/>
      <c r="D678" s="41"/>
      <c r="E678" s="40"/>
      <c r="F678" s="40"/>
    </row>
    <row r="679">
      <c r="A679" s="39" t="str">
        <f t="shared" si="1"/>
        <v/>
      </c>
      <c r="B679" s="39"/>
      <c r="C679" s="40"/>
      <c r="D679" s="41"/>
      <c r="E679" s="40"/>
      <c r="F679" s="40"/>
    </row>
    <row r="680">
      <c r="A680" s="39" t="str">
        <f t="shared" si="1"/>
        <v/>
      </c>
      <c r="B680" s="39"/>
      <c r="C680" s="40"/>
      <c r="D680" s="41"/>
      <c r="E680" s="40"/>
      <c r="F680" s="40"/>
    </row>
    <row r="681">
      <c r="A681" s="39" t="str">
        <f t="shared" si="1"/>
        <v/>
      </c>
      <c r="B681" s="39"/>
      <c r="C681" s="40"/>
      <c r="D681" s="41"/>
      <c r="E681" s="40"/>
      <c r="F681" s="40"/>
    </row>
    <row r="682">
      <c r="A682" s="39" t="str">
        <f t="shared" si="1"/>
        <v/>
      </c>
      <c r="B682" s="39"/>
      <c r="C682" s="40"/>
      <c r="D682" s="41"/>
      <c r="E682" s="40"/>
      <c r="F682" s="40"/>
    </row>
    <row r="683">
      <c r="A683" s="39" t="str">
        <f t="shared" si="1"/>
        <v/>
      </c>
      <c r="B683" s="39"/>
      <c r="C683" s="40"/>
      <c r="D683" s="41"/>
      <c r="E683" s="40"/>
      <c r="F683" s="40"/>
    </row>
    <row r="684">
      <c r="A684" s="39" t="str">
        <f t="shared" si="1"/>
        <v/>
      </c>
      <c r="B684" s="39"/>
      <c r="C684" s="40"/>
      <c r="D684" s="41"/>
      <c r="E684" s="40"/>
      <c r="F684" s="40"/>
    </row>
    <row r="685">
      <c r="A685" s="39" t="str">
        <f t="shared" si="1"/>
        <v/>
      </c>
      <c r="B685" s="39"/>
      <c r="C685" s="40"/>
      <c r="D685" s="41"/>
      <c r="E685" s="40"/>
      <c r="F685" s="40"/>
    </row>
    <row r="686">
      <c r="A686" s="39" t="str">
        <f t="shared" si="1"/>
        <v/>
      </c>
      <c r="B686" s="39"/>
      <c r="C686" s="40"/>
      <c r="D686" s="41"/>
      <c r="E686" s="40"/>
      <c r="F686" s="40"/>
    </row>
    <row r="687">
      <c r="A687" s="39" t="str">
        <f t="shared" si="1"/>
        <v/>
      </c>
      <c r="B687" s="39"/>
      <c r="C687" s="40"/>
      <c r="D687" s="41"/>
      <c r="E687" s="40"/>
      <c r="F687" s="40"/>
    </row>
    <row r="688">
      <c r="A688" s="39" t="str">
        <f t="shared" si="1"/>
        <v/>
      </c>
      <c r="B688" s="39"/>
      <c r="C688" s="40"/>
      <c r="D688" s="41"/>
      <c r="E688" s="40"/>
      <c r="F688" s="40"/>
    </row>
    <row r="689">
      <c r="A689" s="39" t="str">
        <f t="shared" si="1"/>
        <v/>
      </c>
      <c r="B689" s="39"/>
      <c r="C689" s="40"/>
      <c r="D689" s="41"/>
      <c r="E689" s="40"/>
      <c r="F689" s="40"/>
    </row>
    <row r="690">
      <c r="A690" s="39" t="str">
        <f t="shared" si="1"/>
        <v/>
      </c>
      <c r="B690" s="39"/>
      <c r="C690" s="40"/>
      <c r="D690" s="41"/>
      <c r="E690" s="40"/>
      <c r="F690" s="40"/>
    </row>
    <row r="691">
      <c r="A691" s="39" t="str">
        <f t="shared" si="1"/>
        <v/>
      </c>
      <c r="B691" s="39"/>
      <c r="C691" s="40"/>
      <c r="D691" s="41"/>
      <c r="E691" s="40"/>
      <c r="F691" s="40"/>
    </row>
    <row r="692">
      <c r="A692" s="39" t="str">
        <f t="shared" si="1"/>
        <v/>
      </c>
      <c r="B692" s="39"/>
      <c r="C692" s="40"/>
      <c r="D692" s="41"/>
      <c r="E692" s="40"/>
      <c r="F692" s="40"/>
    </row>
    <row r="693">
      <c r="A693" s="39" t="str">
        <f t="shared" si="1"/>
        <v/>
      </c>
      <c r="B693" s="39"/>
      <c r="C693" s="40"/>
      <c r="D693" s="41"/>
      <c r="E693" s="40"/>
      <c r="F693" s="40"/>
    </row>
    <row r="694">
      <c r="A694" s="39" t="str">
        <f t="shared" si="1"/>
        <v/>
      </c>
      <c r="B694" s="39"/>
      <c r="C694" s="40"/>
      <c r="D694" s="41"/>
      <c r="E694" s="40"/>
      <c r="F694" s="40"/>
    </row>
    <row r="695">
      <c r="A695" s="39" t="str">
        <f t="shared" si="1"/>
        <v/>
      </c>
      <c r="B695" s="39"/>
      <c r="C695" s="40"/>
      <c r="D695" s="41"/>
      <c r="E695" s="40"/>
      <c r="F695" s="40"/>
    </row>
    <row r="696">
      <c r="A696" s="39" t="str">
        <f t="shared" si="1"/>
        <v/>
      </c>
      <c r="B696" s="39"/>
      <c r="C696" s="40"/>
      <c r="D696" s="41"/>
      <c r="E696" s="40"/>
      <c r="F696" s="40"/>
    </row>
    <row r="697">
      <c r="A697" s="39" t="str">
        <f t="shared" si="1"/>
        <v/>
      </c>
      <c r="B697" s="39"/>
      <c r="C697" s="40"/>
      <c r="D697" s="41"/>
      <c r="E697" s="40"/>
      <c r="F697" s="40"/>
    </row>
    <row r="698">
      <c r="A698" s="39" t="str">
        <f t="shared" si="1"/>
        <v/>
      </c>
      <c r="B698" s="39"/>
      <c r="C698" s="40"/>
      <c r="D698" s="41"/>
      <c r="E698" s="40"/>
      <c r="F698" s="40"/>
    </row>
    <row r="699">
      <c r="A699" s="39" t="str">
        <f t="shared" si="1"/>
        <v/>
      </c>
      <c r="B699" s="39"/>
      <c r="C699" s="40"/>
      <c r="D699" s="41"/>
      <c r="E699" s="40"/>
      <c r="F699" s="40"/>
    </row>
    <row r="700">
      <c r="A700" s="39" t="str">
        <f t="shared" si="1"/>
        <v/>
      </c>
      <c r="B700" s="39"/>
      <c r="C700" s="40"/>
      <c r="D700" s="41"/>
      <c r="E700" s="40"/>
      <c r="F700" s="40"/>
    </row>
    <row r="701">
      <c r="A701" s="39" t="str">
        <f t="shared" si="1"/>
        <v/>
      </c>
      <c r="B701" s="39"/>
      <c r="C701" s="40"/>
      <c r="D701" s="41"/>
      <c r="E701" s="40"/>
      <c r="F701" s="40"/>
    </row>
    <row r="702">
      <c r="A702" s="39" t="str">
        <f t="shared" si="1"/>
        <v/>
      </c>
      <c r="B702" s="39"/>
      <c r="C702" s="40"/>
      <c r="D702" s="41"/>
      <c r="E702" s="40"/>
      <c r="F702" s="40"/>
    </row>
    <row r="703">
      <c r="A703" s="39" t="str">
        <f t="shared" si="1"/>
        <v/>
      </c>
      <c r="B703" s="39"/>
      <c r="C703" s="40"/>
      <c r="D703" s="41"/>
      <c r="E703" s="40"/>
      <c r="F703" s="40"/>
    </row>
    <row r="704">
      <c r="A704" s="39" t="str">
        <f t="shared" si="1"/>
        <v/>
      </c>
      <c r="B704" s="39"/>
      <c r="C704" s="40"/>
      <c r="D704" s="41"/>
      <c r="E704" s="40"/>
      <c r="F704" s="40"/>
    </row>
    <row r="705">
      <c r="A705" s="39" t="str">
        <f t="shared" si="1"/>
        <v/>
      </c>
      <c r="B705" s="39"/>
      <c r="C705" s="40"/>
      <c r="D705" s="41"/>
      <c r="E705" s="40"/>
      <c r="F705" s="40"/>
    </row>
    <row r="706">
      <c r="A706" s="39" t="str">
        <f t="shared" si="1"/>
        <v/>
      </c>
      <c r="B706" s="39"/>
      <c r="C706" s="40"/>
      <c r="D706" s="41"/>
      <c r="E706" s="40"/>
      <c r="F706" s="40"/>
    </row>
    <row r="707">
      <c r="A707" s="39" t="str">
        <f t="shared" si="1"/>
        <v/>
      </c>
      <c r="B707" s="39"/>
      <c r="C707" s="40"/>
      <c r="D707" s="41"/>
      <c r="E707" s="40"/>
      <c r="F707" s="40"/>
    </row>
    <row r="708">
      <c r="A708" s="39" t="str">
        <f t="shared" si="1"/>
        <v/>
      </c>
      <c r="B708" s="39"/>
      <c r="C708" s="40"/>
      <c r="D708" s="41"/>
      <c r="E708" s="40"/>
      <c r="F708" s="40"/>
    </row>
    <row r="709">
      <c r="A709" s="39" t="str">
        <f t="shared" si="1"/>
        <v/>
      </c>
      <c r="B709" s="39"/>
      <c r="C709" s="40"/>
      <c r="D709" s="41"/>
      <c r="E709" s="40"/>
      <c r="F709" s="40"/>
    </row>
    <row r="710">
      <c r="A710" s="39" t="str">
        <f t="shared" si="1"/>
        <v/>
      </c>
      <c r="B710" s="39"/>
      <c r="C710" s="40"/>
      <c r="D710" s="41"/>
      <c r="E710" s="40"/>
      <c r="F710" s="40"/>
    </row>
    <row r="711">
      <c r="A711" s="39" t="str">
        <f t="shared" si="1"/>
        <v/>
      </c>
      <c r="B711" s="39"/>
      <c r="C711" s="40"/>
      <c r="D711" s="41"/>
      <c r="E711" s="40"/>
      <c r="F711" s="40"/>
    </row>
    <row r="712">
      <c r="A712" s="39" t="str">
        <f t="shared" si="1"/>
        <v/>
      </c>
      <c r="B712" s="39"/>
      <c r="C712" s="40"/>
      <c r="D712" s="41"/>
      <c r="E712" s="40"/>
      <c r="F712" s="40"/>
    </row>
    <row r="713">
      <c r="A713" s="39" t="str">
        <f t="shared" si="1"/>
        <v/>
      </c>
      <c r="B713" s="39"/>
      <c r="C713" s="40"/>
      <c r="D713" s="41"/>
      <c r="E713" s="40"/>
      <c r="F713" s="40"/>
    </row>
    <row r="714">
      <c r="A714" s="39" t="str">
        <f t="shared" si="1"/>
        <v/>
      </c>
      <c r="B714" s="39"/>
      <c r="C714" s="40"/>
      <c r="D714" s="41"/>
      <c r="E714" s="40"/>
      <c r="F714" s="40"/>
    </row>
    <row r="715">
      <c r="A715" s="39" t="str">
        <f t="shared" si="1"/>
        <v/>
      </c>
      <c r="B715" s="39"/>
      <c r="C715" s="40"/>
      <c r="D715" s="41"/>
      <c r="E715" s="40"/>
      <c r="F715" s="40"/>
    </row>
    <row r="716">
      <c r="A716" s="39" t="str">
        <f t="shared" si="1"/>
        <v/>
      </c>
      <c r="B716" s="39"/>
      <c r="C716" s="40"/>
      <c r="D716" s="41"/>
      <c r="E716" s="40"/>
      <c r="F716" s="40"/>
    </row>
    <row r="717">
      <c r="A717" s="39" t="str">
        <f t="shared" si="1"/>
        <v/>
      </c>
      <c r="B717" s="39"/>
      <c r="C717" s="40"/>
      <c r="D717" s="41"/>
      <c r="E717" s="40"/>
      <c r="F717" s="40"/>
    </row>
    <row r="718">
      <c r="A718" s="39" t="str">
        <f t="shared" si="1"/>
        <v/>
      </c>
      <c r="B718" s="39"/>
      <c r="C718" s="40"/>
      <c r="D718" s="41"/>
      <c r="E718" s="40"/>
      <c r="F718" s="40"/>
    </row>
    <row r="719">
      <c r="A719" s="39" t="str">
        <f t="shared" si="1"/>
        <v/>
      </c>
      <c r="B719" s="39"/>
      <c r="C719" s="40"/>
      <c r="D719" s="41"/>
      <c r="E719" s="40"/>
      <c r="F719" s="40"/>
    </row>
    <row r="720">
      <c r="A720" s="39" t="str">
        <f t="shared" si="1"/>
        <v/>
      </c>
      <c r="B720" s="39"/>
      <c r="C720" s="40"/>
      <c r="D720" s="41"/>
      <c r="E720" s="40"/>
      <c r="F720" s="40"/>
    </row>
    <row r="721">
      <c r="A721" s="39" t="str">
        <f t="shared" si="1"/>
        <v/>
      </c>
      <c r="B721" s="39"/>
      <c r="C721" s="40"/>
      <c r="D721" s="41"/>
      <c r="E721" s="40"/>
      <c r="F721" s="40"/>
    </row>
    <row r="722">
      <c r="A722" s="39" t="str">
        <f t="shared" si="1"/>
        <v/>
      </c>
      <c r="B722" s="39"/>
      <c r="C722" s="40"/>
      <c r="D722" s="41"/>
      <c r="E722" s="40"/>
      <c r="F722" s="40"/>
    </row>
    <row r="723">
      <c r="A723" s="39" t="str">
        <f t="shared" si="1"/>
        <v/>
      </c>
      <c r="B723" s="39"/>
      <c r="C723" s="40"/>
      <c r="D723" s="41"/>
      <c r="E723" s="40"/>
      <c r="F723" s="40"/>
    </row>
    <row r="724">
      <c r="A724" s="39" t="str">
        <f t="shared" si="1"/>
        <v/>
      </c>
      <c r="B724" s="39"/>
      <c r="C724" s="40"/>
      <c r="D724" s="41"/>
      <c r="E724" s="40"/>
      <c r="F724" s="40"/>
    </row>
    <row r="725">
      <c r="A725" s="39" t="str">
        <f t="shared" si="1"/>
        <v/>
      </c>
      <c r="B725" s="39"/>
      <c r="C725" s="40"/>
      <c r="D725" s="41"/>
      <c r="E725" s="40"/>
      <c r="F725" s="40"/>
    </row>
    <row r="726">
      <c r="A726" s="39" t="str">
        <f t="shared" si="1"/>
        <v/>
      </c>
      <c r="B726" s="39"/>
      <c r="C726" s="40"/>
      <c r="D726" s="41"/>
      <c r="E726" s="40"/>
      <c r="F726" s="40"/>
    </row>
    <row r="727">
      <c r="A727" s="39" t="str">
        <f t="shared" si="1"/>
        <v/>
      </c>
      <c r="B727" s="39"/>
      <c r="C727" s="40"/>
      <c r="D727" s="41"/>
      <c r="E727" s="40"/>
      <c r="F727" s="40"/>
    </row>
    <row r="728">
      <c r="A728" s="39" t="str">
        <f t="shared" si="1"/>
        <v/>
      </c>
      <c r="B728" s="39"/>
      <c r="C728" s="40"/>
      <c r="D728" s="41"/>
      <c r="E728" s="40"/>
      <c r="F728" s="40"/>
    </row>
    <row r="729">
      <c r="A729" s="39" t="str">
        <f t="shared" si="1"/>
        <v/>
      </c>
      <c r="B729" s="39"/>
      <c r="C729" s="40"/>
      <c r="D729" s="41"/>
      <c r="E729" s="40"/>
      <c r="F729" s="40"/>
    </row>
    <row r="730">
      <c r="A730" s="39" t="str">
        <f t="shared" si="1"/>
        <v/>
      </c>
      <c r="B730" s="39"/>
      <c r="C730" s="40"/>
      <c r="D730" s="41"/>
      <c r="E730" s="40"/>
      <c r="F730" s="40"/>
    </row>
    <row r="731">
      <c r="A731" s="39" t="str">
        <f t="shared" si="1"/>
        <v/>
      </c>
      <c r="B731" s="39"/>
      <c r="C731" s="40"/>
      <c r="D731" s="41"/>
      <c r="E731" s="40"/>
      <c r="F731" s="40"/>
    </row>
    <row r="732">
      <c r="A732" s="39" t="str">
        <f t="shared" si="1"/>
        <v/>
      </c>
      <c r="B732" s="39"/>
      <c r="C732" s="40"/>
      <c r="D732" s="41"/>
      <c r="E732" s="40"/>
      <c r="F732" s="40"/>
    </row>
    <row r="733">
      <c r="A733" s="39" t="str">
        <f t="shared" si="1"/>
        <v/>
      </c>
      <c r="B733" s="39"/>
      <c r="C733" s="40"/>
      <c r="D733" s="41"/>
      <c r="E733" s="40"/>
      <c r="F733" s="40"/>
    </row>
    <row r="734">
      <c r="A734" s="39" t="str">
        <f t="shared" si="1"/>
        <v/>
      </c>
      <c r="B734" s="39"/>
      <c r="C734" s="40"/>
      <c r="D734" s="41"/>
      <c r="E734" s="40"/>
      <c r="F734" s="40"/>
    </row>
    <row r="735">
      <c r="A735" s="39" t="str">
        <f t="shared" si="1"/>
        <v/>
      </c>
      <c r="B735" s="39"/>
      <c r="C735" s="40"/>
      <c r="D735" s="41"/>
      <c r="E735" s="40"/>
      <c r="F735" s="40"/>
    </row>
    <row r="736">
      <c r="A736" s="39" t="str">
        <f t="shared" si="1"/>
        <v/>
      </c>
      <c r="B736" s="39"/>
      <c r="C736" s="40"/>
      <c r="D736" s="41"/>
      <c r="E736" s="40"/>
      <c r="F736" s="40"/>
    </row>
    <row r="737">
      <c r="A737" s="39" t="str">
        <f t="shared" si="1"/>
        <v/>
      </c>
      <c r="B737" s="39"/>
      <c r="C737" s="40"/>
      <c r="D737" s="41"/>
      <c r="E737" s="40"/>
      <c r="F737" s="40"/>
    </row>
    <row r="738">
      <c r="A738" s="39" t="str">
        <f t="shared" si="1"/>
        <v/>
      </c>
      <c r="B738" s="39"/>
      <c r="C738" s="40"/>
      <c r="D738" s="41"/>
      <c r="E738" s="40"/>
      <c r="F738" s="40"/>
    </row>
    <row r="739">
      <c r="A739" s="39" t="str">
        <f t="shared" si="1"/>
        <v/>
      </c>
      <c r="B739" s="39"/>
      <c r="C739" s="40"/>
      <c r="D739" s="41"/>
      <c r="E739" s="40"/>
      <c r="F739" s="40"/>
    </row>
    <row r="740">
      <c r="A740" s="39" t="str">
        <f t="shared" si="1"/>
        <v/>
      </c>
      <c r="B740" s="39"/>
      <c r="C740" s="40"/>
      <c r="D740" s="41"/>
      <c r="E740" s="40"/>
      <c r="F740" s="40"/>
    </row>
    <row r="741">
      <c r="A741" s="39" t="str">
        <f t="shared" si="1"/>
        <v/>
      </c>
      <c r="B741" s="39"/>
      <c r="C741" s="40"/>
      <c r="D741" s="41"/>
      <c r="E741" s="40"/>
      <c r="F741" s="40"/>
    </row>
    <row r="742">
      <c r="A742" s="39" t="str">
        <f t="shared" si="1"/>
        <v/>
      </c>
      <c r="B742" s="39"/>
      <c r="C742" s="40"/>
      <c r="D742" s="41"/>
      <c r="E742" s="40"/>
      <c r="F742" s="40"/>
    </row>
    <row r="743">
      <c r="A743" s="39" t="str">
        <f t="shared" si="1"/>
        <v/>
      </c>
      <c r="B743" s="39"/>
      <c r="C743" s="40"/>
      <c r="D743" s="41"/>
      <c r="E743" s="40"/>
      <c r="F743" s="40"/>
    </row>
    <row r="744">
      <c r="A744" s="39" t="str">
        <f t="shared" si="1"/>
        <v/>
      </c>
      <c r="B744" s="39"/>
      <c r="C744" s="40"/>
      <c r="D744" s="41"/>
      <c r="E744" s="40"/>
      <c r="F744" s="40"/>
    </row>
    <row r="745">
      <c r="A745" s="39" t="str">
        <f t="shared" si="1"/>
        <v/>
      </c>
      <c r="B745" s="39"/>
      <c r="C745" s="40"/>
      <c r="D745" s="41"/>
      <c r="E745" s="40"/>
      <c r="F745" s="40"/>
    </row>
    <row r="746">
      <c r="A746" s="39" t="str">
        <f t="shared" si="1"/>
        <v/>
      </c>
      <c r="B746" s="39"/>
      <c r="C746" s="40"/>
      <c r="D746" s="41"/>
      <c r="E746" s="40"/>
      <c r="F746" s="40"/>
    </row>
    <row r="747">
      <c r="A747" s="39" t="str">
        <f t="shared" si="1"/>
        <v/>
      </c>
      <c r="B747" s="39"/>
      <c r="C747" s="40"/>
      <c r="D747" s="41"/>
      <c r="E747" s="40"/>
      <c r="F747" s="40"/>
    </row>
    <row r="748">
      <c r="A748" s="39" t="str">
        <f t="shared" si="1"/>
        <v/>
      </c>
      <c r="B748" s="39"/>
      <c r="C748" s="40"/>
      <c r="D748" s="41"/>
      <c r="E748" s="40"/>
      <c r="F748" s="40"/>
    </row>
    <row r="749">
      <c r="A749" s="39" t="str">
        <f t="shared" si="1"/>
        <v/>
      </c>
      <c r="B749" s="39"/>
      <c r="C749" s="40"/>
      <c r="D749" s="41"/>
      <c r="E749" s="40"/>
      <c r="F749" s="40"/>
    </row>
    <row r="750">
      <c r="A750" s="39" t="str">
        <f t="shared" si="1"/>
        <v/>
      </c>
      <c r="B750" s="39"/>
      <c r="C750" s="40"/>
      <c r="D750" s="41"/>
      <c r="E750" s="40"/>
      <c r="F750" s="40"/>
    </row>
    <row r="751">
      <c r="A751" s="39" t="str">
        <f t="shared" si="1"/>
        <v/>
      </c>
      <c r="B751" s="39"/>
      <c r="C751" s="40"/>
      <c r="D751" s="41"/>
      <c r="E751" s="40"/>
      <c r="F751" s="40"/>
    </row>
    <row r="752">
      <c r="A752" s="39" t="str">
        <f t="shared" si="1"/>
        <v/>
      </c>
      <c r="B752" s="39"/>
      <c r="C752" s="40"/>
      <c r="D752" s="41"/>
      <c r="E752" s="40"/>
      <c r="F752" s="40"/>
    </row>
    <row r="753">
      <c r="A753" s="39" t="str">
        <f t="shared" si="1"/>
        <v/>
      </c>
      <c r="B753" s="39"/>
      <c r="C753" s="40"/>
      <c r="D753" s="41"/>
      <c r="E753" s="40"/>
      <c r="F753" s="40"/>
    </row>
    <row r="754">
      <c r="A754" s="39" t="str">
        <f t="shared" si="1"/>
        <v/>
      </c>
      <c r="B754" s="39"/>
      <c r="C754" s="40"/>
      <c r="D754" s="41"/>
      <c r="E754" s="40"/>
      <c r="F754" s="40"/>
    </row>
    <row r="755">
      <c r="A755" s="39" t="str">
        <f t="shared" si="1"/>
        <v/>
      </c>
      <c r="B755" s="39"/>
      <c r="C755" s="40"/>
      <c r="D755" s="41"/>
      <c r="E755" s="40"/>
      <c r="F755" s="40"/>
    </row>
    <row r="756">
      <c r="A756" s="39" t="str">
        <f t="shared" si="1"/>
        <v/>
      </c>
      <c r="B756" s="39"/>
      <c r="C756" s="40"/>
      <c r="D756" s="41"/>
      <c r="E756" s="40"/>
      <c r="F756" s="40"/>
    </row>
    <row r="757">
      <c r="A757" s="39" t="str">
        <f t="shared" si="1"/>
        <v/>
      </c>
      <c r="B757" s="39"/>
      <c r="C757" s="40"/>
      <c r="D757" s="41"/>
      <c r="E757" s="40"/>
      <c r="F757" s="40"/>
    </row>
    <row r="758">
      <c r="A758" s="39" t="str">
        <f t="shared" si="1"/>
        <v/>
      </c>
      <c r="B758" s="39"/>
      <c r="C758" s="40"/>
      <c r="D758" s="41"/>
      <c r="E758" s="40"/>
      <c r="F758" s="40"/>
    </row>
    <row r="759">
      <c r="A759" s="39" t="str">
        <f t="shared" si="1"/>
        <v/>
      </c>
      <c r="B759" s="39"/>
      <c r="C759" s="40"/>
      <c r="D759" s="41"/>
      <c r="E759" s="40"/>
      <c r="F759" s="40"/>
    </row>
    <row r="760">
      <c r="A760" s="39" t="str">
        <f t="shared" si="1"/>
        <v/>
      </c>
      <c r="B760" s="39"/>
      <c r="C760" s="40"/>
      <c r="D760" s="41"/>
      <c r="E760" s="40"/>
      <c r="F760" s="40"/>
    </row>
    <row r="761">
      <c r="A761" s="39" t="str">
        <f t="shared" si="1"/>
        <v/>
      </c>
      <c r="B761" s="39"/>
      <c r="C761" s="40"/>
      <c r="D761" s="41"/>
      <c r="E761" s="40"/>
      <c r="F761" s="40"/>
    </row>
    <row r="762">
      <c r="A762" s="39" t="str">
        <f t="shared" si="1"/>
        <v/>
      </c>
      <c r="B762" s="39"/>
      <c r="C762" s="40"/>
      <c r="D762" s="41"/>
      <c r="E762" s="40"/>
      <c r="F762" s="40"/>
    </row>
    <row r="763">
      <c r="A763" s="39" t="str">
        <f t="shared" si="1"/>
        <v/>
      </c>
      <c r="B763" s="39"/>
      <c r="C763" s="40"/>
      <c r="D763" s="41"/>
      <c r="E763" s="40"/>
      <c r="F763" s="40"/>
    </row>
    <row r="764">
      <c r="A764" s="39" t="str">
        <f t="shared" si="1"/>
        <v/>
      </c>
      <c r="B764" s="39"/>
      <c r="C764" s="40"/>
      <c r="D764" s="41"/>
      <c r="E764" s="40"/>
      <c r="F764" s="40"/>
    </row>
    <row r="765">
      <c r="A765" s="39" t="str">
        <f t="shared" si="1"/>
        <v/>
      </c>
      <c r="B765" s="39"/>
      <c r="C765" s="40"/>
      <c r="D765" s="41"/>
      <c r="E765" s="40"/>
      <c r="F765" s="40"/>
    </row>
    <row r="766">
      <c r="A766" s="39" t="str">
        <f t="shared" si="1"/>
        <v/>
      </c>
      <c r="B766" s="39"/>
      <c r="C766" s="40"/>
      <c r="D766" s="41"/>
      <c r="E766" s="40"/>
      <c r="F766" s="40"/>
    </row>
    <row r="767">
      <c r="A767" s="39" t="str">
        <f t="shared" si="1"/>
        <v/>
      </c>
      <c r="B767" s="39"/>
      <c r="C767" s="40"/>
      <c r="D767" s="41"/>
      <c r="E767" s="40"/>
      <c r="F767" s="40"/>
    </row>
    <row r="768">
      <c r="A768" s="39" t="str">
        <f t="shared" si="1"/>
        <v/>
      </c>
      <c r="B768" s="39"/>
      <c r="C768" s="40"/>
      <c r="D768" s="41"/>
      <c r="E768" s="40"/>
      <c r="F768" s="40"/>
    </row>
    <row r="769">
      <c r="A769" s="39" t="str">
        <f t="shared" si="1"/>
        <v/>
      </c>
      <c r="B769" s="39"/>
      <c r="C769" s="40"/>
      <c r="D769" s="41"/>
      <c r="E769" s="40"/>
      <c r="F769" s="40"/>
    </row>
    <row r="770">
      <c r="A770" s="39" t="str">
        <f t="shared" si="1"/>
        <v/>
      </c>
      <c r="B770" s="39"/>
      <c r="C770" s="40"/>
      <c r="D770" s="41"/>
      <c r="E770" s="40"/>
      <c r="F770" s="40"/>
    </row>
    <row r="771">
      <c r="A771" s="39" t="str">
        <f t="shared" si="1"/>
        <v/>
      </c>
      <c r="B771" s="39"/>
      <c r="C771" s="40"/>
      <c r="D771" s="41"/>
      <c r="E771" s="40"/>
      <c r="F771" s="40"/>
    </row>
    <row r="772">
      <c r="A772" s="39" t="str">
        <f t="shared" si="1"/>
        <v/>
      </c>
      <c r="B772" s="39"/>
      <c r="C772" s="40"/>
      <c r="D772" s="41"/>
      <c r="E772" s="40"/>
      <c r="F772" s="40"/>
    </row>
    <row r="773">
      <c r="A773" s="39" t="str">
        <f t="shared" si="1"/>
        <v/>
      </c>
      <c r="B773" s="39"/>
      <c r="C773" s="40"/>
      <c r="D773" s="41"/>
      <c r="E773" s="40"/>
      <c r="F773" s="40"/>
    </row>
    <row r="774">
      <c r="A774" s="39" t="str">
        <f t="shared" si="1"/>
        <v/>
      </c>
      <c r="B774" s="39"/>
      <c r="C774" s="40"/>
      <c r="D774" s="41"/>
      <c r="E774" s="40"/>
      <c r="F774" s="40"/>
    </row>
    <row r="775">
      <c r="A775" s="39" t="str">
        <f t="shared" si="1"/>
        <v/>
      </c>
      <c r="B775" s="39"/>
      <c r="C775" s="40"/>
      <c r="D775" s="41"/>
      <c r="E775" s="40"/>
      <c r="F775" s="40"/>
    </row>
    <row r="776">
      <c r="A776" s="39" t="str">
        <f t="shared" si="1"/>
        <v/>
      </c>
      <c r="B776" s="39"/>
      <c r="C776" s="40"/>
      <c r="D776" s="41"/>
      <c r="E776" s="40"/>
      <c r="F776" s="40"/>
    </row>
    <row r="777">
      <c r="A777" s="39" t="str">
        <f t="shared" si="1"/>
        <v/>
      </c>
      <c r="B777" s="39"/>
      <c r="C777" s="40"/>
      <c r="D777" s="41"/>
      <c r="E777" s="40"/>
      <c r="F777" s="40"/>
    </row>
    <row r="778">
      <c r="A778" s="39" t="str">
        <f t="shared" si="1"/>
        <v/>
      </c>
      <c r="B778" s="39"/>
      <c r="C778" s="40"/>
      <c r="D778" s="41"/>
      <c r="E778" s="40"/>
      <c r="F778" s="40"/>
    </row>
    <row r="779">
      <c r="A779" s="39" t="str">
        <f t="shared" si="1"/>
        <v/>
      </c>
      <c r="B779" s="39"/>
      <c r="C779" s="40"/>
      <c r="D779" s="41"/>
      <c r="E779" s="40"/>
      <c r="F779" s="40"/>
    </row>
    <row r="780">
      <c r="A780" s="39" t="str">
        <f t="shared" si="1"/>
        <v/>
      </c>
      <c r="B780" s="39"/>
      <c r="C780" s="40"/>
      <c r="D780" s="41"/>
      <c r="E780" s="40"/>
      <c r="F780" s="40"/>
    </row>
    <row r="781">
      <c r="A781" s="39" t="str">
        <f t="shared" si="1"/>
        <v/>
      </c>
      <c r="B781" s="39"/>
      <c r="C781" s="40"/>
      <c r="D781" s="41"/>
      <c r="E781" s="40"/>
      <c r="F781" s="40"/>
    </row>
    <row r="782">
      <c r="A782" s="39" t="str">
        <f t="shared" si="1"/>
        <v/>
      </c>
      <c r="B782" s="39"/>
      <c r="C782" s="40"/>
      <c r="D782" s="41"/>
      <c r="E782" s="40"/>
      <c r="F782" s="40"/>
    </row>
    <row r="783">
      <c r="A783" s="39" t="str">
        <f t="shared" si="1"/>
        <v/>
      </c>
      <c r="B783" s="39"/>
      <c r="C783" s="40"/>
      <c r="D783" s="41"/>
      <c r="E783" s="40"/>
      <c r="F783" s="40"/>
    </row>
    <row r="784">
      <c r="A784" s="39" t="str">
        <f t="shared" si="1"/>
        <v/>
      </c>
      <c r="B784" s="39"/>
      <c r="C784" s="40"/>
      <c r="D784" s="41"/>
      <c r="E784" s="40"/>
      <c r="F784" s="40"/>
    </row>
    <row r="785">
      <c r="A785" s="39" t="str">
        <f t="shared" si="1"/>
        <v/>
      </c>
      <c r="B785" s="39"/>
      <c r="C785" s="40"/>
      <c r="D785" s="41"/>
      <c r="E785" s="40"/>
      <c r="F785" s="40"/>
    </row>
    <row r="786">
      <c r="A786" s="39" t="str">
        <f t="shared" si="1"/>
        <v/>
      </c>
      <c r="B786" s="39"/>
      <c r="C786" s="40"/>
      <c r="D786" s="41"/>
      <c r="E786" s="40"/>
      <c r="F786" s="40"/>
    </row>
    <row r="787">
      <c r="A787" s="39" t="str">
        <f t="shared" si="1"/>
        <v/>
      </c>
      <c r="B787" s="39"/>
      <c r="C787" s="40"/>
      <c r="D787" s="41"/>
      <c r="E787" s="40"/>
      <c r="F787" s="40"/>
    </row>
    <row r="788">
      <c r="A788" s="39" t="str">
        <f t="shared" si="1"/>
        <v/>
      </c>
      <c r="B788" s="39"/>
      <c r="C788" s="40"/>
      <c r="D788" s="41"/>
      <c r="E788" s="40"/>
      <c r="F788" s="40"/>
    </row>
    <row r="789">
      <c r="A789" s="39" t="str">
        <f t="shared" si="1"/>
        <v/>
      </c>
      <c r="B789" s="39"/>
      <c r="C789" s="40"/>
      <c r="D789" s="41"/>
      <c r="E789" s="40"/>
      <c r="F789" s="40"/>
    </row>
    <row r="790">
      <c r="A790" s="39" t="str">
        <f t="shared" si="1"/>
        <v/>
      </c>
      <c r="B790" s="39"/>
      <c r="C790" s="40"/>
      <c r="D790" s="41"/>
      <c r="E790" s="40"/>
      <c r="F790" s="40"/>
    </row>
    <row r="791">
      <c r="A791" s="39" t="str">
        <f t="shared" si="1"/>
        <v/>
      </c>
      <c r="B791" s="39"/>
      <c r="C791" s="40"/>
      <c r="D791" s="41"/>
      <c r="E791" s="40"/>
      <c r="F791" s="40"/>
    </row>
    <row r="792">
      <c r="A792" s="39" t="str">
        <f t="shared" si="1"/>
        <v/>
      </c>
      <c r="B792" s="39"/>
      <c r="C792" s="40"/>
      <c r="D792" s="41"/>
      <c r="E792" s="40"/>
      <c r="F792" s="40"/>
    </row>
    <row r="793">
      <c r="A793" s="39" t="str">
        <f t="shared" si="1"/>
        <v/>
      </c>
      <c r="B793" s="39"/>
      <c r="C793" s="40"/>
      <c r="D793" s="41"/>
      <c r="E793" s="40"/>
      <c r="F793" s="40"/>
    </row>
    <row r="794">
      <c r="A794" s="39" t="str">
        <f t="shared" si="1"/>
        <v/>
      </c>
      <c r="B794" s="39"/>
      <c r="C794" s="40"/>
      <c r="D794" s="41"/>
      <c r="E794" s="40"/>
      <c r="F794" s="40"/>
    </row>
    <row r="795">
      <c r="A795" s="39" t="str">
        <f t="shared" si="1"/>
        <v/>
      </c>
      <c r="B795" s="39"/>
      <c r="C795" s="40"/>
      <c r="D795" s="41"/>
      <c r="E795" s="40"/>
      <c r="F795" s="40"/>
    </row>
    <row r="796">
      <c r="A796" s="39" t="str">
        <f t="shared" si="1"/>
        <v/>
      </c>
      <c r="B796" s="39"/>
      <c r="C796" s="40"/>
      <c r="D796" s="41"/>
      <c r="E796" s="40"/>
      <c r="F796" s="40"/>
    </row>
    <row r="797">
      <c r="A797" s="39" t="str">
        <f t="shared" si="1"/>
        <v/>
      </c>
      <c r="B797" s="39"/>
      <c r="C797" s="40"/>
      <c r="D797" s="41"/>
      <c r="E797" s="40"/>
      <c r="F797" s="40"/>
    </row>
    <row r="798">
      <c r="A798" s="39" t="str">
        <f t="shared" si="1"/>
        <v/>
      </c>
      <c r="B798" s="39"/>
      <c r="C798" s="40"/>
      <c r="D798" s="41"/>
      <c r="E798" s="40"/>
      <c r="F798" s="40"/>
    </row>
    <row r="799">
      <c r="A799" s="39" t="str">
        <f t="shared" si="1"/>
        <v/>
      </c>
      <c r="B799" s="39"/>
      <c r="C799" s="40"/>
      <c r="D799" s="41"/>
      <c r="E799" s="40"/>
      <c r="F799" s="40"/>
    </row>
    <row r="800">
      <c r="A800" s="39" t="str">
        <f t="shared" si="1"/>
        <v/>
      </c>
      <c r="B800" s="39"/>
      <c r="C800" s="40"/>
      <c r="D800" s="41"/>
      <c r="E800" s="40"/>
      <c r="F800" s="40"/>
    </row>
    <row r="801">
      <c r="A801" s="39" t="str">
        <f t="shared" si="1"/>
        <v/>
      </c>
      <c r="B801" s="39"/>
      <c r="C801" s="40"/>
      <c r="D801" s="41"/>
      <c r="E801" s="40"/>
      <c r="F801" s="40"/>
    </row>
    <row r="802">
      <c r="A802" s="39" t="str">
        <f t="shared" si="1"/>
        <v/>
      </c>
      <c r="B802" s="39"/>
      <c r="C802" s="40"/>
      <c r="D802" s="41"/>
      <c r="E802" s="40"/>
      <c r="F802" s="40"/>
    </row>
    <row r="803">
      <c r="A803" s="39" t="str">
        <f t="shared" si="1"/>
        <v/>
      </c>
      <c r="B803" s="39"/>
      <c r="C803" s="40"/>
      <c r="D803" s="41"/>
      <c r="E803" s="40"/>
      <c r="F803" s="40"/>
    </row>
    <row r="804">
      <c r="A804" s="39" t="str">
        <f t="shared" si="1"/>
        <v/>
      </c>
      <c r="B804" s="39"/>
      <c r="C804" s="40"/>
      <c r="D804" s="41"/>
      <c r="E804" s="40"/>
      <c r="F804" s="40"/>
    </row>
    <row r="805">
      <c r="A805" s="39" t="str">
        <f t="shared" si="1"/>
        <v/>
      </c>
      <c r="B805" s="39"/>
      <c r="C805" s="40"/>
      <c r="D805" s="41"/>
      <c r="E805" s="40"/>
      <c r="F805" s="40"/>
    </row>
    <row r="806">
      <c r="A806" s="39" t="str">
        <f t="shared" si="1"/>
        <v/>
      </c>
      <c r="B806" s="39"/>
      <c r="C806" s="40"/>
      <c r="D806" s="41"/>
      <c r="E806" s="40"/>
      <c r="F806" s="40"/>
    </row>
    <row r="807">
      <c r="A807" s="39" t="str">
        <f t="shared" si="1"/>
        <v/>
      </c>
      <c r="B807" s="39"/>
      <c r="C807" s="40"/>
      <c r="D807" s="41"/>
      <c r="E807" s="40"/>
      <c r="F807" s="40"/>
    </row>
    <row r="808">
      <c r="A808" s="39" t="str">
        <f t="shared" si="1"/>
        <v/>
      </c>
      <c r="B808" s="39"/>
      <c r="C808" s="40"/>
      <c r="D808" s="41"/>
      <c r="E808" s="40"/>
      <c r="F808" s="40"/>
    </row>
    <row r="809">
      <c r="A809" s="39" t="str">
        <f t="shared" si="1"/>
        <v/>
      </c>
      <c r="B809" s="39"/>
      <c r="C809" s="40"/>
      <c r="D809" s="41"/>
      <c r="E809" s="40"/>
      <c r="F809" s="40"/>
    </row>
    <row r="810">
      <c r="A810" s="39" t="str">
        <f t="shared" si="1"/>
        <v/>
      </c>
      <c r="B810" s="39"/>
      <c r="C810" s="40"/>
      <c r="D810" s="41"/>
      <c r="E810" s="40"/>
      <c r="F810" s="40"/>
    </row>
    <row r="811">
      <c r="A811" s="39" t="str">
        <f t="shared" si="1"/>
        <v/>
      </c>
      <c r="B811" s="39"/>
      <c r="C811" s="40"/>
      <c r="D811" s="41"/>
      <c r="E811" s="40"/>
      <c r="F811" s="40"/>
    </row>
    <row r="812">
      <c r="A812" s="39" t="str">
        <f t="shared" si="1"/>
        <v/>
      </c>
      <c r="B812" s="39"/>
      <c r="C812" s="40"/>
      <c r="D812" s="41"/>
      <c r="E812" s="40"/>
      <c r="F812" s="40"/>
    </row>
    <row r="813">
      <c r="A813" s="39" t="str">
        <f t="shared" si="1"/>
        <v/>
      </c>
      <c r="B813" s="39"/>
      <c r="C813" s="40"/>
      <c r="D813" s="41"/>
      <c r="E813" s="40"/>
      <c r="F813" s="40"/>
    </row>
    <row r="814">
      <c r="A814" s="39" t="str">
        <f t="shared" si="1"/>
        <v/>
      </c>
      <c r="B814" s="39"/>
      <c r="C814" s="40"/>
      <c r="D814" s="41"/>
      <c r="E814" s="40"/>
      <c r="F814" s="40"/>
    </row>
    <row r="815">
      <c r="A815" s="39" t="str">
        <f t="shared" si="1"/>
        <v/>
      </c>
      <c r="B815" s="39"/>
      <c r="C815" s="40"/>
      <c r="D815" s="41"/>
      <c r="E815" s="40"/>
      <c r="F815" s="40"/>
    </row>
    <row r="816">
      <c r="A816" s="39" t="str">
        <f t="shared" si="1"/>
        <v/>
      </c>
      <c r="B816" s="39"/>
      <c r="C816" s="40"/>
      <c r="D816" s="41"/>
      <c r="E816" s="40"/>
      <c r="F816" s="40"/>
    </row>
    <row r="817">
      <c r="A817" s="39" t="str">
        <f t="shared" si="1"/>
        <v/>
      </c>
      <c r="B817" s="39"/>
      <c r="C817" s="40"/>
      <c r="D817" s="41"/>
      <c r="E817" s="40"/>
      <c r="F817" s="40"/>
    </row>
    <row r="818">
      <c r="A818" s="39" t="str">
        <f t="shared" si="1"/>
        <v/>
      </c>
      <c r="B818" s="39"/>
      <c r="C818" s="40"/>
      <c r="D818" s="41"/>
      <c r="E818" s="40"/>
      <c r="F818" s="40"/>
    </row>
    <row r="819">
      <c r="A819" s="39" t="str">
        <f t="shared" si="1"/>
        <v/>
      </c>
      <c r="B819" s="39"/>
      <c r="C819" s="40"/>
      <c r="D819" s="41"/>
      <c r="E819" s="40"/>
      <c r="F819" s="40"/>
    </row>
    <row r="820">
      <c r="A820" s="39" t="str">
        <f t="shared" si="1"/>
        <v/>
      </c>
      <c r="B820" s="39"/>
      <c r="C820" s="40"/>
      <c r="D820" s="41"/>
      <c r="E820" s="40"/>
      <c r="F820" s="40"/>
    </row>
    <row r="821">
      <c r="A821" s="39" t="str">
        <f t="shared" si="1"/>
        <v/>
      </c>
      <c r="B821" s="39"/>
      <c r="C821" s="40"/>
      <c r="D821" s="41"/>
      <c r="E821" s="40"/>
      <c r="F821" s="40"/>
    </row>
    <row r="822">
      <c r="A822" s="39" t="str">
        <f t="shared" si="1"/>
        <v/>
      </c>
      <c r="B822" s="39"/>
      <c r="C822" s="40"/>
      <c r="D822" s="41"/>
      <c r="E822" s="40"/>
      <c r="F822" s="40"/>
    </row>
    <row r="823">
      <c r="A823" s="39" t="str">
        <f t="shared" si="1"/>
        <v/>
      </c>
      <c r="B823" s="39"/>
      <c r="C823" s="40"/>
      <c r="D823" s="41"/>
      <c r="E823" s="40"/>
      <c r="F823" s="40"/>
    </row>
    <row r="824">
      <c r="A824" s="39" t="str">
        <f t="shared" si="1"/>
        <v/>
      </c>
      <c r="B824" s="39"/>
      <c r="C824" s="40"/>
      <c r="D824" s="41"/>
      <c r="E824" s="40"/>
      <c r="F824" s="40"/>
    </row>
    <row r="825">
      <c r="A825" s="39" t="str">
        <f t="shared" si="1"/>
        <v/>
      </c>
      <c r="B825" s="39"/>
      <c r="C825" s="40"/>
      <c r="D825" s="41"/>
      <c r="E825" s="40"/>
      <c r="F825" s="40"/>
    </row>
    <row r="826">
      <c r="A826" s="39" t="str">
        <f t="shared" si="1"/>
        <v/>
      </c>
      <c r="B826" s="39"/>
      <c r="C826" s="40"/>
      <c r="D826" s="41"/>
      <c r="E826" s="40"/>
      <c r="F826" s="40"/>
    </row>
    <row r="827">
      <c r="A827" s="39" t="str">
        <f t="shared" si="1"/>
        <v/>
      </c>
      <c r="B827" s="39"/>
      <c r="C827" s="40"/>
      <c r="D827" s="41"/>
      <c r="E827" s="40"/>
      <c r="F827" s="40"/>
    </row>
    <row r="828">
      <c r="A828" s="39" t="str">
        <f t="shared" si="1"/>
        <v/>
      </c>
      <c r="B828" s="39"/>
      <c r="C828" s="40"/>
      <c r="D828" s="41"/>
      <c r="E828" s="40"/>
      <c r="F828" s="40"/>
    </row>
    <row r="829">
      <c r="A829" s="39" t="str">
        <f t="shared" si="1"/>
        <v/>
      </c>
      <c r="B829" s="39"/>
      <c r="C829" s="40"/>
      <c r="D829" s="41"/>
      <c r="E829" s="40"/>
      <c r="F829" s="40"/>
    </row>
    <row r="830">
      <c r="A830" s="39" t="str">
        <f t="shared" si="1"/>
        <v/>
      </c>
      <c r="B830" s="39"/>
      <c r="C830" s="40"/>
      <c r="D830" s="41"/>
      <c r="E830" s="40"/>
      <c r="F830" s="40"/>
    </row>
    <row r="831">
      <c r="A831" s="39" t="str">
        <f t="shared" si="1"/>
        <v/>
      </c>
      <c r="B831" s="39"/>
      <c r="C831" s="40"/>
      <c r="D831" s="41"/>
      <c r="E831" s="40"/>
      <c r="F831" s="40"/>
    </row>
    <row r="832">
      <c r="A832" s="39" t="str">
        <f t="shared" si="1"/>
        <v/>
      </c>
      <c r="B832" s="39"/>
      <c r="C832" s="40"/>
      <c r="D832" s="41"/>
      <c r="E832" s="40"/>
      <c r="F832" s="40"/>
    </row>
    <row r="833">
      <c r="A833" s="39" t="str">
        <f t="shared" si="1"/>
        <v/>
      </c>
      <c r="B833" s="39"/>
      <c r="C833" s="40"/>
      <c r="D833" s="41"/>
      <c r="E833" s="40"/>
      <c r="F833" s="40"/>
    </row>
    <row r="834">
      <c r="A834" s="39" t="str">
        <f t="shared" si="1"/>
        <v/>
      </c>
      <c r="B834" s="39"/>
      <c r="C834" s="40"/>
      <c r="D834" s="41"/>
      <c r="E834" s="40"/>
      <c r="F834" s="40"/>
    </row>
    <row r="835">
      <c r="A835" s="39" t="str">
        <f t="shared" si="1"/>
        <v/>
      </c>
      <c r="B835" s="39"/>
      <c r="C835" s="40"/>
      <c r="D835" s="41"/>
      <c r="E835" s="40"/>
      <c r="F835" s="40"/>
    </row>
    <row r="836">
      <c r="A836" s="39" t="str">
        <f t="shared" si="1"/>
        <v/>
      </c>
      <c r="B836" s="39"/>
      <c r="C836" s="40"/>
      <c r="D836" s="41"/>
      <c r="E836" s="40"/>
      <c r="F836" s="40"/>
    </row>
    <row r="837">
      <c r="A837" s="39" t="str">
        <f t="shared" si="1"/>
        <v/>
      </c>
      <c r="B837" s="39"/>
      <c r="C837" s="40"/>
      <c r="D837" s="41"/>
      <c r="E837" s="40"/>
      <c r="F837" s="40"/>
    </row>
    <row r="838">
      <c r="A838" s="39" t="str">
        <f t="shared" si="1"/>
        <v/>
      </c>
      <c r="B838" s="39"/>
      <c r="C838" s="40"/>
      <c r="D838" s="41"/>
      <c r="E838" s="40"/>
      <c r="F838" s="40"/>
    </row>
    <row r="839">
      <c r="A839" s="39" t="str">
        <f t="shared" si="1"/>
        <v/>
      </c>
      <c r="B839" s="39"/>
      <c r="C839" s="40"/>
      <c r="D839" s="41"/>
      <c r="E839" s="40"/>
      <c r="F839" s="40"/>
    </row>
    <row r="840">
      <c r="A840" s="39" t="str">
        <f t="shared" si="1"/>
        <v/>
      </c>
      <c r="B840" s="39"/>
      <c r="C840" s="40"/>
      <c r="D840" s="41"/>
      <c r="E840" s="40"/>
      <c r="F840" s="40"/>
    </row>
    <row r="841">
      <c r="A841" s="39" t="str">
        <f t="shared" si="1"/>
        <v/>
      </c>
      <c r="B841" s="39"/>
      <c r="C841" s="40"/>
      <c r="D841" s="41"/>
      <c r="E841" s="40"/>
      <c r="F841" s="40"/>
    </row>
    <row r="842">
      <c r="A842" s="39" t="str">
        <f t="shared" si="1"/>
        <v/>
      </c>
      <c r="B842" s="39"/>
      <c r="C842" s="40"/>
      <c r="D842" s="41"/>
      <c r="E842" s="40"/>
      <c r="F842" s="40"/>
    </row>
    <row r="843">
      <c r="A843" s="39" t="str">
        <f t="shared" si="1"/>
        <v/>
      </c>
      <c r="B843" s="39"/>
      <c r="C843" s="40"/>
      <c r="D843" s="41"/>
      <c r="E843" s="40"/>
      <c r="F843" s="40"/>
    </row>
    <row r="844">
      <c r="A844" s="39" t="str">
        <f t="shared" si="1"/>
        <v/>
      </c>
      <c r="B844" s="39"/>
      <c r="C844" s="40"/>
      <c r="D844" s="41"/>
      <c r="E844" s="40"/>
      <c r="F844" s="40"/>
    </row>
    <row r="845">
      <c r="A845" s="39" t="str">
        <f t="shared" si="1"/>
        <v/>
      </c>
      <c r="B845" s="39"/>
      <c r="C845" s="40"/>
      <c r="D845" s="41"/>
      <c r="E845" s="40"/>
      <c r="F845" s="40"/>
    </row>
    <row r="846">
      <c r="A846" s="39" t="str">
        <f t="shared" si="1"/>
        <v/>
      </c>
      <c r="B846" s="39"/>
      <c r="C846" s="40"/>
      <c r="D846" s="41"/>
      <c r="E846" s="40"/>
      <c r="F846" s="40"/>
    </row>
    <row r="847">
      <c r="A847" s="39" t="str">
        <f t="shared" si="1"/>
        <v/>
      </c>
      <c r="B847" s="39"/>
      <c r="C847" s="40"/>
      <c r="D847" s="41"/>
      <c r="E847" s="40"/>
      <c r="F847" s="40"/>
    </row>
    <row r="848">
      <c r="A848" s="39" t="str">
        <f t="shared" si="1"/>
        <v/>
      </c>
      <c r="B848" s="39"/>
      <c r="C848" s="40"/>
      <c r="D848" s="41"/>
      <c r="E848" s="40"/>
      <c r="F848" s="40"/>
    </row>
    <row r="849">
      <c r="A849" s="39" t="str">
        <f t="shared" si="1"/>
        <v/>
      </c>
      <c r="B849" s="39"/>
      <c r="C849" s="40"/>
      <c r="D849" s="41"/>
      <c r="E849" s="40"/>
      <c r="F849" s="40"/>
    </row>
    <row r="850">
      <c r="A850" s="39" t="str">
        <f t="shared" si="1"/>
        <v/>
      </c>
      <c r="B850" s="39"/>
      <c r="C850" s="40"/>
      <c r="D850" s="41"/>
      <c r="E850" s="40"/>
      <c r="F850" s="40"/>
    </row>
    <row r="851">
      <c r="A851" s="39" t="str">
        <f t="shared" si="1"/>
        <v/>
      </c>
      <c r="B851" s="39"/>
      <c r="C851" s="40"/>
      <c r="D851" s="41"/>
      <c r="E851" s="40"/>
      <c r="F851" s="40"/>
    </row>
    <row r="852">
      <c r="A852" s="39" t="str">
        <f t="shared" si="1"/>
        <v/>
      </c>
      <c r="B852" s="39"/>
      <c r="C852" s="40"/>
      <c r="D852" s="41"/>
      <c r="E852" s="40"/>
      <c r="F852" s="40"/>
    </row>
    <row r="853">
      <c r="A853" s="39" t="str">
        <f t="shared" si="1"/>
        <v/>
      </c>
      <c r="B853" s="39"/>
      <c r="C853" s="40"/>
      <c r="D853" s="41"/>
      <c r="E853" s="40"/>
      <c r="F853" s="40"/>
    </row>
    <row r="854">
      <c r="A854" s="39" t="str">
        <f t="shared" si="1"/>
        <v/>
      </c>
      <c r="B854" s="39"/>
      <c r="C854" s="40"/>
      <c r="D854" s="41"/>
      <c r="E854" s="40"/>
      <c r="F854" s="40"/>
    </row>
    <row r="855">
      <c r="A855" s="39" t="str">
        <f t="shared" si="1"/>
        <v/>
      </c>
      <c r="B855" s="39"/>
      <c r="C855" s="40"/>
      <c r="D855" s="41"/>
      <c r="E855" s="40"/>
      <c r="F855" s="40"/>
    </row>
    <row r="856">
      <c r="A856" s="39" t="str">
        <f t="shared" si="1"/>
        <v/>
      </c>
      <c r="B856" s="39"/>
      <c r="C856" s="40"/>
      <c r="D856" s="41"/>
      <c r="E856" s="40"/>
      <c r="F856" s="40"/>
    </row>
    <row r="857">
      <c r="A857" s="39" t="str">
        <f t="shared" si="1"/>
        <v/>
      </c>
      <c r="B857" s="39"/>
      <c r="C857" s="40"/>
      <c r="D857" s="41"/>
      <c r="E857" s="40"/>
      <c r="F857" s="40"/>
    </row>
    <row r="858">
      <c r="A858" s="39" t="str">
        <f t="shared" si="1"/>
        <v/>
      </c>
      <c r="B858" s="39"/>
      <c r="C858" s="40"/>
      <c r="D858" s="41"/>
      <c r="E858" s="40"/>
      <c r="F858" s="40"/>
    </row>
    <row r="859">
      <c r="A859" s="39" t="str">
        <f t="shared" si="1"/>
        <v/>
      </c>
      <c r="B859" s="39"/>
      <c r="C859" s="40"/>
      <c r="D859" s="41"/>
      <c r="E859" s="40"/>
      <c r="F859" s="40"/>
    </row>
    <row r="860">
      <c r="A860" s="39" t="str">
        <f t="shared" si="1"/>
        <v/>
      </c>
      <c r="B860" s="39"/>
      <c r="C860" s="40"/>
      <c r="D860" s="41"/>
      <c r="E860" s="40"/>
      <c r="F860" s="40"/>
    </row>
    <row r="861">
      <c r="A861" s="39" t="str">
        <f t="shared" si="1"/>
        <v/>
      </c>
      <c r="B861" s="39"/>
      <c r="C861" s="40"/>
      <c r="D861" s="41"/>
      <c r="E861" s="40"/>
      <c r="F861" s="40"/>
    </row>
    <row r="862">
      <c r="A862" s="39" t="str">
        <f t="shared" si="1"/>
        <v/>
      </c>
      <c r="B862" s="39"/>
      <c r="C862" s="40"/>
      <c r="D862" s="41"/>
      <c r="E862" s="40"/>
      <c r="F862" s="40"/>
    </row>
    <row r="863">
      <c r="A863" s="39" t="str">
        <f t="shared" si="1"/>
        <v/>
      </c>
      <c r="B863" s="39"/>
      <c r="C863" s="40"/>
      <c r="D863" s="41"/>
      <c r="E863" s="40"/>
      <c r="F863" s="40"/>
    </row>
    <row r="864">
      <c r="A864" s="39" t="str">
        <f t="shared" si="1"/>
        <v/>
      </c>
      <c r="B864" s="39"/>
      <c r="C864" s="40"/>
      <c r="D864" s="41"/>
      <c r="E864" s="40"/>
      <c r="F864" s="40"/>
    </row>
    <row r="865">
      <c r="A865" s="39" t="str">
        <f t="shared" si="1"/>
        <v/>
      </c>
      <c r="B865" s="39"/>
      <c r="C865" s="40"/>
      <c r="D865" s="41"/>
      <c r="E865" s="40"/>
      <c r="F865" s="40"/>
    </row>
    <row r="866">
      <c r="A866" s="39" t="str">
        <f t="shared" si="1"/>
        <v/>
      </c>
      <c r="B866" s="39"/>
      <c r="C866" s="40"/>
      <c r="D866" s="41"/>
      <c r="E866" s="40"/>
      <c r="F866" s="40"/>
    </row>
    <row r="867">
      <c r="A867" s="39" t="str">
        <f t="shared" si="1"/>
        <v/>
      </c>
      <c r="B867" s="39"/>
      <c r="C867" s="40"/>
      <c r="D867" s="41"/>
      <c r="E867" s="40"/>
      <c r="F867" s="40"/>
    </row>
    <row r="868">
      <c r="A868" s="39" t="str">
        <f t="shared" si="1"/>
        <v/>
      </c>
      <c r="B868" s="39"/>
      <c r="C868" s="40"/>
      <c r="D868" s="41"/>
      <c r="E868" s="40"/>
      <c r="F868" s="40"/>
    </row>
    <row r="869">
      <c r="A869" s="39" t="str">
        <f t="shared" si="1"/>
        <v/>
      </c>
      <c r="B869" s="39"/>
      <c r="C869" s="40"/>
      <c r="D869" s="41"/>
      <c r="E869" s="40"/>
      <c r="F869" s="40"/>
    </row>
    <row r="870">
      <c r="A870" s="39" t="str">
        <f t="shared" si="1"/>
        <v/>
      </c>
      <c r="B870" s="39"/>
      <c r="C870" s="40"/>
      <c r="D870" s="41"/>
      <c r="E870" s="40"/>
      <c r="F870" s="40"/>
    </row>
    <row r="871">
      <c r="A871" s="39" t="str">
        <f t="shared" si="1"/>
        <v/>
      </c>
      <c r="B871" s="39"/>
      <c r="C871" s="40"/>
      <c r="D871" s="41"/>
      <c r="E871" s="40"/>
      <c r="F871" s="40"/>
    </row>
    <row r="872">
      <c r="A872" s="39" t="str">
        <f t="shared" si="1"/>
        <v/>
      </c>
      <c r="B872" s="39"/>
      <c r="C872" s="40"/>
      <c r="D872" s="41"/>
      <c r="E872" s="40"/>
      <c r="F872" s="40"/>
    </row>
    <row r="873">
      <c r="A873" s="39" t="str">
        <f t="shared" si="1"/>
        <v/>
      </c>
      <c r="B873" s="39"/>
      <c r="C873" s="40"/>
      <c r="D873" s="41"/>
      <c r="E873" s="40"/>
      <c r="F873" s="40"/>
    </row>
    <row r="874">
      <c r="A874" s="39" t="str">
        <f t="shared" si="1"/>
        <v/>
      </c>
      <c r="B874" s="39"/>
      <c r="C874" s="40"/>
      <c r="D874" s="41"/>
      <c r="E874" s="40"/>
      <c r="F874" s="40"/>
    </row>
    <row r="875">
      <c r="A875" s="39" t="str">
        <f t="shared" si="1"/>
        <v/>
      </c>
      <c r="B875" s="39"/>
      <c r="C875" s="40"/>
      <c r="D875" s="41"/>
      <c r="E875" s="40"/>
      <c r="F875" s="40"/>
    </row>
    <row r="876">
      <c r="A876" s="39" t="str">
        <f t="shared" si="1"/>
        <v/>
      </c>
      <c r="B876" s="39"/>
      <c r="C876" s="40"/>
      <c r="D876" s="41"/>
      <c r="E876" s="40"/>
      <c r="F876" s="40"/>
    </row>
    <row r="877">
      <c r="A877" s="39" t="str">
        <f t="shared" si="1"/>
        <v/>
      </c>
      <c r="B877" s="39"/>
      <c r="C877" s="40"/>
      <c r="D877" s="41"/>
      <c r="E877" s="40"/>
      <c r="F877" s="40"/>
    </row>
    <row r="878">
      <c r="A878" s="39" t="str">
        <f t="shared" si="1"/>
        <v/>
      </c>
      <c r="B878" s="39"/>
      <c r="C878" s="40"/>
      <c r="D878" s="41"/>
      <c r="E878" s="40"/>
      <c r="F878" s="40"/>
    </row>
    <row r="879">
      <c r="A879" s="39" t="str">
        <f t="shared" si="1"/>
        <v/>
      </c>
      <c r="B879" s="39"/>
      <c r="C879" s="40"/>
      <c r="D879" s="41"/>
      <c r="E879" s="40"/>
      <c r="F879" s="40"/>
    </row>
    <row r="880">
      <c r="A880" s="39" t="str">
        <f t="shared" si="1"/>
        <v/>
      </c>
      <c r="B880" s="39"/>
      <c r="C880" s="40"/>
      <c r="D880" s="41"/>
      <c r="E880" s="40"/>
      <c r="F880" s="40"/>
    </row>
    <row r="881">
      <c r="A881" s="39" t="str">
        <f t="shared" si="1"/>
        <v/>
      </c>
      <c r="B881" s="39"/>
      <c r="C881" s="40"/>
      <c r="D881" s="41"/>
      <c r="E881" s="40"/>
      <c r="F881" s="40"/>
    </row>
    <row r="882">
      <c r="A882" s="39" t="str">
        <f t="shared" si="1"/>
        <v/>
      </c>
      <c r="B882" s="39"/>
      <c r="C882" s="40"/>
      <c r="D882" s="41"/>
      <c r="E882" s="40"/>
      <c r="F882" s="40"/>
    </row>
    <row r="883">
      <c r="A883" s="39" t="str">
        <f t="shared" si="1"/>
        <v/>
      </c>
      <c r="B883" s="39"/>
      <c r="C883" s="40"/>
      <c r="D883" s="41"/>
      <c r="E883" s="40"/>
      <c r="F883" s="40"/>
    </row>
    <row r="884">
      <c r="A884" s="39" t="str">
        <f t="shared" si="1"/>
        <v/>
      </c>
      <c r="B884" s="39"/>
      <c r="C884" s="40"/>
      <c r="D884" s="41"/>
      <c r="E884" s="40"/>
      <c r="F884" s="40"/>
    </row>
    <row r="885">
      <c r="A885" s="39" t="str">
        <f t="shared" si="1"/>
        <v/>
      </c>
      <c r="B885" s="39"/>
      <c r="C885" s="40"/>
      <c r="D885" s="41"/>
      <c r="E885" s="40"/>
      <c r="F885" s="40"/>
    </row>
    <row r="886">
      <c r="A886" s="39" t="str">
        <f t="shared" si="1"/>
        <v/>
      </c>
      <c r="B886" s="39"/>
      <c r="C886" s="40"/>
      <c r="D886" s="41"/>
      <c r="E886" s="40"/>
      <c r="F886" s="40"/>
    </row>
    <row r="887">
      <c r="A887" s="39" t="str">
        <f t="shared" si="1"/>
        <v/>
      </c>
      <c r="B887" s="39"/>
      <c r="C887" s="40"/>
      <c r="D887" s="41"/>
      <c r="E887" s="40"/>
      <c r="F887" s="40"/>
    </row>
    <row r="888">
      <c r="A888" s="39" t="str">
        <f t="shared" si="1"/>
        <v/>
      </c>
      <c r="B888" s="39"/>
      <c r="C888" s="40"/>
      <c r="D888" s="41"/>
      <c r="E888" s="40"/>
      <c r="F888" s="40"/>
    </row>
    <row r="889">
      <c r="A889" s="39" t="str">
        <f t="shared" si="1"/>
        <v/>
      </c>
      <c r="B889" s="39"/>
      <c r="C889" s="40"/>
      <c r="D889" s="41"/>
      <c r="E889" s="40"/>
      <c r="F889" s="40"/>
    </row>
    <row r="890">
      <c r="A890" s="39" t="str">
        <f t="shared" si="1"/>
        <v/>
      </c>
      <c r="B890" s="39"/>
      <c r="C890" s="40"/>
      <c r="D890" s="41"/>
      <c r="E890" s="40"/>
      <c r="F890" s="40"/>
    </row>
    <row r="891">
      <c r="A891" s="39" t="str">
        <f t="shared" si="1"/>
        <v/>
      </c>
      <c r="B891" s="39"/>
      <c r="C891" s="40"/>
      <c r="D891" s="41"/>
      <c r="E891" s="40"/>
      <c r="F891" s="40"/>
    </row>
    <row r="892">
      <c r="A892" s="39" t="str">
        <f t="shared" si="1"/>
        <v/>
      </c>
      <c r="B892" s="39"/>
      <c r="C892" s="40"/>
      <c r="D892" s="41"/>
      <c r="E892" s="40"/>
      <c r="F892" s="40"/>
    </row>
    <row r="893">
      <c r="A893" s="39" t="str">
        <f t="shared" si="1"/>
        <v/>
      </c>
      <c r="B893" s="39"/>
      <c r="C893" s="40"/>
      <c r="D893" s="41"/>
      <c r="E893" s="40"/>
      <c r="F893" s="40"/>
    </row>
    <row r="894">
      <c r="A894" s="39" t="str">
        <f t="shared" si="1"/>
        <v/>
      </c>
      <c r="B894" s="39"/>
      <c r="C894" s="40"/>
      <c r="D894" s="41"/>
      <c r="E894" s="40"/>
      <c r="F894" s="40"/>
    </row>
    <row r="895">
      <c r="A895" s="39" t="str">
        <f t="shared" si="1"/>
        <v/>
      </c>
      <c r="B895" s="39"/>
      <c r="C895" s="40"/>
      <c r="D895" s="41"/>
      <c r="E895" s="40"/>
      <c r="F895" s="40"/>
    </row>
    <row r="896">
      <c r="A896" s="39" t="str">
        <f t="shared" si="1"/>
        <v/>
      </c>
      <c r="B896" s="39"/>
      <c r="C896" s="40"/>
      <c r="D896" s="41"/>
      <c r="E896" s="40"/>
      <c r="F896" s="40"/>
    </row>
    <row r="897">
      <c r="A897" s="39" t="str">
        <f t="shared" si="1"/>
        <v/>
      </c>
      <c r="B897" s="39"/>
      <c r="C897" s="40"/>
      <c r="D897" s="41"/>
      <c r="E897" s="40"/>
      <c r="F897" s="40"/>
    </row>
    <row r="898">
      <c r="A898" s="39" t="str">
        <f t="shared" si="1"/>
        <v/>
      </c>
      <c r="B898" s="39"/>
      <c r="C898" s="40"/>
      <c r="D898" s="41"/>
      <c r="E898" s="40"/>
      <c r="F898" s="40"/>
    </row>
    <row r="899">
      <c r="A899" s="39" t="str">
        <f t="shared" si="1"/>
        <v/>
      </c>
      <c r="B899" s="39"/>
      <c r="C899" s="40"/>
      <c r="D899" s="41"/>
      <c r="E899" s="40"/>
      <c r="F899" s="40"/>
    </row>
    <row r="900">
      <c r="A900" s="39" t="str">
        <f t="shared" si="1"/>
        <v/>
      </c>
      <c r="B900" s="39"/>
      <c r="C900" s="40"/>
      <c r="D900" s="41"/>
      <c r="E900" s="40"/>
      <c r="F900" s="40"/>
    </row>
    <row r="901">
      <c r="A901" s="39" t="str">
        <f t="shared" si="1"/>
        <v/>
      </c>
      <c r="B901" s="39"/>
      <c r="C901" s="40"/>
      <c r="D901" s="41"/>
      <c r="E901" s="40"/>
      <c r="F901" s="40"/>
    </row>
    <row r="902">
      <c r="A902" s="39" t="str">
        <f t="shared" si="1"/>
        <v/>
      </c>
      <c r="B902" s="39"/>
      <c r="C902" s="40"/>
      <c r="D902" s="41"/>
      <c r="E902" s="40"/>
      <c r="F902" s="40"/>
    </row>
    <row r="903">
      <c r="A903" s="39" t="str">
        <f t="shared" si="1"/>
        <v/>
      </c>
      <c r="B903" s="39"/>
      <c r="C903" s="40"/>
      <c r="D903" s="41"/>
      <c r="E903" s="40"/>
      <c r="F903" s="40"/>
    </row>
    <row r="904">
      <c r="A904" s="39" t="str">
        <f t="shared" si="1"/>
        <v/>
      </c>
      <c r="B904" s="39"/>
      <c r="C904" s="40"/>
      <c r="D904" s="41"/>
      <c r="E904" s="40"/>
      <c r="F904" s="40"/>
    </row>
    <row r="905">
      <c r="A905" s="39" t="str">
        <f t="shared" si="1"/>
        <v/>
      </c>
      <c r="B905" s="39"/>
      <c r="C905" s="40"/>
      <c r="D905" s="41"/>
      <c r="E905" s="40"/>
      <c r="F905" s="40"/>
    </row>
    <row r="906">
      <c r="A906" s="39" t="str">
        <f t="shared" si="1"/>
        <v/>
      </c>
      <c r="B906" s="39"/>
      <c r="C906" s="40"/>
      <c r="D906" s="41"/>
      <c r="E906" s="40"/>
      <c r="F906" s="40"/>
    </row>
    <row r="907">
      <c r="A907" s="39" t="str">
        <f t="shared" si="1"/>
        <v/>
      </c>
      <c r="B907" s="39"/>
      <c r="C907" s="40"/>
      <c r="D907" s="41"/>
      <c r="E907" s="40"/>
      <c r="F907" s="40"/>
    </row>
    <row r="908">
      <c r="A908" s="39" t="str">
        <f t="shared" si="1"/>
        <v/>
      </c>
      <c r="B908" s="39"/>
      <c r="C908" s="40"/>
      <c r="D908" s="41"/>
      <c r="E908" s="40"/>
      <c r="F908" s="40"/>
    </row>
    <row r="909">
      <c r="A909" s="39" t="str">
        <f t="shared" si="1"/>
        <v/>
      </c>
      <c r="B909" s="39"/>
      <c r="C909" s="40"/>
      <c r="D909" s="41"/>
      <c r="E909" s="40"/>
      <c r="F909" s="40"/>
    </row>
    <row r="910">
      <c r="A910" s="39" t="str">
        <f t="shared" si="1"/>
        <v/>
      </c>
      <c r="B910" s="39"/>
      <c r="C910" s="40"/>
      <c r="D910" s="41"/>
      <c r="E910" s="40"/>
      <c r="F910" s="40"/>
    </row>
    <row r="911">
      <c r="A911" s="39" t="str">
        <f t="shared" si="1"/>
        <v/>
      </c>
      <c r="B911" s="39"/>
      <c r="C911" s="40"/>
      <c r="D911" s="41"/>
      <c r="E911" s="40"/>
      <c r="F911" s="40"/>
    </row>
    <row r="912">
      <c r="A912" s="39" t="str">
        <f t="shared" si="1"/>
        <v/>
      </c>
      <c r="B912" s="39"/>
      <c r="C912" s="40"/>
      <c r="D912" s="41"/>
      <c r="E912" s="40"/>
      <c r="F912" s="40"/>
    </row>
    <row r="913">
      <c r="A913" s="39" t="str">
        <f t="shared" si="1"/>
        <v/>
      </c>
      <c r="B913" s="39"/>
      <c r="C913" s="40"/>
      <c r="D913" s="41"/>
      <c r="E913" s="40"/>
      <c r="F913" s="40"/>
    </row>
    <row r="914">
      <c r="A914" s="39" t="str">
        <f t="shared" si="1"/>
        <v/>
      </c>
      <c r="B914" s="39"/>
      <c r="C914" s="40"/>
      <c r="D914" s="41"/>
      <c r="E914" s="40"/>
      <c r="F914" s="40"/>
    </row>
    <row r="915">
      <c r="A915" s="39" t="str">
        <f t="shared" si="1"/>
        <v/>
      </c>
      <c r="B915" s="39"/>
      <c r="C915" s="40"/>
      <c r="D915" s="41"/>
      <c r="E915" s="40"/>
      <c r="F915" s="40"/>
    </row>
    <row r="916">
      <c r="A916" s="39" t="str">
        <f t="shared" si="1"/>
        <v/>
      </c>
      <c r="B916" s="39"/>
      <c r="C916" s="40"/>
      <c r="D916" s="41"/>
      <c r="E916" s="40"/>
      <c r="F916" s="40"/>
    </row>
    <row r="917">
      <c r="A917" s="39" t="str">
        <f t="shared" si="1"/>
        <v/>
      </c>
      <c r="B917" s="39"/>
      <c r="C917" s="40"/>
      <c r="D917" s="41"/>
      <c r="E917" s="40"/>
      <c r="F917" s="40"/>
    </row>
    <row r="918">
      <c r="A918" s="39" t="str">
        <f t="shared" si="1"/>
        <v/>
      </c>
      <c r="B918" s="39"/>
      <c r="C918" s="40"/>
      <c r="D918" s="41"/>
      <c r="E918" s="40"/>
      <c r="F918" s="40"/>
    </row>
    <row r="919">
      <c r="A919" s="39" t="str">
        <f t="shared" si="1"/>
        <v/>
      </c>
      <c r="B919" s="39"/>
      <c r="C919" s="40"/>
      <c r="D919" s="41"/>
      <c r="E919" s="40"/>
      <c r="F919" s="40"/>
    </row>
    <row r="920">
      <c r="A920" s="39" t="str">
        <f t="shared" si="1"/>
        <v/>
      </c>
      <c r="B920" s="39"/>
      <c r="C920" s="40"/>
      <c r="D920" s="41"/>
      <c r="E920" s="40"/>
      <c r="F920" s="40"/>
    </row>
    <row r="921">
      <c r="A921" s="39" t="str">
        <f t="shared" si="1"/>
        <v/>
      </c>
      <c r="B921" s="39"/>
      <c r="C921" s="40"/>
      <c r="D921" s="41"/>
      <c r="E921" s="40"/>
      <c r="F921" s="40"/>
    </row>
    <row r="922">
      <c r="A922" s="39" t="str">
        <f t="shared" si="1"/>
        <v/>
      </c>
      <c r="B922" s="39"/>
      <c r="C922" s="40"/>
      <c r="D922" s="41"/>
      <c r="E922" s="40"/>
      <c r="F922" s="40"/>
    </row>
    <row r="923">
      <c r="A923" s="39" t="str">
        <f t="shared" si="1"/>
        <v/>
      </c>
      <c r="B923" s="39"/>
      <c r="C923" s="40"/>
      <c r="D923" s="41"/>
      <c r="E923" s="40"/>
      <c r="F923" s="40"/>
    </row>
    <row r="924">
      <c r="A924" s="39" t="str">
        <f t="shared" si="1"/>
        <v/>
      </c>
      <c r="B924" s="39"/>
      <c r="C924" s="40"/>
      <c r="D924" s="41"/>
      <c r="E924" s="40"/>
      <c r="F924" s="40"/>
    </row>
    <row r="925">
      <c r="A925" s="39" t="str">
        <f t="shared" si="1"/>
        <v/>
      </c>
      <c r="B925" s="39"/>
      <c r="C925" s="40"/>
      <c r="D925" s="41"/>
      <c r="E925" s="40"/>
      <c r="F925" s="40"/>
    </row>
    <row r="926">
      <c r="A926" s="39" t="str">
        <f t="shared" si="1"/>
        <v/>
      </c>
      <c r="B926" s="39"/>
      <c r="C926" s="40"/>
      <c r="D926" s="41"/>
      <c r="E926" s="40"/>
      <c r="F926" s="40"/>
    </row>
    <row r="927">
      <c r="A927" s="39" t="str">
        <f t="shared" si="1"/>
        <v/>
      </c>
      <c r="B927" s="39"/>
      <c r="C927" s="40"/>
      <c r="D927" s="41"/>
      <c r="E927" s="40"/>
      <c r="F927" s="40"/>
    </row>
    <row r="928">
      <c r="A928" s="39" t="str">
        <f t="shared" si="1"/>
        <v/>
      </c>
      <c r="B928" s="39"/>
      <c r="C928" s="40"/>
      <c r="D928" s="41"/>
      <c r="E928" s="40"/>
      <c r="F928" s="40"/>
    </row>
    <row r="929">
      <c r="A929" s="39" t="str">
        <f t="shared" si="1"/>
        <v/>
      </c>
      <c r="B929" s="39"/>
      <c r="C929" s="40"/>
      <c r="D929" s="41"/>
      <c r="E929" s="40"/>
      <c r="F929" s="40"/>
    </row>
    <row r="930">
      <c r="A930" s="39" t="str">
        <f t="shared" si="1"/>
        <v/>
      </c>
      <c r="B930" s="39"/>
      <c r="C930" s="40"/>
      <c r="D930" s="41"/>
      <c r="E930" s="40"/>
      <c r="F930" s="40"/>
    </row>
    <row r="931">
      <c r="A931" s="39" t="str">
        <f t="shared" si="1"/>
        <v/>
      </c>
      <c r="B931" s="39"/>
      <c r="C931" s="40"/>
      <c r="D931" s="41"/>
      <c r="E931" s="40"/>
      <c r="F931" s="40"/>
    </row>
    <row r="932">
      <c r="A932" s="39" t="str">
        <f t="shared" si="1"/>
        <v/>
      </c>
      <c r="B932" s="39"/>
      <c r="C932" s="40"/>
      <c r="D932" s="41"/>
      <c r="E932" s="40"/>
      <c r="F932" s="40"/>
    </row>
    <row r="933">
      <c r="A933" s="39" t="str">
        <f t="shared" si="1"/>
        <v/>
      </c>
      <c r="B933" s="39"/>
      <c r="C933" s="40"/>
      <c r="D933" s="41"/>
      <c r="E933" s="40"/>
      <c r="F933" s="40"/>
    </row>
    <row r="934">
      <c r="A934" s="39" t="str">
        <f t="shared" si="1"/>
        <v/>
      </c>
      <c r="B934" s="39"/>
      <c r="C934" s="40"/>
      <c r="D934" s="41"/>
      <c r="E934" s="40"/>
      <c r="F934" s="40"/>
    </row>
    <row r="935">
      <c r="A935" s="39" t="str">
        <f t="shared" si="1"/>
        <v/>
      </c>
      <c r="B935" s="39"/>
      <c r="C935" s="40"/>
      <c r="D935" s="41"/>
      <c r="E935" s="40"/>
      <c r="F935" s="40"/>
    </row>
    <row r="936">
      <c r="A936" s="39" t="str">
        <f t="shared" si="1"/>
        <v/>
      </c>
      <c r="B936" s="39"/>
      <c r="C936" s="40"/>
      <c r="D936" s="41"/>
      <c r="E936" s="40"/>
      <c r="F936" s="40"/>
    </row>
    <row r="937">
      <c r="A937" s="39" t="str">
        <f t="shared" si="1"/>
        <v/>
      </c>
      <c r="B937" s="39"/>
      <c r="C937" s="40"/>
      <c r="D937" s="41"/>
      <c r="E937" s="40"/>
      <c r="F937" s="40"/>
    </row>
    <row r="938">
      <c r="A938" s="39" t="str">
        <f t="shared" si="1"/>
        <v/>
      </c>
      <c r="B938" s="39"/>
      <c r="C938" s="40"/>
      <c r="D938" s="41"/>
      <c r="E938" s="40"/>
      <c r="F938" s="40"/>
    </row>
    <row r="939">
      <c r="A939" s="39" t="str">
        <f t="shared" si="1"/>
        <v/>
      </c>
      <c r="B939" s="39"/>
      <c r="C939" s="40"/>
      <c r="D939" s="41"/>
      <c r="E939" s="40"/>
      <c r="F939" s="40"/>
    </row>
    <row r="940">
      <c r="A940" s="39" t="str">
        <f t="shared" si="1"/>
        <v/>
      </c>
      <c r="B940" s="39"/>
      <c r="C940" s="40"/>
      <c r="D940" s="41"/>
      <c r="E940" s="40"/>
      <c r="F940" s="40"/>
    </row>
    <row r="941">
      <c r="A941" s="39" t="str">
        <f t="shared" si="1"/>
        <v/>
      </c>
      <c r="B941" s="39"/>
      <c r="C941" s="40"/>
      <c r="D941" s="41"/>
      <c r="E941" s="40"/>
      <c r="F941" s="40"/>
    </row>
    <row r="942">
      <c r="A942" s="39" t="str">
        <f t="shared" si="1"/>
        <v/>
      </c>
      <c r="B942" s="39"/>
      <c r="C942" s="40"/>
      <c r="D942" s="41"/>
      <c r="E942" s="40"/>
      <c r="F942" s="40"/>
    </row>
    <row r="943">
      <c r="A943" s="39" t="str">
        <f t="shared" si="1"/>
        <v/>
      </c>
      <c r="B943" s="39"/>
      <c r="C943" s="40"/>
      <c r="D943" s="41"/>
      <c r="E943" s="40"/>
      <c r="F943" s="40"/>
    </row>
    <row r="944">
      <c r="A944" s="39" t="str">
        <f t="shared" si="1"/>
        <v/>
      </c>
      <c r="B944" s="39"/>
      <c r="C944" s="40"/>
      <c r="D944" s="41"/>
      <c r="E944" s="40"/>
      <c r="F944" s="40"/>
    </row>
    <row r="945">
      <c r="A945" s="39" t="str">
        <f t="shared" si="1"/>
        <v/>
      </c>
      <c r="B945" s="39"/>
      <c r="C945" s="40"/>
      <c r="D945" s="41"/>
      <c r="E945" s="40"/>
      <c r="F945" s="40"/>
    </row>
    <row r="946">
      <c r="A946" s="39" t="str">
        <f t="shared" si="1"/>
        <v/>
      </c>
      <c r="B946" s="39"/>
      <c r="C946" s="40"/>
      <c r="D946" s="41"/>
      <c r="E946" s="40"/>
      <c r="F946" s="40"/>
    </row>
    <row r="947">
      <c r="A947" s="39" t="str">
        <f t="shared" si="1"/>
        <v/>
      </c>
      <c r="B947" s="39"/>
      <c r="C947" s="40"/>
      <c r="D947" s="41"/>
      <c r="E947" s="40"/>
      <c r="F947" s="40"/>
    </row>
    <row r="948">
      <c r="A948" s="39" t="str">
        <f t="shared" si="1"/>
        <v/>
      </c>
      <c r="B948" s="39"/>
      <c r="C948" s="40"/>
      <c r="D948" s="41"/>
      <c r="E948" s="40"/>
      <c r="F948" s="40"/>
    </row>
    <row r="949">
      <c r="A949" s="39" t="str">
        <f t="shared" si="1"/>
        <v/>
      </c>
      <c r="B949" s="39"/>
      <c r="C949" s="40"/>
      <c r="D949" s="41"/>
      <c r="E949" s="40"/>
      <c r="F949" s="40"/>
    </row>
    <row r="950">
      <c r="A950" s="39" t="str">
        <f t="shared" si="1"/>
        <v/>
      </c>
      <c r="B950" s="39"/>
      <c r="C950" s="40"/>
      <c r="D950" s="41"/>
      <c r="E950" s="40"/>
      <c r="F950" s="40"/>
    </row>
    <row r="951">
      <c r="A951" s="39" t="str">
        <f t="shared" si="1"/>
        <v/>
      </c>
      <c r="B951" s="39"/>
      <c r="C951" s="40"/>
      <c r="D951" s="41"/>
      <c r="E951" s="40"/>
      <c r="F951" s="40"/>
    </row>
    <row r="952">
      <c r="A952" s="39" t="str">
        <f t="shared" si="1"/>
        <v/>
      </c>
      <c r="B952" s="39"/>
      <c r="C952" s="40"/>
      <c r="D952" s="41"/>
      <c r="E952" s="40"/>
      <c r="F952" s="40"/>
    </row>
    <row r="953">
      <c r="A953" s="39" t="str">
        <f t="shared" si="1"/>
        <v/>
      </c>
      <c r="B953" s="39"/>
      <c r="C953" s="40"/>
      <c r="D953" s="41"/>
      <c r="E953" s="40"/>
      <c r="F953" s="40"/>
    </row>
    <row r="954">
      <c r="A954" s="39" t="str">
        <f t="shared" si="1"/>
        <v/>
      </c>
      <c r="B954" s="39"/>
      <c r="C954" s="40"/>
      <c r="D954" s="41"/>
      <c r="E954" s="40"/>
      <c r="F954" s="40"/>
    </row>
    <row r="955">
      <c r="A955" s="39" t="str">
        <f t="shared" si="1"/>
        <v/>
      </c>
      <c r="B955" s="39"/>
      <c r="C955" s="40"/>
      <c r="D955" s="41"/>
      <c r="E955" s="40"/>
      <c r="F955" s="40"/>
    </row>
    <row r="956">
      <c r="A956" s="39" t="str">
        <f t="shared" si="1"/>
        <v/>
      </c>
      <c r="B956" s="39"/>
      <c r="C956" s="40"/>
      <c r="D956" s="41"/>
      <c r="E956" s="40"/>
      <c r="F956" s="40"/>
    </row>
    <row r="957">
      <c r="A957" s="39" t="str">
        <f t="shared" si="1"/>
        <v/>
      </c>
      <c r="B957" s="39"/>
      <c r="C957" s="40"/>
      <c r="D957" s="41"/>
      <c r="E957" s="40"/>
      <c r="F957" s="40"/>
    </row>
    <row r="958">
      <c r="A958" s="39" t="str">
        <f t="shared" si="1"/>
        <v/>
      </c>
      <c r="B958" s="39"/>
      <c r="C958" s="40"/>
      <c r="D958" s="41"/>
      <c r="E958" s="40"/>
      <c r="F958" s="40"/>
    </row>
    <row r="959">
      <c r="A959" s="39" t="str">
        <f t="shared" si="1"/>
        <v/>
      </c>
      <c r="B959" s="39"/>
      <c r="C959" s="40"/>
      <c r="D959" s="41"/>
      <c r="E959" s="40"/>
      <c r="F959" s="40"/>
    </row>
    <row r="960">
      <c r="A960" s="39" t="str">
        <f t="shared" si="1"/>
        <v/>
      </c>
      <c r="B960" s="39"/>
      <c r="C960" s="40"/>
      <c r="D960" s="41"/>
      <c r="E960" s="40"/>
      <c r="F960" s="40"/>
    </row>
    <row r="961">
      <c r="A961" s="39" t="str">
        <f t="shared" si="1"/>
        <v/>
      </c>
      <c r="B961" s="39"/>
      <c r="C961" s="40"/>
      <c r="D961" s="41"/>
      <c r="E961" s="40"/>
      <c r="F961" s="40"/>
    </row>
    <row r="962">
      <c r="A962" s="39" t="str">
        <f t="shared" si="1"/>
        <v/>
      </c>
      <c r="B962" s="39"/>
      <c r="C962" s="40"/>
      <c r="D962" s="41"/>
      <c r="E962" s="40"/>
      <c r="F962" s="40"/>
    </row>
    <row r="963">
      <c r="A963" s="39" t="str">
        <f t="shared" si="1"/>
        <v/>
      </c>
      <c r="B963" s="39"/>
      <c r="C963" s="40"/>
      <c r="D963" s="41"/>
      <c r="E963" s="40"/>
      <c r="F963" s="40"/>
    </row>
    <row r="964">
      <c r="A964" s="39" t="str">
        <f t="shared" si="1"/>
        <v/>
      </c>
      <c r="B964" s="39"/>
      <c r="C964" s="40"/>
      <c r="D964" s="41"/>
      <c r="E964" s="40"/>
      <c r="F964" s="40"/>
    </row>
    <row r="965">
      <c r="A965" s="39" t="str">
        <f t="shared" si="1"/>
        <v/>
      </c>
      <c r="B965" s="39"/>
      <c r="C965" s="40"/>
      <c r="D965" s="41"/>
      <c r="E965" s="40"/>
      <c r="F965" s="40"/>
    </row>
    <row r="966">
      <c r="A966" s="39" t="str">
        <f t="shared" si="1"/>
        <v/>
      </c>
      <c r="B966" s="39"/>
      <c r="C966" s="40"/>
      <c r="D966" s="41"/>
      <c r="E966" s="40"/>
      <c r="F966" s="40"/>
    </row>
    <row r="967">
      <c r="A967" s="39" t="str">
        <f t="shared" si="1"/>
        <v/>
      </c>
      <c r="B967" s="39"/>
      <c r="C967" s="40"/>
      <c r="D967" s="41"/>
      <c r="E967" s="40"/>
      <c r="F967" s="40"/>
    </row>
    <row r="968">
      <c r="A968" s="39" t="str">
        <f t="shared" si="1"/>
        <v/>
      </c>
      <c r="B968" s="39"/>
      <c r="C968" s="40"/>
      <c r="D968" s="41"/>
      <c r="E968" s="40"/>
      <c r="F968" s="40"/>
    </row>
    <row r="969">
      <c r="A969" s="39" t="str">
        <f t="shared" si="1"/>
        <v/>
      </c>
      <c r="B969" s="39"/>
      <c r="C969" s="40"/>
      <c r="D969" s="41"/>
      <c r="E969" s="40"/>
      <c r="F969" s="40"/>
    </row>
    <row r="970">
      <c r="A970" s="39" t="str">
        <f t="shared" si="1"/>
        <v/>
      </c>
      <c r="B970" s="39"/>
      <c r="C970" s="40"/>
      <c r="D970" s="41"/>
      <c r="E970" s="40"/>
      <c r="F970" s="40"/>
    </row>
    <row r="971">
      <c r="A971" s="39" t="str">
        <f t="shared" si="1"/>
        <v/>
      </c>
      <c r="B971" s="39"/>
      <c r="C971" s="40"/>
      <c r="D971" s="41"/>
      <c r="E971" s="40"/>
      <c r="F971" s="40"/>
    </row>
    <row r="972">
      <c r="A972" s="39" t="str">
        <f t="shared" si="1"/>
        <v/>
      </c>
      <c r="B972" s="39"/>
      <c r="C972" s="40"/>
      <c r="D972" s="41"/>
      <c r="E972" s="40"/>
      <c r="F972" s="40"/>
    </row>
    <row r="973">
      <c r="A973" s="39" t="str">
        <f t="shared" si="1"/>
        <v/>
      </c>
      <c r="B973" s="39"/>
      <c r="C973" s="40"/>
      <c r="D973" s="41"/>
      <c r="E973" s="40"/>
      <c r="F973" s="40"/>
    </row>
    <row r="974">
      <c r="A974" s="39" t="str">
        <f t="shared" si="1"/>
        <v/>
      </c>
      <c r="B974" s="39"/>
      <c r="C974" s="40"/>
      <c r="D974" s="41"/>
      <c r="E974" s="40"/>
      <c r="F974" s="40"/>
    </row>
    <row r="975">
      <c r="A975" s="39" t="str">
        <f t="shared" si="1"/>
        <v/>
      </c>
      <c r="B975" s="39"/>
      <c r="C975" s="40"/>
      <c r="D975" s="41"/>
      <c r="E975" s="40"/>
      <c r="F975" s="40"/>
    </row>
    <row r="976">
      <c r="A976" s="39" t="str">
        <f t="shared" si="1"/>
        <v/>
      </c>
      <c r="B976" s="39"/>
      <c r="C976" s="40"/>
      <c r="D976" s="41"/>
      <c r="E976" s="40"/>
      <c r="F976" s="40"/>
    </row>
    <row r="977">
      <c r="A977" s="39" t="str">
        <f t="shared" si="1"/>
        <v/>
      </c>
      <c r="B977" s="39"/>
      <c r="C977" s="40"/>
      <c r="D977" s="41"/>
      <c r="E977" s="40"/>
      <c r="F977" s="40"/>
    </row>
    <row r="978">
      <c r="A978" s="39" t="str">
        <f t="shared" si="1"/>
        <v/>
      </c>
      <c r="B978" s="39"/>
      <c r="C978" s="40"/>
      <c r="D978" s="41"/>
      <c r="E978" s="40"/>
      <c r="F978" s="40"/>
    </row>
    <row r="979">
      <c r="A979" s="39" t="str">
        <f t="shared" si="1"/>
        <v/>
      </c>
      <c r="B979" s="39"/>
      <c r="C979" s="40"/>
      <c r="D979" s="41"/>
      <c r="E979" s="40"/>
      <c r="F979" s="40"/>
    </row>
    <row r="980">
      <c r="A980" s="39" t="str">
        <f t="shared" si="1"/>
        <v/>
      </c>
      <c r="B980" s="39"/>
      <c r="C980" s="40"/>
      <c r="D980" s="41"/>
      <c r="E980" s="40"/>
      <c r="F980" s="40"/>
    </row>
    <row r="981">
      <c r="A981" s="39" t="str">
        <f t="shared" si="1"/>
        <v/>
      </c>
      <c r="B981" s="39"/>
      <c r="C981" s="40"/>
      <c r="D981" s="41"/>
      <c r="E981" s="40"/>
      <c r="F981" s="40"/>
    </row>
    <row r="982">
      <c r="A982" s="39" t="str">
        <f t="shared" si="1"/>
        <v/>
      </c>
      <c r="B982" s="39"/>
      <c r="C982" s="40"/>
      <c r="D982" s="41"/>
      <c r="E982" s="40"/>
      <c r="F982" s="40"/>
    </row>
    <row r="983">
      <c r="A983" s="39" t="str">
        <f t="shared" si="1"/>
        <v/>
      </c>
      <c r="B983" s="39"/>
      <c r="C983" s="40"/>
      <c r="D983" s="41"/>
      <c r="E983" s="40"/>
      <c r="F983" s="40"/>
    </row>
    <row r="984">
      <c r="A984" s="39" t="str">
        <f t="shared" si="1"/>
        <v/>
      </c>
      <c r="B984" s="39"/>
      <c r="C984" s="40"/>
      <c r="D984" s="41"/>
      <c r="E984" s="40"/>
      <c r="F984" s="40"/>
    </row>
    <row r="985">
      <c r="A985" s="39" t="str">
        <f t="shared" si="1"/>
        <v/>
      </c>
      <c r="B985" s="39"/>
      <c r="C985" s="40"/>
      <c r="D985" s="41"/>
      <c r="E985" s="40"/>
      <c r="F985" s="40"/>
    </row>
    <row r="986">
      <c r="A986" s="39" t="str">
        <f t="shared" si="1"/>
        <v/>
      </c>
      <c r="B986" s="39"/>
      <c r="C986" s="40"/>
      <c r="D986" s="41"/>
      <c r="E986" s="40"/>
      <c r="F986" s="40"/>
    </row>
    <row r="987">
      <c r="A987" s="39" t="str">
        <f t="shared" si="1"/>
        <v/>
      </c>
      <c r="B987" s="39"/>
      <c r="C987" s="40"/>
      <c r="D987" s="41"/>
      <c r="E987" s="40"/>
      <c r="F987" s="40"/>
    </row>
    <row r="988">
      <c r="A988" s="39" t="str">
        <f t="shared" si="1"/>
        <v/>
      </c>
      <c r="B988" s="39"/>
      <c r="C988" s="40"/>
      <c r="D988" s="41"/>
      <c r="E988" s="40"/>
      <c r="F988" s="40"/>
    </row>
    <row r="989">
      <c r="A989" s="39" t="str">
        <f t="shared" si="1"/>
        <v/>
      </c>
      <c r="B989" s="39"/>
      <c r="C989" s="40"/>
      <c r="D989" s="41"/>
      <c r="E989" s="40"/>
      <c r="F989" s="40"/>
    </row>
    <row r="990">
      <c r="A990" s="39" t="str">
        <f t="shared" si="1"/>
        <v/>
      </c>
      <c r="B990" s="39"/>
      <c r="C990" s="40"/>
      <c r="D990" s="41"/>
      <c r="E990" s="40"/>
      <c r="F990" s="40"/>
    </row>
    <row r="991">
      <c r="A991" s="39" t="str">
        <f t="shared" si="1"/>
        <v/>
      </c>
      <c r="B991" s="39"/>
      <c r="C991" s="40"/>
      <c r="D991" s="41"/>
      <c r="E991" s="40"/>
      <c r="F991" s="40"/>
    </row>
    <row r="992">
      <c r="A992" s="39" t="str">
        <f t="shared" si="1"/>
        <v/>
      </c>
      <c r="B992" s="39"/>
      <c r="C992" s="40"/>
      <c r="D992" s="41"/>
      <c r="E992" s="40"/>
      <c r="F992" s="40"/>
    </row>
    <row r="993">
      <c r="A993" s="39" t="str">
        <f t="shared" si="1"/>
        <v/>
      </c>
      <c r="B993" s="39"/>
      <c r="C993" s="40"/>
      <c r="D993" s="41"/>
      <c r="E993" s="40"/>
      <c r="F993" s="40"/>
    </row>
    <row r="994">
      <c r="A994" s="39" t="str">
        <f t="shared" si="1"/>
        <v/>
      </c>
      <c r="B994" s="39"/>
      <c r="C994" s="40"/>
      <c r="D994" s="41"/>
      <c r="E994" s="40"/>
      <c r="F994" s="40"/>
    </row>
    <row r="995">
      <c r="A995" s="39" t="str">
        <f t="shared" si="1"/>
        <v/>
      </c>
      <c r="B995" s="39"/>
      <c r="C995" s="40"/>
      <c r="D995" s="41"/>
      <c r="E995" s="40"/>
      <c r="F995" s="40"/>
    </row>
    <row r="996">
      <c r="A996" s="39" t="str">
        <f t="shared" si="1"/>
        <v/>
      </c>
      <c r="B996" s="39"/>
      <c r="C996" s="40"/>
      <c r="D996" s="41"/>
      <c r="E996" s="40"/>
      <c r="F996" s="40"/>
    </row>
    <row r="997">
      <c r="A997" s="39" t="str">
        <f t="shared" si="1"/>
        <v/>
      </c>
      <c r="B997" s="39"/>
      <c r="C997" s="40"/>
      <c r="D997" s="41"/>
      <c r="E997" s="40"/>
      <c r="F997" s="40"/>
    </row>
    <row r="998">
      <c r="A998" s="39" t="str">
        <f t="shared" si="1"/>
        <v/>
      </c>
      <c r="B998" s="39"/>
      <c r="C998" s="40"/>
      <c r="D998" s="41"/>
      <c r="E998" s="40"/>
      <c r="F998" s="40"/>
    </row>
    <row r="999">
      <c r="A999" s="39" t="str">
        <f t="shared" si="1"/>
        <v/>
      </c>
      <c r="B999" s="39"/>
      <c r="C999" s="40"/>
      <c r="D999" s="41"/>
      <c r="E999" s="40"/>
      <c r="F999" s="40"/>
    </row>
    <row r="1000">
      <c r="A1000" s="39" t="str">
        <f t="shared" si="1"/>
        <v/>
      </c>
      <c r="B1000" s="39"/>
      <c r="C1000" s="40"/>
      <c r="D1000" s="41"/>
      <c r="E1000" s="40"/>
      <c r="F1000" s="40"/>
    </row>
  </sheetData>
  <mergeCells count="2">
    <mergeCell ref="A1:B1"/>
    <mergeCell ref="C1:F1"/>
  </mergeCells>
  <dataValidations>
    <dataValidation type="list" allowBlank="1" showInputMessage="1" prompt="Klik dan masukkan nilai dari rentang" sqref="C1">
      <formula1>db!$L$2:$L1000</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25"/>
    <col customWidth="1" min="4" max="4" width="36.25"/>
    <col customWidth="1" min="5" max="5" width="37.38"/>
    <col customWidth="1" min="6" max="6" width="44.13"/>
    <col customWidth="1" min="7" max="7" width="41.75"/>
    <col customWidth="1" min="10" max="10" width="11.38"/>
  </cols>
  <sheetData>
    <row r="1">
      <c r="A1" s="13" t="str">
        <f>IFERROR(__xludf.DUMMYFUNCTION("query('Form Responses 1'!A:I,""select *"")"),"Timestamp")</f>
        <v>Timestamp</v>
      </c>
      <c r="B1" s="13" t="str">
        <f>IFERROR(__xludf.DUMMYFUNCTION("""COMPUTED_VALUE"""),"Nama")</f>
        <v>Nama</v>
      </c>
      <c r="C1" s="13" t="str">
        <f>IFERROR(__xludf.DUMMYFUNCTION("""COMPUTED_VALUE"""),"Nomor Whatsapp")</f>
        <v>Nomor Whatsapp</v>
      </c>
      <c r="D1" s="13" t="str">
        <f>IFERROR(__xludf.DUMMYFUNCTION("""COMPUTED_VALUE"""),"Alamat Email")</f>
        <v>Alamat Email</v>
      </c>
      <c r="E1" s="13" t="str">
        <f>IFERROR(__xludf.DUMMYFUNCTION("""COMPUTED_VALUE"""),"Asal Instansi")</f>
        <v>Asal Instansi</v>
      </c>
      <c r="F1" s="13" t="str">
        <f>IFERROR(__xludf.DUMMYFUNCTION("""COMPUTED_VALUE"""),"Keperluan")</f>
        <v>Keperluan</v>
      </c>
      <c r="G1" s="13" t="str">
        <f>IFERROR(__xludf.DUMMYFUNCTION("""COMPUTED_VALUE"""),"Foto")</f>
        <v>Foto</v>
      </c>
      <c r="H1" s="13" t="str">
        <f>IFERROR(__xludf.DUMMYFUNCTION("""COMPUTED_VALUE"""),"Rincian Layanan/Data yang butuhkan")</f>
        <v>Rincian Layanan/Data yang butuhkan</v>
      </c>
      <c r="I1" s="13" t="str">
        <f>IFERROR(__xludf.DUMMYFUNCTION("""COMPUTED_VALUE"""),"Detail Instansi")</f>
        <v>Detail Instansi</v>
      </c>
      <c r="J1" s="4" t="s">
        <v>1890</v>
      </c>
      <c r="K1" s="4" t="s">
        <v>1891</v>
      </c>
      <c r="L1" s="4" t="s">
        <v>1892</v>
      </c>
      <c r="M1" s="4" t="s">
        <v>1764</v>
      </c>
    </row>
    <row r="2">
      <c r="A2" s="43">
        <f>IFERROR(__xludf.DUMMYFUNCTION("""COMPUTED_VALUE"""),45301.52215903935)</f>
        <v>45301.52216</v>
      </c>
      <c r="B2" s="13" t="str">
        <f>IFERROR(__xludf.DUMMYFUNCTION("""COMPUTED_VALUE"""),"Anggara Sinurat")</f>
        <v>Anggara Sinurat</v>
      </c>
      <c r="C2" s="13"/>
      <c r="D2" s="13"/>
      <c r="E2" s="13" t="str">
        <f>IFERROR(__xludf.DUMMYFUNCTION("""COMPUTED_VALUE"""),"OPD (Pemerintah Daerah)")</f>
        <v>OPD (Pemerintah Daerah)</v>
      </c>
      <c r="F2" s="13" t="str">
        <f>IFERROR(__xludf.DUMMYFUNCTION("""COMPUTED_VALUE"""),"Koordinasi antar lembaga")</f>
        <v>Koordinasi antar lembaga</v>
      </c>
      <c r="G2" s="13" t="str">
        <f>IFERROR(__xludf.DUMMYFUNCTION("""COMPUTED_VALUE"""),"https://drive:google:com/open?id=18oPtkHlwVv-MPUokLfmsqJl6ubK6yoAz")</f>
        <v>https://drive:google:com/open?id=18oPtkHlwVv-MPUokLfmsqJl6ubK6yoAz</v>
      </c>
      <c r="H2" s="13" t="str">
        <f>IFERROR(__xludf.DUMMYFUNCTION("""COMPUTED_VALUE"""),"Konsultasi Data")</f>
        <v>Konsultasi Data</v>
      </c>
      <c r="I2" s="13" t="str">
        <f>IFERROR(__xludf.DUMMYFUNCTION("""COMPUTED_VALUE"""),"Diskominfo")</f>
        <v>Diskominfo</v>
      </c>
      <c r="J2" s="13" t="str">
        <f t="shared" ref="J2:J1000" si="1">if(A2="","", text(A2,"mmmm yyyy"))</f>
        <v>Januari 2024</v>
      </c>
      <c r="K2" s="13" t="str">
        <f t="shared" ref="K2:K1000" si="2">if(J2="","", text(A2,"dd mmm yyyy"))</f>
        <v>10 Jan 2024</v>
      </c>
      <c r="L2" s="4" t="str">
        <f t="shared" ref="L2:L1000" si="3">if(J2="","","TW "&amp;int((month(K2)+2)/3))</f>
        <v>TW 1</v>
      </c>
      <c r="M2" s="4" t="s">
        <v>1893</v>
      </c>
    </row>
    <row r="3">
      <c r="A3" s="44">
        <f>IFERROR(__xludf.DUMMYFUNCTION("""COMPUTED_VALUE"""),45301.554200914354)</f>
        <v>45301.5542</v>
      </c>
      <c r="B3" s="45" t="str">
        <f>IFERROR(__xludf.DUMMYFUNCTION("""COMPUTED_VALUE"""),"Mona Lidya Sianturi")</f>
        <v>Mona Lidya Sianturi</v>
      </c>
      <c r="C3" s="45" t="str">
        <f>IFERROR(__xludf.DUMMYFUNCTION("""COMPUTED_VALUE"""),"081264481228")</f>
        <v>081264481228</v>
      </c>
      <c r="D3" s="45" t="str">
        <f>IFERROR(__xludf.DUMMYFUNCTION("""COMPUTED_VALUE"""),"mandiritonauly@gmail:com")</f>
        <v>mandiritonauly@gmail:com</v>
      </c>
      <c r="E3" s="45" t="str">
        <f>IFERROR(__xludf.DUMMYFUNCTION("""COMPUTED_VALUE"""),"OPD (Pemerintah Daerah)")</f>
        <v>OPD (Pemerintah Daerah)</v>
      </c>
      <c r="F3" s="45" t="str">
        <f>IFERROR(__xludf.DUMMYFUNCTION("""COMPUTED_VALUE"""),"Koordinasi antar lembaga")</f>
        <v>Koordinasi antar lembaga</v>
      </c>
      <c r="G3" s="45" t="str">
        <f>IFERROR(__xludf.DUMMYFUNCTION("""COMPUTED_VALUE"""),"https://drive:google:com/open?id=1utoMBeofm1oitp-XVMTv8Wb-Ii2WY26B")</f>
        <v>https://drive:google:com/open?id=1utoMBeofm1oitp-XVMTv8Wb-Ii2WY26B</v>
      </c>
      <c r="H3" s="45" t="str">
        <f>IFERROR(__xludf.DUMMYFUNCTION("""COMPUTED_VALUE"""),"konsultasi")</f>
        <v>konsultasi</v>
      </c>
      <c r="I3" s="45" t="str">
        <f>IFERROR(__xludf.DUMMYFUNCTION("""COMPUTED_VALUE"""),"Kominfo")</f>
        <v>Kominfo</v>
      </c>
      <c r="J3" s="45" t="str">
        <f t="shared" si="1"/>
        <v>Januari 2024</v>
      </c>
      <c r="K3" s="45" t="str">
        <f t="shared" si="2"/>
        <v>10 Jan 2024</v>
      </c>
      <c r="L3" s="4" t="str">
        <f t="shared" si="3"/>
        <v>TW 1</v>
      </c>
      <c r="M3" s="46" t="s">
        <v>256</v>
      </c>
      <c r="N3" s="45"/>
      <c r="O3" s="45"/>
      <c r="P3" s="45"/>
      <c r="Q3" s="45"/>
      <c r="R3" s="45"/>
      <c r="S3" s="45"/>
      <c r="T3" s="45"/>
      <c r="U3" s="45"/>
      <c r="V3" s="45"/>
      <c r="W3" s="45"/>
      <c r="X3" s="45"/>
      <c r="Y3" s="45"/>
      <c r="Z3" s="45"/>
    </row>
    <row r="4">
      <c r="A4" s="44">
        <f>IFERROR(__xludf.DUMMYFUNCTION("""COMPUTED_VALUE"""),45301.55505521991)</f>
        <v>45301.55506</v>
      </c>
      <c r="B4" s="45" t="str">
        <f>IFERROR(__xludf.DUMMYFUNCTION("""COMPUTED_VALUE"""),"Nasib Berutu")</f>
        <v>Nasib Berutu</v>
      </c>
      <c r="C4" s="45" t="str">
        <f>IFERROR(__xludf.DUMMYFUNCTION("""COMPUTED_VALUE"""),"082174591006")</f>
        <v>082174591006</v>
      </c>
      <c r="D4" s="45"/>
      <c r="E4" s="45" t="str">
        <f>IFERROR(__xludf.DUMMYFUNCTION("""COMPUTED_VALUE"""),"OPD (Pemerintah Daerah)")</f>
        <v>OPD (Pemerintah Daerah)</v>
      </c>
      <c r="F4" s="45" t="str">
        <f>IFERROR(__xludf.DUMMYFUNCTION("""COMPUTED_VALUE"""),"Koordinasi antar lembaga")</f>
        <v>Koordinasi antar lembaga</v>
      </c>
      <c r="G4" s="45" t="str">
        <f>IFERROR(__xludf.DUMMYFUNCTION("""COMPUTED_VALUE"""),"https://drive:google:com/open?id=1lGTvy4h1hHeRwL_EdItbikAvgbcs4Flc")</f>
        <v>https://drive:google:com/open?id=1lGTvy4h1hHeRwL_EdItbikAvgbcs4Flc</v>
      </c>
      <c r="H4" s="45" t="str">
        <f>IFERROR(__xludf.DUMMYFUNCTION("""COMPUTED_VALUE"""),"konsultasi")</f>
        <v>konsultasi</v>
      </c>
      <c r="I4" s="45" t="str">
        <f>IFERROR(__xludf.DUMMYFUNCTION("""COMPUTED_VALUE"""),"Kominfo")</f>
        <v>Kominfo</v>
      </c>
      <c r="J4" s="45" t="str">
        <f t="shared" si="1"/>
        <v>Januari 2024</v>
      </c>
      <c r="K4" s="45" t="str">
        <f t="shared" si="2"/>
        <v>10 Jan 2024</v>
      </c>
      <c r="L4" s="4" t="str">
        <f t="shared" si="3"/>
        <v>TW 1</v>
      </c>
      <c r="M4" s="46" t="s">
        <v>256</v>
      </c>
      <c r="N4" s="45"/>
      <c r="O4" s="45"/>
      <c r="P4" s="45"/>
      <c r="Q4" s="45"/>
      <c r="R4" s="45"/>
      <c r="S4" s="45"/>
      <c r="T4" s="45"/>
      <c r="U4" s="45"/>
      <c r="V4" s="45"/>
      <c r="W4" s="45"/>
      <c r="X4" s="45"/>
      <c r="Y4" s="45"/>
      <c r="Z4" s="45"/>
    </row>
    <row r="5">
      <c r="A5" s="44">
        <f>IFERROR(__xludf.DUMMYFUNCTION("""COMPUTED_VALUE"""),45301.55640350695)</f>
        <v>45301.5564</v>
      </c>
      <c r="B5" s="45" t="str">
        <f>IFERROR(__xludf.DUMMYFUNCTION("""COMPUTED_VALUE"""),"Igo octavian simamora")</f>
        <v>Igo octavian simamora</v>
      </c>
      <c r="C5" s="45" t="str">
        <f>IFERROR(__xludf.DUMMYFUNCTION("""COMPUTED_VALUE"""),"081222708998")</f>
        <v>081222708998</v>
      </c>
      <c r="D5" s="45" t="str">
        <f>IFERROR(__xludf.DUMMYFUNCTION("""COMPUTED_VALUE"""),"octaviansimamora65@gmail:com")</f>
        <v>octaviansimamora65@gmail:com</v>
      </c>
      <c r="E5" s="45" t="str">
        <f>IFERROR(__xludf.DUMMYFUNCTION("""COMPUTED_VALUE"""),"OPD (Pemerintah Daerah)")</f>
        <v>OPD (Pemerintah Daerah)</v>
      </c>
      <c r="F5" s="45" t="str">
        <f>IFERROR(__xludf.DUMMYFUNCTION("""COMPUTED_VALUE"""),"Koordinasi antar lembaga")</f>
        <v>Koordinasi antar lembaga</v>
      </c>
      <c r="G5" s="45" t="str">
        <f>IFERROR(__xludf.DUMMYFUNCTION("""COMPUTED_VALUE"""),"https://drive:google:com/open?id=1etbj47fwJT2rfNJ6PyVpGu84JBCiz0Kc")</f>
        <v>https://drive:google:com/open?id=1etbj47fwJT2rfNJ6PyVpGu84JBCiz0Kc</v>
      </c>
      <c r="H5" s="45" t="str">
        <f>IFERROR(__xludf.DUMMYFUNCTION("""COMPUTED_VALUE"""),"Konsultasi")</f>
        <v>Konsultasi</v>
      </c>
      <c r="I5" s="45" t="str">
        <f>IFERROR(__xludf.DUMMYFUNCTION("""COMPUTED_VALUE"""),"Kominfo")</f>
        <v>Kominfo</v>
      </c>
      <c r="J5" s="45" t="str">
        <f t="shared" si="1"/>
        <v>Januari 2024</v>
      </c>
      <c r="K5" s="45" t="str">
        <f t="shared" si="2"/>
        <v>10 Jan 2024</v>
      </c>
      <c r="L5" s="4" t="str">
        <f t="shared" si="3"/>
        <v>TW 1</v>
      </c>
      <c r="M5" s="46" t="s">
        <v>256</v>
      </c>
      <c r="N5" s="45"/>
      <c r="O5" s="45"/>
      <c r="P5" s="45"/>
      <c r="Q5" s="45"/>
      <c r="R5" s="45"/>
      <c r="S5" s="45"/>
      <c r="T5" s="45"/>
      <c r="U5" s="45"/>
      <c r="V5" s="45"/>
      <c r="W5" s="45"/>
      <c r="X5" s="45"/>
      <c r="Y5" s="45"/>
      <c r="Z5" s="45"/>
    </row>
    <row r="6">
      <c r="A6" s="43">
        <f>IFERROR(__xludf.DUMMYFUNCTION("""COMPUTED_VALUE"""),45303.457870011574)</f>
        <v>45303.45787</v>
      </c>
      <c r="B6" s="13" t="str">
        <f>IFERROR(__xludf.DUMMYFUNCTION("""COMPUTED_VALUE"""),"Hotliana Lumbanbatu")</f>
        <v>Hotliana Lumbanbatu</v>
      </c>
      <c r="C6" s="13" t="str">
        <f>IFERROR(__xludf.DUMMYFUNCTION("""COMPUTED_VALUE"""),"081375595898")</f>
        <v>081375595898</v>
      </c>
      <c r="D6" s="13" t="str">
        <f>IFERROR(__xludf.DUMMYFUNCTION("""COMPUTED_VALUE"""),"liana_jusminari@yahoo:com")</f>
        <v>liana_jusminari@yahoo:com</v>
      </c>
      <c r="E6" s="13" t="str">
        <f>IFERROR(__xludf.DUMMYFUNCTION("""COMPUTED_VALUE"""),"OPD (Pemerintah Daerah)")</f>
        <v>OPD (Pemerintah Daerah)</v>
      </c>
      <c r="F6" s="13" t="str">
        <f>IFERROR(__xludf.DUMMYFUNCTION("""COMPUTED_VALUE"""),"Pelayanan Statistik (Permintaan Data/Konsultasi)")</f>
        <v>Pelayanan Statistik (Permintaan Data/Konsultasi)</v>
      </c>
      <c r="G6" s="13" t="str">
        <f>IFERROR(__xludf.DUMMYFUNCTION("""COMPUTED_VALUE"""),"https://drive:google:com/open?id=1uawHkHQOvdPqdPtK-FoccJwnOYkthyMk")</f>
        <v>https://drive:google:com/open?id=1uawHkHQOvdPqdPtK-FoccJwnOYkthyMk</v>
      </c>
      <c r="H6" s="13" t="str">
        <f>IFERROR(__xludf.DUMMYFUNCTION("""COMPUTED_VALUE"""),"Pertumbuhan Ekonomi")</f>
        <v>Pertumbuhan Ekonomi</v>
      </c>
      <c r="I6" s="13" t="str">
        <f>IFERROR(__xludf.DUMMYFUNCTION("""COMPUTED_VALUE"""),"Dinas Komunikasi Informasi dan Informatika")</f>
        <v>Dinas Komunikasi Informasi dan Informatika</v>
      </c>
      <c r="J6" s="13" t="str">
        <f t="shared" si="1"/>
        <v>Januari 2024</v>
      </c>
      <c r="K6" s="13" t="str">
        <f t="shared" si="2"/>
        <v>12 Jan 2024</v>
      </c>
      <c r="L6" s="4" t="str">
        <f t="shared" si="3"/>
        <v>TW 1</v>
      </c>
      <c r="M6" s="4" t="s">
        <v>1894</v>
      </c>
    </row>
    <row r="7">
      <c r="A7" s="43">
        <f>IFERROR(__xludf.DUMMYFUNCTION("""COMPUTED_VALUE"""),45315.40917284722)</f>
        <v>45315.40917</v>
      </c>
      <c r="B7" s="13" t="str">
        <f>IFERROR(__xludf.DUMMYFUNCTION("""COMPUTED_VALUE"""),"Niko Sinaga")</f>
        <v>Niko Sinaga</v>
      </c>
      <c r="C7" s="13" t="str">
        <f>IFERROR(__xludf.DUMMYFUNCTION("""COMPUTED_VALUE"""),"081265180583")</f>
        <v>081265180583</v>
      </c>
      <c r="D7" s="13"/>
      <c r="E7" s="13" t="str">
        <f>IFERROR(__xludf.DUMMYFUNCTION("""COMPUTED_VALUE"""),"OPD (Pemerintah Daerah)")</f>
        <v>OPD (Pemerintah Daerah)</v>
      </c>
      <c r="F7" s="13" t="str">
        <f>IFERROR(__xludf.DUMMYFUNCTION("""COMPUTED_VALUE"""),"Pelayanan Statistik (Permintaan Data/Konsultasi)")</f>
        <v>Pelayanan Statistik (Permintaan Data/Konsultasi)</v>
      </c>
      <c r="G7" s="13" t="str">
        <f>IFERROR(__xludf.DUMMYFUNCTION("""COMPUTED_VALUE"""),"https://drive:google:com/open?id=1aCNYmRIDKB_PkgC-xNTgWsWPys0ljphK")</f>
        <v>https://drive:google:com/open?id=1aCNYmRIDKB_PkgC-xNTgWsWPys0ljphK</v>
      </c>
      <c r="H7" s="13" t="str">
        <f>IFERROR(__xludf.DUMMYFUNCTION("""COMPUTED_VALUE"""),"Konsultasi")</f>
        <v>Konsultasi</v>
      </c>
      <c r="I7" s="13" t="str">
        <f>IFERROR(__xludf.DUMMYFUNCTION("""COMPUTED_VALUE"""),"POJ")</f>
        <v>POJ</v>
      </c>
      <c r="J7" s="13" t="str">
        <f t="shared" si="1"/>
        <v>Januari 2024</v>
      </c>
      <c r="K7" s="13" t="str">
        <f t="shared" si="2"/>
        <v>24 Jan 2024</v>
      </c>
      <c r="L7" s="4" t="str">
        <f t="shared" si="3"/>
        <v>TW 1</v>
      </c>
      <c r="M7" s="4" t="s">
        <v>1894</v>
      </c>
    </row>
    <row r="8">
      <c r="A8" s="43">
        <f>IFERROR(__xludf.DUMMYFUNCTION("""COMPUTED_VALUE"""),45321.34657508102)</f>
        <v>45321.34658</v>
      </c>
      <c r="B8" s="13" t="str">
        <f>IFERROR(__xludf.DUMMYFUNCTION("""COMPUTED_VALUE"""),"Elperida Sijabat")</f>
        <v>Elperida Sijabat</v>
      </c>
      <c r="C8" s="13" t="str">
        <f>IFERROR(__xludf.DUMMYFUNCTION("""COMPUTED_VALUE"""),"082165804679")</f>
        <v>082165804679</v>
      </c>
      <c r="D8" s="13" t="str">
        <f>IFERROR(__xludf.DUMMYFUNCTION("""COMPUTED_VALUE"""),"sijabatelperida@gmail:com")</f>
        <v>sijabatelperida@gmail:com</v>
      </c>
      <c r="E8" s="13" t="str">
        <f>IFERROR(__xludf.DUMMYFUNCTION("""COMPUTED_VALUE"""),"Mitra BPS")</f>
        <v>Mitra BPS</v>
      </c>
      <c r="F8" s="13" t="str">
        <f>IFERROR(__xludf.DUMMYFUNCTION("""COMPUTED_VALUE"""),"Menjemput Dokumen")</f>
        <v>Menjemput Dokumen</v>
      </c>
      <c r="G8" s="13" t="str">
        <f>IFERROR(__xludf.DUMMYFUNCTION("""COMPUTED_VALUE"""),"https://drive:google:com/open?id=1LKz9q6N6AjUglUM1NQQqUXQN4DwJmu16")</f>
        <v>https://drive:google:com/open?id=1LKz9q6N6AjUglUM1NQQqUXQN4DwJmu16</v>
      </c>
      <c r="H8" s="13" t="str">
        <f>IFERROR(__xludf.DUMMYFUNCTION("""COMPUTED_VALUE"""),"Menjemput Dokumen")</f>
        <v>Menjemput Dokumen</v>
      </c>
      <c r="I8" s="13" t="str">
        <f>IFERROR(__xludf.DUMMYFUNCTION("""COMPUTED_VALUE"""),"Mitra BPS")</f>
        <v>Mitra BPS</v>
      </c>
      <c r="J8" s="13" t="str">
        <f t="shared" si="1"/>
        <v>Januari 2024</v>
      </c>
      <c r="K8" s="13" t="str">
        <f t="shared" si="2"/>
        <v>30 Jan 2024</v>
      </c>
      <c r="L8" s="4" t="str">
        <f t="shared" si="3"/>
        <v>TW 1</v>
      </c>
      <c r="M8" s="4" t="s">
        <v>1893</v>
      </c>
    </row>
    <row r="9">
      <c r="A9" s="44">
        <f>IFERROR(__xludf.DUMMYFUNCTION("""COMPUTED_VALUE"""),45321.366348449075)</f>
        <v>45321.36635</v>
      </c>
      <c r="B9" s="45" t="str">
        <f>IFERROR(__xludf.DUMMYFUNCTION("""COMPUTED_VALUE"""),"Sukmawati Sembiring")</f>
        <v>Sukmawati Sembiring</v>
      </c>
      <c r="C9" s="45" t="str">
        <f>IFERROR(__xludf.DUMMYFUNCTION("""COMPUTED_VALUE"""),"082165849178")</f>
        <v>082165849178</v>
      </c>
      <c r="D9" s="45" t="str">
        <f>IFERROR(__xludf.DUMMYFUNCTION("""COMPUTED_VALUE"""),"sukmawatisembiring@gmail:com")</f>
        <v>sukmawatisembiring@gmail:com</v>
      </c>
      <c r="E9" s="45" t="str">
        <f>IFERROR(__xludf.DUMMYFUNCTION("""COMPUTED_VALUE"""),"Mitra BPS")</f>
        <v>Mitra BPS</v>
      </c>
      <c r="F9" s="45" t="str">
        <f>IFERROR(__xludf.DUMMYFUNCTION("""COMPUTED_VALUE"""),"Menjemput Dokumen")</f>
        <v>Menjemput Dokumen</v>
      </c>
      <c r="G9" s="45" t="str">
        <f>IFERROR(__xludf.DUMMYFUNCTION("""COMPUTED_VALUE"""),"https://drive:google:com/open?id=1kEVIrFNX5wOJE4evULcMUlGYq5JW4LSy")</f>
        <v>https://drive:google:com/open?id=1kEVIrFNX5wOJE4evULcMUlGYq5JW4LSy</v>
      </c>
      <c r="H9" s="45" t="str">
        <f>IFERROR(__xludf.DUMMYFUNCTION("""COMPUTED_VALUE"""),"Menjemput BPS")</f>
        <v>Menjemput BPS</v>
      </c>
      <c r="I9" s="45" t="str">
        <f>IFERROR(__xludf.DUMMYFUNCTION("""COMPUTED_VALUE"""),"Mitra BPS")</f>
        <v>Mitra BPS</v>
      </c>
      <c r="J9" s="45" t="str">
        <f t="shared" si="1"/>
        <v>Januari 2024</v>
      </c>
      <c r="K9" s="45" t="str">
        <f t="shared" si="2"/>
        <v>30 Jan 2024</v>
      </c>
      <c r="L9" s="4" t="str">
        <f t="shared" si="3"/>
        <v>TW 1</v>
      </c>
      <c r="M9" s="46" t="s">
        <v>256</v>
      </c>
      <c r="N9" s="45"/>
      <c r="O9" s="45"/>
      <c r="P9" s="45"/>
      <c r="Q9" s="45"/>
      <c r="R9" s="45"/>
      <c r="S9" s="45"/>
      <c r="T9" s="45"/>
      <c r="U9" s="45"/>
      <c r="V9" s="45"/>
      <c r="W9" s="45"/>
      <c r="X9" s="45"/>
      <c r="Y9" s="45"/>
      <c r="Z9" s="45"/>
    </row>
    <row r="10">
      <c r="A10" s="44">
        <f>IFERROR(__xludf.DUMMYFUNCTION("""COMPUTED_VALUE"""),45321.36769151621)</f>
        <v>45321.36769</v>
      </c>
      <c r="B10" s="45" t="str">
        <f>IFERROR(__xludf.DUMMYFUNCTION("""COMPUTED_VALUE"""),"Feraminta Ginting")</f>
        <v>Feraminta Ginting</v>
      </c>
      <c r="C10" s="45" t="str">
        <f>IFERROR(__xludf.DUMMYFUNCTION("""COMPUTED_VALUE"""),"081360349809")</f>
        <v>081360349809</v>
      </c>
      <c r="D10" s="45" t="str">
        <f>IFERROR(__xludf.DUMMYFUNCTION("""COMPUTED_VALUE"""),"feraginting16@gmail:com")</f>
        <v>feraginting16@gmail:com</v>
      </c>
      <c r="E10" s="45" t="str">
        <f>IFERROR(__xludf.DUMMYFUNCTION("""COMPUTED_VALUE"""),"Mitra BPS")</f>
        <v>Mitra BPS</v>
      </c>
      <c r="F10" s="45" t="str">
        <f>IFERROR(__xludf.DUMMYFUNCTION("""COMPUTED_VALUE"""),"Menjemput Dokumen")</f>
        <v>Menjemput Dokumen</v>
      </c>
      <c r="G10" s="45" t="str">
        <f>IFERROR(__xludf.DUMMYFUNCTION("""COMPUTED_VALUE"""),"https://drive:google:com/open?id=1CCvyIKMjBFv7S1C72NdTZzWyo80suIub")</f>
        <v>https://drive:google:com/open?id=1CCvyIKMjBFv7S1C72NdTZzWyo80suIub</v>
      </c>
      <c r="H10" s="45" t="str">
        <f>IFERROR(__xludf.DUMMYFUNCTION("""COMPUTED_VALUE"""),"Menjemput Dokumen")</f>
        <v>Menjemput Dokumen</v>
      </c>
      <c r="I10" s="45" t="str">
        <f>IFERROR(__xludf.DUMMYFUNCTION("""COMPUTED_VALUE"""),"Mitra BPS")</f>
        <v>Mitra BPS</v>
      </c>
      <c r="J10" s="45" t="str">
        <f t="shared" si="1"/>
        <v>Januari 2024</v>
      </c>
      <c r="K10" s="45" t="str">
        <f t="shared" si="2"/>
        <v>30 Jan 2024</v>
      </c>
      <c r="L10" s="4" t="str">
        <f t="shared" si="3"/>
        <v>TW 1</v>
      </c>
      <c r="M10" s="46" t="s">
        <v>256</v>
      </c>
      <c r="N10" s="45"/>
      <c r="O10" s="45"/>
      <c r="P10" s="45"/>
      <c r="Q10" s="45"/>
      <c r="R10" s="45"/>
      <c r="S10" s="45"/>
      <c r="T10" s="45"/>
      <c r="U10" s="45"/>
      <c r="V10" s="45"/>
      <c r="W10" s="45"/>
      <c r="X10" s="45"/>
      <c r="Y10" s="45"/>
      <c r="Z10" s="45"/>
    </row>
    <row r="11">
      <c r="A11" s="44">
        <f>IFERROR(__xludf.DUMMYFUNCTION("""COMPUTED_VALUE"""),45321.39532993056)</f>
        <v>45321.39533</v>
      </c>
      <c r="B11" s="45" t="str">
        <f>IFERROR(__xludf.DUMMYFUNCTION("""COMPUTED_VALUE"""),"melisa brutu")</f>
        <v>melisa brutu</v>
      </c>
      <c r="C11" s="45" t="str">
        <f>IFERROR(__xludf.DUMMYFUNCTION("""COMPUTED_VALUE"""),"082131380665")</f>
        <v>082131380665</v>
      </c>
      <c r="D11" s="45" t="str">
        <f>IFERROR(__xludf.DUMMYFUNCTION("""COMPUTED_VALUE"""),"melisabrutu223@gmail:com")</f>
        <v>melisabrutu223@gmail:com</v>
      </c>
      <c r="E11" s="45" t="str">
        <f>IFERROR(__xludf.DUMMYFUNCTION("""COMPUTED_VALUE"""),"mitra bps")</f>
        <v>mitra bps</v>
      </c>
      <c r="F11" s="45" t="str">
        <f>IFERROR(__xludf.DUMMYFUNCTION("""COMPUTED_VALUE"""),"menjemput dokumen")</f>
        <v>menjemput dokumen</v>
      </c>
      <c r="G11" s="45" t="str">
        <f>IFERROR(__xludf.DUMMYFUNCTION("""COMPUTED_VALUE"""),"https://drive:google:com/open?id=1eBqZzC4r9xhUsC_u00ITEkrSnSHSxxtM")</f>
        <v>https://drive:google:com/open?id=1eBqZzC4r9xhUsC_u00ITEkrSnSHSxxtM</v>
      </c>
      <c r="H11" s="45" t="str">
        <f>IFERROR(__xludf.DUMMYFUNCTION("""COMPUTED_VALUE"""),"menjemput dokumen")</f>
        <v>menjemput dokumen</v>
      </c>
      <c r="I11" s="45" t="str">
        <f>IFERROR(__xludf.DUMMYFUNCTION("""COMPUTED_VALUE"""),"mitra bps")</f>
        <v>mitra bps</v>
      </c>
      <c r="J11" s="45" t="str">
        <f t="shared" si="1"/>
        <v>Januari 2024</v>
      </c>
      <c r="K11" s="45" t="str">
        <f t="shared" si="2"/>
        <v>30 Jan 2024</v>
      </c>
      <c r="L11" s="4" t="str">
        <f t="shared" si="3"/>
        <v>TW 1</v>
      </c>
      <c r="M11" s="46" t="s">
        <v>256</v>
      </c>
      <c r="N11" s="45"/>
      <c r="O11" s="45"/>
      <c r="P11" s="45"/>
      <c r="Q11" s="45"/>
      <c r="R11" s="45"/>
      <c r="S11" s="45"/>
      <c r="T11" s="45"/>
      <c r="U11" s="45"/>
      <c r="V11" s="45"/>
      <c r="W11" s="45"/>
      <c r="X11" s="45"/>
      <c r="Y11" s="45"/>
      <c r="Z11" s="45"/>
    </row>
    <row r="12">
      <c r="A12" s="43">
        <f>IFERROR(__xludf.DUMMYFUNCTION("""COMPUTED_VALUE"""),45321.514933425926)</f>
        <v>45321.51493</v>
      </c>
      <c r="B12" s="13" t="str">
        <f>IFERROR(__xludf.DUMMYFUNCTION("""COMPUTED_VALUE"""),"martha tobing")</f>
        <v>martha tobing</v>
      </c>
      <c r="C12" s="13" t="str">
        <f>IFERROR(__xludf.DUMMYFUNCTION("""COMPUTED_VALUE"""),"081360244206")</f>
        <v>081360244206</v>
      </c>
      <c r="D12" s="13" t="str">
        <f>IFERROR(__xludf.DUMMYFUNCTION("""COMPUTED_VALUE"""),"dealoVA_AW@YAHOO:COM")</f>
        <v>dealoVA_AW@YAHOO:COM</v>
      </c>
      <c r="E12" s="13" t="str">
        <f>IFERROR(__xludf.DUMMYFUNCTION("""COMPUTED_VALUE"""),"MITRA BPS")</f>
        <v>MITRA BPS</v>
      </c>
      <c r="F12" s="13" t="str">
        <f>IFERROR(__xludf.DUMMYFUNCTION("""COMPUTED_VALUE"""),"menjemput dokumen")</f>
        <v>menjemput dokumen</v>
      </c>
      <c r="G12" s="13" t="str">
        <f>IFERROR(__xludf.DUMMYFUNCTION("""COMPUTED_VALUE"""),"https://drive:google:com/open?id=1o13CqMj8X2Jfb6j8Bf884ejsKYDLLpVy")</f>
        <v>https://drive:google:com/open?id=1o13CqMj8X2Jfb6j8Bf884ejsKYDLLpVy</v>
      </c>
      <c r="H12" s="13" t="str">
        <f>IFERROR(__xludf.DUMMYFUNCTION("""COMPUTED_VALUE"""),"menjemput dokumen")</f>
        <v>menjemput dokumen</v>
      </c>
      <c r="I12" s="13" t="str">
        <f>IFERROR(__xludf.DUMMYFUNCTION("""COMPUTED_VALUE"""),"mitra bps")</f>
        <v>mitra bps</v>
      </c>
      <c r="J12" s="13" t="str">
        <f t="shared" si="1"/>
        <v>Januari 2024</v>
      </c>
      <c r="K12" s="13" t="str">
        <f t="shared" si="2"/>
        <v>30 Jan 2024</v>
      </c>
      <c r="L12" s="4" t="str">
        <f t="shared" si="3"/>
        <v>TW 1</v>
      </c>
      <c r="M12" s="4" t="s">
        <v>1895</v>
      </c>
    </row>
    <row r="13">
      <c r="A13" s="43">
        <f>IFERROR(__xludf.DUMMYFUNCTION("""COMPUTED_VALUE"""),45321.589269375)</f>
        <v>45321.58927</v>
      </c>
      <c r="B13" s="13" t="str">
        <f>IFERROR(__xludf.DUMMYFUNCTION("""COMPUTED_VALUE"""),"alfon sitanggang")</f>
        <v>alfon sitanggang</v>
      </c>
      <c r="C13" s="13" t="str">
        <f>IFERROR(__xludf.DUMMYFUNCTION("""COMPUTED_VALUE"""),"085296337369")</f>
        <v>085296337369</v>
      </c>
      <c r="D13" s="13" t="str">
        <f>IFERROR(__xludf.DUMMYFUNCTION("""COMPUTED_VALUE"""),"allfoniriositanggang@gmail:com")</f>
        <v>allfoniriositanggang@gmail:com</v>
      </c>
      <c r="E13" s="13" t="str">
        <f>IFERROR(__xludf.DUMMYFUNCTION("""COMPUTED_VALUE"""),"mitra bps")</f>
        <v>mitra bps</v>
      </c>
      <c r="F13" s="13" t="str">
        <f>IFERROR(__xludf.DUMMYFUNCTION("""COMPUTED_VALUE"""),"menjemput dokumen")</f>
        <v>menjemput dokumen</v>
      </c>
      <c r="G13" s="13" t="str">
        <f>IFERROR(__xludf.DUMMYFUNCTION("""COMPUTED_VALUE"""),"https://drive:google:com/open?id=1F9Z5pj9fHUef2oNio4-_UjY5-0HvglwR")</f>
        <v>https://drive:google:com/open?id=1F9Z5pj9fHUef2oNio4-_UjY5-0HvglwR</v>
      </c>
      <c r="H13" s="13" t="str">
        <f>IFERROR(__xludf.DUMMYFUNCTION("""COMPUTED_VALUE"""),"menjemput dokumen")</f>
        <v>menjemput dokumen</v>
      </c>
      <c r="I13" s="13" t="str">
        <f>IFERROR(__xludf.DUMMYFUNCTION("""COMPUTED_VALUE"""),"mitra bps")</f>
        <v>mitra bps</v>
      </c>
      <c r="J13" s="13" t="str">
        <f t="shared" si="1"/>
        <v>Januari 2024</v>
      </c>
      <c r="K13" s="13" t="str">
        <f t="shared" si="2"/>
        <v>30 Jan 2024</v>
      </c>
      <c r="L13" s="4" t="str">
        <f t="shared" si="3"/>
        <v>TW 1</v>
      </c>
      <c r="M13" s="4" t="s">
        <v>1894</v>
      </c>
    </row>
    <row r="14">
      <c r="A14" s="43">
        <f>IFERROR(__xludf.DUMMYFUNCTION("""COMPUTED_VALUE"""),45321.59664900463)</f>
        <v>45321.59665</v>
      </c>
      <c r="B14" s="13" t="str">
        <f>IFERROR(__xludf.DUMMYFUNCTION("""COMPUTED_VALUE"""),"anggrenia sihombing")</f>
        <v>anggrenia sihombing</v>
      </c>
      <c r="C14" s="13" t="str">
        <f>IFERROR(__xludf.DUMMYFUNCTION("""COMPUTED_VALUE"""),"08388640871")</f>
        <v>08388640871</v>
      </c>
      <c r="D14" s="13" t="str">
        <f>IFERROR(__xludf.DUMMYFUNCTION("""COMPUTED_VALUE"""),"anggrenia1998@gmail:com")</f>
        <v>anggrenia1998@gmail:com</v>
      </c>
      <c r="E14" s="13" t="str">
        <f>IFERROR(__xludf.DUMMYFUNCTION("""COMPUTED_VALUE"""),"mitra bps")</f>
        <v>mitra bps</v>
      </c>
      <c r="F14" s="13" t="str">
        <f>IFERROR(__xludf.DUMMYFUNCTION("""COMPUTED_VALUE"""),"menjemput dokumen")</f>
        <v>menjemput dokumen</v>
      </c>
      <c r="G14" s="13" t="str">
        <f>IFERROR(__xludf.DUMMYFUNCTION("""COMPUTED_VALUE"""),"https://drive:google:com/open?id=1HhGP1of8L7SX3a19QV2IaFR49PkjURta")</f>
        <v>https://drive:google:com/open?id=1HhGP1of8L7SX3a19QV2IaFR49PkjURta</v>
      </c>
      <c r="H14" s="13" t="str">
        <f>IFERROR(__xludf.DUMMYFUNCTION("""COMPUTED_VALUE"""),"menjemput dokumen")</f>
        <v>menjemput dokumen</v>
      </c>
      <c r="I14" s="13" t="str">
        <f>IFERROR(__xludf.DUMMYFUNCTION("""COMPUTED_VALUE"""),"mitra bps")</f>
        <v>mitra bps</v>
      </c>
      <c r="J14" s="13" t="str">
        <f t="shared" si="1"/>
        <v>Januari 2024</v>
      </c>
      <c r="K14" s="13" t="str">
        <f t="shared" si="2"/>
        <v>30 Jan 2024</v>
      </c>
      <c r="L14" s="4" t="str">
        <f t="shared" si="3"/>
        <v>TW 1</v>
      </c>
      <c r="M14" s="4" t="s">
        <v>1895</v>
      </c>
    </row>
    <row r="15">
      <c r="A15" s="43">
        <f>IFERROR(__xludf.DUMMYFUNCTION("""COMPUTED_VALUE"""),45322.40946944444)</f>
        <v>45322.40947</v>
      </c>
      <c r="B15" s="13" t="str">
        <f>IFERROR(__xludf.DUMMYFUNCTION("""COMPUTED_VALUE"""),"Maulana Siddiq")</f>
        <v>Maulana Siddiq</v>
      </c>
      <c r="C15" s="13" t="str">
        <f>IFERROR(__xludf.DUMMYFUNCTION("""COMPUTED_VALUE"""),"081269605737")</f>
        <v>081269605737</v>
      </c>
      <c r="D15" s="13" t="str">
        <f>IFERROR(__xludf.DUMMYFUNCTION("""COMPUTED_VALUE"""),"maulana@siddiq@datascirp:co:id")</f>
        <v>maulana@siddiq@datascirp:co:id</v>
      </c>
      <c r="E15" s="13" t="str">
        <f>IFERROR(__xludf.DUMMYFUNCTION("""COMPUTED_VALUE"""),"teknisi komputer")</f>
        <v>teknisi komputer</v>
      </c>
      <c r="F15" s="13" t="str">
        <f>IFERROR(__xludf.DUMMYFUNCTION("""COMPUTED_VALUE"""),"pemasangan pc")</f>
        <v>pemasangan pc</v>
      </c>
      <c r="G15" s="13" t="str">
        <f>IFERROR(__xludf.DUMMYFUNCTION("""COMPUTED_VALUE"""),"https://drive:google:com/open?id=1SnmXpqqzv23-Mt5KLbQYrdBHQjowG6Nf")</f>
        <v>https://drive:google:com/open?id=1SnmXpqqzv23-Mt5KLbQYrdBHQjowG6Nf</v>
      </c>
      <c r="H15" s="13" t="str">
        <f>IFERROR(__xludf.DUMMYFUNCTION("""COMPUTED_VALUE"""),"pemasangan pc")</f>
        <v>pemasangan pc</v>
      </c>
      <c r="I15" s="13" t="str">
        <f>IFERROR(__xludf.DUMMYFUNCTION("""COMPUTED_VALUE"""),"teknisi komputer")</f>
        <v>teknisi komputer</v>
      </c>
      <c r="J15" s="13" t="str">
        <f t="shared" si="1"/>
        <v>Januari 2024</v>
      </c>
      <c r="K15" s="13" t="str">
        <f t="shared" si="2"/>
        <v>31 Jan 2024</v>
      </c>
      <c r="L15" s="4" t="str">
        <f t="shared" si="3"/>
        <v>TW 1</v>
      </c>
      <c r="M15" s="4" t="s">
        <v>1895</v>
      </c>
    </row>
    <row r="16">
      <c r="A16" s="43">
        <f>IFERROR(__xludf.DUMMYFUNCTION("""COMPUTED_VALUE"""),45322.41433921296)</f>
        <v>45322.41434</v>
      </c>
      <c r="B16" s="13" t="str">
        <f>IFERROR(__xludf.DUMMYFUNCTION("""COMPUTED_VALUE"""),"ruh malemma siburian")</f>
        <v>ruh malemma siburian</v>
      </c>
      <c r="C16" s="13" t="str">
        <f>IFERROR(__xludf.DUMMYFUNCTION("""COMPUTED_VALUE"""),"085370863330")</f>
        <v>085370863330</v>
      </c>
      <c r="D16" s="13" t="str">
        <f>IFERROR(__xludf.DUMMYFUNCTION("""COMPUTED_VALUE"""),"ruhmalemnasiburian@gmail:com")</f>
        <v>ruhmalemnasiburian@gmail:com</v>
      </c>
      <c r="E16" s="13" t="str">
        <f>IFERROR(__xludf.DUMMYFUNCTION("""COMPUTED_VALUE"""),"mitra bps")</f>
        <v>mitra bps</v>
      </c>
      <c r="F16" s="13" t="str">
        <f>IFERROR(__xludf.DUMMYFUNCTION("""COMPUTED_VALUE"""),"survey susenas")</f>
        <v>survey susenas</v>
      </c>
      <c r="G16" s="13" t="str">
        <f>IFERROR(__xludf.DUMMYFUNCTION("""COMPUTED_VALUE"""),"https://drive:google:com/open?id=1MI_7J19IqPQ7RUgGKEsyAzU4dlmVRmwa")</f>
        <v>https://drive:google:com/open?id=1MI_7J19IqPQ7RUgGKEsyAzU4dlmVRmwa</v>
      </c>
      <c r="H16" s="13" t="str">
        <f>IFERROR(__xludf.DUMMYFUNCTION("""COMPUTED_VALUE"""),"survey susenas")</f>
        <v>survey susenas</v>
      </c>
      <c r="I16" s="13" t="str">
        <f>IFERROR(__xludf.DUMMYFUNCTION("""COMPUTED_VALUE"""),"mitra bps")</f>
        <v>mitra bps</v>
      </c>
      <c r="J16" s="13" t="str">
        <f t="shared" si="1"/>
        <v>Januari 2024</v>
      </c>
      <c r="K16" s="13" t="str">
        <f t="shared" si="2"/>
        <v>31 Jan 2024</v>
      </c>
      <c r="L16" s="4" t="str">
        <f t="shared" si="3"/>
        <v>TW 1</v>
      </c>
      <c r="M16" s="4" t="s">
        <v>1895</v>
      </c>
    </row>
    <row r="17">
      <c r="A17" s="43">
        <f>IFERROR(__xludf.DUMMYFUNCTION("""COMPUTED_VALUE"""),45322.45823054398)</f>
        <v>45322.45823</v>
      </c>
      <c r="B17" s="13" t="str">
        <f>IFERROR(__xludf.DUMMYFUNCTION("""COMPUTED_VALUE"""),"MARTIN UANMART HUTASOIT")</f>
        <v>MARTIN UANMART HUTASOIT</v>
      </c>
      <c r="C17" s="13" t="str">
        <f>IFERROR(__xludf.DUMMYFUNCTION("""COMPUTED_VALUE"""),"085320477376")</f>
        <v>085320477376</v>
      </c>
      <c r="D17" s="13" t="str">
        <f>IFERROR(__xludf.DUMMYFUNCTION("""COMPUTED_VALUE"""),"martinuanmart@gmail:com")</f>
        <v>martinuanmart@gmail:com</v>
      </c>
      <c r="E17" s="13" t="str">
        <f>IFERROR(__xludf.DUMMYFUNCTION("""COMPUTED_VALUE"""),"mitra")</f>
        <v>mitra</v>
      </c>
      <c r="F17" s="13" t="str">
        <f>IFERROR(__xludf.DUMMYFUNCTION("""COMPUTED_VALUE"""),"Keperluan susenas")</f>
        <v>Keperluan susenas</v>
      </c>
      <c r="G17" s="13" t="str">
        <f>IFERROR(__xludf.DUMMYFUNCTION("""COMPUTED_VALUE"""),"https://drive:google:com/open?id=1mW4Z15mhSEMLp72cTQSnc-feQwNtAoGu")</f>
        <v>https://drive:google:com/open?id=1mW4Z15mhSEMLp72cTQSnc-feQwNtAoGu</v>
      </c>
      <c r="H17" s="13" t="str">
        <f>IFERROR(__xludf.DUMMYFUNCTION("""COMPUTED_VALUE"""),"susenas")</f>
        <v>susenas</v>
      </c>
      <c r="I17" s="13" t="str">
        <f>IFERROR(__xludf.DUMMYFUNCTION("""COMPUTED_VALUE"""),"mitra bps")</f>
        <v>mitra bps</v>
      </c>
      <c r="J17" s="13" t="str">
        <f t="shared" si="1"/>
        <v>Januari 2024</v>
      </c>
      <c r="K17" s="13" t="str">
        <f t="shared" si="2"/>
        <v>31 Jan 2024</v>
      </c>
      <c r="L17" s="4" t="str">
        <f t="shared" si="3"/>
        <v>TW 1</v>
      </c>
      <c r="M17" s="4" t="s">
        <v>1893</v>
      </c>
    </row>
    <row r="18">
      <c r="A18" s="43">
        <f>IFERROR(__xludf.DUMMYFUNCTION("""COMPUTED_VALUE"""),45322.45963416667)</f>
        <v>45322.45963</v>
      </c>
      <c r="B18" s="13" t="str">
        <f>IFERROR(__xludf.DUMMYFUNCTION("""COMPUTED_VALUE"""),"Daniel Carolus Simanjorang")</f>
        <v>Daniel Carolus Simanjorang</v>
      </c>
      <c r="C18" s="13" t="str">
        <f>IFERROR(__xludf.DUMMYFUNCTION("""COMPUTED_VALUE"""),"082275021547")</f>
        <v>082275021547</v>
      </c>
      <c r="D18" s="13" t="str">
        <f>IFERROR(__xludf.DUMMYFUNCTION("""COMPUTED_VALUE"""),"carolusd52@gmail:com")</f>
        <v>carolusd52@gmail:com</v>
      </c>
      <c r="E18" s="13" t="str">
        <f>IFERROR(__xludf.DUMMYFUNCTION("""COMPUTED_VALUE"""),"Mitra BPS")</f>
        <v>Mitra BPS</v>
      </c>
      <c r="F18" s="13" t="str">
        <f>IFERROR(__xludf.DUMMYFUNCTION("""COMPUTED_VALUE"""),"Susenas")</f>
        <v>Susenas</v>
      </c>
      <c r="G18" s="13" t="str">
        <f>IFERROR(__xludf.DUMMYFUNCTION("""COMPUTED_VALUE"""),"https://drive:google:com/open?id=1WLBmAWaDldquFOXN2vPoFS-RCQ4MFO0e")</f>
        <v>https://drive:google:com/open?id=1WLBmAWaDldquFOXN2vPoFS-RCQ4MFO0e</v>
      </c>
      <c r="H18" s="13" t="str">
        <f>IFERROR(__xludf.DUMMYFUNCTION("""COMPUTED_VALUE"""),"susenas")</f>
        <v>susenas</v>
      </c>
      <c r="I18" s="13" t="str">
        <f>IFERROR(__xludf.DUMMYFUNCTION("""COMPUTED_VALUE"""),"mitra bps")</f>
        <v>mitra bps</v>
      </c>
      <c r="J18" s="13" t="str">
        <f t="shared" si="1"/>
        <v>Januari 2024</v>
      </c>
      <c r="K18" s="13" t="str">
        <f t="shared" si="2"/>
        <v>31 Jan 2024</v>
      </c>
      <c r="L18" s="4" t="str">
        <f t="shared" si="3"/>
        <v>TW 1</v>
      </c>
      <c r="M18" s="4" t="s">
        <v>1896</v>
      </c>
    </row>
    <row r="19">
      <c r="A19" s="43">
        <f>IFERROR(__xludf.DUMMYFUNCTION("""COMPUTED_VALUE"""),45322.623011157404)</f>
        <v>45322.62301</v>
      </c>
      <c r="B19" s="13" t="str">
        <f>IFERROR(__xludf.DUMMYFUNCTION("""COMPUTED_VALUE"""),"Erna Rachmawati")</f>
        <v>Erna Rachmawati</v>
      </c>
      <c r="C19" s="13" t="str">
        <f>IFERROR(__xludf.DUMMYFUNCTION("""COMPUTED_VALUE"""),"+62 896-1158-6805")</f>
        <v>+62 896-1158-6805</v>
      </c>
      <c r="D19" s="13"/>
      <c r="E19" s="13" t="str">
        <f>IFERROR(__xludf.DUMMYFUNCTION("""COMPUTED_VALUE"""),"UGM")</f>
        <v>UGM</v>
      </c>
      <c r="F19" s="13" t="str">
        <f>IFERROR(__xludf.DUMMYFUNCTION("""COMPUTED_VALUE"""),"Minta Data")</f>
        <v>Minta Data</v>
      </c>
      <c r="G19" s="13" t="str">
        <f>IFERROR(__xludf.DUMMYFUNCTION("""COMPUTED_VALUE"""),"https://drive:google:com/open?id=17CI8GUK8femgDKd1T1kRpvgKAihthK6s")</f>
        <v>https://drive:google:com/open?id=17CI8GUK8femgDKd1T1kRpvgKAihthK6s</v>
      </c>
      <c r="H19" s="13" t="str">
        <f>IFERROR(__xludf.DUMMYFUNCTION("""COMPUTED_VALUE"""),"Data TRF dan UHH")</f>
        <v>Data TRF dan UHH</v>
      </c>
      <c r="I19" s="13" t="str">
        <f>IFERROR(__xludf.DUMMYFUNCTION("""COMPUTED_VALUE"""),"Fisipol UGM")</f>
        <v>Fisipol UGM</v>
      </c>
      <c r="J19" s="13" t="str">
        <f t="shared" si="1"/>
        <v>Januari 2024</v>
      </c>
      <c r="K19" s="13" t="str">
        <f t="shared" si="2"/>
        <v>31 Jan 2024</v>
      </c>
      <c r="L19" s="4" t="str">
        <f t="shared" si="3"/>
        <v>TW 1</v>
      </c>
      <c r="M19" s="4" t="s">
        <v>1896</v>
      </c>
    </row>
    <row r="20">
      <c r="A20" s="43">
        <f>IFERROR(__xludf.DUMMYFUNCTION("""COMPUTED_VALUE"""),45328.35370810185)</f>
        <v>45328.35371</v>
      </c>
      <c r="B20" s="13" t="str">
        <f>IFERROR(__xludf.DUMMYFUNCTION("""COMPUTED_VALUE"""),"eric emyr simamora")</f>
        <v>eric emyr simamora</v>
      </c>
      <c r="C20" s="13" t="str">
        <f>IFERROR(__xludf.DUMMYFUNCTION("""COMPUTED_VALUE"""),"085261239388")</f>
        <v>085261239388</v>
      </c>
      <c r="D20" s="13" t="str">
        <f>IFERROR(__xludf.DUMMYFUNCTION("""COMPUTED_VALUE"""),"eicemyr@gmail:com")</f>
        <v>eicemyr@gmail:com</v>
      </c>
      <c r="E20" s="13" t="str">
        <f>IFERROR(__xludf.DUMMYFUNCTION("""COMPUTED_VALUE"""),"mitra bps")</f>
        <v>mitra bps</v>
      </c>
      <c r="F20" s="13" t="str">
        <f>IFERROR(__xludf.DUMMYFUNCTION("""COMPUTED_VALUE"""),"menjumpai koseka")</f>
        <v>menjumpai koseka</v>
      </c>
      <c r="G20" s="13" t="str">
        <f>IFERROR(__xludf.DUMMYFUNCTION("""COMPUTED_VALUE"""),"https://drive:google:com/open?id=1UQgH2zkJoYPVXR2uYMMFIHt4QX9Trkl2")</f>
        <v>https://drive:google:com/open?id=1UQgH2zkJoYPVXR2uYMMFIHt4QX9Trkl2</v>
      </c>
      <c r="H20" s="13" t="str">
        <f>IFERROR(__xludf.DUMMYFUNCTION("""COMPUTED_VALUE"""),"menjumpai karyawan bps")</f>
        <v>menjumpai karyawan bps</v>
      </c>
      <c r="I20" s="13" t="str">
        <f>IFERROR(__xludf.DUMMYFUNCTION("""COMPUTED_VALUE"""),"mitra bps")</f>
        <v>mitra bps</v>
      </c>
      <c r="J20" s="13" t="str">
        <f t="shared" si="1"/>
        <v>Februari 2024</v>
      </c>
      <c r="K20" s="13" t="str">
        <f t="shared" si="2"/>
        <v>06 Feb 2024</v>
      </c>
      <c r="L20" s="4" t="str">
        <f t="shared" si="3"/>
        <v>TW 1</v>
      </c>
      <c r="M20" s="4" t="s">
        <v>1893</v>
      </c>
    </row>
    <row r="21">
      <c r="A21" s="43">
        <f>IFERROR(__xludf.DUMMYFUNCTION("""COMPUTED_VALUE"""),45329.400340925924)</f>
        <v>45329.40034</v>
      </c>
      <c r="B21" s="13" t="str">
        <f>IFERROR(__xludf.DUMMYFUNCTION("""COMPUTED_VALUE"""),"Putri Nainggolan")</f>
        <v>Putri Nainggolan</v>
      </c>
      <c r="C21" s="13" t="str">
        <f>IFERROR(__xludf.DUMMYFUNCTION("""COMPUTED_VALUE"""),"087895207736")</f>
        <v>087895207736</v>
      </c>
      <c r="D21" s="13" t="str">
        <f>IFERROR(__xludf.DUMMYFUNCTION("""COMPUTED_VALUE"""),"putringl2000@gmail:com")</f>
        <v>putringl2000@gmail:com</v>
      </c>
      <c r="E21" s="13" t="str">
        <f>IFERROR(__xludf.DUMMYFUNCTION("""COMPUTED_VALUE"""),"Mitra BPS")</f>
        <v>Mitra BPS</v>
      </c>
      <c r="F21" s="13" t="str">
        <f>IFERROR(__xludf.DUMMYFUNCTION("""COMPUTED_VALUE"""),"Mengantar Dokumen Susenas")</f>
        <v>Mengantar Dokumen Susenas</v>
      </c>
      <c r="G21" s="13" t="str">
        <f>IFERROR(__xludf.DUMMYFUNCTION("""COMPUTED_VALUE"""),"https://drive:google:com/open?id=1QAINtknc1uM1NKjjiJd1ma3a6yMT6l_Q")</f>
        <v>https://drive:google:com/open?id=1QAINtknc1uM1NKjjiJd1ma3a6yMT6l_Q</v>
      </c>
      <c r="H21" s="13" t="str">
        <f>IFERROR(__xludf.DUMMYFUNCTION("""COMPUTED_VALUE"""),"Mengantar Dokumen Susenas")</f>
        <v>Mengantar Dokumen Susenas</v>
      </c>
      <c r="I21" s="13" t="str">
        <f>IFERROR(__xludf.DUMMYFUNCTION("""COMPUTED_VALUE"""),"Mitra BPS")</f>
        <v>Mitra BPS</v>
      </c>
      <c r="J21" s="13" t="str">
        <f t="shared" si="1"/>
        <v>Februari 2024</v>
      </c>
      <c r="K21" s="13" t="str">
        <f t="shared" si="2"/>
        <v>07 Feb 2024</v>
      </c>
      <c r="L21" s="4" t="str">
        <f t="shared" si="3"/>
        <v>TW 1</v>
      </c>
      <c r="M21" s="4" t="s">
        <v>1895</v>
      </c>
    </row>
    <row r="22">
      <c r="A22" s="43">
        <f>IFERROR(__xludf.DUMMYFUNCTION("""COMPUTED_VALUE"""),45329.422311365735)</f>
        <v>45329.42231</v>
      </c>
      <c r="B22" s="13" t="str">
        <f>IFERROR(__xludf.DUMMYFUNCTION("""COMPUTED_VALUE"""),"ester sinaga")</f>
        <v>ester sinaga</v>
      </c>
      <c r="C22" s="13" t="str">
        <f>IFERROR(__xludf.DUMMYFUNCTION("""COMPUTED_VALUE"""),"081263481723")</f>
        <v>081263481723</v>
      </c>
      <c r="D22" s="13" t="str">
        <f>IFERROR(__xludf.DUMMYFUNCTION("""COMPUTED_VALUE"""),"estersinaga768@gmail:com")</f>
        <v>estersinaga768@gmail:com</v>
      </c>
      <c r="E22" s="13" t="str">
        <f>IFERROR(__xludf.DUMMYFUNCTION("""COMPUTED_VALUE"""),"mitra bps")</f>
        <v>mitra bps</v>
      </c>
      <c r="F22" s="13" t="str">
        <f>IFERROR(__xludf.DUMMYFUNCTION("""COMPUTED_VALUE"""),"ngantar dokumen susenas")</f>
        <v>ngantar dokumen susenas</v>
      </c>
      <c r="G22" s="13" t="str">
        <f>IFERROR(__xludf.DUMMYFUNCTION("""COMPUTED_VALUE"""),"https://drive:google:com/open?id=1500TiccaNfUjVFb17Rt7bU78kaNZUKqm")</f>
        <v>https://drive:google:com/open?id=1500TiccaNfUjVFb17Rt7bU78kaNZUKqm</v>
      </c>
      <c r="H22" s="13" t="str">
        <f>IFERROR(__xludf.DUMMYFUNCTION("""COMPUTED_VALUE"""),"mengantar dokumen susenas")</f>
        <v>mengantar dokumen susenas</v>
      </c>
      <c r="I22" s="13" t="str">
        <f>IFERROR(__xludf.DUMMYFUNCTION("""COMPUTED_VALUE"""),"mitra bps")</f>
        <v>mitra bps</v>
      </c>
      <c r="J22" s="13" t="str">
        <f t="shared" si="1"/>
        <v>Februari 2024</v>
      </c>
      <c r="K22" s="13" t="str">
        <f t="shared" si="2"/>
        <v>07 Feb 2024</v>
      </c>
      <c r="L22" s="4" t="str">
        <f t="shared" si="3"/>
        <v>TW 1</v>
      </c>
    </row>
    <row r="23">
      <c r="A23" s="43">
        <f>IFERROR(__xludf.DUMMYFUNCTION("""COMPUTED_VALUE"""),45329.42621061343)</f>
        <v>45329.42621</v>
      </c>
      <c r="B23" s="13" t="str">
        <f>IFERROR(__xludf.DUMMYFUNCTION("""COMPUTED_VALUE"""),"jenny titania sianturi")</f>
        <v>jenny titania sianturi</v>
      </c>
      <c r="C23" s="13" t="str">
        <f>IFERROR(__xludf.DUMMYFUNCTION("""COMPUTED_VALUE"""),"082334239369")</f>
        <v>082334239369</v>
      </c>
      <c r="D23" s="13" t="str">
        <f>IFERROR(__xludf.DUMMYFUNCTION("""COMPUTED_VALUE"""),"jennysianturi1998@gmail:com")</f>
        <v>jennysianturi1998@gmail:com</v>
      </c>
      <c r="E23" s="13" t="str">
        <f>IFERROR(__xludf.DUMMYFUNCTION("""COMPUTED_VALUE"""),"mitra bps")</f>
        <v>mitra bps</v>
      </c>
      <c r="F23" s="13" t="str">
        <f>IFERROR(__xludf.DUMMYFUNCTION("""COMPUTED_VALUE"""),"mengantar dokumen susenas")</f>
        <v>mengantar dokumen susenas</v>
      </c>
      <c r="G23" s="13" t="str">
        <f>IFERROR(__xludf.DUMMYFUNCTION("""COMPUTED_VALUE"""),"https://drive:google:com/open?id=1b84CKwEz1lxsSwWmrI2lMOcqCa4l0duz")</f>
        <v>https://drive:google:com/open?id=1b84CKwEz1lxsSwWmrI2lMOcqCa4l0duz</v>
      </c>
      <c r="H23" s="13" t="str">
        <f>IFERROR(__xludf.DUMMYFUNCTION("""COMPUTED_VALUE"""),"mengatar dokumen susenas")</f>
        <v>mengatar dokumen susenas</v>
      </c>
      <c r="I23" s="13" t="str">
        <f>IFERROR(__xludf.DUMMYFUNCTION("""COMPUTED_VALUE"""),"mitra bps")</f>
        <v>mitra bps</v>
      </c>
      <c r="J23" s="13" t="str">
        <f t="shared" si="1"/>
        <v>Februari 2024</v>
      </c>
      <c r="K23" s="13" t="str">
        <f t="shared" si="2"/>
        <v>07 Feb 2024</v>
      </c>
      <c r="L23" s="4" t="str">
        <f t="shared" si="3"/>
        <v>TW 1</v>
      </c>
    </row>
    <row r="24">
      <c r="A24" s="43">
        <f>IFERROR(__xludf.DUMMYFUNCTION("""COMPUTED_VALUE"""),45329.477354456016)</f>
        <v>45329.47735</v>
      </c>
      <c r="B24" s="13" t="str">
        <f>IFERROR(__xludf.DUMMYFUNCTION("""COMPUTED_VALUE"""),"Martin uanmart hutasoit")</f>
        <v>Martin uanmart hutasoit</v>
      </c>
      <c r="C24" s="13" t="str">
        <f>IFERROR(__xludf.DUMMYFUNCTION("""COMPUTED_VALUE"""),"085320477376")</f>
        <v>085320477376</v>
      </c>
      <c r="D24" s="13" t="str">
        <f>IFERROR(__xludf.DUMMYFUNCTION("""COMPUTED_VALUE"""),"martinuanmart@gmail:com")</f>
        <v>martinuanmart@gmail:com</v>
      </c>
      <c r="E24" s="13" t="str">
        <f>IFERROR(__xludf.DUMMYFUNCTION("""COMPUTED_VALUE"""),"mitra bps")</f>
        <v>mitra bps</v>
      </c>
      <c r="F24" s="13" t="str">
        <f>IFERROR(__xludf.DUMMYFUNCTION("""COMPUTED_VALUE"""),"susenas")</f>
        <v>susenas</v>
      </c>
      <c r="G24" s="13" t="str">
        <f>IFERROR(__xludf.DUMMYFUNCTION("""COMPUTED_VALUE"""),"https://drive:google:com/open?id=18Yy2MnV2MJfqIAYQTIMiTaFFHULcD93W")</f>
        <v>https://drive:google:com/open?id=18Yy2MnV2MJfqIAYQTIMiTaFFHULcD93W</v>
      </c>
      <c r="H24" s="13" t="str">
        <f>IFERROR(__xludf.DUMMYFUNCTION("""COMPUTED_VALUE"""),"susenas")</f>
        <v>susenas</v>
      </c>
      <c r="I24" s="13" t="str">
        <f>IFERROR(__xludf.DUMMYFUNCTION("""COMPUTED_VALUE"""),"mitra bps")</f>
        <v>mitra bps</v>
      </c>
      <c r="J24" s="13" t="str">
        <f t="shared" si="1"/>
        <v>Februari 2024</v>
      </c>
      <c r="K24" s="13" t="str">
        <f t="shared" si="2"/>
        <v>07 Feb 2024</v>
      </c>
      <c r="L24" s="4" t="str">
        <f t="shared" si="3"/>
        <v>TW 1</v>
      </c>
      <c r="M24" s="4" t="s">
        <v>1894</v>
      </c>
    </row>
    <row r="25">
      <c r="A25" s="43">
        <f>IFERROR(__xludf.DUMMYFUNCTION("""COMPUTED_VALUE"""),45329.570711631946)</f>
        <v>45329.57071</v>
      </c>
      <c r="B25" s="13" t="str">
        <f>IFERROR(__xludf.DUMMYFUNCTION("""COMPUTED_VALUE"""),"lamtota lumban gaol")</f>
        <v>lamtota lumban gaol</v>
      </c>
      <c r="C25" s="13" t="str">
        <f>IFERROR(__xludf.DUMMYFUNCTION("""COMPUTED_VALUE"""),"082280130481")</f>
        <v>082280130481</v>
      </c>
      <c r="D25" s="13" t="str">
        <f>IFERROR(__xludf.DUMMYFUNCTION("""COMPUTED_VALUE"""),"lamtota@gmail:com")</f>
        <v>lamtota@gmail:com</v>
      </c>
      <c r="E25" s="13" t="str">
        <f>IFERROR(__xludf.DUMMYFUNCTION("""COMPUTED_VALUE"""),"mitra bps")</f>
        <v>mitra bps</v>
      </c>
      <c r="F25" s="13" t="str">
        <f>IFERROR(__xludf.DUMMYFUNCTION("""COMPUTED_VALUE"""),"susenas")</f>
        <v>susenas</v>
      </c>
      <c r="G25" s="13" t="str">
        <f>IFERROR(__xludf.DUMMYFUNCTION("""COMPUTED_VALUE"""),"https://drive:google:com/open?id=13_ZBBUD4htjaNSqPqNw3FFFiewWkXd7-")</f>
        <v>https://drive:google:com/open?id=13_ZBBUD4htjaNSqPqNw3FFFiewWkXd7-</v>
      </c>
      <c r="H25" s="13" t="str">
        <f>IFERROR(__xludf.DUMMYFUNCTION("""COMPUTED_VALUE"""),"susenas")</f>
        <v>susenas</v>
      </c>
      <c r="I25" s="13" t="str">
        <f>IFERROR(__xludf.DUMMYFUNCTION("""COMPUTED_VALUE"""),"mITRA BPS")</f>
        <v>mITRA BPS</v>
      </c>
      <c r="J25" s="13" t="str">
        <f t="shared" si="1"/>
        <v>Februari 2024</v>
      </c>
      <c r="K25" s="13" t="str">
        <f t="shared" si="2"/>
        <v>07 Feb 2024</v>
      </c>
      <c r="L25" s="4" t="str">
        <f t="shared" si="3"/>
        <v>TW 1</v>
      </c>
    </row>
    <row r="26">
      <c r="A26" s="43">
        <f>IFERROR(__xludf.DUMMYFUNCTION("""COMPUTED_VALUE"""),45334.58437916666)</f>
        <v>45334.58438</v>
      </c>
      <c r="B26" s="13" t="str">
        <f>IFERROR(__xludf.DUMMYFUNCTION("""COMPUTED_VALUE"""),"FREDDI MANIK")</f>
        <v>FREDDI MANIK</v>
      </c>
      <c r="C26" s="13" t="str">
        <f>IFERROR(__xludf.DUMMYFUNCTION("""COMPUTED_VALUE"""),"082370043343")</f>
        <v>082370043343</v>
      </c>
      <c r="D26" s="13" t="str">
        <f>IFERROR(__xludf.DUMMYFUNCTION("""COMPUTED_VALUE"""),"freddimanikraja15@gmail:com")</f>
        <v>freddimanikraja15@gmail:com</v>
      </c>
      <c r="E26" s="13" t="str">
        <f>IFERROR(__xludf.DUMMYFUNCTION("""COMPUTED_VALUE"""),"OPD (Pemerintah Daerah)")</f>
        <v>OPD (Pemerintah Daerah)</v>
      </c>
      <c r="F26" s="13" t="str">
        <f>IFERROR(__xludf.DUMMYFUNCTION("""COMPUTED_VALUE"""),"Pelayanan Statistik (Permintaan Data/Konsultasi)")</f>
        <v>Pelayanan Statistik (Permintaan Data/Konsultasi)</v>
      </c>
      <c r="G26" s="13" t="str">
        <f>IFERROR(__xludf.DUMMYFUNCTION("""COMPUTED_VALUE"""),"https://drive:google:com/open?id=1_oPQQKsYsv2nabT4ppuwNGveIYuU9WXp")</f>
        <v>https://drive:google:com/open?id=1_oPQQKsYsv2nabT4ppuwNGveIYuU9WXp</v>
      </c>
      <c r="H26" s="13" t="str">
        <f>IFERROR(__xludf.DUMMYFUNCTION("""COMPUTED_VALUE"""),"Peta Desa")</f>
        <v>Peta Desa</v>
      </c>
      <c r="I26" s="13" t="str">
        <f>IFERROR(__xludf.DUMMYFUNCTION("""COMPUTED_VALUE"""),"Desa Pegagan Julu 3")</f>
        <v>Desa Pegagan Julu 3</v>
      </c>
      <c r="J26" s="13" t="str">
        <f t="shared" si="1"/>
        <v>Februari 2024</v>
      </c>
      <c r="K26" s="13" t="str">
        <f t="shared" si="2"/>
        <v>12 Feb 2024</v>
      </c>
      <c r="L26" s="4" t="str">
        <f t="shared" si="3"/>
        <v>TW 1</v>
      </c>
    </row>
    <row r="27">
      <c r="A27" s="43">
        <f>IFERROR(__xludf.DUMMYFUNCTION("""COMPUTED_VALUE"""),45337.703663472224)</f>
        <v>45337.70366</v>
      </c>
      <c r="B27" s="13" t="str">
        <f>IFERROR(__xludf.DUMMYFUNCTION("""COMPUTED_VALUE"""),"Hiras L: Toruan")</f>
        <v>Hiras L: Toruan</v>
      </c>
      <c r="C27" s="13" t="str">
        <f>IFERROR(__xludf.DUMMYFUNCTION("""COMPUTED_VALUE"""),"085270353028")</f>
        <v>085270353028</v>
      </c>
      <c r="D27" s="13" t="str">
        <f>IFERROR(__xludf.DUMMYFUNCTION("""COMPUTED_VALUE"""),"hirasafrikelson@gmail:com")</f>
        <v>hirasafrikelson@gmail:com</v>
      </c>
      <c r="E27" s="13" t="str">
        <f>IFERROR(__xludf.DUMMYFUNCTION("""COMPUTED_VALUE"""),"BUMN/BUMD")</f>
        <v>BUMN/BUMD</v>
      </c>
      <c r="F27" s="13" t="str">
        <f>IFERROR(__xludf.DUMMYFUNCTION("""COMPUTED_VALUE"""),"Koordinasi antar lembaga")</f>
        <v>Koordinasi antar lembaga</v>
      </c>
      <c r="G27" s="13" t="str">
        <f>IFERROR(__xludf.DUMMYFUNCTION("""COMPUTED_VALUE"""),"https://drive:google:com/open?id=1-sUm_SKGRXuNeBw8ZxR3DfCOF_lJ92ji")</f>
        <v>https://drive:google:com/open?id=1-sUm_SKGRXuNeBw8ZxR3DfCOF_lJ92ji</v>
      </c>
      <c r="H27" s="13" t="str">
        <f>IFERROR(__xludf.DUMMYFUNCTION("""COMPUTED_VALUE"""),"Perjanjian Kerja Sama")</f>
        <v>Perjanjian Kerja Sama</v>
      </c>
      <c r="I27" s="13" t="str">
        <f>IFERROR(__xludf.DUMMYFUNCTION("""COMPUTED_VALUE"""),"BRI Sidikalang")</f>
        <v>BRI Sidikalang</v>
      </c>
      <c r="J27" s="13" t="str">
        <f t="shared" si="1"/>
        <v>Februari 2024</v>
      </c>
      <c r="K27" s="13" t="str">
        <f t="shared" si="2"/>
        <v>15 Feb 2024</v>
      </c>
      <c r="L27" s="4" t="str">
        <f t="shared" si="3"/>
        <v>TW 1</v>
      </c>
    </row>
    <row r="28">
      <c r="A28" s="43">
        <f>IFERROR(__xludf.DUMMYFUNCTION("""COMPUTED_VALUE"""),45337.71797261575)</f>
        <v>45337.71797</v>
      </c>
      <c r="B28" s="13" t="str">
        <f>IFERROR(__xludf.DUMMYFUNCTION("""COMPUTED_VALUE"""),"Erika Purba")</f>
        <v>Erika Purba</v>
      </c>
      <c r="C28" s="13" t="str">
        <f>IFERROR(__xludf.DUMMYFUNCTION("""COMPUTED_VALUE"""),"085269750050")</f>
        <v>085269750050</v>
      </c>
      <c r="D28" s="13" t="str">
        <f>IFERROR(__xludf.DUMMYFUNCTION("""COMPUTED_VALUE"""),"raska1517@gmail:com")</f>
        <v>raska1517@gmail:com</v>
      </c>
      <c r="E28" s="13" t="str">
        <f>IFERROR(__xludf.DUMMYFUNCTION("""COMPUTED_VALUE"""),"BUMN/BUMD")</f>
        <v>BUMN/BUMD</v>
      </c>
      <c r="F28" s="13" t="str">
        <f>IFERROR(__xludf.DUMMYFUNCTION("""COMPUTED_VALUE"""),"Koordinasi antar lembaga")</f>
        <v>Koordinasi antar lembaga</v>
      </c>
      <c r="G28" s="13" t="str">
        <f>IFERROR(__xludf.DUMMYFUNCTION("""COMPUTED_VALUE"""),"https://drive:google:com/open?id=1pZF9USa0miTA-wRyclcOezSddDJ0vwSF")</f>
        <v>https://drive:google:com/open?id=1pZF9USa0miTA-wRyclcOezSddDJ0vwSF</v>
      </c>
      <c r="H28" s="13" t="str">
        <f>IFERROR(__xludf.DUMMYFUNCTION("""COMPUTED_VALUE"""),"Perjanjian Kerja")</f>
        <v>Perjanjian Kerja</v>
      </c>
      <c r="I28" s="13" t="str">
        <f>IFERROR(__xludf.DUMMYFUNCTION("""COMPUTED_VALUE"""),"BRI Sidikalang")</f>
        <v>BRI Sidikalang</v>
      </c>
      <c r="J28" s="13" t="str">
        <f t="shared" si="1"/>
        <v>Februari 2024</v>
      </c>
      <c r="K28" s="13" t="str">
        <f t="shared" si="2"/>
        <v>15 Feb 2024</v>
      </c>
      <c r="L28" s="4" t="str">
        <f t="shared" si="3"/>
        <v>TW 1</v>
      </c>
    </row>
    <row r="29">
      <c r="A29" s="43">
        <f>IFERROR(__xludf.DUMMYFUNCTION("""COMPUTED_VALUE"""),45344.6042752662)</f>
        <v>45344.60428</v>
      </c>
      <c r="B29" s="13" t="str">
        <f>IFERROR(__xludf.DUMMYFUNCTION("""COMPUTED_VALUE"""),"Tahan Marulitua Simbolon")</f>
        <v>Tahan Marulitua Simbolon</v>
      </c>
      <c r="C29" s="13" t="str">
        <f>IFERROR(__xludf.DUMMYFUNCTION("""COMPUTED_VALUE"""),"081228599244")</f>
        <v>081228599244</v>
      </c>
      <c r="D29" s="13" t="str">
        <f>IFERROR(__xludf.DUMMYFUNCTION("""COMPUTED_VALUE"""),"marulituasimbolon40@gmail:com")</f>
        <v>marulituasimbolon40@gmail:com</v>
      </c>
      <c r="E29" s="13" t="str">
        <f>IFERROR(__xludf.DUMMYFUNCTION("""COMPUTED_VALUE"""),"OPD (Pemerintah Daerah)")</f>
        <v>OPD (Pemerintah Daerah)</v>
      </c>
      <c r="F29" s="13" t="str">
        <f>IFERROR(__xludf.DUMMYFUNCTION("""COMPUTED_VALUE"""),"Pelayanan Statistik (Permintaan Data/Konsultasi)")</f>
        <v>Pelayanan Statistik (Permintaan Data/Konsultasi)</v>
      </c>
      <c r="G29" s="13" t="str">
        <f>IFERROR(__xludf.DUMMYFUNCTION("""COMPUTED_VALUE"""),"https://drive:google:com/open?id=1Lg59VhjoWMrUXyFnLHuXo743QjvG-xa9")</f>
        <v>https://drive:google:com/open?id=1Lg59VhjoWMrUXyFnLHuXo743QjvG-xa9</v>
      </c>
      <c r="H29" s="13" t="str">
        <f>IFERROR(__xludf.DUMMYFUNCTION("""COMPUTED_VALUE"""),"Permintaan Peta")</f>
        <v>Permintaan Peta</v>
      </c>
      <c r="I29" s="13" t="str">
        <f>IFERROR(__xludf.DUMMYFUNCTION("""COMPUTED_VALUE"""),"Desa Gundaling")</f>
        <v>Desa Gundaling</v>
      </c>
      <c r="J29" s="13" t="str">
        <f t="shared" si="1"/>
        <v>Februari 2024</v>
      </c>
      <c r="K29" s="13" t="str">
        <f t="shared" si="2"/>
        <v>22 Feb 2024</v>
      </c>
      <c r="L29" s="4" t="str">
        <f t="shared" si="3"/>
        <v>TW 1</v>
      </c>
    </row>
    <row r="30">
      <c r="A30" s="43">
        <f>IFERROR(__xludf.DUMMYFUNCTION("""COMPUTED_VALUE"""),45345.476453842595)</f>
        <v>45345.47645</v>
      </c>
      <c r="B30" s="13" t="str">
        <f>IFERROR(__xludf.DUMMYFUNCTION("""COMPUTED_VALUE"""),"Olyver story munthe")</f>
        <v>Olyver story munthe</v>
      </c>
      <c r="C30" s="13" t="str">
        <f>IFERROR(__xludf.DUMMYFUNCTION("""COMPUTED_VALUE"""),"082164577953")</f>
        <v>082164577953</v>
      </c>
      <c r="D30" s="13" t="str">
        <f>IFERROR(__xludf.DUMMYFUNCTION("""COMPUTED_VALUE"""),"olyverstory993@gmail:com")</f>
        <v>olyverstory993@gmail:com</v>
      </c>
      <c r="E30" s="13" t="str">
        <f>IFERROR(__xludf.DUMMYFUNCTION("""COMPUTED_VALUE"""),"OPD (Pemerintah Daerah)")</f>
        <v>OPD (Pemerintah Daerah)</v>
      </c>
      <c r="F30" s="13" t="str">
        <f>IFERROR(__xludf.DUMMYFUNCTION("""COMPUTED_VALUE"""),"Pelayanan Statistik (Permintaan Data/Konsultasi)")</f>
        <v>Pelayanan Statistik (Permintaan Data/Konsultasi)</v>
      </c>
      <c r="G30" s="13" t="str">
        <f>IFERROR(__xludf.DUMMYFUNCTION("""COMPUTED_VALUE"""),"https://drive:google:com/open?id=1GWgZAucfOyYt7LcFkDJ61di2D4kxogha")</f>
        <v>https://drive:google:com/open?id=1GWgZAucfOyYt7LcFkDJ61di2D4kxogha</v>
      </c>
      <c r="H30" s="13" t="str">
        <f>IFERROR(__xludf.DUMMYFUNCTION("""COMPUTED_VALUE"""),"Permintaan Peta Desa Belang Malum")</f>
        <v>Permintaan Peta Desa Belang Malum</v>
      </c>
      <c r="I30" s="13" t="str">
        <f>IFERROR(__xludf.DUMMYFUNCTION("""COMPUTED_VALUE"""),"Desa Belang Malum Kecamatan Sidikalang")</f>
        <v>Desa Belang Malum Kecamatan Sidikalang</v>
      </c>
      <c r="J30" s="13" t="str">
        <f t="shared" si="1"/>
        <v>Februari 2024</v>
      </c>
      <c r="K30" s="13" t="str">
        <f t="shared" si="2"/>
        <v>23 Feb 2024</v>
      </c>
      <c r="L30" s="4" t="str">
        <f t="shared" si="3"/>
        <v>TW 1</v>
      </c>
    </row>
    <row r="31">
      <c r="A31" s="43">
        <f>IFERROR(__xludf.DUMMYFUNCTION("""COMPUTED_VALUE"""),45349.38246143518)</f>
        <v>45349.38246</v>
      </c>
      <c r="B31" s="13" t="str">
        <f>IFERROR(__xludf.DUMMYFUNCTION("""COMPUTED_VALUE"""),"yolanda silalahi")</f>
        <v>yolanda silalahi</v>
      </c>
      <c r="C31" s="13" t="str">
        <f>IFERROR(__xludf.DUMMYFUNCTION("""COMPUTED_VALUE"""),"082272425576")</f>
        <v>082272425576</v>
      </c>
      <c r="D31" s="13" t="str">
        <f>IFERROR(__xludf.DUMMYFUNCTION("""COMPUTED_VALUE"""),"yolandafebriantisilalahi10@gmail:com")</f>
        <v>yolandafebriantisilalahi10@gmail:com</v>
      </c>
      <c r="E31" s="13" t="str">
        <f>IFERROR(__xludf.DUMMYFUNCTION("""COMPUTED_VALUE"""),"Mitra BPS")</f>
        <v>Mitra BPS</v>
      </c>
      <c r="F31" s="13" t="str">
        <f>IFERROR(__xludf.DUMMYFUNCTION("""COMPUTED_VALUE"""),"Mengambil dokumen")</f>
        <v>Mengambil dokumen</v>
      </c>
      <c r="G31" s="13" t="str">
        <f>IFERROR(__xludf.DUMMYFUNCTION("""COMPUTED_VALUE"""),"https://drive:google:com/open?id=1be2uD99PPTm3VJZsu_OOKG1AOML58Ujo")</f>
        <v>https://drive:google:com/open?id=1be2uD99PPTm3VJZsu_OOKG1AOML58Ujo</v>
      </c>
      <c r="H31" s="13" t="str">
        <f>IFERROR(__xludf.DUMMYFUNCTION("""COMPUTED_VALUE"""),"mengambil dokumen sakernas")</f>
        <v>mengambil dokumen sakernas</v>
      </c>
      <c r="I31" s="13" t="str">
        <f>IFERROR(__xludf.DUMMYFUNCTION("""COMPUTED_VALUE"""),"mitra bps")</f>
        <v>mitra bps</v>
      </c>
      <c r="J31" s="13" t="str">
        <f t="shared" si="1"/>
        <v>Februari 2024</v>
      </c>
      <c r="K31" s="13" t="str">
        <f t="shared" si="2"/>
        <v>27 Feb 2024</v>
      </c>
      <c r="L31" s="4" t="str">
        <f t="shared" si="3"/>
        <v>TW 1</v>
      </c>
    </row>
    <row r="32">
      <c r="A32" s="43">
        <f>IFERROR(__xludf.DUMMYFUNCTION("""COMPUTED_VALUE"""),45350.35455898148)</f>
        <v>45350.35456</v>
      </c>
      <c r="B32" s="13" t="str">
        <f>IFERROR(__xludf.DUMMYFUNCTION("""COMPUTED_VALUE"""),"Destini Manalu")</f>
        <v>Destini Manalu</v>
      </c>
      <c r="C32" s="13" t="str">
        <f>IFERROR(__xludf.DUMMYFUNCTION("""COMPUTED_VALUE"""),"085320133777")</f>
        <v>085320133777</v>
      </c>
      <c r="D32" s="13" t="str">
        <f>IFERROR(__xludf.DUMMYFUNCTION("""COMPUTED_VALUE"""),"destinimanalu@gmail:com")</f>
        <v>destinimanalu@gmail:com</v>
      </c>
      <c r="E32" s="13" t="str">
        <f>IFERROR(__xludf.DUMMYFUNCTION("""COMPUTED_VALUE"""),"OPD (Pemerintah Daerah)")</f>
        <v>OPD (Pemerintah Daerah)</v>
      </c>
      <c r="F32" s="13" t="str">
        <f>IFERROR(__xludf.DUMMYFUNCTION("""COMPUTED_VALUE"""),"Pelayanan Statistik (Permintaan Data/Konsultasi)")</f>
        <v>Pelayanan Statistik (Permintaan Data/Konsultasi)</v>
      </c>
      <c r="G32" s="13" t="str">
        <f>IFERROR(__xludf.DUMMYFUNCTION("""COMPUTED_VALUE"""),"https://drive:google:com/open?id=1YFBUedNokLh4x85vMskEB-io-IXPwlJV")</f>
        <v>https://drive:google:com/open?id=1YFBUedNokLh4x85vMskEB-io-IXPwlJV</v>
      </c>
      <c r="H32" s="13" t="str">
        <f>IFERROR(__xludf.DUMMYFUNCTION("""COMPUTED_VALUE"""),"Permintaan Data Penduduk Kabupaten Dairi")</f>
        <v>Permintaan Data Penduduk Kabupaten Dairi</v>
      </c>
      <c r="I32" s="13" t="str">
        <f>IFERROR(__xludf.DUMMYFUNCTION("""COMPUTED_VALUE"""),"Dinas Kesehatan Kabupaten Dairi")</f>
        <v>Dinas Kesehatan Kabupaten Dairi</v>
      </c>
      <c r="J32" s="13" t="str">
        <f t="shared" si="1"/>
        <v>Februari 2024</v>
      </c>
      <c r="K32" s="13" t="str">
        <f t="shared" si="2"/>
        <v>28 Feb 2024</v>
      </c>
      <c r="L32" s="4" t="str">
        <f t="shared" si="3"/>
        <v>TW 1</v>
      </c>
    </row>
    <row r="33">
      <c r="A33" s="43">
        <f>IFERROR(__xludf.DUMMYFUNCTION("""COMPUTED_VALUE"""),45351.36906509259)</f>
        <v>45351.36907</v>
      </c>
      <c r="B33" s="13" t="str">
        <f>IFERROR(__xludf.DUMMYFUNCTION("""COMPUTED_VALUE"""),"Igo Octavian Simamora")</f>
        <v>Igo Octavian Simamora</v>
      </c>
      <c r="C33" s="13" t="str">
        <f>IFERROR(__xludf.DUMMYFUNCTION("""COMPUTED_VALUE"""),"081222708998")</f>
        <v>081222708998</v>
      </c>
      <c r="D33" s="13" t="str">
        <f>IFERROR(__xludf.DUMMYFUNCTION("""COMPUTED_VALUE"""),"octaviansimamora65@gmail:com")</f>
        <v>octaviansimamora65@gmail:com</v>
      </c>
      <c r="E33" s="13" t="str">
        <f>IFERROR(__xludf.DUMMYFUNCTION("""COMPUTED_VALUE"""),"OPD (Pemerintah Daerah)")</f>
        <v>OPD (Pemerintah Daerah)</v>
      </c>
      <c r="F33" s="13" t="str">
        <f>IFERROR(__xludf.DUMMYFUNCTION("""COMPUTED_VALUE"""),"Pelatihan Evaluasi Penyelenggaraan Statistik Sektoral")</f>
        <v>Pelatihan Evaluasi Penyelenggaraan Statistik Sektoral</v>
      </c>
      <c r="G33" s="13" t="str">
        <f>IFERROR(__xludf.DUMMYFUNCTION("""COMPUTED_VALUE"""),"https://drive:google:com/open?id=1SHFhho3afrAzcf8l6hpGQVd2vpfbeEfA")</f>
        <v>https://drive:google:com/open?id=1SHFhho3afrAzcf8l6hpGQVd2vpfbeEfA</v>
      </c>
      <c r="H33" s="13" t="str">
        <f>IFERROR(__xludf.DUMMYFUNCTION("""COMPUTED_VALUE"""),"pelatihan evaluasi penyelangaraan statistik")</f>
        <v>pelatihan evaluasi penyelangaraan statistik</v>
      </c>
      <c r="I33" s="13" t="str">
        <f>IFERROR(__xludf.DUMMYFUNCTION("""COMPUTED_VALUE"""),"kominfo kab dairi")</f>
        <v>kominfo kab dairi</v>
      </c>
      <c r="J33" s="13" t="str">
        <f t="shared" si="1"/>
        <v>Februari 2024</v>
      </c>
      <c r="K33" s="13" t="str">
        <f t="shared" si="2"/>
        <v>29 Feb 2024</v>
      </c>
      <c r="L33" s="4" t="str">
        <f t="shared" si="3"/>
        <v>TW 1</v>
      </c>
    </row>
    <row r="34">
      <c r="A34" s="43">
        <f>IFERROR(__xludf.DUMMYFUNCTION("""COMPUTED_VALUE"""),45351.38000420139)</f>
        <v>45351.38</v>
      </c>
      <c r="B34" s="13" t="str">
        <f>IFERROR(__xludf.DUMMYFUNCTION("""COMPUTED_VALUE"""),"tumpal pasaribu")</f>
        <v>tumpal pasaribu</v>
      </c>
      <c r="C34" s="13" t="str">
        <f>IFERROR(__xludf.DUMMYFUNCTION("""COMPUTED_VALUE"""),"081375771000")</f>
        <v>081375771000</v>
      </c>
      <c r="D34" s="13" t="str">
        <f>IFERROR(__xludf.DUMMYFUNCTION("""COMPUTED_VALUE"""),"tumpaldaud05@gmail:com")</f>
        <v>tumpaldaud05@gmail:com</v>
      </c>
      <c r="E34" s="13" t="str">
        <f>IFERROR(__xludf.DUMMYFUNCTION("""COMPUTED_VALUE"""),"OPD (Pemerintah Daerah)")</f>
        <v>OPD (Pemerintah Daerah)</v>
      </c>
      <c r="F34" s="13" t="str">
        <f>IFERROR(__xludf.DUMMYFUNCTION("""COMPUTED_VALUE"""),"MENGIKUTI RAPAT")</f>
        <v>MENGIKUTI RAPAT</v>
      </c>
      <c r="G34" s="13" t="str">
        <f>IFERROR(__xludf.DUMMYFUNCTION("""COMPUTED_VALUE"""),"https://drive:google:com/open?id=1icFPp40etSPLY2Odz11da6gL-JkpoweD")</f>
        <v>https://drive:google:com/open?id=1icFPp40etSPLY2Odz11da6gL-JkpoweD</v>
      </c>
      <c r="H34" s="13" t="str">
        <f>IFERROR(__xludf.DUMMYFUNCTION("""COMPUTED_VALUE"""),"mengikuti rapat")</f>
        <v>mengikuti rapat</v>
      </c>
      <c r="I34" s="13" t="str">
        <f>IFERROR(__xludf.DUMMYFUNCTION("""COMPUTED_VALUE"""),"dpd pemerintahan")</f>
        <v>dpd pemerintahan</v>
      </c>
      <c r="J34" s="13" t="str">
        <f t="shared" si="1"/>
        <v>Februari 2024</v>
      </c>
      <c r="K34" s="13" t="str">
        <f t="shared" si="2"/>
        <v>29 Feb 2024</v>
      </c>
      <c r="L34" s="4" t="str">
        <f t="shared" si="3"/>
        <v>TW 1</v>
      </c>
    </row>
    <row r="35">
      <c r="A35" s="43">
        <f>IFERROR(__xludf.DUMMYFUNCTION("""COMPUTED_VALUE"""),45351.38174390046)</f>
        <v>45351.38174</v>
      </c>
      <c r="B35" s="13" t="str">
        <f>IFERROR(__xludf.DUMMYFUNCTION("""COMPUTED_VALUE"""),"Desi C: Sianturi, ST:, M:A:P")</f>
        <v>Desi C: Sianturi, ST:, M:A:P</v>
      </c>
      <c r="C35" s="13" t="str">
        <f>IFERROR(__xludf.DUMMYFUNCTION("""COMPUTED_VALUE"""),"08126593082")</f>
        <v>08126593082</v>
      </c>
      <c r="D35" s="13" t="str">
        <f>IFERROR(__xludf.DUMMYFUNCTION("""COMPUTED_VALUE"""),"cianturidesi@gmail:com")</f>
        <v>cianturidesi@gmail:com</v>
      </c>
      <c r="E35" s="13" t="str">
        <f>IFERROR(__xludf.DUMMYFUNCTION("""COMPUTED_VALUE"""),"OPD (Pemerintah Daerah)")</f>
        <v>OPD (Pemerintah Daerah)</v>
      </c>
      <c r="F35" s="13" t="str">
        <f>IFERROR(__xludf.DUMMYFUNCTION("""COMPUTED_VALUE"""),"mengikuti rapat")</f>
        <v>mengikuti rapat</v>
      </c>
      <c r="G35" s="13" t="str">
        <f>IFERROR(__xludf.DUMMYFUNCTION("""COMPUTED_VALUE"""),"https://drive:google:com/open?id=1dOsFCS7uGGsNwoALWXXrbHimQWL35kJo")</f>
        <v>https://drive:google:com/open?id=1dOsFCS7uGGsNwoALWXXrbHimQWL35kJo</v>
      </c>
      <c r="H35" s="13" t="str">
        <f>IFERROR(__xludf.DUMMYFUNCTION("""COMPUTED_VALUE"""),"mengikuti rapat")</f>
        <v>mengikuti rapat</v>
      </c>
      <c r="I35" s="13" t="str">
        <f>IFERROR(__xludf.DUMMYFUNCTION("""COMPUTED_VALUE"""),"dpd pemerintahan")</f>
        <v>dpd pemerintahan</v>
      </c>
      <c r="J35" s="13" t="str">
        <f t="shared" si="1"/>
        <v>Februari 2024</v>
      </c>
      <c r="K35" s="13" t="str">
        <f t="shared" si="2"/>
        <v>29 Feb 2024</v>
      </c>
      <c r="L35" s="4" t="str">
        <f t="shared" si="3"/>
        <v>TW 1</v>
      </c>
    </row>
    <row r="36">
      <c r="A36" s="43">
        <f>IFERROR(__xludf.DUMMYFUNCTION("""COMPUTED_VALUE"""),45351.384004375)</f>
        <v>45351.384</v>
      </c>
      <c r="B36" s="13" t="str">
        <f>IFERROR(__xludf.DUMMYFUNCTION("""COMPUTED_VALUE"""),"vanda royerni manik")</f>
        <v>vanda royerni manik</v>
      </c>
      <c r="C36" s="13" t="str">
        <f>IFERROR(__xludf.DUMMYFUNCTION("""COMPUTED_VALUE"""),"082370543570")</f>
        <v>082370543570</v>
      </c>
      <c r="D36" s="13" t="str">
        <f>IFERROR(__xludf.DUMMYFUNCTION("""COMPUTED_VALUE"""),"dairikab11@gmail:com")</f>
        <v>dairikab11@gmail:com</v>
      </c>
      <c r="E36" s="13" t="str">
        <f>IFERROR(__xludf.DUMMYFUNCTION("""COMPUTED_VALUE"""),"OPD (Pemerintah Daerah)")</f>
        <v>OPD (Pemerintah Daerah)</v>
      </c>
      <c r="F36" s="13" t="str">
        <f>IFERROR(__xludf.DUMMYFUNCTION("""COMPUTED_VALUE"""),"mengikuti rapat")</f>
        <v>mengikuti rapat</v>
      </c>
      <c r="G36" s="13" t="str">
        <f>IFERROR(__xludf.DUMMYFUNCTION("""COMPUTED_VALUE"""),"https://drive:google:com/open?id=1HGxB-1cUqSo5T_jFqHSm9DPTXzO_WFtp")</f>
        <v>https://drive:google:com/open?id=1HGxB-1cUqSo5T_jFqHSm9DPTXzO_WFtp</v>
      </c>
      <c r="H36" s="13" t="str">
        <f>IFERROR(__xludf.DUMMYFUNCTION("""COMPUTED_VALUE"""),"mengikuti rapat")</f>
        <v>mengikuti rapat</v>
      </c>
      <c r="I36" s="13"/>
      <c r="J36" s="13" t="str">
        <f t="shared" si="1"/>
        <v>Februari 2024</v>
      </c>
      <c r="K36" s="13" t="str">
        <f t="shared" si="2"/>
        <v>29 Feb 2024</v>
      </c>
      <c r="L36" s="4" t="str">
        <f t="shared" si="3"/>
        <v>TW 1</v>
      </c>
    </row>
    <row r="37">
      <c r="A37" s="43">
        <f>IFERROR(__xludf.DUMMYFUNCTION("""COMPUTED_VALUE"""),45351.391250706016)</f>
        <v>45351.39125</v>
      </c>
      <c r="B37" s="13" t="str">
        <f>IFERROR(__xludf.DUMMYFUNCTION("""COMPUTED_VALUE"""),"elsa triana sinaga")</f>
        <v>elsa triana sinaga</v>
      </c>
      <c r="C37" s="13" t="str">
        <f>IFERROR(__xludf.DUMMYFUNCTION("""COMPUTED_VALUE"""),"082277340149")</f>
        <v>082277340149</v>
      </c>
      <c r="D37" s="13" t="str">
        <f>IFERROR(__xludf.DUMMYFUNCTION("""COMPUTED_VALUE"""),"elsasinaga2@GMAIL:com")</f>
        <v>elsasinaga2@GMAIL:com</v>
      </c>
      <c r="E37" s="13" t="str">
        <f>IFERROR(__xludf.DUMMYFUNCTION("""COMPUTED_VALUE"""),"OPD (Pemerintah Daerah)")</f>
        <v>OPD (Pemerintah Daerah)</v>
      </c>
      <c r="F37" s="13" t="str">
        <f>IFERROR(__xludf.DUMMYFUNCTION("""COMPUTED_VALUE"""),"Koordinasi antar lembaga")</f>
        <v>Koordinasi antar lembaga</v>
      </c>
      <c r="G37" s="13" t="str">
        <f>IFERROR(__xludf.DUMMYFUNCTION("""COMPUTED_VALUE"""),"https://drive:google:com/open?id=1b4eZxL4HHIqnCGVTOHS5oVonZpqtsAfh")</f>
        <v>https://drive:google:com/open?id=1b4eZxL4HHIqnCGVTOHS5oVonZpqtsAfh</v>
      </c>
      <c r="H37" s="13" t="str">
        <f>IFERROR(__xludf.DUMMYFUNCTION("""COMPUTED_VALUE"""),"mengikuti rapat")</f>
        <v>mengikuti rapat</v>
      </c>
      <c r="I37" s="13" t="str">
        <f>IFERROR(__xludf.DUMMYFUNCTION("""COMPUTED_VALUE"""),"opd")</f>
        <v>opd</v>
      </c>
      <c r="J37" s="13" t="str">
        <f t="shared" si="1"/>
        <v>Februari 2024</v>
      </c>
      <c r="K37" s="13" t="str">
        <f t="shared" si="2"/>
        <v>29 Feb 2024</v>
      </c>
      <c r="L37" s="4" t="str">
        <f t="shared" si="3"/>
        <v>TW 1</v>
      </c>
    </row>
    <row r="38">
      <c r="A38" s="43">
        <f>IFERROR(__xludf.DUMMYFUNCTION("""COMPUTED_VALUE"""),45352.387021076385)</f>
        <v>45352.38702</v>
      </c>
      <c r="B38" s="13" t="str">
        <f>IFERROR(__xludf.DUMMYFUNCTION("""COMPUTED_VALUE"""),"Veranika Sitepu")</f>
        <v>Veranika Sitepu</v>
      </c>
      <c r="C38" s="13" t="str">
        <f>IFERROR(__xludf.DUMMYFUNCTION("""COMPUTED_VALUE"""),"081370661167")</f>
        <v>081370661167</v>
      </c>
      <c r="D38" s="13" t="str">
        <f>IFERROR(__xludf.DUMMYFUNCTION("""COMPUTED_VALUE"""),"veranikabrsitepu@gmail:com")</f>
        <v>veranikabrsitepu@gmail:com</v>
      </c>
      <c r="E38" s="13" t="str">
        <f>IFERROR(__xludf.DUMMYFUNCTION("""COMPUTED_VALUE"""),"OPD (Pemerintah Daerah)")</f>
        <v>OPD (Pemerintah Daerah)</v>
      </c>
      <c r="F38" s="13" t="str">
        <f>IFERROR(__xludf.DUMMYFUNCTION("""COMPUTED_VALUE"""),"Koordinasi antar lembaga")</f>
        <v>Koordinasi antar lembaga</v>
      </c>
      <c r="G38" s="13" t="str">
        <f>IFERROR(__xludf.DUMMYFUNCTION("""COMPUTED_VALUE"""),"https://drive:google:com/open?id=1d6YjJ2tkeaN8M_Q8i-WRRBx7wDbgeVbZ")</f>
        <v>https://drive:google:com/open?id=1d6YjJ2tkeaN8M_Q8i-WRRBx7wDbgeVbZ</v>
      </c>
      <c r="H38" s="13" t="str">
        <f>IFERROR(__xludf.DUMMYFUNCTION("""COMPUTED_VALUE"""),"Konsultasi")</f>
        <v>Konsultasi</v>
      </c>
      <c r="I38" s="13" t="str">
        <f>IFERROR(__xludf.DUMMYFUNCTION("""COMPUTED_VALUE"""),"Disperindagkop")</f>
        <v>Disperindagkop</v>
      </c>
      <c r="J38" s="13" t="str">
        <f t="shared" si="1"/>
        <v>Maret 2024</v>
      </c>
      <c r="K38" s="13" t="str">
        <f t="shared" si="2"/>
        <v>01 Mar 2024</v>
      </c>
      <c r="L38" s="4" t="str">
        <f t="shared" si="3"/>
        <v>TW 1</v>
      </c>
    </row>
    <row r="39">
      <c r="A39" s="43">
        <f>IFERROR(__xludf.DUMMYFUNCTION("""COMPUTED_VALUE"""),45352.62500399305)</f>
        <v>45352.625</v>
      </c>
      <c r="B39" s="13" t="str">
        <f>IFERROR(__xludf.DUMMYFUNCTION("""COMPUTED_VALUE"""),"Wahyu Susanto Akbar")</f>
        <v>Wahyu Susanto Akbar</v>
      </c>
      <c r="C39" s="13" t="str">
        <f>IFERROR(__xludf.DUMMYFUNCTION("""COMPUTED_VALUE"""),"082260376204")</f>
        <v>082260376204</v>
      </c>
      <c r="D39" s="13" t="str">
        <f>IFERROR(__xludf.DUMMYFUNCTION("""COMPUTED_VALUE"""),"wsakbar81@gmail:com")</f>
        <v>wsakbar81@gmail:com</v>
      </c>
      <c r="E39" s="13" t="str">
        <f>IFERROR(__xludf.DUMMYFUNCTION("""COMPUTED_VALUE"""),"OPD (Pemerintah Daerah)")</f>
        <v>OPD (Pemerintah Daerah)</v>
      </c>
      <c r="F39" s="13" t="str">
        <f>IFERROR(__xludf.DUMMYFUNCTION("""COMPUTED_VALUE"""),"Pelayanan Statistik (Permintaan Data/Konsultasi)")</f>
        <v>Pelayanan Statistik (Permintaan Data/Konsultasi)</v>
      </c>
      <c r="G39" s="13" t="str">
        <f>IFERROR(__xludf.DUMMYFUNCTION("""COMPUTED_VALUE"""),"https://drive:google:com/open?id=1SevUzpanxloJT4Cz8HDOrrKB6Z1_xnYL")</f>
        <v>https://drive:google:com/open?id=1SevUzpanxloJT4Cz8HDOrrKB6Z1_xnYL</v>
      </c>
      <c r="H39" s="13" t="str">
        <f>IFERROR(__xludf.DUMMYFUNCTION("""COMPUTED_VALUE"""),"Data TPK")</f>
        <v>Data TPK</v>
      </c>
      <c r="I39" s="13" t="str">
        <f>IFERROR(__xludf.DUMMYFUNCTION("""COMPUTED_VALUE"""),"Dinas Pariwisata Kab Dairi")</f>
        <v>Dinas Pariwisata Kab Dairi</v>
      </c>
      <c r="J39" s="13" t="str">
        <f t="shared" si="1"/>
        <v>Maret 2024</v>
      </c>
      <c r="K39" s="13" t="str">
        <f t="shared" si="2"/>
        <v>01 Mar 2024</v>
      </c>
      <c r="L39" s="4" t="str">
        <f t="shared" si="3"/>
        <v>TW 1</v>
      </c>
    </row>
    <row r="40">
      <c r="A40" s="43">
        <f>IFERROR(__xludf.DUMMYFUNCTION("""COMPUTED_VALUE"""),45366.42102041667)</f>
        <v>45366.42102</v>
      </c>
      <c r="B40" s="13" t="str">
        <f>IFERROR(__xludf.DUMMYFUNCTION("""COMPUTED_VALUE"""),"KRISTONI SITUMORANG (Media nasional id)")</f>
        <v>KRISTONI SITUMORANG (Media nasional id)</v>
      </c>
      <c r="C40" s="13" t="str">
        <f>IFERROR(__xludf.DUMMYFUNCTION("""COMPUTED_VALUE"""),"082124170234")</f>
        <v>082124170234</v>
      </c>
      <c r="D40" s="13" t="str">
        <f>IFERROR(__xludf.DUMMYFUNCTION("""COMPUTED_VALUE"""),"yrkristo@gmail:com")</f>
        <v>yrkristo@gmail:com</v>
      </c>
      <c r="E40" s="13" t="str">
        <f>IFERROR(__xludf.DUMMYFUNCTION("""COMPUTED_VALUE"""),"Wartawan Media Nasional ID")</f>
        <v>Wartawan Media Nasional ID</v>
      </c>
      <c r="F40" s="13" t="str">
        <f>IFERROR(__xludf.DUMMYFUNCTION("""COMPUTED_VALUE"""),"Pelayanan Statistik (Permintaan Data/Konsultasi)")</f>
        <v>Pelayanan Statistik (Permintaan Data/Konsultasi)</v>
      </c>
      <c r="G40" s="13" t="str">
        <f>IFERROR(__xludf.DUMMYFUNCTION("""COMPUTED_VALUE"""),"https://drive:google:com/open?id=1iak7M_apnOKxVZw22KYiCSJ89Y2dhGs1")</f>
        <v>https://drive:google:com/open?id=1iak7M_apnOKxVZw22KYiCSJ89Y2dhGs1</v>
      </c>
      <c r="H40" s="13" t="str">
        <f>IFERROR(__xludf.DUMMYFUNCTION("""COMPUTED_VALUE"""),"Permintaan Data Jumlah Populasi Agama ")</f>
        <v>Permintaan Data Jumlah Populasi Agama </v>
      </c>
      <c r="I40" s="13" t="str">
        <f>IFERROR(__xludf.DUMMYFUNCTION("""COMPUTED_VALUE"""),"Wartawan Media Nasional ID")</f>
        <v>Wartawan Media Nasional ID</v>
      </c>
      <c r="J40" s="13" t="str">
        <f t="shared" si="1"/>
        <v>Maret 2024</v>
      </c>
      <c r="K40" s="13" t="str">
        <f t="shared" si="2"/>
        <v>15 Mar 2024</v>
      </c>
      <c r="L40" s="4" t="str">
        <f t="shared" si="3"/>
        <v>TW 1</v>
      </c>
    </row>
    <row r="41">
      <c r="A41" s="43">
        <f>IFERROR(__xludf.DUMMYFUNCTION("""COMPUTED_VALUE"""),45369.65686033564)</f>
        <v>45369.65686</v>
      </c>
      <c r="B41" s="13" t="str">
        <f>IFERROR(__xludf.DUMMYFUNCTION("""COMPUTED_VALUE"""),"Ganda")</f>
        <v>Ganda</v>
      </c>
      <c r="C41" s="13" t="str">
        <f>IFERROR(__xludf.DUMMYFUNCTION("""COMPUTED_VALUE"""),"1234")</f>
        <v>1234</v>
      </c>
      <c r="D41" s="13"/>
      <c r="E41" s="13" t="str">
        <f>IFERROR(__xludf.DUMMYFUNCTION("""COMPUTED_VALUE"""),"Institusi Pendidikan")</f>
        <v>Institusi Pendidikan</v>
      </c>
      <c r="F41" s="13" t="str">
        <f>IFERROR(__xludf.DUMMYFUNCTION("""COMPUTED_VALUE"""),"Pelayanan Statistik (Permintaan Data/Konsultasi)")</f>
        <v>Pelayanan Statistik (Permintaan Data/Konsultasi)</v>
      </c>
      <c r="G41" s="13"/>
      <c r="H41" s="13" t="str">
        <f>IFERROR(__xludf.DUMMYFUNCTION("""COMPUTED_VALUE"""),"Peta desa belang malum")</f>
        <v>Peta desa belang malum</v>
      </c>
      <c r="I41" s="13"/>
      <c r="J41" s="13" t="str">
        <f t="shared" si="1"/>
        <v>Maret 2024</v>
      </c>
      <c r="K41" s="13" t="str">
        <f t="shared" si="2"/>
        <v>18 Mar 2024</v>
      </c>
      <c r="L41" s="4" t="str">
        <f t="shared" si="3"/>
        <v>TW 1</v>
      </c>
    </row>
    <row r="42">
      <c r="A42" s="43">
        <f>IFERROR(__xludf.DUMMYFUNCTION("""COMPUTED_VALUE"""),45370.343266793985)</f>
        <v>45370.34327</v>
      </c>
      <c r="B42" s="13" t="str">
        <f>IFERROR(__xludf.DUMMYFUNCTION("""COMPUTED_VALUE"""),"monica dherby sembiring")</f>
        <v>monica dherby sembiring</v>
      </c>
      <c r="C42" s="13" t="str">
        <f>IFERROR(__xludf.DUMMYFUNCTION("""COMPUTED_VALUE"""),"081269944862")</f>
        <v>081269944862</v>
      </c>
      <c r="D42" s="13" t="str">
        <f>IFERROR(__xludf.DUMMYFUNCTION("""COMPUTED_VALUE"""),"dherbymonica@gmail:com")</f>
        <v>dherbymonica@gmail:com</v>
      </c>
      <c r="E42" s="13" t="str">
        <f>IFERROR(__xludf.DUMMYFUNCTION("""COMPUTED_VALUE"""),"mitra bps")</f>
        <v>mitra bps</v>
      </c>
      <c r="F42" s="13" t="str">
        <f>IFERROR(__xludf.DUMMYFUNCTION("""COMPUTED_VALUE"""),"rapat bulanan")</f>
        <v>rapat bulanan</v>
      </c>
      <c r="G42" s="13" t="str">
        <f>IFERROR(__xludf.DUMMYFUNCTION("""COMPUTED_VALUE"""),"https://drive:google:com/open?id=1aJJ19EsR-W96TcLS74GIOUYJBaQfGfr7")</f>
        <v>https://drive:google:com/open?id=1aJJ19EsR-W96TcLS74GIOUYJBaQfGfr7</v>
      </c>
      <c r="H42" s="13"/>
      <c r="I42" s="13"/>
      <c r="J42" s="13" t="str">
        <f t="shared" si="1"/>
        <v>Maret 2024</v>
      </c>
      <c r="K42" s="13" t="str">
        <f t="shared" si="2"/>
        <v>19 Mar 2024</v>
      </c>
      <c r="L42" s="4" t="str">
        <f t="shared" si="3"/>
        <v>TW 1</v>
      </c>
    </row>
    <row r="43">
      <c r="A43" s="43">
        <f>IFERROR(__xludf.DUMMYFUNCTION("""COMPUTED_VALUE"""),45370.35221092592)</f>
        <v>45370.35221</v>
      </c>
      <c r="B43" s="13" t="str">
        <f>IFERROR(__xludf.DUMMYFUNCTION("""COMPUTED_VALUE"""),"nangkot sinambela")</f>
        <v>nangkot sinambela</v>
      </c>
      <c r="C43" s="13" t="str">
        <f>IFERROR(__xludf.DUMMYFUNCTION("""COMPUTED_VALUE"""),"081370245509")</f>
        <v>081370245509</v>
      </c>
      <c r="D43" s="13" t="str">
        <f>IFERROR(__xludf.DUMMYFUNCTION("""COMPUTED_VALUE"""),"nangkotsinambela8@gmail:com")</f>
        <v>nangkotsinambela8@gmail:com</v>
      </c>
      <c r="E43" s="13" t="str">
        <f>IFERROR(__xludf.DUMMYFUNCTION("""COMPUTED_VALUE"""),"mitra bps")</f>
        <v>mitra bps</v>
      </c>
      <c r="F43" s="13" t="str">
        <f>IFERROR(__xludf.DUMMYFUNCTION("""COMPUTED_VALUE"""),"rapat bulanan")</f>
        <v>rapat bulanan</v>
      </c>
      <c r="G43" s="13" t="str">
        <f>IFERROR(__xludf.DUMMYFUNCTION("""COMPUTED_VALUE"""),"https://drive:google:com/open?id=1ipG0mH5zLSFfGd9ROsecFMBnA6KJsM82")</f>
        <v>https://drive:google:com/open?id=1ipG0mH5zLSFfGd9ROsecFMBnA6KJsM82</v>
      </c>
      <c r="H43" s="13"/>
      <c r="I43" s="13"/>
      <c r="J43" s="13" t="str">
        <f t="shared" si="1"/>
        <v>Maret 2024</v>
      </c>
      <c r="K43" s="13" t="str">
        <f t="shared" si="2"/>
        <v>19 Mar 2024</v>
      </c>
      <c r="L43" s="4" t="str">
        <f t="shared" si="3"/>
        <v>TW 1</v>
      </c>
    </row>
    <row r="44">
      <c r="A44" s="43">
        <f>IFERROR(__xludf.DUMMYFUNCTION("""COMPUTED_VALUE"""),45370.35363208334)</f>
        <v>45370.35363</v>
      </c>
      <c r="B44" s="13" t="str">
        <f>IFERROR(__xludf.DUMMYFUNCTION("""COMPUTED_VALUE"""),"chandra manik")</f>
        <v>chandra manik</v>
      </c>
      <c r="C44" s="13" t="str">
        <f>IFERROR(__xludf.DUMMYFUNCTION("""COMPUTED_VALUE"""),"082367487190")</f>
        <v>082367487190</v>
      </c>
      <c r="D44" s="13" t="str">
        <f>IFERROR(__xludf.DUMMYFUNCTION("""COMPUTED_VALUE"""),"chandramanik5277@gmail:com")</f>
        <v>chandramanik5277@gmail:com</v>
      </c>
      <c r="E44" s="13" t="str">
        <f>IFERROR(__xludf.DUMMYFUNCTION("""COMPUTED_VALUE"""),"miitra bps")</f>
        <v>miitra bps</v>
      </c>
      <c r="F44" s="13" t="str">
        <f>IFERROR(__xludf.DUMMYFUNCTION("""COMPUTED_VALUE"""),"rapat bulanan")</f>
        <v>rapat bulanan</v>
      </c>
      <c r="G44" s="13" t="str">
        <f>IFERROR(__xludf.DUMMYFUNCTION("""COMPUTED_VALUE"""),"https://drive:google:com/open?id=14FWckWXY3txVtyKbeTBdrGDcDpidQYR0")</f>
        <v>https://drive:google:com/open?id=14FWckWXY3txVtyKbeTBdrGDcDpidQYR0</v>
      </c>
      <c r="H44" s="13"/>
      <c r="I44" s="13"/>
      <c r="J44" s="13" t="str">
        <f t="shared" si="1"/>
        <v>Maret 2024</v>
      </c>
      <c r="K44" s="13" t="str">
        <f t="shared" si="2"/>
        <v>19 Mar 2024</v>
      </c>
      <c r="L44" s="4" t="str">
        <f t="shared" si="3"/>
        <v>TW 1</v>
      </c>
    </row>
    <row r="45">
      <c r="A45" s="43">
        <f>IFERROR(__xludf.DUMMYFUNCTION("""COMPUTED_VALUE"""),45370.35614364583)</f>
        <v>45370.35614</v>
      </c>
      <c r="B45" s="13" t="str">
        <f>IFERROR(__xludf.DUMMYFUNCTION("""COMPUTED_VALUE"""),"tito viller sidabutar")</f>
        <v>tito viller sidabutar</v>
      </c>
      <c r="C45" s="13" t="str">
        <f>IFERROR(__xludf.DUMMYFUNCTION("""COMPUTED_VALUE"""),"081287853810")</f>
        <v>081287853810</v>
      </c>
      <c r="D45" s="13" t="str">
        <f>IFERROR(__xludf.DUMMYFUNCTION("""COMPUTED_VALUE"""),"titovillersidabutar@gmail:com")</f>
        <v>titovillersidabutar@gmail:com</v>
      </c>
      <c r="E45" s="13" t="str">
        <f>IFERROR(__xludf.DUMMYFUNCTION("""COMPUTED_VALUE"""),"mitra bps")</f>
        <v>mitra bps</v>
      </c>
      <c r="F45" s="13" t="str">
        <f>IFERROR(__xludf.DUMMYFUNCTION("""COMPUTED_VALUE"""),"rapat bulanan")</f>
        <v>rapat bulanan</v>
      </c>
      <c r="G45" s="13" t="str">
        <f>IFERROR(__xludf.DUMMYFUNCTION("""COMPUTED_VALUE"""),"https://drive:google:com/open?id=1ZJeCdBV7GRpkiPcDUKrWCMVq2RYctYX7")</f>
        <v>https://drive:google:com/open?id=1ZJeCdBV7GRpkiPcDUKrWCMVq2RYctYX7</v>
      </c>
      <c r="H45" s="13"/>
      <c r="I45" s="13"/>
      <c r="J45" s="13" t="str">
        <f t="shared" si="1"/>
        <v>Maret 2024</v>
      </c>
      <c r="K45" s="13" t="str">
        <f t="shared" si="2"/>
        <v>19 Mar 2024</v>
      </c>
      <c r="L45" s="4" t="str">
        <f t="shared" si="3"/>
        <v>TW 1</v>
      </c>
    </row>
    <row r="46">
      <c r="A46" s="43">
        <f>IFERROR(__xludf.DUMMYFUNCTION("""COMPUTED_VALUE"""),45372.396135358795)</f>
        <v>45372.39614</v>
      </c>
      <c r="B46" s="13" t="str">
        <f>IFERROR(__xludf.DUMMYFUNCTION("""COMPUTED_VALUE"""),"Richad Mika Sinaga, S:Tr:IP")</f>
        <v>Richad Mika Sinaga, S:Tr:IP</v>
      </c>
      <c r="C46" s="13" t="str">
        <f>IFERROR(__xludf.DUMMYFUNCTION("""COMPUTED_VALUE"""),"081398631539")</f>
        <v>081398631539</v>
      </c>
      <c r="D46" s="13" t="str">
        <f>IFERROR(__xludf.DUMMYFUNCTION("""COMPUTED_VALUE"""),"richadsinaga23@gmail:com")</f>
        <v>richadsinaga23@gmail:com</v>
      </c>
      <c r="E46" s="13" t="str">
        <f>IFERROR(__xludf.DUMMYFUNCTION("""COMPUTED_VALUE"""),"OPD (Pemerintah Daerah)")</f>
        <v>OPD (Pemerintah Daerah)</v>
      </c>
      <c r="F46" s="13" t="str">
        <f>IFERROR(__xludf.DUMMYFUNCTION("""COMPUTED_VALUE"""),"Pelayanan Statistik (Permintaan Data/Konsultasi)")</f>
        <v>Pelayanan Statistik (Permintaan Data/Konsultasi)</v>
      </c>
      <c r="G46" s="13" t="str">
        <f>IFERROR(__xludf.DUMMYFUNCTION("""COMPUTED_VALUE"""),"https://drive:google:com/open?id=18pZBRTDDEjAdXek8UMl32iqrZ0hgoQHJ")</f>
        <v>https://drive:google:com/open?id=18pZBRTDDEjAdXek8UMl32iqrZ0hgoQHJ</v>
      </c>
      <c r="H46" s="13" t="str">
        <f>IFERROR(__xludf.DUMMYFUNCTION("""COMPUTED_VALUE"""),"mengantar dokumen pemetaan")</f>
        <v>mengantar dokumen pemetaan</v>
      </c>
      <c r="I46" s="13"/>
      <c r="J46" s="13" t="str">
        <f t="shared" si="1"/>
        <v>Maret 2024</v>
      </c>
      <c r="K46" s="13" t="str">
        <f t="shared" si="2"/>
        <v>21 Mar 2024</v>
      </c>
      <c r="L46" s="4" t="str">
        <f t="shared" si="3"/>
        <v>TW 1</v>
      </c>
    </row>
    <row r="47">
      <c r="A47" s="43">
        <f>IFERROR(__xludf.DUMMYFUNCTION("""COMPUTED_VALUE"""),45373.46055606482)</f>
        <v>45373.46056</v>
      </c>
      <c r="B47" s="13" t="str">
        <f>IFERROR(__xludf.DUMMYFUNCTION("""COMPUTED_VALUE"""),"Sindy Silaban")</f>
        <v>Sindy Silaban</v>
      </c>
      <c r="C47" s="13" t="str">
        <f>IFERROR(__xludf.DUMMYFUNCTION("""COMPUTED_VALUE"""),"081264813009")</f>
        <v>081264813009</v>
      </c>
      <c r="D47" s="13" t="str">
        <f>IFERROR(__xludf.DUMMYFUNCTION("""COMPUTED_VALUE"""),"sindisilaban08@gmail:com")</f>
        <v>sindisilaban08@gmail:com</v>
      </c>
      <c r="E47" s="13" t="str">
        <f>IFERROR(__xludf.DUMMYFUNCTION("""COMPUTED_VALUE"""),"Masyarakat")</f>
        <v>Masyarakat</v>
      </c>
      <c r="F47" s="13" t="str">
        <f>IFERROR(__xludf.DUMMYFUNCTION("""COMPUTED_VALUE"""),"Bertemu Pak Silaban")</f>
        <v>Bertemu Pak Silaban</v>
      </c>
      <c r="G47" s="13" t="str">
        <f>IFERROR(__xludf.DUMMYFUNCTION("""COMPUTED_VALUE"""),"https://drive:google:com/open?id=18xmrxO6Y9fnCMspd5UJxkVzYItF3oWYd")</f>
        <v>https://drive:google:com/open?id=18xmrxO6Y9fnCMspd5UJxkVzYItF3oWYd</v>
      </c>
      <c r="H47" s="13"/>
      <c r="I47" s="13"/>
      <c r="J47" s="13" t="str">
        <f t="shared" si="1"/>
        <v>Maret 2024</v>
      </c>
      <c r="K47" s="13" t="str">
        <f t="shared" si="2"/>
        <v>22 Mar 2024</v>
      </c>
      <c r="L47" s="4" t="str">
        <f t="shared" si="3"/>
        <v>TW 1</v>
      </c>
    </row>
    <row r="48">
      <c r="A48" s="43">
        <f>IFERROR(__xludf.DUMMYFUNCTION("""COMPUTED_VALUE"""),45373.474293541665)</f>
        <v>45373.47429</v>
      </c>
      <c r="B48" s="13" t="str">
        <f>IFERROR(__xludf.DUMMYFUNCTION("""COMPUTED_VALUE"""),"Romedi N Bangun")</f>
        <v>Romedi N Bangun</v>
      </c>
      <c r="C48" s="13" t="str">
        <f>IFERROR(__xludf.DUMMYFUNCTION("""COMPUTED_VALUE"""),"08126446194")</f>
        <v>08126446194</v>
      </c>
      <c r="D48" s="13" t="str">
        <f>IFERROR(__xludf.DUMMYFUNCTION("""COMPUTED_VALUE"""),"romedib5@gmail:com")</f>
        <v>romedib5@gmail:com</v>
      </c>
      <c r="E48" s="13" t="str">
        <f>IFERROR(__xludf.DUMMYFUNCTION("""COMPUTED_VALUE"""),"OPD (Pemerintah Daerah)")</f>
        <v>OPD (Pemerintah Daerah)</v>
      </c>
      <c r="F48" s="13" t="str">
        <f>IFERROR(__xludf.DUMMYFUNCTION("""COMPUTED_VALUE"""),"Koordinasi antar lembaga")</f>
        <v>Koordinasi antar lembaga</v>
      </c>
      <c r="G48" s="13" t="str">
        <f>IFERROR(__xludf.DUMMYFUNCTION("""COMPUTED_VALUE"""),"https://drive:google:com/open?id=1xM4hUDJOaedhOr5Trw89LmpzrsfUM4-t")</f>
        <v>https://drive:google:com/open?id=1xM4hUDJOaedhOr5Trw89LmpzrsfUM4-t</v>
      </c>
      <c r="H48" s="13"/>
      <c r="I48" s="13" t="str">
        <f>IFERROR(__xludf.DUMMYFUNCTION("""COMPUTED_VALUE"""),"Bappeda")</f>
        <v>Bappeda</v>
      </c>
      <c r="J48" s="13" t="str">
        <f t="shared" si="1"/>
        <v>Maret 2024</v>
      </c>
      <c r="K48" s="13" t="str">
        <f t="shared" si="2"/>
        <v>22 Mar 2024</v>
      </c>
      <c r="L48" s="4" t="str">
        <f t="shared" si="3"/>
        <v>TW 1</v>
      </c>
    </row>
    <row r="49">
      <c r="A49" s="43">
        <f>IFERROR(__xludf.DUMMYFUNCTION("""COMPUTED_VALUE"""),45373.5112294213)</f>
        <v>45373.51123</v>
      </c>
      <c r="B49" s="13" t="str">
        <f>IFERROR(__xludf.DUMMYFUNCTION("""COMPUTED_VALUE"""),"Panal Sianturi")</f>
        <v>Panal Sianturi</v>
      </c>
      <c r="C49" s="13" t="str">
        <f>IFERROR(__xludf.DUMMYFUNCTION("""COMPUTED_VALUE"""),"08126437376")</f>
        <v>08126437376</v>
      </c>
      <c r="D49" s="13" t="str">
        <f>IFERROR(__xludf.DUMMYFUNCTION("""COMPUTED_VALUE"""),"-")</f>
        <v>-</v>
      </c>
      <c r="E49" s="13" t="str">
        <f>IFERROR(__xludf.DUMMYFUNCTION("""COMPUTED_VALUE"""),"OPD (Pemerintah Daerah)")</f>
        <v>OPD (Pemerintah Daerah)</v>
      </c>
      <c r="F49" s="13" t="str">
        <f>IFERROR(__xludf.DUMMYFUNCTION("""COMPUTED_VALUE"""),"Koordinasi antar lembaga")</f>
        <v>Koordinasi antar lembaga</v>
      </c>
      <c r="G49" s="13" t="str">
        <f>IFERROR(__xludf.DUMMYFUNCTION("""COMPUTED_VALUE"""),"https://drive:google:com/open?id=1nEy3Vjavu0vQwMnaUaLA4c8etIr1AVLI")</f>
        <v>https://drive:google:com/open?id=1nEy3Vjavu0vQwMnaUaLA4c8etIr1AVLI</v>
      </c>
      <c r="H49" s="13"/>
      <c r="I49" s="13" t="str">
        <f>IFERROR(__xludf.DUMMYFUNCTION("""COMPUTED_VALUE"""),"Sekretaris Daerah")</f>
        <v>Sekretaris Daerah</v>
      </c>
      <c r="J49" s="13" t="str">
        <f t="shared" si="1"/>
        <v>Maret 2024</v>
      </c>
      <c r="K49" s="13" t="str">
        <f t="shared" si="2"/>
        <v>22 Mar 2024</v>
      </c>
      <c r="L49" s="4" t="str">
        <f t="shared" si="3"/>
        <v>TW 1</v>
      </c>
    </row>
    <row r="50">
      <c r="A50" s="43">
        <f>IFERROR(__xludf.DUMMYFUNCTION("""COMPUTED_VALUE"""),45376.59538956018)</f>
        <v>45376.59539</v>
      </c>
      <c r="B50" s="13" t="str">
        <f>IFERROR(__xludf.DUMMYFUNCTION("""COMPUTED_VALUE"""),"anita")</f>
        <v>anita</v>
      </c>
      <c r="C50" s="13" t="str">
        <f>IFERROR(__xludf.DUMMYFUNCTION("""COMPUTED_VALUE"""),"082279730309")</f>
        <v>082279730309</v>
      </c>
      <c r="D50" s="13" t="str">
        <f>IFERROR(__xludf.DUMMYFUNCTION("""COMPUTED_VALUE"""),"anitasinambela27@gmail")</f>
        <v>anitasinambela27@gmail</v>
      </c>
      <c r="E50" s="13" t="str">
        <f>IFERROR(__xludf.DUMMYFUNCTION("""COMPUTED_VALUE"""),"OPD (Pemerintah Daerah)")</f>
        <v>OPD (Pemerintah Daerah)</v>
      </c>
      <c r="F50" s="13" t="str">
        <f>IFERROR(__xludf.DUMMYFUNCTION("""COMPUTED_VALUE"""),"Pelayanan Statistik (Permintaan Data/Konsultasi)")</f>
        <v>Pelayanan Statistik (Permintaan Data/Konsultasi)</v>
      </c>
      <c r="G50" s="13" t="str">
        <f>IFERROR(__xludf.DUMMYFUNCTION("""COMPUTED_VALUE"""),"https://drive:google:com/open?id=1fmKRoYgv7Rk7PRmh-Mh8NwDXN0MNo_JO")</f>
        <v>https://drive:google:com/open?id=1fmKRoYgv7Rk7PRmh-Mh8NwDXN0MNo_JO</v>
      </c>
      <c r="H50" s="13" t="str">
        <f>IFERROR(__xludf.DUMMYFUNCTION("""COMPUTED_VALUE"""),"permintaan data")</f>
        <v>permintaan data</v>
      </c>
      <c r="I50" s="13"/>
      <c r="J50" s="13" t="str">
        <f t="shared" si="1"/>
        <v>Maret 2024</v>
      </c>
      <c r="K50" s="13" t="str">
        <f t="shared" si="2"/>
        <v>25 Mar 2024</v>
      </c>
      <c r="L50" s="4" t="str">
        <f t="shared" si="3"/>
        <v>TW 1</v>
      </c>
    </row>
    <row r="51">
      <c r="A51" s="43">
        <f>IFERROR(__xludf.DUMMYFUNCTION("""COMPUTED_VALUE"""),45377.61826512731)</f>
        <v>45377.61827</v>
      </c>
      <c r="B51" s="13" t="str">
        <f>IFERROR(__xludf.DUMMYFUNCTION("""COMPUTED_VALUE"""),"Dedi Wahyudi Stp:Mp")</f>
        <v>Dedi Wahyudi Stp:Mp</v>
      </c>
      <c r="C51" s="13" t="str">
        <f>IFERROR(__xludf.DUMMYFUNCTION("""COMPUTED_VALUE"""),"081260322525")</f>
        <v>081260322525</v>
      </c>
      <c r="D51" s="13" t="str">
        <f>IFERROR(__xludf.DUMMYFUNCTION("""COMPUTED_VALUE"""),"dedi:wahyudi msi@gmail:com")</f>
        <v>dedi:wahyudi msi@gmail:com</v>
      </c>
      <c r="E51" s="13" t="str">
        <f>IFERROR(__xludf.DUMMYFUNCTION("""COMPUTED_VALUE"""),"kementrian pertanian")</f>
        <v>kementrian pertanian</v>
      </c>
      <c r="F51" s="13" t="str">
        <f>IFERROR(__xludf.DUMMYFUNCTION("""COMPUTED_VALUE"""),"Pelayanan Statistik (Permintaan Data/Konsultasi)")</f>
        <v>Pelayanan Statistik (Permintaan Data/Konsultasi)</v>
      </c>
      <c r="G51" s="13" t="str">
        <f>IFERROR(__xludf.DUMMYFUNCTION("""COMPUTED_VALUE"""),"https://drive:google:com/open?id=1h4Rs0qFVo4i2P7mIbOZB80XjWqBAOxIj")</f>
        <v>https://drive:google:com/open?id=1h4Rs0qFVo4i2P7mIbOZB80XjWqBAOxIj</v>
      </c>
      <c r="H51" s="13"/>
      <c r="I51" s="13"/>
      <c r="J51" s="13" t="str">
        <f t="shared" si="1"/>
        <v>Maret 2024</v>
      </c>
      <c r="K51" s="13" t="str">
        <f t="shared" si="2"/>
        <v>26 Mar 2024</v>
      </c>
      <c r="L51" s="4" t="str">
        <f t="shared" si="3"/>
        <v>TW 1</v>
      </c>
    </row>
    <row r="52">
      <c r="A52" s="43">
        <f>IFERROR(__xludf.DUMMYFUNCTION("""COMPUTED_VALUE"""),45378.37519111111)</f>
        <v>45378.37519</v>
      </c>
      <c r="B52" s="13" t="str">
        <f>IFERROR(__xludf.DUMMYFUNCTION("""COMPUTED_VALUE"""),"M: Wasik Riyanto")</f>
        <v>M: Wasik Riyanto</v>
      </c>
      <c r="C52" s="13" t="str">
        <f>IFERROR(__xludf.DUMMYFUNCTION("""COMPUTED_VALUE"""),"082163650951")</f>
        <v>082163650951</v>
      </c>
      <c r="D52" s="13" t="str">
        <f>IFERROR(__xludf.DUMMYFUNCTION("""COMPUTED_VALUE"""),"wasikrianto@gmail:com")</f>
        <v>wasikrianto@gmail:com</v>
      </c>
      <c r="E52" s="13" t="str">
        <f>IFERROR(__xludf.DUMMYFUNCTION("""COMPUTED_VALUE"""),"OPD (Pemerintah Daerah)")</f>
        <v>OPD (Pemerintah Daerah)</v>
      </c>
      <c r="F52" s="13" t="str">
        <f>IFERROR(__xludf.DUMMYFUNCTION("""COMPUTED_VALUE"""),"Pelayanan Statistik (Permintaan Data/Konsultasi)")</f>
        <v>Pelayanan Statistik (Permintaan Data/Konsultasi)</v>
      </c>
      <c r="G52" s="13" t="str">
        <f>IFERROR(__xludf.DUMMYFUNCTION("""COMPUTED_VALUE"""),"https://drive:google:com/open?id=10nKaSB0BkAItC2g6e-ZSCuJ8byrGkFKy")</f>
        <v>https://drive:google:com/open?id=10nKaSB0BkAItC2g6e-ZSCuJ8byrGkFKy</v>
      </c>
      <c r="H52" s="13" t="str">
        <f>IFERROR(__xludf.DUMMYFUNCTION("""COMPUTED_VALUE"""),"Penyampaian Data")</f>
        <v>Penyampaian Data</v>
      </c>
      <c r="I52" s="13"/>
      <c r="J52" s="13" t="str">
        <f t="shared" si="1"/>
        <v>Maret 2024</v>
      </c>
      <c r="K52" s="13" t="str">
        <f t="shared" si="2"/>
        <v>27 Mar 2024</v>
      </c>
      <c r="L52" s="4" t="str">
        <f t="shared" si="3"/>
        <v>TW 1</v>
      </c>
    </row>
    <row r="53">
      <c r="A53" s="43">
        <f>IFERROR(__xludf.DUMMYFUNCTION("""COMPUTED_VALUE"""),45378.45798179398)</f>
        <v>45378.45798</v>
      </c>
      <c r="B53" s="13" t="str">
        <f>IFERROR(__xludf.DUMMYFUNCTION("""COMPUTED_VALUE"""),"Alwi Angkat")</f>
        <v>Alwi Angkat</v>
      </c>
      <c r="C53" s="13" t="str">
        <f>IFERROR(__xludf.DUMMYFUNCTION("""COMPUTED_VALUE"""),"085362443965")</f>
        <v>085362443965</v>
      </c>
      <c r="D53" s="13"/>
      <c r="E53" s="13" t="str">
        <f>IFERROR(__xludf.DUMMYFUNCTION("""COMPUTED_VALUE"""),"OPD (Pemerintah Daerah)")</f>
        <v>OPD (Pemerintah Daerah)</v>
      </c>
      <c r="F53" s="13" t="str">
        <f>IFERROR(__xludf.DUMMYFUNCTION("""COMPUTED_VALUE"""),"Pelayanan Statistik (Permintaan Data/Konsultasi)")</f>
        <v>Pelayanan Statistik (Permintaan Data/Konsultasi)</v>
      </c>
      <c r="G53" s="13" t="str">
        <f>IFERROR(__xludf.DUMMYFUNCTION("""COMPUTED_VALUE"""),"https://drive:google:com/open?id=1wc44THdywS7122LjQolYMAsDnM0wi50E")</f>
        <v>https://drive:google:com/open?id=1wc44THdywS7122LjQolYMAsDnM0wi50E</v>
      </c>
      <c r="H53" s="13" t="str">
        <f>IFERROR(__xludf.DUMMYFUNCTION("""COMPUTED_VALUE"""),"Mengambil Data")</f>
        <v>Mengambil Data</v>
      </c>
      <c r="I53" s="13"/>
      <c r="J53" s="13" t="str">
        <f t="shared" si="1"/>
        <v>Maret 2024</v>
      </c>
      <c r="K53" s="13" t="str">
        <f t="shared" si="2"/>
        <v>27 Mar 2024</v>
      </c>
      <c r="L53" s="4" t="str">
        <f t="shared" si="3"/>
        <v>TW 1</v>
      </c>
    </row>
    <row r="54">
      <c r="A54" s="43">
        <f>IFERROR(__xludf.DUMMYFUNCTION("""COMPUTED_VALUE"""),45427.467500624996)</f>
        <v>45427.4675</v>
      </c>
      <c r="B54" s="13" t="str">
        <f>IFERROR(__xludf.DUMMYFUNCTION("""COMPUTED_VALUE"""),"janbakti pinayungan")</f>
        <v>janbakti pinayungan</v>
      </c>
      <c r="C54" s="13" t="str">
        <f>IFERROR(__xludf.DUMMYFUNCTION("""COMPUTED_VALUE"""),"081360004519")</f>
        <v>081360004519</v>
      </c>
      <c r="D54" s="13" t="str">
        <f>IFERROR(__xludf.DUMMYFUNCTION("""COMPUTED_VALUE"""),"-")</f>
        <v>-</v>
      </c>
      <c r="E54" s="13" t="str">
        <f>IFERROR(__xludf.DUMMYFUNCTION("""COMPUTED_VALUE"""),"OPD (Pemerintah Daerah)")</f>
        <v>OPD (Pemerintah Daerah)</v>
      </c>
      <c r="F54" s="13" t="str">
        <f>IFERROR(__xludf.DUMMYFUNCTION("""COMPUTED_VALUE"""),"Pelayanan Statistik (Permintaan Data/Konsultasi)")</f>
        <v>Pelayanan Statistik (Permintaan Data/Konsultasi)</v>
      </c>
      <c r="G54" s="13"/>
      <c r="H54" s="13" t="str">
        <f>IFERROR(__xludf.DUMMYFUNCTION("""COMPUTED_VALUE"""),"permintaan data")</f>
        <v>permintaan data</v>
      </c>
      <c r="I54" s="13"/>
      <c r="J54" s="13" t="str">
        <f t="shared" si="1"/>
        <v>Mei 2024</v>
      </c>
      <c r="K54" s="13" t="str">
        <f t="shared" si="2"/>
        <v>15 Mei 2024</v>
      </c>
      <c r="L54" s="4" t="str">
        <f t="shared" si="3"/>
        <v>TW 2</v>
      </c>
    </row>
    <row r="55">
      <c r="A55" s="43">
        <f>IFERROR(__xludf.DUMMYFUNCTION("""COMPUTED_VALUE"""),45427.46982481482)</f>
        <v>45427.46982</v>
      </c>
      <c r="B55" s="13" t="str">
        <f>IFERROR(__xludf.DUMMYFUNCTION("""COMPUTED_VALUE"""),"S Rajaguk-guk")</f>
        <v>S Rajaguk-guk</v>
      </c>
      <c r="C55" s="13" t="str">
        <f>IFERROR(__xludf.DUMMYFUNCTION("""COMPUTED_VALUE"""),"085296176584")</f>
        <v>085296176584</v>
      </c>
      <c r="D55" s="13" t="str">
        <f>IFERROR(__xludf.DUMMYFUNCTION("""COMPUTED_VALUE"""),"supernandorajagukguk@gmail:com")</f>
        <v>supernandorajagukguk@gmail:com</v>
      </c>
      <c r="E55" s="13" t="str">
        <f>IFERROR(__xludf.DUMMYFUNCTION("""COMPUTED_VALUE"""),"TNI/POLRI")</f>
        <v>TNI/POLRI</v>
      </c>
      <c r="F55" s="13" t="str">
        <f>IFERROR(__xludf.DUMMYFUNCTION("""COMPUTED_VALUE"""),"Pelayanan Statistik (Permintaan Data/Konsultasi)")</f>
        <v>Pelayanan Statistik (Permintaan Data/Konsultasi)</v>
      </c>
      <c r="G55" s="13" t="str">
        <f>IFERROR(__xludf.DUMMYFUNCTION("""COMPUTED_VALUE"""),"https://drive:google:com/open?id=1FGLRTlzywLn-kM4LOC4K7CacoG2IW246")</f>
        <v>https://drive:google:com/open?id=1FGLRTlzywLn-kM4LOC4K7CacoG2IW246</v>
      </c>
      <c r="H55" s="13" t="str">
        <f>IFERROR(__xludf.DUMMYFUNCTION("""COMPUTED_VALUE"""),"Permintaan Data Jumlah Penduduk Berdasarkan Profesi")</f>
        <v>Permintaan Data Jumlah Penduduk Berdasarkan Profesi</v>
      </c>
      <c r="I55" s="13"/>
      <c r="J55" s="13" t="str">
        <f t="shared" si="1"/>
        <v>Mei 2024</v>
      </c>
      <c r="K55" s="13" t="str">
        <f t="shared" si="2"/>
        <v>15 Mei 2024</v>
      </c>
      <c r="L55" s="4" t="str">
        <f t="shared" si="3"/>
        <v>TW 2</v>
      </c>
    </row>
    <row r="56">
      <c r="A56" s="43">
        <f>IFERROR(__xludf.DUMMYFUNCTION("""COMPUTED_VALUE"""),45428.46742606482)</f>
        <v>45428.46743</v>
      </c>
      <c r="B56" s="13" t="str">
        <f>IFERROR(__xludf.DUMMYFUNCTION("""COMPUTED_VALUE"""),"Krisdayanti Manik")</f>
        <v>Krisdayanti Manik</v>
      </c>
      <c r="C56" s="13" t="str">
        <f>IFERROR(__xludf.DUMMYFUNCTION("""COMPUTED_VALUE"""),"081262989164")</f>
        <v>081262989164</v>
      </c>
      <c r="D56" s="13" t="str">
        <f>IFERROR(__xludf.DUMMYFUNCTION("""COMPUTED_VALUE"""),"krisdayantimanik100@gmail:com")</f>
        <v>krisdayantimanik100@gmail:com</v>
      </c>
      <c r="E56" s="13" t="str">
        <f>IFERROR(__xludf.DUMMYFUNCTION("""COMPUTED_VALUE"""),"BUMN/BUMD")</f>
        <v>BUMN/BUMD</v>
      </c>
      <c r="F56" s="13" t="str">
        <f>IFERROR(__xludf.DUMMYFUNCTION("""COMPUTED_VALUE"""),"Koordinasi antar lembaga")</f>
        <v>Koordinasi antar lembaga</v>
      </c>
      <c r="G56" s="13" t="str">
        <f>IFERROR(__xludf.DUMMYFUNCTION("""COMPUTED_VALUE"""),"https://drive:google:com/open?id=1_mTh3XtDhXBqALdMEjGN0Qree1FiKM5E")</f>
        <v>https://drive:google:com/open?id=1_mTh3XtDhXBqALdMEjGN0Qree1FiKM5E</v>
      </c>
      <c r="H56" s="13"/>
      <c r="I56" s="13" t="str">
        <f>IFERROR(__xludf.DUMMYFUNCTION("""COMPUTED_VALUE"""),"Pegadaian")</f>
        <v>Pegadaian</v>
      </c>
      <c r="J56" s="13" t="str">
        <f t="shared" si="1"/>
        <v>Mei 2024</v>
      </c>
      <c r="K56" s="13" t="str">
        <f t="shared" si="2"/>
        <v>16 Mei 2024</v>
      </c>
      <c r="L56" s="4" t="str">
        <f t="shared" si="3"/>
        <v>TW 2</v>
      </c>
    </row>
    <row r="57">
      <c r="A57" s="43">
        <f>IFERROR(__xludf.DUMMYFUNCTION("""COMPUTED_VALUE"""),45428.46924309027)</f>
        <v>45428.46924</v>
      </c>
      <c r="B57" s="13" t="str">
        <f>IFERROR(__xludf.DUMMYFUNCTION("""COMPUTED_VALUE"""),"Valentina Angriani Pangaribuan")</f>
        <v>Valentina Angriani Pangaribuan</v>
      </c>
      <c r="C57" s="13" t="str">
        <f>IFERROR(__xludf.DUMMYFUNCTION("""COMPUTED_VALUE"""),"082220388521")</f>
        <v>082220388521</v>
      </c>
      <c r="D57" s="13" t="str">
        <f>IFERROR(__xludf.DUMMYFUNCTION("""COMPUTED_VALUE"""),"valentinaangriani09@gmail:com")</f>
        <v>valentinaangriani09@gmail:com</v>
      </c>
      <c r="E57" s="13" t="str">
        <f>IFERROR(__xludf.DUMMYFUNCTION("""COMPUTED_VALUE"""),"BUMN/BUMD")</f>
        <v>BUMN/BUMD</v>
      </c>
      <c r="F57" s="13" t="str">
        <f>IFERROR(__xludf.DUMMYFUNCTION("""COMPUTED_VALUE"""),"Pelayanan Statistik (Permintaan Data/Konsultasi)")</f>
        <v>Pelayanan Statistik (Permintaan Data/Konsultasi)</v>
      </c>
      <c r="G57" s="13" t="str">
        <f>IFERROR(__xludf.DUMMYFUNCTION("""COMPUTED_VALUE"""),"https://drive:google:com/open?id=1FyQgCZ07mB00jAwcwR2P4eJnRzzkwRnV")</f>
        <v>https://drive:google:com/open?id=1FyQgCZ07mB00jAwcwR2P4eJnRzzkwRnV</v>
      </c>
      <c r="H57" s="13" t="str">
        <f>IFERROR(__xludf.DUMMYFUNCTION("""COMPUTED_VALUE"""),"Pegadaian")</f>
        <v>Pegadaian</v>
      </c>
      <c r="I57" s="13"/>
      <c r="J57" s="13" t="str">
        <f t="shared" si="1"/>
        <v>Mei 2024</v>
      </c>
      <c r="K57" s="13" t="str">
        <f t="shared" si="2"/>
        <v>16 Mei 2024</v>
      </c>
      <c r="L57" s="4" t="str">
        <f t="shared" si="3"/>
        <v>TW 2</v>
      </c>
    </row>
    <row r="58">
      <c r="A58" s="43">
        <f>IFERROR(__xludf.DUMMYFUNCTION("""COMPUTED_VALUE"""),45440.46579427083)</f>
        <v>45440.46579</v>
      </c>
      <c r="B58" s="13" t="str">
        <f>IFERROR(__xludf.DUMMYFUNCTION("""COMPUTED_VALUE"""),"EDITA SILALAHI")</f>
        <v>EDITA SILALAHI</v>
      </c>
      <c r="C58" s="13" t="str">
        <f>IFERROR(__xludf.DUMMYFUNCTION("""COMPUTED_VALUE"""),"082276822277")</f>
        <v>082276822277</v>
      </c>
      <c r="D58" s="13" t="str">
        <f>IFERROR(__xludf.DUMMYFUNCTION("""COMPUTED_VALUE"""),"editasilalahi2017@gmail:com")</f>
        <v>editasilalahi2017@gmail:com</v>
      </c>
      <c r="E58" s="13" t="str">
        <f>IFERROR(__xludf.DUMMYFUNCTION("""COMPUTED_VALUE"""),"Institusi Pendidikan")</f>
        <v>Institusi Pendidikan</v>
      </c>
      <c r="F58" s="13" t="str">
        <f>IFERROR(__xludf.DUMMYFUNCTION("""COMPUTED_VALUE"""),"Pelayanan Statistik (Permintaan Data/Konsultasi)")</f>
        <v>Pelayanan Statistik (Permintaan Data/Konsultasi)</v>
      </c>
      <c r="G58" s="13"/>
      <c r="H58" s="13"/>
      <c r="I58" s="13"/>
      <c r="J58" s="13" t="str">
        <f t="shared" si="1"/>
        <v>Mei 2024</v>
      </c>
      <c r="K58" s="13" t="str">
        <f t="shared" si="2"/>
        <v>28 Mei 2024</v>
      </c>
      <c r="L58" s="4" t="str">
        <f t="shared" si="3"/>
        <v>TW 2</v>
      </c>
    </row>
    <row r="59">
      <c r="A59" s="43">
        <f>IFERROR(__xludf.DUMMYFUNCTION("""COMPUTED_VALUE"""),45443.452595208335)</f>
        <v>45443.4526</v>
      </c>
      <c r="B59" s="13" t="str">
        <f>IFERROR(__xludf.DUMMYFUNCTION("""COMPUTED_VALUE"""),"Denny")</f>
        <v>Denny</v>
      </c>
      <c r="C59" s="13" t="str">
        <f>IFERROR(__xludf.DUMMYFUNCTION("""COMPUTED_VALUE"""),"082275724100")</f>
        <v>082275724100</v>
      </c>
      <c r="D59" s="13" t="str">
        <f>IFERROR(__xludf.DUMMYFUNCTION("""COMPUTED_VALUE"""),"dennysetyowiguna@gmail:com")</f>
        <v>dennysetyowiguna@gmail:com</v>
      </c>
      <c r="E59" s="13" t="str">
        <f>IFERROR(__xludf.DUMMYFUNCTION("""COMPUTED_VALUE"""),"Kementrian Pemberdayaan Anak Perempuan")</f>
        <v>Kementrian Pemberdayaan Anak Perempuan</v>
      </c>
      <c r="F59" s="13" t="str">
        <f>IFERROR(__xludf.DUMMYFUNCTION("""COMPUTED_VALUE"""),"Koordinasi antar lembaga")</f>
        <v>Koordinasi antar lembaga</v>
      </c>
      <c r="G59" s="13" t="str">
        <f>IFERROR(__xludf.DUMMYFUNCTION("""COMPUTED_VALUE"""),"https://drive:google:com/open?id=1jrZM74cOA2ruk-fcrLHUl2nbBSVuhjOg")</f>
        <v>https://drive:google:com/open?id=1jrZM74cOA2ruk-fcrLHUl2nbBSVuhjOg</v>
      </c>
      <c r="H59" s="13"/>
      <c r="I59" s="13" t="str">
        <f>IFERROR(__xludf.DUMMYFUNCTION("""COMPUTED_VALUE"""),"Kementrian Pemberdayaan Anak Perempuan")</f>
        <v>Kementrian Pemberdayaan Anak Perempuan</v>
      </c>
      <c r="J59" s="13" t="str">
        <f t="shared" si="1"/>
        <v>Mei 2024</v>
      </c>
      <c r="K59" s="13" t="str">
        <f t="shared" si="2"/>
        <v>31 Mei 2024</v>
      </c>
      <c r="L59" s="4" t="str">
        <f t="shared" si="3"/>
        <v>TW 2</v>
      </c>
    </row>
    <row r="60">
      <c r="A60" s="43">
        <f>IFERROR(__xludf.DUMMYFUNCTION("""COMPUTED_VALUE"""),45443.480815358795)</f>
        <v>45443.48082</v>
      </c>
      <c r="B60" s="13" t="str">
        <f>IFERROR(__xludf.DUMMYFUNCTION("""COMPUTED_VALUE"""),"Agustina Nababan")</f>
        <v>Agustina Nababan</v>
      </c>
      <c r="C60" s="13" t="str">
        <f>IFERROR(__xludf.DUMMYFUNCTION("""COMPUTED_VALUE"""),"082139338536")</f>
        <v>082139338536</v>
      </c>
      <c r="D60" s="13" t="str">
        <f>IFERROR(__xludf.DUMMYFUNCTION("""COMPUTED_VALUE"""),"nababanagustina4@gmail:com")</f>
        <v>nababanagustina4@gmail:com</v>
      </c>
      <c r="E60" s="13" t="str">
        <f>IFERROR(__xludf.DUMMYFUNCTION("""COMPUTED_VALUE"""),"KemenPPA")</f>
        <v>KemenPPA</v>
      </c>
      <c r="F60" s="13" t="str">
        <f>IFERROR(__xludf.DUMMYFUNCTION("""COMPUTED_VALUE"""),"Koordinasi antar lembaga")</f>
        <v>Koordinasi antar lembaga</v>
      </c>
      <c r="G60" s="13" t="str">
        <f>IFERROR(__xludf.DUMMYFUNCTION("""COMPUTED_VALUE"""),"https://drive:google:com/open?id=1jguCsnOxf_pU-CFTg8WTYuvekF9zpW9L")</f>
        <v>https://drive:google:com/open?id=1jguCsnOxf_pU-CFTg8WTYuvekF9zpW9L</v>
      </c>
      <c r="H60" s="13"/>
      <c r="I60" s="13" t="str">
        <f>IFERROR(__xludf.DUMMYFUNCTION("""COMPUTED_VALUE"""),"KemenPPA")</f>
        <v>KemenPPA</v>
      </c>
      <c r="J60" s="13" t="str">
        <f t="shared" si="1"/>
        <v>Mei 2024</v>
      </c>
      <c r="K60" s="13" t="str">
        <f t="shared" si="2"/>
        <v>31 Mei 2024</v>
      </c>
      <c r="L60" s="4" t="str">
        <f t="shared" si="3"/>
        <v>TW 2</v>
      </c>
    </row>
    <row r="61">
      <c r="A61" s="43">
        <f>IFERROR(__xludf.DUMMYFUNCTION("""COMPUTED_VALUE"""),45443.48205127315)</f>
        <v>45443.48205</v>
      </c>
      <c r="B61" s="13" t="str">
        <f>IFERROR(__xludf.DUMMYFUNCTION("""COMPUTED_VALUE"""),"Debora Gultom")</f>
        <v>Debora Gultom</v>
      </c>
      <c r="C61" s="13" t="str">
        <f>IFERROR(__xludf.DUMMYFUNCTION("""COMPUTED_VALUE"""),"085759988290")</f>
        <v>085759988290</v>
      </c>
      <c r="D61" s="13" t="str">
        <f>IFERROR(__xludf.DUMMYFUNCTION("""COMPUTED_VALUE"""),"debora:frnscilia30@gmail:com")</f>
        <v>debora:frnscilia30@gmail:com</v>
      </c>
      <c r="E61" s="13" t="str">
        <f>IFERROR(__xludf.DUMMYFUNCTION("""COMPUTED_VALUE"""),"KemenPPA")</f>
        <v>KemenPPA</v>
      </c>
      <c r="F61" s="13" t="str">
        <f>IFERROR(__xludf.DUMMYFUNCTION("""COMPUTED_VALUE"""),"Koordinasi antar lembaga")</f>
        <v>Koordinasi antar lembaga</v>
      </c>
      <c r="G61" s="13" t="str">
        <f>IFERROR(__xludf.DUMMYFUNCTION("""COMPUTED_VALUE"""),"https://drive:google:com/open?id=14rS-bg776W2atrTqYRZ121f6k6lWAggC")</f>
        <v>https://drive:google:com/open?id=14rS-bg776W2atrTqYRZ121f6k6lWAggC</v>
      </c>
      <c r="H61" s="13"/>
      <c r="I61" s="13" t="str">
        <f>IFERROR(__xludf.DUMMYFUNCTION("""COMPUTED_VALUE"""),"KemenPPA")</f>
        <v>KemenPPA</v>
      </c>
      <c r="J61" s="13" t="str">
        <f t="shared" si="1"/>
        <v>Mei 2024</v>
      </c>
      <c r="K61" s="13" t="str">
        <f t="shared" si="2"/>
        <v>31 Mei 2024</v>
      </c>
      <c r="L61" s="4" t="str">
        <f t="shared" si="3"/>
        <v>TW 2</v>
      </c>
    </row>
    <row r="62">
      <c r="A62" s="43">
        <f>IFERROR(__xludf.DUMMYFUNCTION("""COMPUTED_VALUE"""),45443.48305333334)</f>
        <v>45443.48305</v>
      </c>
      <c r="B62" s="13" t="str">
        <f>IFERROR(__xludf.DUMMYFUNCTION("""COMPUTED_VALUE"""),"Kamaludin Jamil")</f>
        <v>Kamaludin Jamil</v>
      </c>
      <c r="C62" s="13" t="str">
        <f>IFERROR(__xludf.DUMMYFUNCTION("""COMPUTED_VALUE"""),"087777769218")</f>
        <v>087777769218</v>
      </c>
      <c r="D62" s="13" t="str">
        <f>IFERROR(__xludf.DUMMYFUNCTION("""COMPUTED_VALUE"""),"kamaludinjamil21@gmail:com")</f>
        <v>kamaludinjamil21@gmail:com</v>
      </c>
      <c r="E62" s="13" t="str">
        <f>IFERROR(__xludf.DUMMYFUNCTION("""COMPUTED_VALUE"""),"KemenPPA")</f>
        <v>KemenPPA</v>
      </c>
      <c r="F62" s="13" t="str">
        <f>IFERROR(__xludf.DUMMYFUNCTION("""COMPUTED_VALUE"""),"Koordinasi antar lembaga")</f>
        <v>Koordinasi antar lembaga</v>
      </c>
      <c r="G62" s="13" t="str">
        <f>IFERROR(__xludf.DUMMYFUNCTION("""COMPUTED_VALUE"""),"https://drive:google:com/open?id=1SgFlQaY9vxZ96Zs7Bkmvnmi4YPyjAPmI")</f>
        <v>https://drive:google:com/open?id=1SgFlQaY9vxZ96Zs7Bkmvnmi4YPyjAPmI</v>
      </c>
      <c r="H62" s="13"/>
      <c r="I62" s="13" t="str">
        <f>IFERROR(__xludf.DUMMYFUNCTION("""COMPUTED_VALUE"""),"KemenPPA")</f>
        <v>KemenPPA</v>
      </c>
      <c r="J62" s="13" t="str">
        <f t="shared" si="1"/>
        <v>Mei 2024</v>
      </c>
      <c r="K62" s="13" t="str">
        <f t="shared" si="2"/>
        <v>31 Mei 2024</v>
      </c>
      <c r="L62" s="4" t="str">
        <f t="shared" si="3"/>
        <v>TW 2</v>
      </c>
    </row>
    <row r="63">
      <c r="A63" s="43">
        <f>IFERROR(__xludf.DUMMYFUNCTION("""COMPUTED_VALUE"""),45443.48383817129)</f>
        <v>45443.48384</v>
      </c>
      <c r="B63" s="13" t="str">
        <f>IFERROR(__xludf.DUMMYFUNCTION("""COMPUTED_VALUE"""),"Ester Sinaga")</f>
        <v>Ester Sinaga</v>
      </c>
      <c r="C63" s="13" t="str">
        <f>IFERROR(__xludf.DUMMYFUNCTION("""COMPUTED_VALUE"""),"081263481723")</f>
        <v>081263481723</v>
      </c>
      <c r="D63" s="13" t="str">
        <f>IFERROR(__xludf.DUMMYFUNCTION("""COMPUTED_VALUE"""),"estersinaga768@gmail:com")</f>
        <v>estersinaga768@gmail:com</v>
      </c>
      <c r="E63" s="13" t="str">
        <f>IFERROR(__xludf.DUMMYFUNCTION("""COMPUTED_VALUE"""),"KemenPPA")</f>
        <v>KemenPPA</v>
      </c>
      <c r="F63" s="13" t="str">
        <f>IFERROR(__xludf.DUMMYFUNCTION("""COMPUTED_VALUE"""),"Koordinasi antar lembaga")</f>
        <v>Koordinasi antar lembaga</v>
      </c>
      <c r="G63" s="13" t="str">
        <f>IFERROR(__xludf.DUMMYFUNCTION("""COMPUTED_VALUE"""),"https://drive:google:com/open?id=1ycf8zxD-9CChzAIK17uCeMqAHNszXS8b")</f>
        <v>https://drive:google:com/open?id=1ycf8zxD-9CChzAIK17uCeMqAHNszXS8b</v>
      </c>
      <c r="H63" s="13"/>
      <c r="I63" s="13" t="str">
        <f>IFERROR(__xludf.DUMMYFUNCTION("""COMPUTED_VALUE"""),"KemenPPA")</f>
        <v>KemenPPA</v>
      </c>
      <c r="J63" s="13" t="str">
        <f t="shared" si="1"/>
        <v>Mei 2024</v>
      </c>
      <c r="K63" s="13" t="str">
        <f t="shared" si="2"/>
        <v>31 Mei 2024</v>
      </c>
      <c r="L63" s="4" t="str">
        <f t="shared" si="3"/>
        <v>TW 2</v>
      </c>
    </row>
    <row r="64">
      <c r="A64" s="43">
        <f>IFERROR(__xludf.DUMMYFUNCTION("""COMPUTED_VALUE"""),45446.37082167824)</f>
        <v>45446.37082</v>
      </c>
      <c r="B64" s="13" t="str">
        <f>IFERROR(__xludf.DUMMYFUNCTION("""COMPUTED_VALUE"""),"Arya W")</f>
        <v>Arya W</v>
      </c>
      <c r="C64" s="13" t="str">
        <f>IFERROR(__xludf.DUMMYFUNCTION("""COMPUTED_VALUE"""),"082298060268")</f>
        <v>082298060268</v>
      </c>
      <c r="D64" s="13" t="str">
        <f>IFERROR(__xludf.DUMMYFUNCTION("""COMPUTED_VALUE"""),"arya:wimahes4@gmail:com")</f>
        <v>arya:wimahes4@gmail:com</v>
      </c>
      <c r="E64" s="13" t="str">
        <f>IFERROR(__xludf.DUMMYFUNCTION("""COMPUTED_VALUE"""),"OPD (Pemerintah Daerah)")</f>
        <v>OPD (Pemerintah Daerah)</v>
      </c>
      <c r="F64" s="13" t="str">
        <f>IFERROR(__xludf.DUMMYFUNCTION("""COMPUTED_VALUE"""),"Pelayanan Statistik (Permintaan Data/Konsultasi)")</f>
        <v>Pelayanan Statistik (Permintaan Data/Konsultasi)</v>
      </c>
      <c r="G64" s="13" t="str">
        <f>IFERROR(__xludf.DUMMYFUNCTION("""COMPUTED_VALUE"""),"https://drive:google:com/open?id=1RIrRRmDnGolhi9bDe1sMZRmjZklE-wNf")</f>
        <v>https://drive:google:com/open?id=1RIrRRmDnGolhi9bDe1sMZRmjZklE-wNf</v>
      </c>
      <c r="H64" s="13" t="str">
        <f>IFERROR(__xludf.DUMMYFUNCTION("""COMPUTED_VALUE"""),"Konsultasi Bagaimana Tata  Cara Pelaksanaan Survei")</f>
        <v>Konsultasi Bagaimana Tata  Cara Pelaksanaan Survei</v>
      </c>
      <c r="I64" s="13"/>
      <c r="J64" s="13" t="str">
        <f t="shared" si="1"/>
        <v>Juni 2024</v>
      </c>
      <c r="K64" s="13" t="str">
        <f t="shared" si="2"/>
        <v>03 Jun 2024</v>
      </c>
      <c r="L64" s="4" t="str">
        <f t="shared" si="3"/>
        <v>TW 2</v>
      </c>
    </row>
    <row r="65">
      <c r="A65" s="43">
        <f>IFERROR(__xludf.DUMMYFUNCTION("""COMPUTED_VALUE"""),45449.41357884259)</f>
        <v>45449.41358</v>
      </c>
      <c r="B65" s="13" t="str">
        <f>IFERROR(__xludf.DUMMYFUNCTION("""COMPUTED_VALUE"""),"PRIMUS EDWIN DANIEL SINAGA")</f>
        <v>PRIMUS EDWIN DANIEL SINAGA</v>
      </c>
      <c r="C65" s="13" t="str">
        <f>IFERROR(__xludf.DUMMYFUNCTION("""COMPUTED_VALUE"""),"081267867377")</f>
        <v>081267867377</v>
      </c>
      <c r="D65" s="13" t="str">
        <f>IFERROR(__xludf.DUMMYFUNCTION("""COMPUTED_VALUE"""),"primussinaga02@gmail:com")</f>
        <v>primussinaga02@gmail:com</v>
      </c>
      <c r="E65" s="13" t="str">
        <f>IFERROR(__xludf.DUMMYFUNCTION("""COMPUTED_VALUE"""),"Mahasiswa USU ( S1 Ilmu Sejarah)")</f>
        <v>Mahasiswa USU ( S1 Ilmu Sejarah)</v>
      </c>
      <c r="F65" s="13" t="str">
        <f>IFERROR(__xludf.DUMMYFUNCTION("""COMPUTED_VALUE"""),"Pelayanan Statistik (Permintaan Data/Konsultasi)")</f>
        <v>Pelayanan Statistik (Permintaan Data/Konsultasi)</v>
      </c>
      <c r="G65" s="13" t="str">
        <f>IFERROR(__xludf.DUMMYFUNCTION("""COMPUTED_VALUE"""),"https://drive:google:com/open?id=1s0SyrgEnpZvTU9vnuN5plbb6ong775yH")</f>
        <v>https://drive:google:com/open?id=1s0SyrgEnpZvTU9vnuN5plbb6ong775yH</v>
      </c>
      <c r="H65" s="13" t="str">
        <f>IFERROR(__xludf.DUMMYFUNCTION("""COMPUTED_VALUE"""),"Permintaan Data Pertanian Durian di kelurahan parongil (1980-2000)")</f>
        <v>Permintaan Data Pertanian Durian di kelurahan parongil (1980-2000)</v>
      </c>
      <c r="I65" s="13"/>
      <c r="J65" s="13" t="str">
        <f t="shared" si="1"/>
        <v>Juni 2024</v>
      </c>
      <c r="K65" s="13" t="str">
        <f t="shared" si="2"/>
        <v>06 Jun 2024</v>
      </c>
      <c r="L65" s="4" t="str">
        <f t="shared" si="3"/>
        <v>TW 2</v>
      </c>
    </row>
    <row r="66">
      <c r="A66" s="43">
        <f>IFERROR(__xludf.DUMMYFUNCTION("""COMPUTED_VALUE"""),45455.61997712963)</f>
        <v>45455.61998</v>
      </c>
      <c r="B66" s="13" t="str">
        <f>IFERROR(__xludf.DUMMYFUNCTION("""COMPUTED_VALUE"""),"Agus Mansyah")</f>
        <v>Agus Mansyah</v>
      </c>
      <c r="C66" s="13" t="str">
        <f>IFERROR(__xludf.DUMMYFUNCTION("""COMPUTED_VALUE"""),"085261138371")</f>
        <v>085261138371</v>
      </c>
      <c r="D66" s="13" t="str">
        <f>IFERROR(__xludf.DUMMYFUNCTION("""COMPUTED_VALUE"""),"agusmansyah1990@gmail:com")</f>
        <v>agusmansyah1990@gmail:com</v>
      </c>
      <c r="E66" s="13" t="str">
        <f>IFERROR(__xludf.DUMMYFUNCTION("""COMPUTED_VALUE"""),"BPS Provinsi Sumatera Utara")</f>
        <v>BPS Provinsi Sumatera Utara</v>
      </c>
      <c r="F66" s="13" t="str">
        <f>IFERROR(__xludf.DUMMYFUNCTION("""COMPUTED_VALUE"""),"Kunjungan Kerja")</f>
        <v>Kunjungan Kerja</v>
      </c>
      <c r="G66" s="13" t="str">
        <f>IFERROR(__xludf.DUMMYFUNCTION("""COMPUTED_VALUE"""),"https://drive:google:com/open?id=1cSXyE-5XgiTnVjqsvI2iv-gH5jX79FH6")</f>
        <v>https://drive:google:com/open?id=1cSXyE-5XgiTnVjqsvI2iv-gH5jX79FH6</v>
      </c>
      <c r="H66" s="13"/>
      <c r="I66" s="13"/>
      <c r="J66" s="13" t="str">
        <f t="shared" si="1"/>
        <v>Juni 2024</v>
      </c>
      <c r="K66" s="13" t="str">
        <f t="shared" si="2"/>
        <v>12 Jun 2024</v>
      </c>
      <c r="L66" s="4" t="str">
        <f t="shared" si="3"/>
        <v>TW 2</v>
      </c>
    </row>
    <row r="67">
      <c r="A67" s="43">
        <f>IFERROR(__xludf.DUMMYFUNCTION("""COMPUTED_VALUE"""),45456.62473812501)</f>
        <v>45456.62474</v>
      </c>
      <c r="B67" s="13" t="str">
        <f>IFERROR(__xludf.DUMMYFUNCTION("""COMPUTED_VALUE"""),"Nurul Hasanudin")</f>
        <v>Nurul Hasanudin</v>
      </c>
      <c r="C67" s="13" t="str">
        <f>IFERROR(__xludf.DUMMYFUNCTION("""COMPUTED_VALUE"""),"082282553403")</f>
        <v>082282553403</v>
      </c>
      <c r="D67" s="13"/>
      <c r="E67" s="13" t="str">
        <f>IFERROR(__xludf.DUMMYFUNCTION("""COMPUTED_VALUE"""),"BPS Provinsi Sumatera Utara")</f>
        <v>BPS Provinsi Sumatera Utara</v>
      </c>
      <c r="F67" s="13" t="str">
        <f>IFERROR(__xludf.DUMMYFUNCTION("""COMPUTED_VALUE"""),"Kunjungan Kerja")</f>
        <v>Kunjungan Kerja</v>
      </c>
      <c r="G67" s="13"/>
      <c r="H67" s="13"/>
      <c r="I67" s="13"/>
      <c r="J67" s="13" t="str">
        <f t="shared" si="1"/>
        <v>Juni 2024</v>
      </c>
      <c r="K67" s="13" t="str">
        <f t="shared" si="2"/>
        <v>13 Jun 2024</v>
      </c>
      <c r="L67" s="4" t="str">
        <f t="shared" si="3"/>
        <v>TW 2</v>
      </c>
    </row>
    <row r="68">
      <c r="A68" s="43">
        <f>IFERROR(__xludf.DUMMYFUNCTION("""COMPUTED_VALUE"""),45463.38407354167)</f>
        <v>45463.38407</v>
      </c>
      <c r="B68" s="13" t="str">
        <f>IFERROR(__xludf.DUMMYFUNCTION("""COMPUTED_VALUE"""),"Fitriani")</f>
        <v>Fitriani</v>
      </c>
      <c r="C68" s="13" t="str">
        <f>IFERROR(__xludf.DUMMYFUNCTION("""COMPUTED_VALUE"""),"082181720723")</f>
        <v>082181720723</v>
      </c>
      <c r="D68" s="13" t="str">
        <f>IFERROR(__xludf.DUMMYFUNCTION("""COMPUTED_VALUE"""),"fitriyn03@gmail:com")</f>
        <v>fitriyn03@gmail:com</v>
      </c>
      <c r="E68" s="13" t="str">
        <f>IFERROR(__xludf.DUMMYFUNCTION("""COMPUTED_VALUE"""),"BPS Provinsi Sumatera Utara")</f>
        <v>BPS Provinsi Sumatera Utara</v>
      </c>
      <c r="F68" s="13" t="str">
        <f>IFERROR(__xludf.DUMMYFUNCTION("""COMPUTED_VALUE"""),"Supervisi SEP")</f>
        <v>Supervisi SEP</v>
      </c>
      <c r="G68" s="13" t="str">
        <f>IFERROR(__xludf.DUMMYFUNCTION("""COMPUTED_VALUE"""),"https://drive:google:com/open?id=1nXF1RzRTHsd0o2pvUeJp2BFl5ug6PqaH")</f>
        <v>https://drive:google:com/open?id=1nXF1RzRTHsd0o2pvUeJp2BFl5ug6PqaH</v>
      </c>
      <c r="H68" s="13"/>
      <c r="I68" s="13"/>
      <c r="J68" s="13" t="str">
        <f t="shared" si="1"/>
        <v>Juni 2024</v>
      </c>
      <c r="K68" s="13" t="str">
        <f t="shared" si="2"/>
        <v>20 Jun 2024</v>
      </c>
      <c r="L68" s="4" t="str">
        <f t="shared" si="3"/>
        <v>TW 2</v>
      </c>
    </row>
    <row r="69">
      <c r="A69" s="43">
        <f>IFERROR(__xludf.DUMMYFUNCTION("""COMPUTED_VALUE"""),45478.48043106482)</f>
        <v>45478.48043</v>
      </c>
      <c r="B69" s="13" t="str">
        <f>IFERROR(__xludf.DUMMYFUNCTION("""COMPUTED_VALUE"""),"Nuroso")</f>
        <v>Nuroso</v>
      </c>
      <c r="C69" s="13" t="str">
        <f>IFERROR(__xludf.DUMMYFUNCTION("""COMPUTED_VALUE"""),"081265733121")</f>
        <v>081265733121</v>
      </c>
      <c r="D69" s="13" t="str">
        <f>IFERROR(__xludf.DUMMYFUNCTION("""COMPUTED_VALUE"""),"nuroson42@gmail:com")</f>
        <v>nuroson42@gmail:com</v>
      </c>
      <c r="E69" s="13" t="str">
        <f>IFERROR(__xludf.DUMMYFUNCTION("""COMPUTED_VALUE"""),"TNI/POLRI")</f>
        <v>TNI/POLRI</v>
      </c>
      <c r="F69" s="13" t="str">
        <f>IFERROR(__xludf.DUMMYFUNCTION("""COMPUTED_VALUE"""),"Pelayanan Statistik (Permintaan Data/Konsultasi)")</f>
        <v>Pelayanan Statistik (Permintaan Data/Konsultasi)</v>
      </c>
      <c r="G69" s="13" t="str">
        <f>IFERROR(__xludf.DUMMYFUNCTION("""COMPUTED_VALUE"""),"https://drive:google:com/open?id=16EBhunKe2kyEdufMaqP8ENkbJRTOPNH0")</f>
        <v>https://drive:google:com/open?id=16EBhunKe2kyEdufMaqP8ENkbJRTOPNH0</v>
      </c>
      <c r="H69" s="13" t="str">
        <f>IFERROR(__xludf.DUMMYFUNCTION("""COMPUTED_VALUE"""),"Data Jumlah Penduduk Kab: Dairi Tahun 2024")</f>
        <v>Data Jumlah Penduduk Kab: Dairi Tahun 2024</v>
      </c>
      <c r="I69" s="13"/>
      <c r="J69" s="13" t="str">
        <f t="shared" si="1"/>
        <v>Juli 2024</v>
      </c>
      <c r="K69" s="13" t="str">
        <f t="shared" si="2"/>
        <v>05 Jul 2024</v>
      </c>
      <c r="L69" s="4" t="str">
        <f t="shared" si="3"/>
        <v>TW 3</v>
      </c>
    </row>
    <row r="70">
      <c r="A70" s="43">
        <f>IFERROR(__xludf.DUMMYFUNCTION("""COMPUTED_VALUE"""),45488.43426163194)</f>
        <v>45488.43426</v>
      </c>
      <c r="B70" s="13" t="str">
        <f>IFERROR(__xludf.DUMMYFUNCTION("""COMPUTED_VALUE"""),"david hutagalun")</f>
        <v>david hutagalun</v>
      </c>
      <c r="C70" s="13"/>
      <c r="D70" s="13" t="str">
        <f>IFERROR(__xludf.DUMMYFUNCTION("""COMPUTED_VALUE"""),"davidhutagalung348@gmail:co:id")</f>
        <v>davidhutagalung348@gmail:co:id</v>
      </c>
      <c r="E70" s="13" t="str">
        <f>IFERROR(__xludf.DUMMYFUNCTION("""COMPUTED_VALUE"""),"BUMN/BUMD")</f>
        <v>BUMN/BUMD</v>
      </c>
      <c r="F70" s="13" t="str">
        <f>IFERROR(__xludf.DUMMYFUNCTION("""COMPUTED_VALUE"""),"Koordinasi antar lembaga")</f>
        <v>Koordinasi antar lembaga</v>
      </c>
      <c r="G70" s="13" t="str">
        <f>IFERROR(__xludf.DUMMYFUNCTION("""COMPUTED_VALUE"""),"https://drive:google:com/open?id=1gC75YaNg9_0pckxMx-WJk51iD_qV858R")</f>
        <v>https://drive:google:com/open?id=1gC75YaNg9_0pckxMx-WJk51iD_qV858R</v>
      </c>
      <c r="H70" s="13"/>
      <c r="I70" s="13" t="str">
        <f>IFERROR(__xludf.DUMMYFUNCTION("""COMPUTED_VALUE"""),"bumn")</f>
        <v>bumn</v>
      </c>
      <c r="J70" s="13" t="str">
        <f t="shared" si="1"/>
        <v>Juli 2024</v>
      </c>
      <c r="K70" s="13" t="str">
        <f t="shared" si="2"/>
        <v>15 Jul 2024</v>
      </c>
      <c r="L70" s="4" t="str">
        <f t="shared" si="3"/>
        <v>TW 3</v>
      </c>
    </row>
    <row r="71">
      <c r="A71" s="43">
        <f>IFERROR(__xludf.DUMMYFUNCTION("""COMPUTED_VALUE"""),45497.49960718749)</f>
        <v>45497.49961</v>
      </c>
      <c r="B71" s="13" t="str">
        <f>IFERROR(__xludf.DUMMYFUNCTION("""COMPUTED_VALUE"""),"Mardianto")</f>
        <v>Mardianto</v>
      </c>
      <c r="C71" s="13" t="str">
        <f>IFERROR(__xludf.DUMMYFUNCTION("""COMPUTED_VALUE"""),"082214608988")</f>
        <v>082214608988</v>
      </c>
      <c r="D71" s="13" t="str">
        <f>IFERROR(__xludf.DUMMYFUNCTION("""COMPUTED_VALUE"""),"ardy3101@gmail:com")</f>
        <v>ardy3101@gmail:com</v>
      </c>
      <c r="E71" s="13" t="str">
        <f>IFERROR(__xludf.DUMMYFUNCTION("""COMPUTED_VALUE"""),"TNI/POLRI")</f>
        <v>TNI/POLRI</v>
      </c>
      <c r="F71" s="13" t="str">
        <f>IFERROR(__xludf.DUMMYFUNCTION("""COMPUTED_VALUE"""),"Pelayanan Statistik (Permintaan Data/Konsultasi)")</f>
        <v>Pelayanan Statistik (Permintaan Data/Konsultasi)</v>
      </c>
      <c r="G71" s="13" t="str">
        <f>IFERROR(__xludf.DUMMYFUNCTION("""COMPUTED_VALUE"""),"https://drive:google:com/open?id=1NEA_9bGs9DIRIRFtfmjrV_4x5xIHD6Xf")</f>
        <v>https://drive:google:com/open?id=1NEA_9bGs9DIRIRFtfmjrV_4x5xIHD6Xf</v>
      </c>
      <c r="H71" s="13" t="str">
        <f>IFERROR(__xludf.DUMMYFUNCTION("""COMPUTED_VALUE"""),"Data Kependudukan")</f>
        <v>Data Kependudukan</v>
      </c>
      <c r="I71" s="13"/>
      <c r="J71" s="13" t="str">
        <f t="shared" si="1"/>
        <v>Juli 2024</v>
      </c>
      <c r="K71" s="13" t="str">
        <f t="shared" si="2"/>
        <v>24 Jul 2024</v>
      </c>
      <c r="L71" s="4" t="str">
        <f t="shared" si="3"/>
        <v>TW 3</v>
      </c>
    </row>
    <row r="72">
      <c r="A72" s="43">
        <f>IFERROR(__xludf.DUMMYFUNCTION("""COMPUTED_VALUE"""),45498.44492690972)</f>
        <v>45498.44493</v>
      </c>
      <c r="B72" s="13" t="str">
        <f>IFERROR(__xludf.DUMMYFUNCTION("""COMPUTED_VALUE"""),"Hotlina")</f>
        <v>Hotlina</v>
      </c>
      <c r="C72" s="13" t="str">
        <f>IFERROR(__xludf.DUMMYFUNCTION("""COMPUTED_VALUE"""),"082276049882")</f>
        <v>082276049882</v>
      </c>
      <c r="D72" s="13" t="str">
        <f>IFERROR(__xludf.DUMMYFUNCTION("""COMPUTED_VALUE"""),"linasihombing42@gmail:com")</f>
        <v>linasihombing42@gmail:com</v>
      </c>
      <c r="E72" s="13" t="str">
        <f>IFERROR(__xludf.DUMMYFUNCTION("""COMPUTED_VALUE"""),"OPD (Pemerintah Daerah)")</f>
        <v>OPD (Pemerintah Daerah)</v>
      </c>
      <c r="F72" s="13" t="str">
        <f>IFERROR(__xludf.DUMMYFUNCTION("""COMPUTED_VALUE"""),"Pelayanan Statistik (Permintaan Data/Konsultasi)")</f>
        <v>Pelayanan Statistik (Permintaan Data/Konsultasi)</v>
      </c>
      <c r="G72" s="13" t="str">
        <f>IFERROR(__xludf.DUMMYFUNCTION("""COMPUTED_VALUE"""),"https://drive:google:com/open?id=1B3L2EhXJG6PBtY2tgdKe3yR7JDlypFlj")</f>
        <v>https://drive:google:com/open?id=1B3L2EhXJG6PBtY2tgdKe3yR7JDlypFlj</v>
      </c>
      <c r="H72" s="13" t="str">
        <f>IFERROR(__xludf.DUMMYFUNCTION("""COMPUTED_VALUE"""),"Data Statistik  2024")</f>
        <v>Data Statistik  2024</v>
      </c>
      <c r="I72" s="13"/>
      <c r="J72" s="13" t="str">
        <f t="shared" si="1"/>
        <v>Juli 2024</v>
      </c>
      <c r="K72" s="13" t="str">
        <f t="shared" si="2"/>
        <v>25 Jul 2024</v>
      </c>
      <c r="L72" s="4" t="str">
        <f t="shared" si="3"/>
        <v>TW 3</v>
      </c>
    </row>
    <row r="73">
      <c r="A73" s="43">
        <f>IFERROR(__xludf.DUMMYFUNCTION("""COMPUTED_VALUE"""),45498.44578703704)</f>
        <v>45498.44579</v>
      </c>
      <c r="B73" s="13" t="str">
        <f>IFERROR(__xludf.DUMMYFUNCTION("""COMPUTED_VALUE"""),"Selgia Sitohang")</f>
        <v>Selgia Sitohang</v>
      </c>
      <c r="C73" s="13" t="str">
        <f>IFERROR(__xludf.DUMMYFUNCTION("""COMPUTED_VALUE"""),"082366578154")</f>
        <v>082366578154</v>
      </c>
      <c r="D73" s="13" t="str">
        <f>IFERROR(__xludf.DUMMYFUNCTION("""COMPUTED_VALUE"""),"selgia:sitohang@gmail:com")</f>
        <v>selgia:sitohang@gmail:com</v>
      </c>
      <c r="E73" s="13" t="str">
        <f>IFERROR(__xludf.DUMMYFUNCTION("""COMPUTED_VALUE"""),"OPD (Pemerintah Daerah)")</f>
        <v>OPD (Pemerintah Daerah)</v>
      </c>
      <c r="F73" s="13" t="str">
        <f>IFERROR(__xludf.DUMMYFUNCTION("""COMPUTED_VALUE"""),"Pelayanan Statistik (Permintaan Data/Konsultasi)")</f>
        <v>Pelayanan Statistik (Permintaan Data/Konsultasi)</v>
      </c>
      <c r="G73" s="13" t="str">
        <f>IFERROR(__xludf.DUMMYFUNCTION("""COMPUTED_VALUE"""),"https://drive:google:com/open?id=1Ge3egJmSFu3nR-3ao4EMD4xMPJ9lf0AM")</f>
        <v>https://drive:google:com/open?id=1Ge3egJmSFu3nR-3ao4EMD4xMPJ9lf0AM</v>
      </c>
      <c r="H73" s="13" t="str">
        <f>IFERROR(__xludf.DUMMYFUNCTION("""COMPUTED_VALUE"""),"Permintaan Data Statistik 2024")</f>
        <v>Permintaan Data Statistik 2024</v>
      </c>
      <c r="I73" s="13"/>
      <c r="J73" s="13" t="str">
        <f t="shared" si="1"/>
        <v>Juli 2024</v>
      </c>
      <c r="K73" s="13" t="str">
        <f t="shared" si="2"/>
        <v>25 Jul 2024</v>
      </c>
      <c r="L73" s="4" t="str">
        <f t="shared" si="3"/>
        <v>TW 3</v>
      </c>
    </row>
    <row r="74">
      <c r="A74" s="43">
        <f>IFERROR(__xludf.DUMMYFUNCTION("""COMPUTED_VALUE"""),45506.393666307864)</f>
        <v>45506.39367</v>
      </c>
      <c r="B74" s="13" t="str">
        <f>IFERROR(__xludf.DUMMYFUNCTION("""COMPUTED_VALUE"""),"Surung Charles Bantjin")</f>
        <v>Surung Charles Bantjin</v>
      </c>
      <c r="C74" s="13" t="str">
        <f>IFERROR(__xludf.DUMMYFUNCTION("""COMPUTED_VALUE"""),"085362329767")</f>
        <v>085362329767</v>
      </c>
      <c r="D74" s="13" t="str">
        <f>IFERROR(__xludf.DUMMYFUNCTION("""COMPUTED_VALUE"""),"bantjincharles@gmail:com")</f>
        <v>bantjincharles@gmail:com</v>
      </c>
      <c r="E74" s="13" t="str">
        <f>IFERROR(__xludf.DUMMYFUNCTION("""COMPUTED_VALUE"""),"OPD (Pemerintah Daerah)")</f>
        <v>OPD (Pemerintah Daerah)</v>
      </c>
      <c r="F74" s="13" t="str">
        <f>IFERROR(__xludf.DUMMYFUNCTION("""COMPUTED_VALUE"""),"Pelayanan Statistik (Permintaan Data/Konsultasi)")</f>
        <v>Pelayanan Statistik (Permintaan Data/Konsultasi)</v>
      </c>
      <c r="G74" s="13" t="str">
        <f>IFERROR(__xludf.DUMMYFUNCTION("""COMPUTED_VALUE"""),"https://drive:google:com/open?id=1mdWRwuLqpSsx6OdObUywnoI7E1sb4gdK")</f>
        <v>https://drive:google:com/open?id=1mdWRwuLqpSsx6OdObUywnoI7E1sb4gdK</v>
      </c>
      <c r="H74" s="13" t="str">
        <f>IFERROR(__xludf.DUMMYFUNCTION("""COMPUTED_VALUE"""),"Menghadiri Rilis Angka Kemiskinan Kab Dairi")</f>
        <v>Menghadiri Rilis Angka Kemiskinan Kab Dairi</v>
      </c>
      <c r="I74" s="13"/>
      <c r="J74" s="13" t="str">
        <f t="shared" si="1"/>
        <v>Agustus 2024</v>
      </c>
      <c r="K74" s="13" t="str">
        <f t="shared" si="2"/>
        <v>02 Agu 2024</v>
      </c>
      <c r="L74" s="4" t="str">
        <f t="shared" si="3"/>
        <v>TW 3</v>
      </c>
    </row>
    <row r="75">
      <c r="A75" s="43">
        <f>IFERROR(__xludf.DUMMYFUNCTION("""COMPUTED_VALUE"""),45511.40023560185)</f>
        <v>45511.40024</v>
      </c>
      <c r="B75" s="13" t="str">
        <f>IFERROR(__xludf.DUMMYFUNCTION("""COMPUTED_VALUE"""),"Samuel Simbolon")</f>
        <v>Samuel Simbolon</v>
      </c>
      <c r="C75" s="13" t="str">
        <f>IFERROR(__xludf.DUMMYFUNCTION("""COMPUTED_VALUE"""),"085262806376")</f>
        <v>085262806376</v>
      </c>
      <c r="D75" s="13" t="str">
        <f>IFERROR(__xludf.DUMMYFUNCTION("""COMPUTED_VALUE"""),"evrant:samuel@gmail:com")</f>
        <v>evrant:samuel@gmail:com</v>
      </c>
      <c r="E75" s="13" t="str">
        <f>IFERROR(__xludf.DUMMYFUNCTION("""COMPUTED_VALUE"""),"PT Mikrotek Komputindo")</f>
        <v>PT Mikrotek Komputindo</v>
      </c>
      <c r="F75" s="13" t="str">
        <f>IFERROR(__xludf.DUMMYFUNCTION("""COMPUTED_VALUE"""),"Konsultasi dengan PBJ")</f>
        <v>Konsultasi dengan PBJ</v>
      </c>
      <c r="G75" s="13" t="str">
        <f>IFERROR(__xludf.DUMMYFUNCTION("""COMPUTED_VALUE"""),"https://drive:google:com/open?id=1fHrUOrevB4SDc7BfuIFyEf0fho8wQz-e")</f>
        <v>https://drive:google:com/open?id=1fHrUOrevB4SDc7BfuIFyEf0fho8wQz-e</v>
      </c>
      <c r="H75" s="13"/>
      <c r="I75" s="13"/>
      <c r="J75" s="13" t="str">
        <f t="shared" si="1"/>
        <v>Agustus 2024</v>
      </c>
      <c r="K75" s="13" t="str">
        <f t="shared" si="2"/>
        <v>07 Agu 2024</v>
      </c>
      <c r="L75" s="4" t="str">
        <f t="shared" si="3"/>
        <v>TW 3</v>
      </c>
    </row>
    <row r="76">
      <c r="A76" s="43">
        <f>IFERROR(__xludf.DUMMYFUNCTION("""COMPUTED_VALUE"""),45531.316299722224)</f>
        <v>45531.3163</v>
      </c>
      <c r="B76" s="13" t="str">
        <f>IFERROR(__xludf.DUMMYFUNCTION("""COMPUTED_VALUE"""),"Joel Roy Perangin Angin")</f>
        <v>Joel Roy Perangin Angin</v>
      </c>
      <c r="C76" s="13" t="str">
        <f>IFERROR(__xludf.DUMMYFUNCTION("""COMPUTED_VALUE"""),"081362105907")</f>
        <v>081362105907</v>
      </c>
      <c r="D76" s="13" t="str">
        <f>IFERROR(__xludf.DUMMYFUNCTION("""COMPUTED_VALUE"""),"joelroy@bps:go:id")</f>
        <v>joelroy@bps:go:id</v>
      </c>
      <c r="E76" s="13" t="str">
        <f>IFERROR(__xludf.DUMMYFUNCTION("""COMPUTED_VALUE"""),"Pegawai BPS")</f>
        <v>Pegawai BPS</v>
      </c>
      <c r="F76" s="13" t="str">
        <f>IFERROR(__xludf.DUMMYFUNCTION("""COMPUTED_VALUE"""),"Koordinasi antar lembaga")</f>
        <v>Koordinasi antar lembaga</v>
      </c>
      <c r="G76" s="13" t="str">
        <f>IFERROR(__xludf.DUMMYFUNCTION("""COMPUTED_VALUE"""),"https://drive:google:com/open?id=1D4S6L8Ah64xYPMnjfXM8fHlCl6skw-lG")</f>
        <v>https://drive:google:com/open?id=1D4S6L8Ah64xYPMnjfXM8fHlCl6skw-lG</v>
      </c>
      <c r="H76" s="13"/>
      <c r="I76" s="13" t="str">
        <f>IFERROR(__xludf.DUMMYFUNCTION("""COMPUTED_VALUE"""),"BPS Provinsi Sumatera Utara")</f>
        <v>BPS Provinsi Sumatera Utara</v>
      </c>
      <c r="J76" s="13" t="str">
        <f t="shared" si="1"/>
        <v>Agustus 2024</v>
      </c>
      <c r="K76" s="13" t="str">
        <f t="shared" si="2"/>
        <v>27 Agu 2024</v>
      </c>
      <c r="L76" s="4" t="str">
        <f t="shared" si="3"/>
        <v>TW 3</v>
      </c>
    </row>
    <row r="77">
      <c r="A77" s="43">
        <f>IFERROR(__xludf.DUMMYFUNCTION("""COMPUTED_VALUE"""),45546.61195428241)</f>
        <v>45546.61195</v>
      </c>
      <c r="B77" s="13" t="str">
        <f>IFERROR(__xludf.DUMMYFUNCTION("""COMPUTED_VALUE"""),"tetty situmorang")</f>
        <v>tetty situmorang</v>
      </c>
      <c r="C77" s="13" t="str">
        <f>IFERROR(__xludf.DUMMYFUNCTION("""COMPUTED_VALUE"""),"082167071275")</f>
        <v>082167071275</v>
      </c>
      <c r="D77" s="13" t="str">
        <f>IFERROR(__xludf.DUMMYFUNCTION("""COMPUTED_VALUE"""),"tetty71situmorang@gmail:com")</f>
        <v>tetty71situmorang@gmail:com</v>
      </c>
      <c r="E77" s="13" t="str">
        <f>IFERROR(__xludf.DUMMYFUNCTION("""COMPUTED_VALUE"""),"Dinas Pertanian")</f>
        <v>Dinas Pertanian</v>
      </c>
      <c r="F77" s="13" t="str">
        <f>IFERROR(__xludf.DUMMYFUNCTION("""COMPUTED_VALUE"""),"Koordinasi antar lembaga")</f>
        <v>Koordinasi antar lembaga</v>
      </c>
      <c r="G77" s="13"/>
      <c r="H77" s="13"/>
      <c r="I77" s="13"/>
      <c r="J77" s="13" t="str">
        <f t="shared" si="1"/>
        <v>September 2024</v>
      </c>
      <c r="K77" s="13" t="str">
        <f t="shared" si="2"/>
        <v>11 Sep 2024</v>
      </c>
      <c r="L77" s="4" t="str">
        <f t="shared" si="3"/>
        <v>TW 3</v>
      </c>
    </row>
    <row r="78">
      <c r="A78" s="43">
        <f>IFERROR(__xludf.DUMMYFUNCTION("""COMPUTED_VALUE"""),45548.370025937504)</f>
        <v>45548.37003</v>
      </c>
      <c r="B78" s="13" t="str">
        <f>IFERROR(__xludf.DUMMYFUNCTION("""COMPUTED_VALUE"""),"Usmansyah")</f>
        <v>Usmansyah</v>
      </c>
      <c r="C78" s="13" t="str">
        <f>IFERROR(__xludf.DUMMYFUNCTION("""COMPUTED_VALUE"""),"085262798155")</f>
        <v>085262798155</v>
      </c>
      <c r="D78" s="13" t="str">
        <f>IFERROR(__xludf.DUMMYFUNCTION("""COMPUTED_VALUE"""),"usmansyah@bps:go:id")</f>
        <v>usmansyah@bps:go:id</v>
      </c>
      <c r="E78" s="13" t="str">
        <f>IFERROR(__xludf.DUMMYFUNCTION("""COMPUTED_VALUE"""),"BPS Provinsi Sumatera Utara")</f>
        <v>BPS Provinsi Sumatera Utara</v>
      </c>
      <c r="F78" s="13" t="str">
        <f>IFERROR(__xludf.DUMMYFUNCTION("""COMPUTED_VALUE"""),"Perjalanan Dinas")</f>
        <v>Perjalanan Dinas</v>
      </c>
      <c r="G78" s="13" t="str">
        <f>IFERROR(__xludf.DUMMYFUNCTION("""COMPUTED_VALUE"""),"https://drive:google:com/open?id=1Kc0VbvrjXPNRPsrnGZVMcE0lXJWtz0Wm")</f>
        <v>https://drive:google:com/open?id=1Kc0VbvrjXPNRPsrnGZVMcE0lXJWtz0Wm</v>
      </c>
      <c r="H78" s="13"/>
      <c r="I78" s="13"/>
      <c r="J78" s="13" t="str">
        <f t="shared" si="1"/>
        <v>September 2024</v>
      </c>
      <c r="K78" s="13" t="str">
        <f t="shared" si="2"/>
        <v>13 Sep 2024</v>
      </c>
      <c r="L78" s="4" t="str">
        <f t="shared" si="3"/>
        <v>TW 3</v>
      </c>
    </row>
    <row r="79">
      <c r="A79" s="43">
        <f>IFERROR(__xludf.DUMMYFUNCTION("""COMPUTED_VALUE"""),45552.436960486106)</f>
        <v>45552.43696</v>
      </c>
      <c r="B79" s="13" t="str">
        <f>IFERROR(__xludf.DUMMYFUNCTION("""COMPUTED_VALUE"""),"Septina Silalahi")</f>
        <v>Septina Silalahi</v>
      </c>
      <c r="C79" s="13" t="str">
        <f>IFERROR(__xludf.DUMMYFUNCTION("""COMPUTED_VALUE"""),"082110918981")</f>
        <v>082110918981</v>
      </c>
      <c r="D79" s="13" t="str">
        <f>IFERROR(__xludf.DUMMYFUNCTION("""COMPUTED_VALUE"""),"septina109silalahi@gmail:com")</f>
        <v>septina109silalahi@gmail:com</v>
      </c>
      <c r="E79" s="13" t="str">
        <f>IFERROR(__xludf.DUMMYFUNCTION("""COMPUTED_VALUE"""),"Mitra BPS Dairi")</f>
        <v>Mitra BPS Dairi</v>
      </c>
      <c r="F79" s="13" t="str">
        <f>IFERROR(__xludf.DUMMYFUNCTION("""COMPUTED_VALUE"""),"Serahkan dokumen pemutahiran")</f>
        <v>Serahkan dokumen pemutahiran</v>
      </c>
      <c r="G79" s="13" t="str">
        <f>IFERROR(__xludf.DUMMYFUNCTION("""COMPUTED_VALUE"""),"https://drive:google:com/open?id=12j05zMfdMkPjojossztS3qxYASbbCs9-")</f>
        <v>https://drive:google:com/open?id=12j05zMfdMkPjojossztS3qxYASbbCs9-</v>
      </c>
      <c r="H79" s="13"/>
      <c r="I79" s="13"/>
      <c r="J79" s="13" t="str">
        <f t="shared" si="1"/>
        <v>September 2024</v>
      </c>
      <c r="K79" s="13" t="str">
        <f t="shared" si="2"/>
        <v>17 Sep 2024</v>
      </c>
      <c r="L79" s="4" t="str">
        <f t="shared" si="3"/>
        <v>TW 3</v>
      </c>
    </row>
    <row r="80">
      <c r="A80" s="43">
        <f>IFERROR(__xludf.DUMMYFUNCTION("""COMPUTED_VALUE"""),45552.43794459491)</f>
        <v>45552.43794</v>
      </c>
      <c r="B80" s="13" t="str">
        <f>IFERROR(__xludf.DUMMYFUNCTION("""COMPUTED_VALUE"""),"Ida Kartini Sirait")</f>
        <v>Ida Kartini Sirait</v>
      </c>
      <c r="C80" s="13" t="str">
        <f>IFERROR(__xludf.DUMMYFUNCTION("""COMPUTED_VALUE"""),"082164576150")</f>
        <v>082164576150</v>
      </c>
      <c r="D80" s="13" t="str">
        <f>IFERROR(__xludf.DUMMYFUNCTION("""COMPUTED_VALUE"""),"gabrietiny@gmail:com")</f>
        <v>gabrietiny@gmail:com</v>
      </c>
      <c r="E80" s="13" t="str">
        <f>IFERROR(__xludf.DUMMYFUNCTION("""COMPUTED_VALUE"""),"Mitra BPS Dairi")</f>
        <v>Mitra BPS Dairi</v>
      </c>
      <c r="F80" s="13" t="str">
        <f>IFERROR(__xludf.DUMMYFUNCTION("""COMPUTED_VALUE"""),"menyerahkan dokumen pemutahiran")</f>
        <v>menyerahkan dokumen pemutahiran</v>
      </c>
      <c r="G80" s="13" t="str">
        <f>IFERROR(__xludf.DUMMYFUNCTION("""COMPUTED_VALUE"""),"https://drive:google:com/open?id=1Z4FBWODwQg3c83OzLiCKuF0HYJGo7tVI")</f>
        <v>https://drive:google:com/open?id=1Z4FBWODwQg3c83OzLiCKuF0HYJGo7tVI</v>
      </c>
      <c r="H80" s="13"/>
      <c r="I80" s="13"/>
      <c r="J80" s="13" t="str">
        <f t="shared" si="1"/>
        <v>September 2024</v>
      </c>
      <c r="K80" s="13" t="str">
        <f t="shared" si="2"/>
        <v>17 Sep 2024</v>
      </c>
      <c r="L80" s="4" t="str">
        <f t="shared" si="3"/>
        <v>TW 3</v>
      </c>
    </row>
    <row r="81">
      <c r="A81" s="43">
        <f>IFERROR(__xludf.DUMMYFUNCTION("""COMPUTED_VALUE"""),45558.41699269676)</f>
        <v>45558.41699</v>
      </c>
      <c r="B81" s="13" t="str">
        <f>IFERROR(__xludf.DUMMYFUNCTION("""COMPUTED_VALUE"""),"Jubeletta  Lumban Gaol")</f>
        <v>Jubeletta  Lumban Gaol</v>
      </c>
      <c r="C81" s="13" t="str">
        <f>IFERROR(__xludf.DUMMYFUNCTION("""COMPUTED_VALUE"""),"081396441344")</f>
        <v>081396441344</v>
      </c>
      <c r="D81" s="13" t="str">
        <f>IFERROR(__xludf.DUMMYFUNCTION("""COMPUTED_VALUE"""),"jubelettalumbangaol@gmail:com")</f>
        <v>jubelettalumbangaol@gmail:com</v>
      </c>
      <c r="E81" s="13" t="str">
        <f>IFERROR(__xludf.DUMMYFUNCTION("""COMPUTED_VALUE"""),"OPD (Pemerintah Daerah)")</f>
        <v>OPD (Pemerintah Daerah)</v>
      </c>
      <c r="F81" s="13" t="str">
        <f>IFERROR(__xludf.DUMMYFUNCTION("""COMPUTED_VALUE"""),"Pelayanan Statistik (Permintaan Data/Konsultasi)")</f>
        <v>Pelayanan Statistik (Permintaan Data/Konsultasi)</v>
      </c>
      <c r="G81" s="13" t="str">
        <f>IFERROR(__xludf.DUMMYFUNCTION("""COMPUTED_VALUE"""),"https://drive:google:com/open?id=1TpY0oySYGlntOdS5kPEReUPaBi1bq8LT")</f>
        <v>https://drive:google:com/open?id=1TpY0oySYGlntOdS5kPEReUPaBi1bq8LT</v>
      </c>
      <c r="H81" s="13" t="str">
        <f>IFERROR(__xludf.DUMMYFUNCTION("""COMPUTED_VALUE"""),"Ibu bekerja disektor formal Kab: Dairi")</f>
        <v>Ibu bekerja disektor formal Kab: Dairi</v>
      </c>
      <c r="I81" s="13"/>
      <c r="J81" s="13" t="str">
        <f t="shared" si="1"/>
        <v>September 2024</v>
      </c>
      <c r="K81" s="13" t="str">
        <f t="shared" si="2"/>
        <v>23 Sep 2024</v>
      </c>
      <c r="L81" s="4" t="str">
        <f t="shared" si="3"/>
        <v>TW 3</v>
      </c>
    </row>
    <row r="82">
      <c r="A82" s="43">
        <f>IFERROR(__xludf.DUMMYFUNCTION("""COMPUTED_VALUE"""),45558.41771618056)</f>
        <v>45558.41772</v>
      </c>
      <c r="B82" s="13" t="str">
        <f>IFERROR(__xludf.DUMMYFUNCTION("""COMPUTED_VALUE"""),"Sonta Siagian")</f>
        <v>Sonta Siagian</v>
      </c>
      <c r="C82" s="13" t="str">
        <f>IFERROR(__xludf.DUMMYFUNCTION("""COMPUTED_VALUE"""),"085206199198")</f>
        <v>085206199198</v>
      </c>
      <c r="D82" s="13" t="str">
        <f>IFERROR(__xludf.DUMMYFUNCTION("""COMPUTED_VALUE"""),"athasiagian85@gmail:com")</f>
        <v>athasiagian85@gmail:com</v>
      </c>
      <c r="E82" s="13" t="str">
        <f>IFERROR(__xludf.DUMMYFUNCTION("""COMPUTED_VALUE"""),"OPD (Pemerintah Daerah)")</f>
        <v>OPD (Pemerintah Daerah)</v>
      </c>
      <c r="F82" s="13" t="str">
        <f>IFERROR(__xludf.DUMMYFUNCTION("""COMPUTED_VALUE"""),"Pelayanan Statistik (Permintaan Data/Konsultasi)")</f>
        <v>Pelayanan Statistik (Permintaan Data/Konsultasi)</v>
      </c>
      <c r="G82" s="13" t="str">
        <f>IFERROR(__xludf.DUMMYFUNCTION("""COMPUTED_VALUE"""),"https://drive:google:com/open?id=1MRKTEo6CwEXAvjiO5DdF-f8gs4vG0Ruy")</f>
        <v>https://drive:google:com/open?id=1MRKTEo6CwEXAvjiO5DdF-f8gs4vG0Ruy</v>
      </c>
      <c r="H82" s="13" t="str">
        <f>IFERROR(__xludf.DUMMYFUNCTION("""COMPUTED_VALUE"""),"Ibu bekerja disektor formal Kab: Dairi")</f>
        <v>Ibu bekerja disektor formal Kab: Dairi</v>
      </c>
      <c r="I82" s="13"/>
      <c r="J82" s="13" t="str">
        <f t="shared" si="1"/>
        <v>September 2024</v>
      </c>
      <c r="K82" s="13" t="str">
        <f t="shared" si="2"/>
        <v>23 Sep 2024</v>
      </c>
      <c r="L82" s="4" t="str">
        <f t="shared" si="3"/>
        <v>TW 3</v>
      </c>
    </row>
    <row r="83">
      <c r="A83" s="43">
        <f>IFERROR(__xludf.DUMMYFUNCTION("""COMPUTED_VALUE"""),45568.47957642362)</f>
        <v>45568.47958</v>
      </c>
      <c r="B83" s="13" t="str">
        <f>IFERROR(__xludf.DUMMYFUNCTION("""COMPUTED_VALUE"""),"sunta simorangkir")</f>
        <v>sunta simorangkir</v>
      </c>
      <c r="C83" s="13" t="str">
        <f>IFERROR(__xludf.DUMMYFUNCTION("""COMPUTED_VALUE"""),"081362805264")</f>
        <v>081362805264</v>
      </c>
      <c r="D83" s="13" t="str">
        <f>IFERROR(__xludf.DUMMYFUNCTION("""COMPUTED_VALUE"""),"suntasimorangkir2")</f>
        <v>suntasimorangkir2</v>
      </c>
      <c r="E83" s="13" t="str">
        <f>IFERROR(__xludf.DUMMYFUNCTION("""COMPUTED_VALUE"""),"OPD (Pemerintah Daerah)")</f>
        <v>OPD (Pemerintah Daerah)</v>
      </c>
      <c r="F83" s="13" t="str">
        <f>IFERROR(__xludf.DUMMYFUNCTION("""COMPUTED_VALUE"""),"Pelayanan Statistik (Permintaan Data/Konsultasi)")</f>
        <v>Pelayanan Statistik (Permintaan Data/Konsultasi)</v>
      </c>
      <c r="G83" s="13" t="str">
        <f>IFERROR(__xludf.DUMMYFUNCTION("""COMPUTED_VALUE"""),"https://drive:google:com/open?id=1IogMhlF3AZImO5-NSyHohYsUKYlCFS5q")</f>
        <v>https://drive:google:com/open?id=1IogMhlF3AZImO5-NSyHohYsUKYlCFS5q</v>
      </c>
      <c r="H83" s="13" t="str">
        <f>IFERROR(__xludf.DUMMYFUNCTION("""COMPUTED_VALUE"""),"permintaan data")</f>
        <v>permintaan data</v>
      </c>
      <c r="I83" s="13"/>
      <c r="J83" s="13" t="str">
        <f t="shared" si="1"/>
        <v>Oktober 2024</v>
      </c>
      <c r="K83" s="13" t="str">
        <f t="shared" si="2"/>
        <v>03 Okt 2024</v>
      </c>
      <c r="L83" s="4" t="str">
        <f t="shared" si="3"/>
        <v>TW 4</v>
      </c>
    </row>
    <row r="84">
      <c r="A84" s="43">
        <f>IFERROR(__xludf.DUMMYFUNCTION("""COMPUTED_VALUE"""),45569.47171965278)</f>
        <v>45569.47172</v>
      </c>
      <c r="B84" s="13" t="str">
        <f>IFERROR(__xludf.DUMMYFUNCTION("""COMPUTED_VALUE"""),"Rohmantiana Banurea")</f>
        <v>Rohmantiana Banurea</v>
      </c>
      <c r="C84" s="13" t="str">
        <f>IFERROR(__xludf.DUMMYFUNCTION("""COMPUTED_VALUE"""),"081396856250")</f>
        <v>081396856250</v>
      </c>
      <c r="D84" s="13" t="str">
        <f>IFERROR(__xludf.DUMMYFUNCTION("""COMPUTED_VALUE"""),"banurea:rohman84@gmail:com")</f>
        <v>banurea:rohman84@gmail:com</v>
      </c>
      <c r="E84" s="13" t="str">
        <f>IFERROR(__xludf.DUMMYFUNCTION("""COMPUTED_VALUE"""),"Institusi Pendidikan")</f>
        <v>Institusi Pendidikan</v>
      </c>
      <c r="F84" s="13" t="str">
        <f>IFERROR(__xludf.DUMMYFUNCTION("""COMPUTED_VALUE"""),"Monitoring Siswa PKL")</f>
        <v>Monitoring Siswa PKL</v>
      </c>
      <c r="G84" s="13"/>
      <c r="H84" s="13"/>
      <c r="I84" s="13"/>
      <c r="J84" s="13" t="str">
        <f t="shared" si="1"/>
        <v>Oktober 2024</v>
      </c>
      <c r="K84" s="13" t="str">
        <f t="shared" si="2"/>
        <v>04 Okt 2024</v>
      </c>
      <c r="L84" s="4" t="str">
        <f t="shared" si="3"/>
        <v>TW 4</v>
      </c>
    </row>
    <row r="85">
      <c r="A85" s="43">
        <f>IFERROR(__xludf.DUMMYFUNCTION("""COMPUTED_VALUE"""),45573.58532267361)</f>
        <v>45573.58532</v>
      </c>
      <c r="B85" s="13" t="str">
        <f>IFERROR(__xludf.DUMMYFUNCTION("""COMPUTED_VALUE"""),"Ayu Hafizah Capah")</f>
        <v>Ayu Hafizah Capah</v>
      </c>
      <c r="C85" s="13" t="str">
        <f>IFERROR(__xludf.DUMMYFUNCTION("""COMPUTED_VALUE"""),"0882015653314")</f>
        <v>0882015653314</v>
      </c>
      <c r="D85" s="13" t="str">
        <f>IFERROR(__xludf.DUMMYFUNCTION("""COMPUTED_VALUE"""),"capahayuhafizah@gmail:com")</f>
        <v>capahayuhafizah@gmail:com</v>
      </c>
      <c r="E85" s="13" t="str">
        <f>IFERROR(__xludf.DUMMYFUNCTION("""COMPUTED_VALUE"""),"SMA N 1 Sidikalang")</f>
        <v>SMA N 1 Sidikalang</v>
      </c>
      <c r="F85" s="13" t="str">
        <f>IFERROR(__xludf.DUMMYFUNCTION("""COMPUTED_VALUE"""),"Meminta Data Jumlah Desa dan Kelurahan di Dairi")</f>
        <v>Meminta Data Jumlah Desa dan Kelurahan di Dairi</v>
      </c>
      <c r="G85" s="13" t="str">
        <f>IFERROR(__xludf.DUMMYFUNCTION("""COMPUTED_VALUE"""),"https://drive:google:com/open?id=1vlW6Mf5LuAnFJWKMNFbyNNUBqkHcb6-F")</f>
        <v>https://drive:google:com/open?id=1vlW6Mf5LuAnFJWKMNFbyNNUBqkHcb6-F</v>
      </c>
      <c r="H85" s="13"/>
      <c r="I85" s="13"/>
      <c r="J85" s="13" t="str">
        <f t="shared" si="1"/>
        <v>Oktober 2024</v>
      </c>
      <c r="K85" s="13" t="str">
        <f t="shared" si="2"/>
        <v>08 Okt 2024</v>
      </c>
      <c r="L85" s="4" t="str">
        <f t="shared" si="3"/>
        <v>TW 4</v>
      </c>
    </row>
    <row r="86">
      <c r="A86" s="43">
        <f>IFERROR(__xludf.DUMMYFUNCTION("""COMPUTED_VALUE"""),45573.59091678241)</f>
        <v>45573.59092</v>
      </c>
      <c r="B86" s="13" t="str">
        <f>IFERROR(__xludf.DUMMYFUNCTION("""COMPUTED_VALUE"""),"Vanessya Cinta Cristyani Saragih")</f>
        <v>Vanessya Cinta Cristyani Saragih</v>
      </c>
      <c r="C86" s="13"/>
      <c r="D86" s="13" t="str">
        <f>IFERROR(__xludf.DUMMYFUNCTION("""COMPUTED_VALUE"""),"vanessyacintasaragih@gmail:com")</f>
        <v>vanessyacintasaragih@gmail:com</v>
      </c>
      <c r="E86" s="13" t="str">
        <f>IFERROR(__xludf.DUMMYFUNCTION("""COMPUTED_VALUE"""),"S")</f>
        <v>S</v>
      </c>
      <c r="F86" s="13" t="str">
        <f>IFERROR(__xludf.DUMMYFUNCTION("""COMPUTED_VALUE"""),"Permintaan Data Kelurahan Desa Di Kabupaten Dairi")</f>
        <v>Permintaan Data Kelurahan Desa Di Kabupaten Dairi</v>
      </c>
      <c r="G86" s="13" t="str">
        <f>IFERROR(__xludf.DUMMYFUNCTION("""COMPUTED_VALUE"""),"https://drive:google:com/open?id=1cf79HT4iEimCw2_xqBOit0wRPQk_QGYZ")</f>
        <v>https://drive:google:com/open?id=1cf79HT4iEimCw2_xqBOit0wRPQk_QGYZ</v>
      </c>
      <c r="H86" s="13"/>
      <c r="I86" s="13"/>
      <c r="J86" s="13" t="str">
        <f t="shared" si="1"/>
        <v>Oktober 2024</v>
      </c>
      <c r="K86" s="13" t="str">
        <f t="shared" si="2"/>
        <v>08 Okt 2024</v>
      </c>
      <c r="L86" s="4" t="str">
        <f t="shared" si="3"/>
        <v>TW 4</v>
      </c>
    </row>
    <row r="87">
      <c r="A87" s="43">
        <f>IFERROR(__xludf.DUMMYFUNCTION("""COMPUTED_VALUE"""),45573.59792959491)</f>
        <v>45573.59793</v>
      </c>
      <c r="B87" s="13" t="str">
        <f>IFERROR(__xludf.DUMMYFUNCTION("""COMPUTED_VALUE"""),"Delima Simbolon")</f>
        <v>Delima Simbolon</v>
      </c>
      <c r="C87" s="13" t="str">
        <f>IFERROR(__xludf.DUMMYFUNCTION("""COMPUTED_VALUE"""),"081260190335")</f>
        <v>081260190335</v>
      </c>
      <c r="D87" s="13" t="str">
        <f>IFERROR(__xludf.DUMMYFUNCTION("""COMPUTED_VALUE"""),"delimasimbolon@gmail:com")</f>
        <v>delimasimbolon@gmail:com</v>
      </c>
      <c r="E87" s="13" t="str">
        <f>IFERROR(__xludf.DUMMYFUNCTION("""COMPUTED_VALUE"""),"SMA N 1 Sidikalang")</f>
        <v>SMA N 1 Sidikalang</v>
      </c>
      <c r="F87" s="13" t="str">
        <f>IFERROR(__xludf.DUMMYFUNCTION("""COMPUTED_VALUE"""),"Permintaan Data Jumlah Kelurahaan Desa Dikabupaten Dairi")</f>
        <v>Permintaan Data Jumlah Kelurahaan Desa Dikabupaten Dairi</v>
      </c>
      <c r="G87" s="13" t="str">
        <f>IFERROR(__xludf.DUMMYFUNCTION("""COMPUTED_VALUE"""),"https://drive:google:com/open?id=13ynSgWDvZC7GZ-1D1jASJO7pcW58NVgA")</f>
        <v>https://drive:google:com/open?id=13ynSgWDvZC7GZ-1D1jASJO7pcW58NVgA</v>
      </c>
      <c r="H87" s="13"/>
      <c r="I87" s="13"/>
      <c r="J87" s="13" t="str">
        <f t="shared" si="1"/>
        <v>Oktober 2024</v>
      </c>
      <c r="K87" s="13" t="str">
        <f t="shared" si="2"/>
        <v>08 Okt 2024</v>
      </c>
      <c r="L87" s="4" t="str">
        <f t="shared" si="3"/>
        <v>TW 4</v>
      </c>
    </row>
    <row r="88">
      <c r="A88" s="43">
        <f>IFERROR(__xludf.DUMMYFUNCTION("""COMPUTED_VALUE"""),45573.60045103009)</f>
        <v>45573.60045</v>
      </c>
      <c r="B88" s="13" t="str">
        <f>IFERROR(__xludf.DUMMYFUNCTION("""COMPUTED_VALUE"""),"Natasya Bintang")</f>
        <v>Natasya Bintang</v>
      </c>
      <c r="C88" s="13" t="str">
        <f>IFERROR(__xludf.DUMMYFUNCTION("""COMPUTED_VALUE"""),"083164318030")</f>
        <v>083164318030</v>
      </c>
      <c r="D88" s="13"/>
      <c r="E88" s="13" t="str">
        <f>IFERROR(__xludf.DUMMYFUNCTION("""COMPUTED_VALUE"""),"SMA N 1 Sidikalang")</f>
        <v>SMA N 1 Sidikalang</v>
      </c>
      <c r="F88" s="13" t="str">
        <f>IFERROR(__xludf.DUMMYFUNCTION("""COMPUTED_VALUE"""),"SMA  N 1 Sidikalang")</f>
        <v>SMA  N 1 Sidikalang</v>
      </c>
      <c r="G88" s="13" t="str">
        <f>IFERROR(__xludf.DUMMYFUNCTION("""COMPUTED_VALUE"""),"https://drive:google:com/open?id=1ZMI30dMBhrx1nhz5iBiofJ3AZD7Z8dcv")</f>
        <v>https://drive:google:com/open?id=1ZMI30dMBhrx1nhz5iBiofJ3AZD7Z8dcv</v>
      </c>
      <c r="H88" s="13"/>
      <c r="I88" s="13"/>
      <c r="J88" s="13" t="str">
        <f t="shared" si="1"/>
        <v>Oktober 2024</v>
      </c>
      <c r="K88" s="13" t="str">
        <f t="shared" si="2"/>
        <v>08 Okt 2024</v>
      </c>
      <c r="L88" s="4" t="str">
        <f t="shared" si="3"/>
        <v>TW 4</v>
      </c>
    </row>
    <row r="89">
      <c r="A89" s="43">
        <f>IFERROR(__xludf.DUMMYFUNCTION("""COMPUTED_VALUE"""),45573.616969386574)</f>
        <v>45573.61697</v>
      </c>
      <c r="B89" s="13" t="str">
        <f>IFERROR(__xludf.DUMMYFUNCTION("""COMPUTED_VALUE"""),"Rosmei Hutagaol")</f>
        <v>Rosmei Hutagaol</v>
      </c>
      <c r="C89" s="13" t="str">
        <f>IFERROR(__xludf.DUMMYFUNCTION("""COMPUTED_VALUE"""),"088263957176")</f>
        <v>088263957176</v>
      </c>
      <c r="D89" s="13"/>
      <c r="E89" s="13" t="str">
        <f>IFERROR(__xludf.DUMMYFUNCTION("""COMPUTED_VALUE"""),"SMA N 1 Sidikalang")</f>
        <v>SMA N 1 Sidikalang</v>
      </c>
      <c r="F89" s="13" t="str">
        <f>IFERROR(__xludf.DUMMYFUNCTION("""COMPUTED_VALUE"""),"Permintaan Data Jumlah Kelurahan dan Desa dikabupaten Dairi")</f>
        <v>Permintaan Data Jumlah Kelurahan dan Desa dikabupaten Dairi</v>
      </c>
      <c r="G89" s="13" t="str">
        <f>IFERROR(__xludf.DUMMYFUNCTION("""COMPUTED_VALUE"""),"https://drive:google:com/open?id=1EhBeyHchqR2yNuh-kUdj62jb40TxwcWz")</f>
        <v>https://drive:google:com/open?id=1EhBeyHchqR2yNuh-kUdj62jb40TxwcWz</v>
      </c>
      <c r="H89" s="13"/>
      <c r="I89" s="13"/>
      <c r="J89" s="13" t="str">
        <f t="shared" si="1"/>
        <v>Oktober 2024</v>
      </c>
      <c r="K89" s="13" t="str">
        <f t="shared" si="2"/>
        <v>08 Okt 2024</v>
      </c>
      <c r="L89" s="4" t="str">
        <f t="shared" si="3"/>
        <v>TW 4</v>
      </c>
    </row>
    <row r="90">
      <c r="A90" s="43">
        <f>IFERROR(__xludf.DUMMYFUNCTION("""COMPUTED_VALUE"""),45574.58530542824)</f>
        <v>45574.58531</v>
      </c>
      <c r="B90" s="13" t="str">
        <f>IFERROR(__xludf.DUMMYFUNCTION("""COMPUTED_VALUE"""),"Windy Siregar")</f>
        <v>Windy Siregar</v>
      </c>
      <c r="C90" s="13" t="str">
        <f>IFERROR(__xludf.DUMMYFUNCTION("""COMPUTED_VALUE"""),"081262295906")</f>
        <v>081262295906</v>
      </c>
      <c r="D90" s="13"/>
      <c r="E90" s="13" t="str">
        <f>IFERROR(__xludf.DUMMYFUNCTION("""COMPUTED_VALUE"""),"Institusi Pendidikan")</f>
        <v>Institusi Pendidikan</v>
      </c>
      <c r="F90" s="13" t="str">
        <f>IFERROR(__xludf.DUMMYFUNCTION("""COMPUTED_VALUE"""),"Pelayanan Statistik (Permintaan Data/Konsultasi)")</f>
        <v>Pelayanan Statistik (Permintaan Data/Konsultasi)</v>
      </c>
      <c r="G90" s="13" t="str">
        <f>IFERROR(__xludf.DUMMYFUNCTION("""COMPUTED_VALUE"""),"https://drive:google:com/open?id=1hwlYPf3FkfTpqWM68NT4aAwizyQMM0OQ")</f>
        <v>https://drive:google:com/open?id=1hwlYPf3FkfTpqWM68NT4aAwizyQMM0OQ</v>
      </c>
      <c r="H90" s="13" t="str">
        <f>IFERROR(__xludf.DUMMYFUNCTION("""COMPUTED_VALUE"""),"Jumlah Desa/Kelurahan di Kab Dairi")</f>
        <v>Jumlah Desa/Kelurahan di Kab Dairi</v>
      </c>
      <c r="I90" s="13"/>
      <c r="J90" s="13" t="str">
        <f t="shared" si="1"/>
        <v>Oktober 2024</v>
      </c>
      <c r="K90" s="13" t="str">
        <f t="shared" si="2"/>
        <v>09 Okt 2024</v>
      </c>
      <c r="L90" s="4" t="str">
        <f t="shared" si="3"/>
        <v>TW 4</v>
      </c>
    </row>
    <row r="91">
      <c r="A91" s="43">
        <f>IFERROR(__xludf.DUMMYFUNCTION("""COMPUTED_VALUE"""),45574.586322407406)</f>
        <v>45574.58632</v>
      </c>
      <c r="B91" s="13" t="str">
        <f>IFERROR(__xludf.DUMMYFUNCTION("""COMPUTED_VALUE"""),"Mawar Sinaga")</f>
        <v>Mawar Sinaga</v>
      </c>
      <c r="C91" s="13"/>
      <c r="D91" s="13"/>
      <c r="E91" s="13" t="str">
        <f>IFERROR(__xludf.DUMMYFUNCTION("""COMPUTED_VALUE"""),"SMA N 1 Sidikalang")</f>
        <v>SMA N 1 Sidikalang</v>
      </c>
      <c r="F91" s="13" t="str">
        <f>IFERROR(__xludf.DUMMYFUNCTION("""COMPUTED_VALUE"""),"Pelayanan Statistik (Permintaan Data/Konsultasi)")</f>
        <v>Pelayanan Statistik (Permintaan Data/Konsultasi)</v>
      </c>
      <c r="G91" s="13" t="str">
        <f>IFERROR(__xludf.DUMMYFUNCTION("""COMPUTED_VALUE"""),"https://drive:google:com/open?id=1wSOdO0gVBAmTP-b98fzbB_rOmmPHG5qI")</f>
        <v>https://drive:google:com/open?id=1wSOdO0gVBAmTP-b98fzbB_rOmmPHG5qI</v>
      </c>
      <c r="H91" s="13" t="str">
        <f>IFERROR(__xludf.DUMMYFUNCTION("""COMPUTED_VALUE"""),"Jumlah Desa/Kelurahan di Kab Dairi")</f>
        <v>Jumlah Desa/Kelurahan di Kab Dairi</v>
      </c>
      <c r="I91" s="13"/>
      <c r="J91" s="13" t="str">
        <f t="shared" si="1"/>
        <v>Oktober 2024</v>
      </c>
      <c r="K91" s="13" t="str">
        <f t="shared" si="2"/>
        <v>09 Okt 2024</v>
      </c>
      <c r="L91" s="4" t="str">
        <f t="shared" si="3"/>
        <v>TW 4</v>
      </c>
    </row>
    <row r="92">
      <c r="A92" s="43">
        <f>IFERROR(__xludf.DUMMYFUNCTION("""COMPUTED_VALUE"""),45574.586929606485)</f>
        <v>45574.58693</v>
      </c>
      <c r="B92" s="13" t="str">
        <f>IFERROR(__xludf.DUMMYFUNCTION("""COMPUTED_VALUE"""),"Angreini B Purba")</f>
        <v>Angreini B Purba</v>
      </c>
      <c r="C92" s="13"/>
      <c r="D92" s="13"/>
      <c r="E92" s="13" t="str">
        <f>IFERROR(__xludf.DUMMYFUNCTION("""COMPUTED_VALUE"""),"SMA N 1 Sidikalang")</f>
        <v>SMA N 1 Sidikalang</v>
      </c>
      <c r="F92" s="13" t="str">
        <f>IFERROR(__xludf.DUMMYFUNCTION("""COMPUTED_VALUE"""),"Pelayanan Statistik (Permintaan Data/Konsultasi)")</f>
        <v>Pelayanan Statistik (Permintaan Data/Konsultasi)</v>
      </c>
      <c r="G92" s="13" t="str">
        <f>IFERROR(__xludf.DUMMYFUNCTION("""COMPUTED_VALUE"""),"https://drive:google:com/open?id=1114UO4lQAokKsfbZNJL1Z10SoR_zzSJ7")</f>
        <v>https://drive:google:com/open?id=1114UO4lQAokKsfbZNJL1Z10SoR_zzSJ7</v>
      </c>
      <c r="H92" s="13" t="str">
        <f>IFERROR(__xludf.DUMMYFUNCTION("""COMPUTED_VALUE"""),"Jumlah Desa/Kelurahan di Kab Dairi")</f>
        <v>Jumlah Desa/Kelurahan di Kab Dairi</v>
      </c>
      <c r="I92" s="13"/>
      <c r="J92" s="13" t="str">
        <f t="shared" si="1"/>
        <v>Oktober 2024</v>
      </c>
      <c r="K92" s="13" t="str">
        <f t="shared" si="2"/>
        <v>09 Okt 2024</v>
      </c>
      <c r="L92" s="4" t="str">
        <f t="shared" si="3"/>
        <v>TW 4</v>
      </c>
    </row>
    <row r="93">
      <c r="A93" s="43">
        <f>IFERROR(__xludf.DUMMYFUNCTION("""COMPUTED_VALUE"""),45574.59296030092)</f>
        <v>45574.59296</v>
      </c>
      <c r="B93" s="13" t="str">
        <f>IFERROR(__xludf.DUMMYFUNCTION("""COMPUTED_VALUE"""),"Elianto Charles Bancin")</f>
        <v>Elianto Charles Bancin</v>
      </c>
      <c r="C93" s="13" t="str">
        <f>IFERROR(__xludf.DUMMYFUNCTION("""COMPUTED_VALUE"""),"081396806334")</f>
        <v>081396806334</v>
      </c>
      <c r="D93" s="13" t="str">
        <f>IFERROR(__xludf.DUMMYFUNCTION("""COMPUTED_VALUE"""),"charlesbancin1984@gmail:com")</f>
        <v>charlesbancin1984@gmail:com</v>
      </c>
      <c r="E93" s="13" t="str">
        <f>IFERROR(__xludf.DUMMYFUNCTION("""COMPUTED_VALUE"""),"OPD (Pemerintah Daerah)")</f>
        <v>OPD (Pemerintah Daerah)</v>
      </c>
      <c r="F93" s="13" t="str">
        <f>IFERROR(__xludf.DUMMYFUNCTION("""COMPUTED_VALUE"""),"Pelayanan Statistik (Permintaan Data/Konsultasi)")</f>
        <v>Pelayanan Statistik (Permintaan Data/Konsultasi)</v>
      </c>
      <c r="G93" s="13" t="str">
        <f>IFERROR(__xludf.DUMMYFUNCTION("""COMPUTED_VALUE"""),"https://drive:google:com/open?id=11UQjyXPxhtYN99kZOK1mWyrRo6DjRHzc")</f>
        <v>https://drive:google:com/open?id=11UQjyXPxhtYN99kZOK1mWyrRo6DjRHzc</v>
      </c>
      <c r="H93" s="13" t="str">
        <f>IFERROR(__xludf.DUMMYFUNCTION("""COMPUTED_VALUE"""),"Koordinasi Data SPH")</f>
        <v>Koordinasi Data SPH</v>
      </c>
      <c r="I93" s="13"/>
      <c r="J93" s="13" t="str">
        <f t="shared" si="1"/>
        <v>Oktober 2024</v>
      </c>
      <c r="K93" s="13" t="str">
        <f t="shared" si="2"/>
        <v>09 Okt 2024</v>
      </c>
      <c r="L93" s="4" t="str">
        <f t="shared" si="3"/>
        <v>TW 4</v>
      </c>
    </row>
    <row r="94">
      <c r="A94" s="43">
        <f>IFERROR(__xludf.DUMMYFUNCTION("""COMPUTED_VALUE"""),45574.593806087956)</f>
        <v>45574.59381</v>
      </c>
      <c r="B94" s="13" t="str">
        <f>IFERROR(__xludf.DUMMYFUNCTION("""COMPUTED_VALUE"""),"Rio Marbun")</f>
        <v>Rio Marbun</v>
      </c>
      <c r="C94" s="13" t="str">
        <f>IFERROR(__xludf.DUMMYFUNCTION("""COMPUTED_VALUE"""),"085362059010")</f>
        <v>085362059010</v>
      </c>
      <c r="D94" s="13" t="str">
        <f>IFERROR(__xludf.DUMMYFUNCTION("""COMPUTED_VALUE"""),"rio:marbun:rm@gmail:com")</f>
        <v>rio:marbun:rm@gmail:com</v>
      </c>
      <c r="E94" s="13" t="str">
        <f>IFERROR(__xludf.DUMMYFUNCTION("""COMPUTED_VALUE"""),"OPD (Pemerintah Daerah)")</f>
        <v>OPD (Pemerintah Daerah)</v>
      </c>
      <c r="F94" s="13" t="str">
        <f>IFERROR(__xludf.DUMMYFUNCTION("""COMPUTED_VALUE"""),"Pelayanan Statistik (Permintaan Data/Konsultasi)")</f>
        <v>Pelayanan Statistik (Permintaan Data/Konsultasi)</v>
      </c>
      <c r="G94" s="13" t="str">
        <f>IFERROR(__xludf.DUMMYFUNCTION("""COMPUTED_VALUE"""),"https://drive:google:com/open?id=1hqgAKsZErcNRPdukqlEsAkIvq81dbFtV")</f>
        <v>https://drive:google:com/open?id=1hqgAKsZErcNRPdukqlEsAkIvq81dbFtV</v>
      </c>
      <c r="H94" s="13" t="str">
        <f>IFERROR(__xludf.DUMMYFUNCTION("""COMPUTED_VALUE"""),"Koordinasi Data SPH")</f>
        <v>Koordinasi Data SPH</v>
      </c>
      <c r="I94" s="13"/>
      <c r="J94" s="13" t="str">
        <f t="shared" si="1"/>
        <v>Oktober 2024</v>
      </c>
      <c r="K94" s="13" t="str">
        <f t="shared" si="2"/>
        <v>09 Okt 2024</v>
      </c>
      <c r="L94" s="4" t="str">
        <f t="shared" si="3"/>
        <v>TW 4</v>
      </c>
    </row>
    <row r="95">
      <c r="A95" s="43">
        <f>IFERROR(__xludf.DUMMYFUNCTION("""COMPUTED_VALUE"""),45574.60059002315)</f>
        <v>45574.60059</v>
      </c>
      <c r="B95" s="13" t="str">
        <f>IFERROR(__xludf.DUMMYFUNCTION("""COMPUTED_VALUE"""),"Amos Simanjuntak")</f>
        <v>Amos Simanjuntak</v>
      </c>
      <c r="C95" s="13" t="str">
        <f>IFERROR(__xludf.DUMMYFUNCTION("""COMPUTED_VALUE"""),"082167930935")</f>
        <v>082167930935</v>
      </c>
      <c r="D95" s="13" t="str">
        <f>IFERROR(__xludf.DUMMYFUNCTION("""COMPUTED_VALUE"""),"amosjuntaknbp8@gmail:com")</f>
        <v>amosjuntaknbp8@gmail:com</v>
      </c>
      <c r="E95" s="13" t="str">
        <f>IFERROR(__xludf.DUMMYFUNCTION("""COMPUTED_VALUE"""),"BUMN/BUMD")</f>
        <v>BUMN/BUMD</v>
      </c>
      <c r="F95" s="13" t="str">
        <f>IFERROR(__xludf.DUMMYFUNCTION("""COMPUTED_VALUE"""),"Pelayanan Statistik (Permintaan Data/Konsultasi)")</f>
        <v>Pelayanan Statistik (Permintaan Data/Konsultasi)</v>
      </c>
      <c r="G95" s="13" t="str">
        <f>IFERROR(__xludf.DUMMYFUNCTION("""COMPUTED_VALUE"""),"https://drive:google:com/open?id=10exz3IFC41kFyTboBf44AhjE6IcrWJ1A")</f>
        <v>https://drive:google:com/open?id=10exz3IFC41kFyTboBf44AhjE6IcrWJ1A</v>
      </c>
      <c r="H95" s="13" t="str">
        <f>IFERROR(__xludf.DUMMYFUNCTION("""COMPUTED_VALUE"""),"Data Perekonomian ")</f>
        <v>Data Perekonomian </v>
      </c>
      <c r="I95" s="13"/>
      <c r="J95" s="13" t="str">
        <f t="shared" si="1"/>
        <v>Oktober 2024</v>
      </c>
      <c r="K95" s="13" t="str">
        <f t="shared" si="2"/>
        <v>09 Okt 2024</v>
      </c>
      <c r="L95" s="4" t="str">
        <f t="shared" si="3"/>
        <v>TW 4</v>
      </c>
    </row>
    <row r="96">
      <c r="A96" s="43">
        <f>IFERROR(__xludf.DUMMYFUNCTION("""COMPUTED_VALUE"""),45574.60158855325)</f>
        <v>45574.60159</v>
      </c>
      <c r="B96" s="13" t="str">
        <f>IFERROR(__xludf.DUMMYFUNCTION("""COMPUTED_VALUE"""),"Sabar Hasugian")</f>
        <v>Sabar Hasugian</v>
      </c>
      <c r="C96" s="13" t="str">
        <f>IFERROR(__xludf.DUMMYFUNCTION("""COMPUTED_VALUE"""),"085370335238")</f>
        <v>085370335238</v>
      </c>
      <c r="D96" s="13" t="str">
        <f>IFERROR(__xludf.DUMMYFUNCTION("""COMPUTED_VALUE"""),"sabarlastro07@gmail:com")</f>
        <v>sabarlastro07@gmail:com</v>
      </c>
      <c r="E96" s="13" t="str">
        <f>IFERROR(__xludf.DUMMYFUNCTION("""COMPUTED_VALUE"""),"BUMN/BUMD")</f>
        <v>BUMN/BUMD</v>
      </c>
      <c r="F96" s="13" t="str">
        <f>IFERROR(__xludf.DUMMYFUNCTION("""COMPUTED_VALUE"""),"Pelayanan Statistik (Permintaan Data/Konsultasi)")</f>
        <v>Pelayanan Statistik (Permintaan Data/Konsultasi)</v>
      </c>
      <c r="G96" s="13" t="str">
        <f>IFERROR(__xludf.DUMMYFUNCTION("""COMPUTED_VALUE"""),"https://drive:google:com/open?id=1lSGvFzdkapxt8KvzJPHM9ly6PivhzTkU")</f>
        <v>https://drive:google:com/open?id=1lSGvFzdkapxt8KvzJPHM9ly6PivhzTkU</v>
      </c>
      <c r="H96" s="13" t="str">
        <f>IFERROR(__xludf.DUMMYFUNCTION("""COMPUTED_VALUE"""),"Data Perekonomian")</f>
        <v>Data Perekonomian</v>
      </c>
      <c r="I96" s="13"/>
      <c r="J96" s="13" t="str">
        <f t="shared" si="1"/>
        <v>Oktober 2024</v>
      </c>
      <c r="K96" s="13" t="str">
        <f t="shared" si="2"/>
        <v>09 Okt 2024</v>
      </c>
      <c r="L96" s="4" t="str">
        <f t="shared" si="3"/>
        <v>TW 4</v>
      </c>
    </row>
    <row r="97">
      <c r="A97" s="43">
        <f>IFERROR(__xludf.DUMMYFUNCTION("""COMPUTED_VALUE"""),45576.49803369213)</f>
        <v>45576.49803</v>
      </c>
      <c r="B97" s="13" t="str">
        <f>IFERROR(__xludf.DUMMYFUNCTION("""COMPUTED_VALUE"""),"Yoandra Sihombing")</f>
        <v>Yoandra Sihombing</v>
      </c>
      <c r="C97" s="13" t="str">
        <f>IFERROR(__xludf.DUMMYFUNCTION("""COMPUTED_VALUE"""),"085161028057")</f>
        <v>085161028057</v>
      </c>
      <c r="D97" s="13"/>
      <c r="E97" s="13" t="str">
        <f>IFERROR(__xludf.DUMMYFUNCTION("""COMPUTED_VALUE"""),"SMA N 1 Sidikalang")</f>
        <v>SMA N 1 Sidikalang</v>
      </c>
      <c r="F97" s="13" t="str">
        <f>IFERROR(__xludf.DUMMYFUNCTION("""COMPUTED_VALUE"""),"Permintaan Data Jumlah Desa/Kelurahan di Kabupaten Dairi")</f>
        <v>Permintaan Data Jumlah Desa/Kelurahan di Kabupaten Dairi</v>
      </c>
      <c r="G97" s="13" t="str">
        <f>IFERROR(__xludf.DUMMYFUNCTION("""COMPUTED_VALUE"""),"https://drive:google:com/open?id=1GgJSObUiMxyMd-cefi6RBekGcRosJ2ea")</f>
        <v>https://drive:google:com/open?id=1GgJSObUiMxyMd-cefi6RBekGcRosJ2ea</v>
      </c>
      <c r="H97" s="13"/>
      <c r="I97" s="13"/>
      <c r="J97" s="13" t="str">
        <f t="shared" si="1"/>
        <v>Oktober 2024</v>
      </c>
      <c r="K97" s="13" t="str">
        <f t="shared" si="2"/>
        <v>11 Okt 2024</v>
      </c>
      <c r="L97" s="4" t="str">
        <f t="shared" si="3"/>
        <v>TW 4</v>
      </c>
    </row>
    <row r="98">
      <c r="A98" s="43">
        <f>IFERROR(__xludf.DUMMYFUNCTION("""COMPUTED_VALUE"""),45576.49897559028)</f>
        <v>45576.49898</v>
      </c>
      <c r="B98" s="13" t="str">
        <f>IFERROR(__xludf.DUMMYFUNCTION("""COMPUTED_VALUE"""),"Insaf Sagala")</f>
        <v>Insaf Sagala</v>
      </c>
      <c r="C98" s="13" t="str">
        <f>IFERROR(__xludf.DUMMYFUNCTION("""COMPUTED_VALUE"""),"0895337529165")</f>
        <v>0895337529165</v>
      </c>
      <c r="D98" s="13"/>
      <c r="E98" s="13" t="str">
        <f>IFERROR(__xludf.DUMMYFUNCTION("""COMPUTED_VALUE"""),"SMA N 1 Sidikalang")</f>
        <v>SMA N 1 Sidikalang</v>
      </c>
      <c r="F98" s="13" t="str">
        <f>IFERROR(__xludf.DUMMYFUNCTION("""COMPUTED_VALUE"""),"Permintaan Data Jumlah Desa/Kelurahan Di Kab Dairi")</f>
        <v>Permintaan Data Jumlah Desa/Kelurahan Di Kab Dairi</v>
      </c>
      <c r="G98" s="13" t="str">
        <f>IFERROR(__xludf.DUMMYFUNCTION("""COMPUTED_VALUE"""),"https://drive:google:com/open?id=1H7vdHWkYqEyLtL2vYnK2rjU50l4vFfWd")</f>
        <v>https://drive:google:com/open?id=1H7vdHWkYqEyLtL2vYnK2rjU50l4vFfWd</v>
      </c>
      <c r="H98" s="13"/>
      <c r="I98" s="13"/>
      <c r="J98" s="13" t="str">
        <f t="shared" si="1"/>
        <v>Oktober 2024</v>
      </c>
      <c r="K98" s="13" t="str">
        <f t="shared" si="2"/>
        <v>11 Okt 2024</v>
      </c>
      <c r="L98" s="4" t="str">
        <f t="shared" si="3"/>
        <v>TW 4</v>
      </c>
    </row>
    <row r="99">
      <c r="A99" s="43">
        <f>IFERROR(__xludf.DUMMYFUNCTION("""COMPUTED_VALUE"""),45576.509474432874)</f>
        <v>45576.50947</v>
      </c>
      <c r="B99" s="13" t="str">
        <f>IFERROR(__xludf.DUMMYFUNCTION("""COMPUTED_VALUE"""),"Theona Simanjuntak")</f>
        <v>Theona Simanjuntak</v>
      </c>
      <c r="C99" s="13" t="str">
        <f>IFERROR(__xludf.DUMMYFUNCTION("""COMPUTED_VALUE"""),"087853642360")</f>
        <v>087853642360</v>
      </c>
      <c r="D99" s="13"/>
      <c r="E99" s="13" t="str">
        <f>IFERROR(__xludf.DUMMYFUNCTION("""COMPUTED_VALUE"""),"SMA N 1 Sidikalang")</f>
        <v>SMA N 1 Sidikalang</v>
      </c>
      <c r="F99" s="13" t="str">
        <f>IFERROR(__xludf.DUMMYFUNCTION("""COMPUTED_VALUE"""),"Permintaan Data Jumlah Desa/Kelurahan di Kab Dairi")</f>
        <v>Permintaan Data Jumlah Desa/Kelurahan di Kab Dairi</v>
      </c>
      <c r="G99" s="13" t="str">
        <f>IFERROR(__xludf.DUMMYFUNCTION("""COMPUTED_VALUE"""),"https://drive:google:com/open?id=1WoYBTXSHdALLrtw-68KfqANU4IAJRPPn")</f>
        <v>https://drive:google:com/open?id=1WoYBTXSHdALLrtw-68KfqANU4IAJRPPn</v>
      </c>
      <c r="H99" s="13"/>
      <c r="I99" s="13"/>
      <c r="J99" s="13" t="str">
        <f t="shared" si="1"/>
        <v>Oktober 2024</v>
      </c>
      <c r="K99" s="13" t="str">
        <f t="shared" si="2"/>
        <v>11 Okt 2024</v>
      </c>
      <c r="L99" s="4" t="str">
        <f t="shared" si="3"/>
        <v>TW 4</v>
      </c>
    </row>
    <row r="100">
      <c r="A100" s="43">
        <f>IFERROR(__xludf.DUMMYFUNCTION("""COMPUTED_VALUE"""),45576.51070012731)</f>
        <v>45576.5107</v>
      </c>
      <c r="B100" s="13" t="str">
        <f>IFERROR(__xludf.DUMMYFUNCTION("""COMPUTED_VALUE"""),"Crisna Tarigan")</f>
        <v>Crisna Tarigan</v>
      </c>
      <c r="C100" s="13" t="str">
        <f>IFERROR(__xludf.DUMMYFUNCTION("""COMPUTED_VALUE"""),"082211926002")</f>
        <v>082211926002</v>
      </c>
      <c r="D100" s="13" t="str">
        <f>IFERROR(__xludf.DUMMYFUNCTION("""COMPUTED_VALUE"""),"chrisnatarigan@gmail:com")</f>
        <v>chrisnatarigan@gmail:com</v>
      </c>
      <c r="E100" s="13" t="str">
        <f>IFERROR(__xludf.DUMMYFUNCTION("""COMPUTED_VALUE"""),"SMA N 1 Sidikalang")</f>
        <v>SMA N 1 Sidikalang</v>
      </c>
      <c r="F100" s="13" t="str">
        <f>IFERROR(__xludf.DUMMYFUNCTION("""COMPUTED_VALUE"""),"Pelayanan Statistik (Permintaan Data/Konsultasi)")</f>
        <v>Pelayanan Statistik (Permintaan Data/Konsultasi)</v>
      </c>
      <c r="G100" s="13" t="str">
        <f>IFERROR(__xludf.DUMMYFUNCTION("""COMPUTED_VALUE"""),"https://drive:google:com/open?id=1QGpwiZwVM-aibB597o1g5hxXhp-64kSb")</f>
        <v>https://drive:google:com/open?id=1QGpwiZwVM-aibB597o1g5hxXhp-64kSb</v>
      </c>
      <c r="H100" s="13" t="str">
        <f>IFERROR(__xludf.DUMMYFUNCTION("""COMPUTED_VALUE"""),"Data Jumlah Desa Kelurahan di Kab Dairi")</f>
        <v>Data Jumlah Desa Kelurahan di Kab Dairi</v>
      </c>
      <c r="I100" s="13"/>
      <c r="J100" s="13" t="str">
        <f t="shared" si="1"/>
        <v>Oktober 2024</v>
      </c>
      <c r="K100" s="13" t="str">
        <f t="shared" si="2"/>
        <v>11 Okt 2024</v>
      </c>
      <c r="L100" s="4" t="str">
        <f t="shared" si="3"/>
        <v>TW 4</v>
      </c>
    </row>
    <row r="101">
      <c r="A101" s="43">
        <f>IFERROR(__xludf.DUMMYFUNCTION("""COMPUTED_VALUE"""),45596.720798912036)</f>
        <v>45596.7208</v>
      </c>
      <c r="B101" s="13" t="str">
        <f>IFERROR(__xludf.DUMMYFUNCTION("""COMPUTED_VALUE"""),"teresia lumban gaol")</f>
        <v>teresia lumban gaol</v>
      </c>
      <c r="C101" s="13" t="str">
        <f>IFERROR(__xludf.DUMMYFUNCTION("""COMPUTED_VALUE"""),"082114490690")</f>
        <v>082114490690</v>
      </c>
      <c r="D101" s="13" t="str">
        <f>IFERROR(__xludf.DUMMYFUNCTION("""COMPUTED_VALUE"""),"theresiaylg@gmail:com")</f>
        <v>theresiaylg@gmail:com</v>
      </c>
      <c r="E101" s="13" t="str">
        <f>IFERROR(__xludf.DUMMYFUNCTION("""COMPUTED_VALUE"""),"BUMN/BUMD")</f>
        <v>BUMN/BUMD</v>
      </c>
      <c r="F101" s="13" t="str">
        <f>IFERROR(__xludf.DUMMYFUNCTION("""COMPUTED_VALUE"""),"Koordinasi antar lembaga")</f>
        <v>Koordinasi antar lembaga</v>
      </c>
      <c r="G101" s="13" t="str">
        <f>IFERROR(__xludf.DUMMYFUNCTION("""COMPUTED_VALUE"""),"https://drive:google:com/open?id=10UwZUSrgQ4f4HZsU_PW0h-b5edAojPTk")</f>
        <v>https://drive:google:com/open?id=10UwZUSrgQ4f4HZsU_PW0h-b5edAojPTk</v>
      </c>
      <c r="H101" s="13"/>
      <c r="I101" s="13" t="str">
        <f>IFERROR(__xludf.DUMMYFUNCTION("""COMPUTED_VALUE"""),"kordinasi antar lembaga ")</f>
        <v>kordinasi antar lembaga </v>
      </c>
      <c r="J101" s="13" t="str">
        <f t="shared" si="1"/>
        <v>Oktober 2024</v>
      </c>
      <c r="K101" s="13" t="str">
        <f t="shared" si="2"/>
        <v>31 Okt 2024</v>
      </c>
      <c r="L101" s="4" t="str">
        <f t="shared" si="3"/>
        <v>TW 4</v>
      </c>
    </row>
    <row r="102">
      <c r="A102" s="43">
        <f>IFERROR(__xludf.DUMMYFUNCTION("""COMPUTED_VALUE"""),45601.59311840278)</f>
        <v>45601.59312</v>
      </c>
      <c r="B102" s="13" t="str">
        <f>IFERROR(__xludf.DUMMYFUNCTION("""COMPUTED_VALUE"""),"Adven Simbolon")</f>
        <v>Adven Simbolon</v>
      </c>
      <c r="C102" s="13" t="str">
        <f>IFERROR(__xludf.DUMMYFUNCTION("""COMPUTED_VALUE"""),"081360219786")</f>
        <v>081360219786</v>
      </c>
      <c r="D102" s="13" t="str">
        <f>IFERROR(__xludf.DUMMYFUNCTION("""COMPUTED_VALUE"""),"advendsimbolon07@gmail:com")</f>
        <v>advendsimbolon07@gmail:com</v>
      </c>
      <c r="E102" s="13" t="str">
        <f>IFERROR(__xludf.DUMMYFUNCTION("""COMPUTED_VALUE"""),"DialektiKopi Dairi")</f>
        <v>DialektiKopi Dairi</v>
      </c>
      <c r="F102" s="13" t="str">
        <f>IFERROR(__xludf.DUMMYFUNCTION("""COMPUTED_VALUE"""),"Permintaan Data Sebaran Kopi Di Dairi")</f>
        <v>Permintaan Data Sebaran Kopi Di Dairi</v>
      </c>
      <c r="G102" s="13" t="str">
        <f>IFERROR(__xludf.DUMMYFUNCTION("""COMPUTED_VALUE"""),"https://drive:google:com/open?id=1WqZY5L39Ns7snOGLRV_qmZkJgRkvnust")</f>
        <v>https://drive:google:com/open?id=1WqZY5L39Ns7snOGLRV_qmZkJgRkvnust</v>
      </c>
      <c r="H102" s="13"/>
      <c r="I102" s="13"/>
      <c r="J102" s="13" t="str">
        <f t="shared" si="1"/>
        <v>November 2024</v>
      </c>
      <c r="K102" s="13" t="str">
        <f t="shared" si="2"/>
        <v>05 Nov 2024</v>
      </c>
      <c r="L102" s="4" t="str">
        <f t="shared" si="3"/>
        <v>TW 4</v>
      </c>
    </row>
    <row r="103">
      <c r="A103" s="43">
        <f>IFERROR(__xludf.DUMMYFUNCTION("""COMPUTED_VALUE"""),45607.43607105324)</f>
        <v>45607.43607</v>
      </c>
      <c r="B103" s="13" t="str">
        <f>IFERROR(__xludf.DUMMYFUNCTION("""COMPUTED_VALUE"""),"Nova Monalisa Situngkir")</f>
        <v>Nova Monalisa Situngkir</v>
      </c>
      <c r="C103" s="13" t="str">
        <f>IFERROR(__xludf.DUMMYFUNCTION("""COMPUTED_VALUE"""),"081360006162")</f>
        <v>081360006162</v>
      </c>
      <c r="D103" s="13" t="str">
        <f>IFERROR(__xludf.DUMMYFUNCTION("""COMPUTED_VALUE"""),"monalisasitungkir76@gmail:com")</f>
        <v>monalisasitungkir76@gmail:com</v>
      </c>
      <c r="E103" s="13" t="str">
        <f>IFERROR(__xludf.DUMMYFUNCTION("""COMPUTED_VALUE"""),"OPD (Pemerintah Daerah)")</f>
        <v>OPD (Pemerintah Daerah)</v>
      </c>
      <c r="F103" s="13" t="str">
        <f>IFERROR(__xludf.DUMMYFUNCTION("""COMPUTED_VALUE"""),"Koordinasi antar lembaga")</f>
        <v>Koordinasi antar lembaga</v>
      </c>
      <c r="G103" s="13" t="str">
        <f>IFERROR(__xludf.DUMMYFUNCTION("""COMPUTED_VALUE"""),"https://drive:google:com/open?id=1r4MgXyCWYdzEnAeBb-ZVDKROi-vXelMb")</f>
        <v>https://drive:google:com/open?id=1r4MgXyCWYdzEnAeBb-ZVDKROi-vXelMb</v>
      </c>
      <c r="H103" s="13"/>
      <c r="I103" s="13" t="str">
        <f>IFERROR(__xludf.DUMMYFUNCTION("""COMPUTED_VALUE"""),"Antar Lembaga")</f>
        <v>Antar Lembaga</v>
      </c>
      <c r="J103" s="13" t="str">
        <f t="shared" si="1"/>
        <v>November 2024</v>
      </c>
      <c r="K103" s="13" t="str">
        <f t="shared" si="2"/>
        <v>11 Nov 2024</v>
      </c>
      <c r="L103" s="4" t="str">
        <f t="shared" si="3"/>
        <v>TW 4</v>
      </c>
    </row>
    <row r="104">
      <c r="A104" s="43">
        <f>IFERROR(__xludf.DUMMYFUNCTION("""COMPUTED_VALUE"""),45607.51863805556)</f>
        <v>45607.51864</v>
      </c>
      <c r="B104" s="13" t="str">
        <f>IFERROR(__xludf.DUMMYFUNCTION("""COMPUTED_VALUE"""),"henderi nadeak")</f>
        <v>henderi nadeak</v>
      </c>
      <c r="C104" s="13" t="str">
        <f>IFERROR(__xludf.DUMMYFUNCTION("""COMPUTED_VALUE"""),"081253422406")</f>
        <v>081253422406</v>
      </c>
      <c r="D104" s="13"/>
      <c r="E104" s="13" t="str">
        <f>IFERROR(__xludf.DUMMYFUNCTION("""COMPUTED_VALUE"""),"Wartawan")</f>
        <v>Wartawan</v>
      </c>
      <c r="F104" s="13" t="str">
        <f>IFERROR(__xludf.DUMMYFUNCTION("""COMPUTED_VALUE"""),"Konsultasi")</f>
        <v>Konsultasi</v>
      </c>
      <c r="G104" s="13" t="str">
        <f>IFERROR(__xludf.DUMMYFUNCTION("""COMPUTED_VALUE"""),"https://drive:google:com/open?id=1HTOu08AOyCBxcQ6LXAUyoqWsdBYJG3En")</f>
        <v>https://drive:google:com/open?id=1HTOu08AOyCBxcQ6LXAUyoqWsdBYJG3En</v>
      </c>
      <c r="H104" s="13"/>
      <c r="I104" s="13"/>
      <c r="J104" s="13" t="str">
        <f t="shared" si="1"/>
        <v>November 2024</v>
      </c>
      <c r="K104" s="13" t="str">
        <f t="shared" si="2"/>
        <v>11 Nov 2024</v>
      </c>
      <c r="L104" s="4" t="str">
        <f t="shared" si="3"/>
        <v>TW 4</v>
      </c>
    </row>
    <row r="105">
      <c r="A105" s="43">
        <f>IFERROR(__xludf.DUMMYFUNCTION("""COMPUTED_VALUE"""),45616.39392824074)</f>
        <v>45616.39393</v>
      </c>
      <c r="B105" s="13" t="str">
        <f>IFERROR(__xludf.DUMMYFUNCTION("""COMPUTED_VALUE"""),"Trimaya Sinuraya")</f>
        <v>Trimaya Sinuraya</v>
      </c>
      <c r="C105" s="13" t="str">
        <f>IFERROR(__xludf.DUMMYFUNCTION("""COMPUTED_VALUE"""),"082361556739")</f>
        <v>082361556739</v>
      </c>
      <c r="D105" s="13"/>
      <c r="E105" s="13" t="str">
        <f>IFERROR(__xludf.DUMMYFUNCTION("""COMPUTED_VALUE"""),"KPPN Sidikalang")</f>
        <v>KPPN Sidikalang</v>
      </c>
      <c r="F105" s="13" t="str">
        <f>IFERROR(__xludf.DUMMYFUNCTION("""COMPUTED_VALUE"""),"Koordinasi antar lembaga")</f>
        <v>Koordinasi antar lembaga</v>
      </c>
      <c r="G105" s="13" t="str">
        <f>IFERROR(__xludf.DUMMYFUNCTION("""COMPUTED_VALUE"""),"https://drive:google:com/open?id=116M3yt1DxmJTUiLew8VpoI6k9ks7Ywkm")</f>
        <v>https://drive:google:com/open?id=116M3yt1DxmJTUiLew8VpoI6k9ks7Ywkm</v>
      </c>
      <c r="H105" s="13"/>
      <c r="I105" s="13" t="str">
        <f>IFERROR(__xludf.DUMMYFUNCTION("""COMPUTED_VALUE"""),"Monev IKPA")</f>
        <v>Monev IKPA</v>
      </c>
      <c r="J105" s="13" t="str">
        <f t="shared" si="1"/>
        <v>November 2024</v>
      </c>
      <c r="K105" s="13" t="str">
        <f t="shared" si="2"/>
        <v>20 Nov 2024</v>
      </c>
      <c r="L105" s="4" t="str">
        <f t="shared" si="3"/>
        <v>TW 4</v>
      </c>
    </row>
    <row r="106">
      <c r="A106" s="43">
        <f>IFERROR(__xludf.DUMMYFUNCTION("""COMPUTED_VALUE"""),45616.39460387732)</f>
        <v>45616.3946</v>
      </c>
      <c r="B106" s="13" t="str">
        <f>IFERROR(__xludf.DUMMYFUNCTION("""COMPUTED_VALUE"""),"Iman Santoso Simanjuntak")</f>
        <v>Iman Santoso Simanjuntak</v>
      </c>
      <c r="C106" s="13" t="str">
        <f>IFERROR(__xludf.DUMMYFUNCTION("""COMPUTED_VALUE"""),"081398898638")</f>
        <v>081398898638</v>
      </c>
      <c r="D106" s="13"/>
      <c r="E106" s="13" t="str">
        <f>IFERROR(__xludf.DUMMYFUNCTION("""COMPUTED_VALUE"""),"KPPN Sidikalang")</f>
        <v>KPPN Sidikalang</v>
      </c>
      <c r="F106" s="13" t="str">
        <f>IFERROR(__xludf.DUMMYFUNCTION("""COMPUTED_VALUE"""),"Koordinasi antar lembaga")</f>
        <v>Koordinasi antar lembaga</v>
      </c>
      <c r="G106" s="13" t="str">
        <f>IFERROR(__xludf.DUMMYFUNCTION("""COMPUTED_VALUE"""),"https://drive:google:com/open?id=1HRs2fK7tz9HyY3esdqsXrMwAFYC8V7nq")</f>
        <v>https://drive:google:com/open?id=1HRs2fK7tz9HyY3esdqsXrMwAFYC8V7nq</v>
      </c>
      <c r="H106" s="13"/>
      <c r="I106" s="13" t="str">
        <f>IFERROR(__xludf.DUMMYFUNCTION("""COMPUTED_VALUE"""),"Monev IKPA")</f>
        <v>Monev IKPA</v>
      </c>
      <c r="J106" s="13" t="str">
        <f t="shared" si="1"/>
        <v>November 2024</v>
      </c>
      <c r="K106" s="13" t="str">
        <f t="shared" si="2"/>
        <v>20 Nov 2024</v>
      </c>
      <c r="L106" s="4" t="str">
        <f t="shared" si="3"/>
        <v>TW 4</v>
      </c>
    </row>
    <row r="107">
      <c r="A107" s="43">
        <f>IFERROR(__xludf.DUMMYFUNCTION("""COMPUTED_VALUE"""),45616.39547451388)</f>
        <v>45616.39547</v>
      </c>
      <c r="B107" s="13" t="str">
        <f>IFERROR(__xludf.DUMMYFUNCTION("""COMPUTED_VALUE"""),"Zulkifli Kudadiri")</f>
        <v>Zulkifli Kudadiri</v>
      </c>
      <c r="C107" s="13" t="str">
        <f>IFERROR(__xludf.DUMMYFUNCTION("""COMPUTED_VALUE"""),"082167946790")</f>
        <v>082167946790</v>
      </c>
      <c r="D107" s="13" t="str">
        <f>IFERROR(__xludf.DUMMYFUNCTION("""COMPUTED_VALUE"""),"zulkifli21@gmail:com")</f>
        <v>zulkifli21@gmail:com</v>
      </c>
      <c r="E107" s="13" t="str">
        <f>IFERROR(__xludf.DUMMYFUNCTION("""COMPUTED_VALUE"""),"KPPN ")</f>
        <v>KPPN </v>
      </c>
      <c r="F107" s="13" t="str">
        <f>IFERROR(__xludf.DUMMYFUNCTION("""COMPUTED_VALUE"""),"Koordinasi antar lembaga")</f>
        <v>Koordinasi antar lembaga</v>
      </c>
      <c r="G107" s="13" t="str">
        <f>IFERROR(__xludf.DUMMYFUNCTION("""COMPUTED_VALUE"""),"https://drive:google:com/open?id=1bjinfJyvPaAif5DEXQjykp47e2mkO4Eo")</f>
        <v>https://drive:google:com/open?id=1bjinfJyvPaAif5DEXQjykp47e2mkO4Eo</v>
      </c>
      <c r="H107" s="13"/>
      <c r="I107" s="13" t="str">
        <f>IFERROR(__xludf.DUMMYFUNCTION("""COMPUTED_VALUE"""),"Monev IKPA")</f>
        <v>Monev IKPA</v>
      </c>
      <c r="J107" s="13" t="str">
        <f t="shared" si="1"/>
        <v>November 2024</v>
      </c>
      <c r="K107" s="13" t="str">
        <f t="shared" si="2"/>
        <v>20 Nov 2024</v>
      </c>
      <c r="L107" s="4" t="str">
        <f t="shared" si="3"/>
        <v>TW 4</v>
      </c>
    </row>
    <row r="108">
      <c r="A108" s="43">
        <f>IFERROR(__xludf.DUMMYFUNCTION("""COMPUTED_VALUE"""),45616.465909826395)</f>
        <v>45616.46591</v>
      </c>
      <c r="B108" s="13" t="str">
        <f>IFERROR(__xludf.DUMMYFUNCTION("""COMPUTED_VALUE"""),"Sindy Silaban")</f>
        <v>Sindy Silaban</v>
      </c>
      <c r="C108" s="13" t="str">
        <f>IFERROR(__xludf.DUMMYFUNCTION("""COMPUTED_VALUE"""),"081264813009")</f>
        <v>081264813009</v>
      </c>
      <c r="D108" s="13" t="str">
        <f>IFERROR(__xludf.DUMMYFUNCTION("""COMPUTED_VALUE"""),"sindysilaban08@gmail:com")</f>
        <v>sindysilaban08@gmail:com</v>
      </c>
      <c r="E108" s="13" t="str">
        <f>IFERROR(__xludf.DUMMYFUNCTION("""COMPUTED_VALUE"""),"Mitra BPS")</f>
        <v>Mitra BPS</v>
      </c>
      <c r="F108" s="13" t="str">
        <f>IFERROR(__xludf.DUMMYFUNCTION("""COMPUTED_VALUE"""),"Mengentry Ubinan")</f>
        <v>Mengentry Ubinan</v>
      </c>
      <c r="G108" s="13" t="str">
        <f>IFERROR(__xludf.DUMMYFUNCTION("""COMPUTED_VALUE"""),"https://drive:google:com/open?id=1r42f_WNluEXq0402I-eXqi64jg9p9Ocl")</f>
        <v>https://drive:google:com/open?id=1r42f_WNluEXq0402I-eXqi64jg9p9Ocl</v>
      </c>
      <c r="H108" s="13"/>
      <c r="I108" s="13"/>
      <c r="J108" s="13" t="str">
        <f t="shared" si="1"/>
        <v>November 2024</v>
      </c>
      <c r="K108" s="13" t="str">
        <f t="shared" si="2"/>
        <v>20 Nov 2024</v>
      </c>
      <c r="L108" s="4" t="str">
        <f t="shared" si="3"/>
        <v>TW 4</v>
      </c>
    </row>
    <row r="109">
      <c r="A109" s="43">
        <f>IFERROR(__xludf.DUMMYFUNCTION("""COMPUTED_VALUE"""),45617.40150541667)</f>
        <v>45617.40151</v>
      </c>
      <c r="B109" s="13" t="str">
        <f>IFERROR(__xludf.DUMMYFUNCTION("""COMPUTED_VALUE"""),"Valentina Pangaribuan")</f>
        <v>Valentina Pangaribuan</v>
      </c>
      <c r="C109" s="13" t="str">
        <f>IFERROR(__xludf.DUMMYFUNCTION("""COMPUTED_VALUE"""),"082220388521")</f>
        <v>082220388521</v>
      </c>
      <c r="D109" s="13" t="str">
        <f>IFERROR(__xludf.DUMMYFUNCTION("""COMPUTED_VALUE"""),"valentinaanggriyani@gmail:com")</f>
        <v>valentinaanggriyani@gmail:com</v>
      </c>
      <c r="E109" s="13" t="str">
        <f>IFERROR(__xludf.DUMMYFUNCTION("""COMPUTED_VALUE"""),"BUMN/BUMD")</f>
        <v>BUMN/BUMD</v>
      </c>
      <c r="F109" s="13" t="str">
        <f>IFERROR(__xludf.DUMMYFUNCTION("""COMPUTED_VALUE"""),"Berkunjung")</f>
        <v>Berkunjung</v>
      </c>
      <c r="G109" s="13" t="str">
        <f>IFERROR(__xludf.DUMMYFUNCTION("""COMPUTED_VALUE"""),"https://drive:google:com/open?id=14_jKC3FewQJA-npf8Y7JDD5xeSW6wlYN")</f>
        <v>https://drive:google:com/open?id=14_jKC3FewQJA-npf8Y7JDD5xeSW6wlYN</v>
      </c>
      <c r="H109" s="13"/>
      <c r="I109" s="13"/>
      <c r="J109" s="13" t="str">
        <f t="shared" si="1"/>
        <v>November 2024</v>
      </c>
      <c r="K109" s="13" t="str">
        <f t="shared" si="2"/>
        <v>21 Nov 2024</v>
      </c>
      <c r="L109" s="4" t="str">
        <f t="shared" si="3"/>
        <v>TW 4</v>
      </c>
    </row>
    <row r="110">
      <c r="A110" s="43">
        <f>IFERROR(__xludf.DUMMYFUNCTION("""COMPUTED_VALUE"""),45622.62808119213)</f>
        <v>45622.62808</v>
      </c>
      <c r="B110" s="13" t="str">
        <f>IFERROR(__xludf.DUMMYFUNCTION("""COMPUTED_VALUE"""),"david ")</f>
        <v>david </v>
      </c>
      <c r="C110" s="13" t="str">
        <f>IFERROR(__xludf.DUMMYFUNCTION("""COMPUTED_VALUE"""),"082276132713")</f>
        <v>082276132713</v>
      </c>
      <c r="D110" s="13" t="str">
        <f>IFERROR(__xludf.DUMMYFUNCTION("""COMPUTED_VALUE"""),"davidhutagalung348@yahoo:co:id")</f>
        <v>davidhutagalung348@yahoo:co:id</v>
      </c>
      <c r="E110" s="13" t="str">
        <f>IFERROR(__xludf.DUMMYFUNCTION("""COMPUTED_VALUE"""),"BUMN/BUMD")</f>
        <v>BUMN/BUMD</v>
      </c>
      <c r="F110" s="13" t="str">
        <f>IFERROR(__xludf.DUMMYFUNCTION("""COMPUTED_VALUE"""),"Koordinasi antar lembaga")</f>
        <v>Koordinasi antar lembaga</v>
      </c>
      <c r="G110" s="13" t="str">
        <f>IFERROR(__xludf.DUMMYFUNCTION("""COMPUTED_VALUE"""),"https://drive:google:com/open?id=19tXv_cf4SXMFwQvXPbEGsTwEhhD-ggbf")</f>
        <v>https://drive:google:com/open?id=19tXv_cf4SXMFwQvXPbEGsTwEhhD-ggbf</v>
      </c>
      <c r="H110" s="13"/>
      <c r="I110" s="13" t="str">
        <f>IFERROR(__xludf.DUMMYFUNCTION("""COMPUTED_VALUE"""),"bri dairi")</f>
        <v>bri dairi</v>
      </c>
      <c r="J110" s="13" t="str">
        <f t="shared" si="1"/>
        <v>November 2024</v>
      </c>
      <c r="K110" s="13" t="str">
        <f t="shared" si="2"/>
        <v>26 Nov 2024</v>
      </c>
      <c r="L110" s="4" t="str">
        <f t="shared" si="3"/>
        <v>TW 4</v>
      </c>
    </row>
    <row r="111">
      <c r="A111" s="43">
        <f>IFERROR(__xludf.DUMMYFUNCTION("""COMPUTED_VALUE"""),45624.616048379634)</f>
        <v>45624.61605</v>
      </c>
      <c r="B111" s="13" t="str">
        <f>IFERROR(__xludf.DUMMYFUNCTION("""COMPUTED_VALUE"""),"Mona Sianturi")</f>
        <v>Mona Sianturi</v>
      </c>
      <c r="C111" s="13" t="str">
        <f>IFERROR(__xludf.DUMMYFUNCTION("""COMPUTED_VALUE"""),"081264481228")</f>
        <v>081264481228</v>
      </c>
      <c r="D111" s="13"/>
      <c r="E111" s="13" t="str">
        <f>IFERROR(__xludf.DUMMYFUNCTION("""COMPUTED_VALUE"""),"OPD (Pemerintah Daerah)")</f>
        <v>OPD (Pemerintah Daerah)</v>
      </c>
      <c r="F111" s="13" t="str">
        <f>IFERROR(__xludf.DUMMYFUNCTION("""COMPUTED_VALUE"""),"Koordinasi antar lembaga")</f>
        <v>Koordinasi antar lembaga</v>
      </c>
      <c r="G111" s="13" t="str">
        <f>IFERROR(__xludf.DUMMYFUNCTION("""COMPUTED_VALUE"""),"https://drive:google:com/open?id=1dMl0T15FJgDFTlek3gnmT9eaGorvMcvM")</f>
        <v>https://drive:google:com/open?id=1dMl0T15FJgDFTlek3gnmT9eaGorvMcvM</v>
      </c>
      <c r="H111" s="13"/>
      <c r="I111" s="13" t="str">
        <f>IFERROR(__xludf.DUMMYFUNCTION("""COMPUTED_VALUE"""),"Kominfo")</f>
        <v>Kominfo</v>
      </c>
      <c r="J111" s="13" t="str">
        <f t="shared" si="1"/>
        <v>November 2024</v>
      </c>
      <c r="K111" s="13" t="str">
        <f t="shared" si="2"/>
        <v>28 Nov 2024</v>
      </c>
      <c r="L111" s="4" t="str">
        <f t="shared" si="3"/>
        <v>TW 4</v>
      </c>
    </row>
    <row r="112">
      <c r="A112" s="43">
        <f>IFERROR(__xludf.DUMMYFUNCTION("""COMPUTED_VALUE"""),45624.61673475694)</f>
        <v>45624.61673</v>
      </c>
      <c r="B112" s="13" t="str">
        <f>IFERROR(__xludf.DUMMYFUNCTION("""COMPUTED_VALUE"""),"Igo Simamora")</f>
        <v>Igo Simamora</v>
      </c>
      <c r="C112" s="13" t="str">
        <f>IFERROR(__xludf.DUMMYFUNCTION("""COMPUTED_VALUE"""),"081222708998")</f>
        <v>081222708998</v>
      </c>
      <c r="D112" s="13"/>
      <c r="E112" s="13" t="str">
        <f>IFERROR(__xludf.DUMMYFUNCTION("""COMPUTED_VALUE"""),"OPD (Pemerintah Daerah)")</f>
        <v>OPD (Pemerintah Daerah)</v>
      </c>
      <c r="F112" s="13" t="str">
        <f>IFERROR(__xludf.DUMMYFUNCTION("""COMPUTED_VALUE"""),"Koordinasi antar lembaga")</f>
        <v>Koordinasi antar lembaga</v>
      </c>
      <c r="G112" s="13" t="str">
        <f>IFERROR(__xludf.DUMMYFUNCTION("""COMPUTED_VALUE"""),"https://drive:google:com/open?id=1XqnyOSJMyVKiAbpko5S2wkG-ZV1uIKoZ")</f>
        <v>https://drive:google:com/open?id=1XqnyOSJMyVKiAbpko5S2wkG-ZV1uIKoZ</v>
      </c>
      <c r="H112" s="13"/>
      <c r="I112" s="13" t="str">
        <f>IFERROR(__xludf.DUMMYFUNCTION("""COMPUTED_VALUE"""),"Kominfo")</f>
        <v>Kominfo</v>
      </c>
      <c r="J112" s="13" t="str">
        <f t="shared" si="1"/>
        <v>November 2024</v>
      </c>
      <c r="K112" s="13" t="str">
        <f t="shared" si="2"/>
        <v>28 Nov 2024</v>
      </c>
      <c r="L112" s="4" t="str">
        <f t="shared" si="3"/>
        <v>TW 4</v>
      </c>
    </row>
    <row r="113">
      <c r="A113" s="43">
        <f>IFERROR(__xludf.DUMMYFUNCTION("""COMPUTED_VALUE"""),45628.61993929398)</f>
        <v>45628.61994</v>
      </c>
      <c r="B113" s="13" t="str">
        <f>IFERROR(__xludf.DUMMYFUNCTION("""COMPUTED_VALUE"""),"Aaron Zebua")</f>
        <v>Aaron Zebua</v>
      </c>
      <c r="C113" s="13" t="str">
        <f>IFERROR(__xludf.DUMMYFUNCTION("""COMPUTED_VALUE"""),"085275338891")</f>
        <v>085275338891</v>
      </c>
      <c r="D113" s="13" t="str">
        <f>IFERROR(__xludf.DUMMYFUNCTION("""COMPUTED_VALUE"""),"aaronsyhapz@gmail:com")</f>
        <v>aaronsyhapz@gmail:com</v>
      </c>
      <c r="E113" s="13" t="str">
        <f>IFERROR(__xludf.DUMMYFUNCTION("""COMPUTED_VALUE"""),"BUMN/BUMD")</f>
        <v>BUMN/BUMD</v>
      </c>
      <c r="F113" s="13" t="str">
        <f>IFERROR(__xludf.DUMMYFUNCTION("""COMPUTED_VALUE"""),"Konfirmasi terkait Alm Minda Flora Ginting")</f>
        <v>Konfirmasi terkait Alm Minda Flora Ginting</v>
      </c>
      <c r="G113" s="13" t="str">
        <f>IFERROR(__xludf.DUMMYFUNCTION("""COMPUTED_VALUE"""),"https://drive:google:com/open?id=1OBPn6VSjkAs3ymMM2A4E0gpo7kAmFbYy")</f>
        <v>https://drive:google:com/open?id=1OBPn6VSjkAs3ymMM2A4E0gpo7kAmFbYy</v>
      </c>
      <c r="H113" s="13"/>
      <c r="I113" s="13"/>
      <c r="J113" s="13" t="str">
        <f t="shared" si="1"/>
        <v>Desember 2024</v>
      </c>
      <c r="K113" s="13" t="str">
        <f t="shared" si="2"/>
        <v>02 Des 2024</v>
      </c>
      <c r="L113" s="4" t="str">
        <f t="shared" si="3"/>
        <v>TW 4</v>
      </c>
    </row>
    <row r="114">
      <c r="A114" s="43">
        <f>IFERROR(__xludf.DUMMYFUNCTION("""COMPUTED_VALUE"""),45630.38031304398)</f>
        <v>45630.38031</v>
      </c>
      <c r="B114" s="13" t="str">
        <f>IFERROR(__xludf.DUMMYFUNCTION("""COMPUTED_VALUE"""),"Fani Yuda Widianto")</f>
        <v>Fani Yuda Widianto</v>
      </c>
      <c r="C114" s="13" t="str">
        <f>IFERROR(__xludf.DUMMYFUNCTION("""COMPUTED_VALUE"""),"081315351655")</f>
        <v>081315351655</v>
      </c>
      <c r="D114" s="13"/>
      <c r="E114" s="13" t="str">
        <f>IFERROR(__xludf.DUMMYFUNCTION("""COMPUTED_VALUE"""),"BUMN/BUMD")</f>
        <v>BUMN/BUMD</v>
      </c>
      <c r="F114" s="13" t="str">
        <f>IFERROR(__xludf.DUMMYFUNCTION("""COMPUTED_VALUE"""),"Sosialisasi")</f>
        <v>Sosialisasi</v>
      </c>
      <c r="G114" s="13" t="str">
        <f>IFERROR(__xludf.DUMMYFUNCTION("""COMPUTED_VALUE"""),"https://drive:google:com/open?id=1QUAOkK1KK-QFmc2wcrkdvD6uhRBWYFSn")</f>
        <v>https://drive:google:com/open?id=1QUAOkK1KK-QFmc2wcrkdvD6uhRBWYFSn</v>
      </c>
      <c r="H114" s="13"/>
      <c r="I114" s="13"/>
      <c r="J114" s="13" t="str">
        <f t="shared" si="1"/>
        <v>Desember 2024</v>
      </c>
      <c r="K114" s="13" t="str">
        <f t="shared" si="2"/>
        <v>04 Des 2024</v>
      </c>
      <c r="L114" s="4" t="str">
        <f t="shared" si="3"/>
        <v>TW 4</v>
      </c>
    </row>
    <row r="115">
      <c r="A115" s="43">
        <f>IFERROR(__xludf.DUMMYFUNCTION("""COMPUTED_VALUE"""),45630.41831251157)</f>
        <v>45630.41831</v>
      </c>
      <c r="B115" s="13" t="str">
        <f>IFERROR(__xludf.DUMMYFUNCTION("""COMPUTED_VALUE"""),"Mardian")</f>
        <v>Mardian</v>
      </c>
      <c r="C115" s="13" t="str">
        <f>IFERROR(__xludf.DUMMYFUNCTION("""COMPUTED_VALUE"""),"083835361214")</f>
        <v>083835361214</v>
      </c>
      <c r="D115" s="13"/>
      <c r="E115" s="13" t="str">
        <f>IFERROR(__xludf.DUMMYFUNCTION("""COMPUTED_VALUE"""),"BPS Pakpak Bharat")</f>
        <v>BPS Pakpak Bharat</v>
      </c>
      <c r="F115" s="13" t="str">
        <f>IFERROR(__xludf.DUMMYFUNCTION("""COMPUTED_VALUE"""),"Koordinasi antar lembaga")</f>
        <v>Koordinasi antar lembaga</v>
      </c>
      <c r="G115" s="13" t="str">
        <f>IFERROR(__xludf.DUMMYFUNCTION("""COMPUTED_VALUE"""),"https://drive:google:com/open?id=1AwHdPxstByAsCGxcaR8WPHl9h7fwAE59")</f>
        <v>https://drive:google:com/open?id=1AwHdPxstByAsCGxcaR8WPHl9h7fwAE59</v>
      </c>
      <c r="H115" s="13"/>
      <c r="I115" s="13" t="str">
        <f>IFERROR(__xludf.DUMMYFUNCTION("""COMPUTED_VALUE"""),"BPS Pakpak Bharat")</f>
        <v>BPS Pakpak Bharat</v>
      </c>
      <c r="J115" s="13" t="str">
        <f t="shared" si="1"/>
        <v>Desember 2024</v>
      </c>
      <c r="K115" s="13" t="str">
        <f t="shared" si="2"/>
        <v>04 Des 2024</v>
      </c>
      <c r="L115" s="4" t="str">
        <f t="shared" si="3"/>
        <v>TW 4</v>
      </c>
    </row>
    <row r="116">
      <c r="A116" s="43">
        <f>IFERROR(__xludf.DUMMYFUNCTION("""COMPUTED_VALUE"""),45632.435843356485)</f>
        <v>45632.43584</v>
      </c>
      <c r="B116" s="13" t="str">
        <f>IFERROR(__xludf.DUMMYFUNCTION("""COMPUTED_VALUE"""),"Wulandari Berasa")</f>
        <v>Wulandari Berasa</v>
      </c>
      <c r="C116" s="13" t="str">
        <f>IFERROR(__xludf.DUMMYFUNCTION("""COMPUTED_VALUE"""),"082267709101")</f>
        <v>082267709101</v>
      </c>
      <c r="D116" s="13"/>
      <c r="E116" s="13" t="str">
        <f>IFERROR(__xludf.DUMMYFUNCTION("""COMPUTED_VALUE"""),"Institusi Pendidikan")</f>
        <v>Institusi Pendidikan</v>
      </c>
      <c r="F116" s="13" t="str">
        <f>IFERROR(__xludf.DUMMYFUNCTION("""COMPUTED_VALUE"""),"Pelayanan Statistik (Permintaan Data/Konsultasi)")</f>
        <v>Pelayanan Statistik (Permintaan Data/Konsultasi)</v>
      </c>
      <c r="G116" s="13" t="str">
        <f>IFERROR(__xludf.DUMMYFUNCTION("""COMPUTED_VALUE"""),"https://drive:google:com/open?id=1UMuHLwfi9kY_B9Dr2OZEKZrbPTWC6QEX")</f>
        <v>https://drive:google:com/open?id=1UMuHLwfi9kY_B9Dr2OZEKZrbPTWC6QEX</v>
      </c>
      <c r="H116" s="13" t="str">
        <f>IFERROR(__xludf.DUMMYFUNCTION("""COMPUTED_VALUE"""),"Permintaan Data")</f>
        <v>Permintaan Data</v>
      </c>
      <c r="I116" s="13"/>
      <c r="J116" s="13" t="str">
        <f t="shared" si="1"/>
        <v>Desember 2024</v>
      </c>
      <c r="K116" s="13" t="str">
        <f t="shared" si="2"/>
        <v>06 Des 2024</v>
      </c>
      <c r="L116" s="4" t="str">
        <f t="shared" si="3"/>
        <v>TW 4</v>
      </c>
    </row>
    <row r="117">
      <c r="A117" s="43">
        <f>IFERROR(__xludf.DUMMYFUNCTION("""COMPUTED_VALUE"""),45645.434169050925)</f>
        <v>45645.43417</v>
      </c>
      <c r="B117" s="13" t="str">
        <f>IFERROR(__xludf.DUMMYFUNCTION("""COMPUTED_VALUE"""),"Sindi Silaban")</f>
        <v>Sindi Silaban</v>
      </c>
      <c r="C117" s="13" t="str">
        <f>IFERROR(__xludf.DUMMYFUNCTION("""COMPUTED_VALUE"""),"081264813009")</f>
        <v>081264813009</v>
      </c>
      <c r="D117" s="13" t="str">
        <f>IFERROR(__xludf.DUMMYFUNCTION("""COMPUTED_VALUE"""),"sindisilaban08@gmail:com")</f>
        <v>sindisilaban08@gmail:com</v>
      </c>
      <c r="E117" s="13" t="str">
        <f>IFERROR(__xludf.DUMMYFUNCTION("""COMPUTED_VALUE"""),"Mitra")</f>
        <v>Mitra</v>
      </c>
      <c r="F117" s="13" t="str">
        <f>IFERROR(__xludf.DUMMYFUNCTION("""COMPUTED_VALUE"""),"Mengentry Dokumen")</f>
        <v>Mengentry Dokumen</v>
      </c>
      <c r="G117" s="13" t="str">
        <f>IFERROR(__xludf.DUMMYFUNCTION("""COMPUTED_VALUE"""),"https://drive:google:com/open?id=1-plzO0gD7YGL1ppKSany83kMnFHKD1mV")</f>
        <v>https://drive:google:com/open?id=1-plzO0gD7YGL1ppKSany83kMnFHKD1mV</v>
      </c>
      <c r="H117" s="13"/>
      <c r="I117" s="13"/>
      <c r="J117" s="13" t="str">
        <f t="shared" si="1"/>
        <v>Desember 2024</v>
      </c>
      <c r="K117" s="13" t="str">
        <f t="shared" si="2"/>
        <v>19 Des 2024</v>
      </c>
      <c r="L117" s="4" t="str">
        <f t="shared" si="3"/>
        <v>TW 4</v>
      </c>
    </row>
    <row r="118">
      <c r="A118" s="43">
        <f>IFERROR(__xludf.DUMMYFUNCTION("""COMPUTED_VALUE"""),45663.59765394676)</f>
        <v>45663.59765</v>
      </c>
      <c r="B118" s="13" t="str">
        <f>IFERROR(__xludf.DUMMYFUNCTION("""COMPUTED_VALUE"""),"ivan dikki")</f>
        <v>ivan dikki</v>
      </c>
      <c r="C118" s="13" t="str">
        <f>IFERROR(__xludf.DUMMYFUNCTION("""COMPUTED_VALUE"""),"081315129335")</f>
        <v>081315129335</v>
      </c>
      <c r="D118" s="13" t="str">
        <f>IFERROR(__xludf.DUMMYFUNCTION("""COMPUTED_VALUE"""),"ivandikki7@gmail:com")</f>
        <v>ivandikki7@gmail:com</v>
      </c>
      <c r="E118" s="13" t="str">
        <f>IFERROR(__xludf.DUMMYFUNCTION("""COMPUTED_VALUE"""),"mahasiswa universitas metodis")</f>
        <v>mahasiswa universitas metodis</v>
      </c>
      <c r="F118" s="13" t="str">
        <f>IFERROR(__xludf.DUMMYFUNCTION("""COMPUTED_VALUE"""),"minta data")</f>
        <v>minta data</v>
      </c>
      <c r="G118" s="13" t="str">
        <f>IFERROR(__xludf.DUMMYFUNCTION("""COMPUTED_VALUE"""),"https://drive:google:com/open?id=1_kxj1123yVkuGj5wsR_z1hOhYpdPlf2y")</f>
        <v>https://drive:google:com/open?id=1_kxj1123yVkuGj5wsR_z1hOhYpdPlf2y</v>
      </c>
      <c r="H118" s="13"/>
      <c r="I118" s="13"/>
      <c r="J118" s="13" t="str">
        <f t="shared" si="1"/>
        <v>Januari 2025</v>
      </c>
      <c r="K118" s="13" t="str">
        <f t="shared" si="2"/>
        <v>06 Jan 2025</v>
      </c>
      <c r="L118" s="4" t="str">
        <f t="shared" si="3"/>
        <v>TW 1</v>
      </c>
    </row>
    <row r="119">
      <c r="A119" s="43">
        <f>IFERROR(__xludf.DUMMYFUNCTION("""COMPUTED_VALUE"""),45664.46360574074)</f>
        <v>45664.46361</v>
      </c>
      <c r="B119" s="13" t="str">
        <f>IFERROR(__xludf.DUMMYFUNCTION("""COMPUTED_VALUE"""),"Erika Purba")</f>
        <v>Erika Purba</v>
      </c>
      <c r="C119" s="13" t="str">
        <f>IFERROR(__xludf.DUMMYFUNCTION("""COMPUTED_VALUE"""),"085269750050")</f>
        <v>085269750050</v>
      </c>
      <c r="D119" s="13"/>
      <c r="E119" s="13" t="str">
        <f>IFERROR(__xludf.DUMMYFUNCTION("""COMPUTED_VALUE"""),"BUMN/BUMD")</f>
        <v>BUMN/BUMD</v>
      </c>
      <c r="F119" s="13" t="str">
        <f>IFERROR(__xludf.DUMMYFUNCTION("""COMPUTED_VALUE"""),"Silaturahmi")</f>
        <v>Silaturahmi</v>
      </c>
      <c r="G119" s="13" t="str">
        <f>IFERROR(__xludf.DUMMYFUNCTION("""COMPUTED_VALUE"""),"https://drive:google:com/open?id=17TtL2cujckzDgfCMsn6T-uECFrudcgv8")</f>
        <v>https://drive:google:com/open?id=17TtL2cujckzDgfCMsn6T-uECFrudcgv8</v>
      </c>
      <c r="H119" s="13"/>
      <c r="I119" s="13"/>
      <c r="J119" s="13" t="str">
        <f t="shared" si="1"/>
        <v>Januari 2025</v>
      </c>
      <c r="K119" s="13" t="str">
        <f t="shared" si="2"/>
        <v>07 Jan 2025</v>
      </c>
      <c r="L119" s="4" t="str">
        <f t="shared" si="3"/>
        <v>TW 1</v>
      </c>
    </row>
    <row r="120">
      <c r="A120" s="43">
        <f>IFERROR(__xludf.DUMMYFUNCTION("""COMPUTED_VALUE"""),45664.49086309028)</f>
        <v>45664.49086</v>
      </c>
      <c r="B120" s="13" t="str">
        <f>IFERROR(__xludf.DUMMYFUNCTION("""COMPUTED_VALUE"""),"Sopan Sopian Sihaloho")</f>
        <v>Sopan Sopian Sihaloho</v>
      </c>
      <c r="C120" s="13" t="str">
        <f>IFERROR(__xludf.DUMMYFUNCTION("""COMPUTED_VALUE"""),"085269750050")</f>
        <v>085269750050</v>
      </c>
      <c r="D120" s="13"/>
      <c r="E120" s="13" t="str">
        <f>IFERROR(__xludf.DUMMYFUNCTION("""COMPUTED_VALUE"""),"BUMN/BUMD")</f>
        <v>BUMN/BUMD</v>
      </c>
      <c r="F120" s="13" t="str">
        <f>IFERROR(__xludf.DUMMYFUNCTION("""COMPUTED_VALUE"""),"Silaturahmi")</f>
        <v>Silaturahmi</v>
      </c>
      <c r="G120" s="13" t="str">
        <f>IFERROR(__xludf.DUMMYFUNCTION("""COMPUTED_VALUE"""),"https://drive:google:com/open?id=1-ryd-3-uIGcSFjGjjMIWE2VzVAJAtVI7")</f>
        <v>https://drive:google:com/open?id=1-ryd-3-uIGcSFjGjjMIWE2VzVAJAtVI7</v>
      </c>
      <c r="H120" s="13"/>
      <c r="I120" s="13"/>
      <c r="J120" s="13" t="str">
        <f t="shared" si="1"/>
        <v>Januari 2025</v>
      </c>
      <c r="K120" s="13" t="str">
        <f t="shared" si="2"/>
        <v>07 Jan 2025</v>
      </c>
      <c r="L120" s="4" t="str">
        <f t="shared" si="3"/>
        <v>TW 1</v>
      </c>
    </row>
    <row r="121">
      <c r="A121" s="43">
        <f>IFERROR(__xludf.DUMMYFUNCTION("""COMPUTED_VALUE"""),45670.36109032408)</f>
        <v>45670.36109</v>
      </c>
      <c r="B121" s="13" t="str">
        <f>IFERROR(__xludf.DUMMYFUNCTION("""COMPUTED_VALUE"""),"Manogu Hutasoit")</f>
        <v>Manogu Hutasoit</v>
      </c>
      <c r="C121" s="13" t="str">
        <f>IFERROR(__xludf.DUMMYFUNCTION("""COMPUTED_VALUE"""),"081264960771")</f>
        <v>081264960771</v>
      </c>
      <c r="D121" s="13" t="str">
        <f>IFERROR(__xludf.DUMMYFUNCTION("""COMPUTED_VALUE"""),"manoguhutasoit@bps:go:id")</f>
        <v>manoguhutasoit@bps:go:id</v>
      </c>
      <c r="E121" s="13" t="str">
        <f>IFERROR(__xludf.DUMMYFUNCTION("""COMPUTED_VALUE"""),"Pegawai BPS Tapanuli Tengah")</f>
        <v>Pegawai BPS Tapanuli Tengah</v>
      </c>
      <c r="F121" s="13" t="str">
        <f>IFERROR(__xludf.DUMMYFUNCTION("""COMPUTED_VALUE"""),"Mengantar istri melapor ke BPS Dairi")</f>
        <v>Mengantar istri melapor ke BPS Dairi</v>
      </c>
      <c r="G121" s="13" t="str">
        <f>IFERROR(__xludf.DUMMYFUNCTION("""COMPUTED_VALUE"""),"https://drive:google:com/open?id=1xy3rBhFPbiaMpWv0cH69X3B1pvZETV2R")</f>
        <v>https://drive:google:com/open?id=1xy3rBhFPbiaMpWv0cH69X3B1pvZETV2R</v>
      </c>
      <c r="H121" s="13"/>
      <c r="I121" s="13"/>
      <c r="J121" s="13" t="str">
        <f t="shared" si="1"/>
        <v>Januari 2025</v>
      </c>
      <c r="K121" s="13" t="str">
        <f t="shared" si="2"/>
        <v>13 Jan 2025</v>
      </c>
      <c r="L121" s="4" t="str">
        <f t="shared" si="3"/>
        <v>TW 1</v>
      </c>
    </row>
    <row r="122">
      <c r="A122" s="43">
        <f>IFERROR(__xludf.DUMMYFUNCTION("""COMPUTED_VALUE"""),45670.362312592595)</f>
        <v>45670.36231</v>
      </c>
      <c r="B122" s="13" t="str">
        <f>IFERROR(__xludf.DUMMYFUNCTION("""COMPUTED_VALUE"""),"Wiwik Rahayuni")</f>
        <v>Wiwik Rahayuni</v>
      </c>
      <c r="C122" s="13" t="str">
        <f>IFERROR(__xludf.DUMMYFUNCTION("""COMPUTED_VALUE"""),"082167692962")</f>
        <v>082167692962</v>
      </c>
      <c r="D122" s="13" t="str">
        <f>IFERROR(__xludf.DUMMYFUNCTION("""COMPUTED_VALUE"""),"wiwikrahayuni@bps:go:id")</f>
        <v>wiwikrahayuni@bps:go:id</v>
      </c>
      <c r="E122" s="13" t="str">
        <f>IFERROR(__xludf.DUMMYFUNCTION("""COMPUTED_VALUE"""),"BPS Sibolga")</f>
        <v>BPS Sibolga</v>
      </c>
      <c r="F122" s="13" t="str">
        <f>IFERROR(__xludf.DUMMYFUNCTION("""COMPUTED_VALUE"""),"Melapor ke  BPS Kab Dairi")</f>
        <v>Melapor ke  BPS Kab Dairi</v>
      </c>
      <c r="G122" s="13" t="str">
        <f>IFERROR(__xludf.DUMMYFUNCTION("""COMPUTED_VALUE"""),"https://drive:google:com/open?id=14o7bTrPF6uyXmfy0aVevhe5PsOiyMyUm")</f>
        <v>https://drive:google:com/open?id=14o7bTrPF6uyXmfy0aVevhe5PsOiyMyUm</v>
      </c>
      <c r="H122" s="13"/>
      <c r="I122" s="13"/>
      <c r="J122" s="13" t="str">
        <f t="shared" si="1"/>
        <v>Januari 2025</v>
      </c>
      <c r="K122" s="13" t="str">
        <f t="shared" si="2"/>
        <v>13 Jan 2025</v>
      </c>
      <c r="L122" s="4" t="str">
        <f t="shared" si="3"/>
        <v>TW 1</v>
      </c>
    </row>
    <row r="123">
      <c r="A123" s="43">
        <f>IFERROR(__xludf.DUMMYFUNCTION("""COMPUTED_VALUE"""),45670.37934453704)</f>
        <v>45670.37934</v>
      </c>
      <c r="B123" s="13" t="str">
        <f>IFERROR(__xludf.DUMMYFUNCTION("""COMPUTED_VALUE"""),"Sadariahta Maha")</f>
        <v>Sadariahta Maha</v>
      </c>
      <c r="C123" s="13" t="str">
        <f>IFERROR(__xludf.DUMMYFUNCTION("""COMPUTED_VALUE"""),"085362852836")</f>
        <v>085362852836</v>
      </c>
      <c r="D123" s="13" t="str">
        <f>IFERROR(__xludf.DUMMYFUNCTION("""COMPUTED_VALUE"""),"mahasadariahta123@gmail:com")</f>
        <v>mahasadariahta123@gmail:com</v>
      </c>
      <c r="E123" s="13" t="str">
        <f>IFERROR(__xludf.DUMMYFUNCTION("""COMPUTED_VALUE"""),"Mitra BPS")</f>
        <v>Mitra BPS</v>
      </c>
      <c r="F123" s="13" t="str">
        <f>IFERROR(__xludf.DUMMYFUNCTION("""COMPUTED_VALUE"""),"Rekrutmen Mitra Susenas")</f>
        <v>Rekrutmen Mitra Susenas</v>
      </c>
      <c r="G123" s="13" t="str">
        <f>IFERROR(__xludf.DUMMYFUNCTION("""COMPUTED_VALUE"""),"https://drive:google:com/open?id=1_WvHjfuCgtPOTEtNbtW_kkc4lf8c0aRu")</f>
        <v>https://drive:google:com/open?id=1_WvHjfuCgtPOTEtNbtW_kkc4lf8c0aRu</v>
      </c>
      <c r="H123" s="13"/>
      <c r="I123" s="13"/>
      <c r="J123" s="13" t="str">
        <f t="shared" si="1"/>
        <v>Januari 2025</v>
      </c>
      <c r="K123" s="13" t="str">
        <f t="shared" si="2"/>
        <v>13 Jan 2025</v>
      </c>
      <c r="L123" s="4" t="str">
        <f t="shared" si="3"/>
        <v>TW 1</v>
      </c>
    </row>
    <row r="124">
      <c r="A124" s="43">
        <f>IFERROR(__xludf.DUMMYFUNCTION("""COMPUTED_VALUE"""),45670.41017048611)</f>
        <v>45670.41017</v>
      </c>
      <c r="B124" s="13" t="str">
        <f>IFERROR(__xludf.DUMMYFUNCTION("""COMPUTED_VALUE"""),"Sinta Naibaho")</f>
        <v>Sinta Naibaho</v>
      </c>
      <c r="C124" s="13" t="str">
        <f>IFERROR(__xludf.DUMMYFUNCTION("""COMPUTED_VALUE"""),"082213945114")</f>
        <v>082213945114</v>
      </c>
      <c r="D124" s="13" t="str">
        <f>IFERROR(__xludf.DUMMYFUNCTION("""COMPUTED_VALUE"""),"sintanaibaho41@gmail:com")</f>
        <v>sintanaibaho41@gmail:com</v>
      </c>
      <c r="E124" s="13" t="str">
        <f>IFERROR(__xludf.DUMMYFUNCTION("""COMPUTED_VALUE"""),"Mitra")</f>
        <v>Mitra</v>
      </c>
      <c r="F124" s="13" t="str">
        <f>IFERROR(__xludf.DUMMYFUNCTION("""COMPUTED_VALUE"""),"Rekrutmen Susenas")</f>
        <v>Rekrutmen Susenas</v>
      </c>
      <c r="G124" s="13" t="str">
        <f>IFERROR(__xludf.DUMMYFUNCTION("""COMPUTED_VALUE"""),"https://drive:google:com/open?id=1rJ1QW8Q7Rp5FsVaLyv2HwAAgs4l3Z8oL")</f>
        <v>https://drive:google:com/open?id=1rJ1QW8Q7Rp5FsVaLyv2HwAAgs4l3Z8oL</v>
      </c>
      <c r="H124" s="13"/>
      <c r="I124" s="13"/>
      <c r="J124" s="13" t="str">
        <f t="shared" si="1"/>
        <v>Januari 2025</v>
      </c>
      <c r="K124" s="13" t="str">
        <f t="shared" si="2"/>
        <v>13 Jan 2025</v>
      </c>
      <c r="L124" s="4" t="str">
        <f t="shared" si="3"/>
        <v>TW 1</v>
      </c>
    </row>
    <row r="125">
      <c r="A125" s="43">
        <f>IFERROR(__xludf.DUMMYFUNCTION("""COMPUTED_VALUE"""),45670.417909606476)</f>
        <v>45670.41791</v>
      </c>
      <c r="B125" s="13" t="str">
        <f>IFERROR(__xludf.DUMMYFUNCTION("""COMPUTED_VALUE"""),"Yuli")</f>
        <v>Yuli</v>
      </c>
      <c r="C125" s="13" t="str">
        <f>IFERROR(__xludf.DUMMYFUNCTION("""COMPUTED_VALUE"""),"081220204868")</f>
        <v>081220204868</v>
      </c>
      <c r="D125" s="13" t="str">
        <f>IFERROR(__xludf.DUMMYFUNCTION("""COMPUTED_VALUE"""),"yuli:matondang:ym@gmail:com")</f>
        <v>yuli:matondang:ym@gmail:com</v>
      </c>
      <c r="E125" s="13" t="str">
        <f>IFERROR(__xludf.DUMMYFUNCTION("""COMPUTED_VALUE"""),"Mitra")</f>
        <v>Mitra</v>
      </c>
      <c r="F125" s="13" t="str">
        <f>IFERROR(__xludf.DUMMYFUNCTION("""COMPUTED_VALUE"""),"Rekrutmen Mitra Susenas")</f>
        <v>Rekrutmen Mitra Susenas</v>
      </c>
      <c r="G125" s="13" t="str">
        <f>IFERROR(__xludf.DUMMYFUNCTION("""COMPUTED_VALUE"""),"https://drive:google:com/open?id=14Qu5Nffutnssbsj1I5gmvcyXJlXQayF3")</f>
        <v>https://drive:google:com/open?id=14Qu5Nffutnssbsj1I5gmvcyXJlXQayF3</v>
      </c>
      <c r="H125" s="13"/>
      <c r="I125" s="13"/>
      <c r="J125" s="13" t="str">
        <f t="shared" si="1"/>
        <v>Januari 2025</v>
      </c>
      <c r="K125" s="13" t="str">
        <f t="shared" si="2"/>
        <v>13 Jan 2025</v>
      </c>
      <c r="L125" s="4" t="str">
        <f t="shared" si="3"/>
        <v>TW 1</v>
      </c>
    </row>
    <row r="126">
      <c r="A126" s="43">
        <f>IFERROR(__xludf.DUMMYFUNCTION("""COMPUTED_VALUE"""),45671.33284079861)</f>
        <v>45671.33284</v>
      </c>
      <c r="B126" s="13" t="str">
        <f>IFERROR(__xludf.DUMMYFUNCTION("""COMPUTED_VALUE"""),"Agus Purba")</f>
        <v>Agus Purba</v>
      </c>
      <c r="C126" s="13" t="str">
        <f>IFERROR(__xludf.DUMMYFUNCTION("""COMPUTED_VALUE"""),"081346252545")</f>
        <v>081346252545</v>
      </c>
      <c r="D126" s="13"/>
      <c r="E126" s="13" t="str">
        <f>IFERROR(__xludf.DUMMYFUNCTION("""COMPUTED_VALUE"""),"Mitra")</f>
        <v>Mitra</v>
      </c>
      <c r="F126" s="13" t="str">
        <f>IFERROR(__xludf.DUMMYFUNCTION("""COMPUTED_VALUE"""),"Pelatihan SHP")</f>
        <v>Pelatihan SHP</v>
      </c>
      <c r="G126" s="13" t="str">
        <f>IFERROR(__xludf.DUMMYFUNCTION("""COMPUTED_VALUE"""),"https://drive:google:com/open?id=1cRf7EynHr5iTxAWpJIUuOGbX6x6gU2fD")</f>
        <v>https://drive:google:com/open?id=1cRf7EynHr5iTxAWpJIUuOGbX6x6gU2fD</v>
      </c>
      <c r="H126" s="13"/>
      <c r="I126" s="13"/>
      <c r="J126" s="13" t="str">
        <f t="shared" si="1"/>
        <v>Januari 2025</v>
      </c>
      <c r="K126" s="13" t="str">
        <f t="shared" si="2"/>
        <v>14 Jan 2025</v>
      </c>
      <c r="L126" s="4" t="str">
        <f t="shared" si="3"/>
        <v>TW 1</v>
      </c>
    </row>
    <row r="127">
      <c r="A127" s="43">
        <f>IFERROR(__xludf.DUMMYFUNCTION("""COMPUTED_VALUE"""),45671.33329304398)</f>
        <v>45671.33329</v>
      </c>
      <c r="B127" s="13" t="str">
        <f>IFERROR(__xludf.DUMMYFUNCTION("""COMPUTED_VALUE"""),"Martin Hutasoit")</f>
        <v>Martin Hutasoit</v>
      </c>
      <c r="C127" s="13"/>
      <c r="D127" s="13"/>
      <c r="E127" s="13" t="str">
        <f>IFERROR(__xludf.DUMMYFUNCTION("""COMPUTED_VALUE"""),"Mitra")</f>
        <v>Mitra</v>
      </c>
      <c r="F127" s="13" t="str">
        <f>IFERROR(__xludf.DUMMYFUNCTION("""COMPUTED_VALUE"""),"Pelatihan SHP")</f>
        <v>Pelatihan SHP</v>
      </c>
      <c r="G127" s="13" t="str">
        <f>IFERROR(__xludf.DUMMYFUNCTION("""COMPUTED_VALUE"""),"https://drive:google:com/open?id=1skbA2O0NqC-40Y6xnVHz7l3MUGUtpEfx")</f>
        <v>https://drive:google:com/open?id=1skbA2O0NqC-40Y6xnVHz7l3MUGUtpEfx</v>
      </c>
      <c r="H127" s="13"/>
      <c r="I127" s="13"/>
      <c r="J127" s="13" t="str">
        <f t="shared" si="1"/>
        <v>Januari 2025</v>
      </c>
      <c r="K127" s="13" t="str">
        <f t="shared" si="2"/>
        <v>14 Jan 2025</v>
      </c>
      <c r="L127" s="4" t="str">
        <f t="shared" si="3"/>
        <v>TW 1</v>
      </c>
    </row>
    <row r="128">
      <c r="A128" s="43">
        <f>IFERROR(__xludf.DUMMYFUNCTION("""COMPUTED_VALUE"""),45672.47732666667)</f>
        <v>45672.47733</v>
      </c>
      <c r="B128" s="13" t="str">
        <f>IFERROR(__xludf.DUMMYFUNCTION("""COMPUTED_VALUE"""),"Silvia")</f>
        <v>Silvia</v>
      </c>
      <c r="C128" s="13" t="str">
        <f>IFERROR(__xludf.DUMMYFUNCTION("""COMPUTED_VALUE"""),"082160918894")</f>
        <v>082160918894</v>
      </c>
      <c r="D128" s="13" t="str">
        <f>IFERROR(__xludf.DUMMYFUNCTION("""COMPUTED_VALUE"""),"silviaardianti52@gmail:com")</f>
        <v>silviaardianti52@gmail:com</v>
      </c>
      <c r="E128" s="13" t="str">
        <f>IFERROR(__xludf.DUMMYFUNCTION("""COMPUTED_VALUE"""),"Mitra")</f>
        <v>Mitra</v>
      </c>
      <c r="F128" s="13" t="str">
        <f>IFERROR(__xludf.DUMMYFUNCTION("""COMPUTED_VALUE"""),"Mengambil Dokumen Pelatihan")</f>
        <v>Mengambil Dokumen Pelatihan</v>
      </c>
      <c r="G128" s="13" t="str">
        <f>IFERROR(__xludf.DUMMYFUNCTION("""COMPUTED_VALUE"""),"https://drive:google:com/open?id=15m83Fqqvdk16pWv_jV7no-b3TFN-QKKr")</f>
        <v>https://drive:google:com/open?id=15m83Fqqvdk16pWv_jV7no-b3TFN-QKKr</v>
      </c>
      <c r="H128" s="13"/>
      <c r="I128" s="13"/>
      <c r="J128" s="13" t="str">
        <f t="shared" si="1"/>
        <v>Januari 2025</v>
      </c>
      <c r="K128" s="13" t="str">
        <f t="shared" si="2"/>
        <v>15 Jan 2025</v>
      </c>
      <c r="L128" s="4" t="str">
        <f t="shared" si="3"/>
        <v>TW 1</v>
      </c>
    </row>
    <row r="129">
      <c r="A129" s="43">
        <f>IFERROR(__xludf.DUMMYFUNCTION("""COMPUTED_VALUE"""),45677.44926920139)</f>
        <v>45677.44927</v>
      </c>
      <c r="B129" s="13" t="str">
        <f>IFERROR(__xludf.DUMMYFUNCTION("""COMPUTED_VALUE"""),"hamaska silalahi")</f>
        <v>hamaska silalahi</v>
      </c>
      <c r="C129" s="13" t="str">
        <f>IFERROR(__xludf.DUMMYFUNCTION("""COMPUTED_VALUE"""),"085335339149")</f>
        <v>085335339149</v>
      </c>
      <c r="D129" s="13" t="str">
        <f>IFERROR(__xludf.DUMMYFUNCTION("""COMPUTED_VALUE"""),"hpardiantosilalahi@yahoo:co:id")</f>
        <v>hpardiantosilalahi@yahoo:co:id</v>
      </c>
      <c r="E129" s="13" t="str">
        <f>IFERROR(__xludf.DUMMYFUNCTION("""COMPUTED_VALUE"""),"OPD (Pemerintah Daerah)")</f>
        <v>OPD (Pemerintah Daerah)</v>
      </c>
      <c r="F129" s="13" t="str">
        <f>IFERROR(__xludf.DUMMYFUNCTION("""COMPUTED_VALUE"""),"Koordinasi antar lembaga")</f>
        <v>Koordinasi antar lembaga</v>
      </c>
      <c r="G129" s="13" t="str">
        <f>IFERROR(__xludf.DUMMYFUNCTION("""COMPUTED_VALUE"""),"https://drive:google:com/open?id=1zqF2VWr4HRfbnm1_KP_YsMJb2yxaK3Hs")</f>
        <v>https://drive:google:com/open?id=1zqF2VWr4HRfbnm1_KP_YsMJb2yxaK3Hs</v>
      </c>
      <c r="H129" s="13"/>
      <c r="I129" s="13" t="str">
        <f>IFERROR(__xludf.DUMMYFUNCTION("""COMPUTED_VALUE"""),"opd pemerintah daerah")</f>
        <v>opd pemerintah daerah</v>
      </c>
      <c r="J129" s="13" t="str">
        <f t="shared" si="1"/>
        <v>Januari 2025</v>
      </c>
      <c r="K129" s="13" t="str">
        <f t="shared" si="2"/>
        <v>20 Jan 2025</v>
      </c>
      <c r="L129" s="4" t="str">
        <f t="shared" si="3"/>
        <v>TW 1</v>
      </c>
    </row>
    <row r="130">
      <c r="A130" s="43">
        <f>IFERROR(__xludf.DUMMYFUNCTION("""COMPUTED_VALUE"""),45691.610962962965)</f>
        <v>45691.61096</v>
      </c>
      <c r="B130" s="13" t="str">
        <f>IFERROR(__xludf.DUMMYFUNCTION("""COMPUTED_VALUE"""),"Sinta Naibaho")</f>
        <v>Sinta Naibaho</v>
      </c>
      <c r="C130" s="13" t="str">
        <f>IFERROR(__xludf.DUMMYFUNCTION("""COMPUTED_VALUE"""),"082213945114")</f>
        <v>082213945114</v>
      </c>
      <c r="D130" s="13" t="str">
        <f>IFERROR(__xludf.DUMMYFUNCTION("""COMPUTED_VALUE"""),"sintanaibaho41@gmail:com")</f>
        <v>sintanaibaho41@gmail:com</v>
      </c>
      <c r="E130" s="13" t="str">
        <f>IFERROR(__xludf.DUMMYFUNCTION("""COMPUTED_VALUE"""),"Mitra BPS")</f>
        <v>Mitra BPS</v>
      </c>
      <c r="F130" s="13" t="str">
        <f>IFERROR(__xludf.DUMMYFUNCTION("""COMPUTED_VALUE"""),"Konsultasi Susenas")</f>
        <v>Konsultasi Susenas</v>
      </c>
      <c r="G130" s="13" t="str">
        <f>IFERROR(__xludf.DUMMYFUNCTION("""COMPUTED_VALUE"""),"https://drive:google:com/open?id=1iZLkroXJlGPCb4WbicK_8zbQR2-_kjyo")</f>
        <v>https://drive:google:com/open?id=1iZLkroXJlGPCb4WbicK_8zbQR2-_kjyo</v>
      </c>
      <c r="H130" s="13"/>
      <c r="I130" s="13"/>
      <c r="J130" s="13" t="str">
        <f t="shared" si="1"/>
        <v>Februari 2025</v>
      </c>
      <c r="K130" s="13" t="str">
        <f t="shared" si="2"/>
        <v>03 Feb 2025</v>
      </c>
      <c r="L130" s="4" t="str">
        <f t="shared" si="3"/>
        <v>TW 1</v>
      </c>
    </row>
    <row r="131">
      <c r="A131" s="43">
        <f>IFERROR(__xludf.DUMMYFUNCTION("""COMPUTED_VALUE"""),45691.61219013888)</f>
        <v>45691.61219</v>
      </c>
      <c r="B131" s="13" t="str">
        <f>IFERROR(__xludf.DUMMYFUNCTION("""COMPUTED_VALUE"""),"Yuli")</f>
        <v>Yuli</v>
      </c>
      <c r="C131" s="13" t="str">
        <f>IFERROR(__xludf.DUMMYFUNCTION("""COMPUTED_VALUE"""),"081220204868")</f>
        <v>081220204868</v>
      </c>
      <c r="D131" s="13" t="str">
        <f>IFERROR(__xludf.DUMMYFUNCTION("""COMPUTED_VALUE"""),"yuli:matondang,ym@gmail:com")</f>
        <v>yuli:matondang,ym@gmail:com</v>
      </c>
      <c r="E131" s="13" t="str">
        <f>IFERROR(__xludf.DUMMYFUNCTION("""COMPUTED_VALUE"""),"Mitra BPS")</f>
        <v>Mitra BPS</v>
      </c>
      <c r="F131" s="13" t="str">
        <f>IFERROR(__xludf.DUMMYFUNCTION("""COMPUTED_VALUE"""),"Konsultasi Susenas ")</f>
        <v>Konsultasi Susenas </v>
      </c>
      <c r="G131" s="13" t="str">
        <f>IFERROR(__xludf.DUMMYFUNCTION("""COMPUTED_VALUE"""),"https://drive:google:com/open?id=15NzRa-f-tZSQBBqCU0CLJGC2L6hJx6Yc")</f>
        <v>https://drive:google:com/open?id=15NzRa-f-tZSQBBqCU0CLJGC2L6hJx6Yc</v>
      </c>
      <c r="H131" s="13"/>
      <c r="I131" s="13"/>
      <c r="J131" s="13" t="str">
        <f t="shared" si="1"/>
        <v>Februari 2025</v>
      </c>
      <c r="K131" s="13" t="str">
        <f t="shared" si="2"/>
        <v>03 Feb 2025</v>
      </c>
      <c r="L131" s="4" t="str">
        <f t="shared" si="3"/>
        <v>TW 1</v>
      </c>
    </row>
    <row r="132">
      <c r="A132" s="43">
        <f>IFERROR(__xludf.DUMMYFUNCTION("""COMPUTED_VALUE"""),45691.63520335648)</f>
        <v>45691.6352</v>
      </c>
      <c r="B132" s="13" t="str">
        <f>IFERROR(__xludf.DUMMYFUNCTION("""COMPUTED_VALUE"""),"Agus Lasmin Purba")</f>
        <v>Agus Lasmin Purba</v>
      </c>
      <c r="C132" s="13" t="str">
        <f>IFERROR(__xludf.DUMMYFUNCTION("""COMPUTED_VALUE"""),"081346252545")</f>
        <v>081346252545</v>
      </c>
      <c r="D132" s="13" t="str">
        <f>IFERROR(__xludf.DUMMYFUNCTION("""COMPUTED_VALUE"""),"aguslasminpurba@gmail:com")</f>
        <v>aguslasminpurba@gmail:com</v>
      </c>
      <c r="E132" s="13" t="str">
        <f>IFERROR(__xludf.DUMMYFUNCTION("""COMPUTED_VALUE"""),"Mitra BPS")</f>
        <v>Mitra BPS</v>
      </c>
      <c r="F132" s="13" t="str">
        <f>IFERROR(__xludf.DUMMYFUNCTION("""COMPUTED_VALUE"""),"Penyerahan Dokumen Pemutakhiran Susenas")</f>
        <v>Penyerahan Dokumen Pemutakhiran Susenas</v>
      </c>
      <c r="G132" s="13" t="str">
        <f>IFERROR(__xludf.DUMMYFUNCTION("""COMPUTED_VALUE"""),"https://drive:google:com/open?id=1E9d3pgZlUfH7SF0Cb3VXAwQDonVETxSo")</f>
        <v>https://drive:google:com/open?id=1E9d3pgZlUfH7SF0Cb3VXAwQDonVETxSo</v>
      </c>
      <c r="H132" s="13"/>
      <c r="I132" s="13"/>
      <c r="J132" s="13" t="str">
        <f t="shared" si="1"/>
        <v>Februari 2025</v>
      </c>
      <c r="K132" s="13" t="str">
        <f t="shared" si="2"/>
        <v>03 Feb 2025</v>
      </c>
      <c r="L132" s="4" t="str">
        <f t="shared" si="3"/>
        <v>TW 1</v>
      </c>
    </row>
    <row r="133">
      <c r="A133" s="43">
        <f>IFERROR(__xludf.DUMMYFUNCTION("""COMPUTED_VALUE"""),45691.636758078705)</f>
        <v>45691.63676</v>
      </c>
      <c r="B133" s="13" t="str">
        <f>IFERROR(__xludf.DUMMYFUNCTION("""COMPUTED_VALUE"""),"Alfonso Sitanggang")</f>
        <v>Alfonso Sitanggang</v>
      </c>
      <c r="C133" s="13" t="str">
        <f>IFERROR(__xludf.DUMMYFUNCTION("""COMPUTED_VALUE"""),"085296337369")</f>
        <v>085296337369</v>
      </c>
      <c r="D133" s="13" t="str">
        <f>IFERROR(__xludf.DUMMYFUNCTION("""COMPUTED_VALUE"""),"alfonriositanggang@gmail:com")</f>
        <v>alfonriositanggang@gmail:com</v>
      </c>
      <c r="E133" s="13" t="str">
        <f>IFERROR(__xludf.DUMMYFUNCTION("""COMPUTED_VALUE"""),"Mitra BPS")</f>
        <v>Mitra BPS</v>
      </c>
      <c r="F133" s="13" t="str">
        <f>IFERROR(__xludf.DUMMYFUNCTION("""COMPUTED_VALUE"""),"Penyerahan Dokumen Pemutakhiran Susenas")</f>
        <v>Penyerahan Dokumen Pemutakhiran Susenas</v>
      </c>
      <c r="G133" s="13" t="str">
        <f>IFERROR(__xludf.DUMMYFUNCTION("""COMPUTED_VALUE"""),"https://drive:google:com/open?id=1jaoJoCrRVXsh9xO4t3Req05tXzQkBX9W")</f>
        <v>https://drive:google:com/open?id=1jaoJoCrRVXsh9xO4t3Req05tXzQkBX9W</v>
      </c>
      <c r="H133" s="13"/>
      <c r="I133" s="13"/>
      <c r="J133" s="13" t="str">
        <f t="shared" si="1"/>
        <v>Februari 2025</v>
      </c>
      <c r="K133" s="13" t="str">
        <f t="shared" si="2"/>
        <v>03 Feb 2025</v>
      </c>
      <c r="L133" s="4" t="str">
        <f t="shared" si="3"/>
        <v>TW 1</v>
      </c>
    </row>
    <row r="134">
      <c r="A134" s="43">
        <f>IFERROR(__xludf.DUMMYFUNCTION("""COMPUTED_VALUE"""),45694.40359973379)</f>
        <v>45694.4036</v>
      </c>
      <c r="B134" s="13" t="str">
        <f>IFERROR(__xludf.DUMMYFUNCTION("""COMPUTED_VALUE"""),"Merli Siburian")</f>
        <v>Merli Siburian</v>
      </c>
      <c r="C134" s="13" t="str">
        <f>IFERROR(__xludf.DUMMYFUNCTION("""COMPUTED_VALUE"""),"085835162797")</f>
        <v>085835162797</v>
      </c>
      <c r="D134" s="13"/>
      <c r="E134" s="13" t="str">
        <f>IFERROR(__xludf.DUMMYFUNCTION("""COMPUTED_VALUE"""),"OPD (Pemerintah Daerah)")</f>
        <v>OPD (Pemerintah Daerah)</v>
      </c>
      <c r="F134" s="13" t="str">
        <f>IFERROR(__xludf.DUMMYFUNCTION("""COMPUTED_VALUE"""),"Permintaan Data Hotel di Kabupaten  Dairi")</f>
        <v>Permintaan Data Hotel di Kabupaten  Dairi</v>
      </c>
      <c r="G134" s="13" t="str">
        <f>IFERROR(__xludf.DUMMYFUNCTION("""COMPUTED_VALUE"""),"https://drive:google:com/open?id=1c2jljMOgO0CtU7akovOGOcWw--wsgzqn")</f>
        <v>https://drive:google:com/open?id=1c2jljMOgO0CtU7akovOGOcWw--wsgzqn</v>
      </c>
      <c r="H134" s="13"/>
      <c r="I134" s="13"/>
      <c r="J134" s="13" t="str">
        <f t="shared" si="1"/>
        <v>Februari 2025</v>
      </c>
      <c r="K134" s="13" t="str">
        <f t="shared" si="2"/>
        <v>06 Feb 2025</v>
      </c>
      <c r="L134" s="4" t="str">
        <f t="shared" si="3"/>
        <v>TW 1</v>
      </c>
    </row>
    <row r="135">
      <c r="A135" s="43">
        <f>IFERROR(__xludf.DUMMYFUNCTION("""COMPUTED_VALUE"""),45694.41299130787)</f>
        <v>45694.41299</v>
      </c>
      <c r="B135" s="13" t="str">
        <f>IFERROR(__xludf.DUMMYFUNCTION("""COMPUTED_VALUE"""),"Dedi Berutu")</f>
        <v>Dedi Berutu</v>
      </c>
      <c r="C135" s="13" t="str">
        <f>IFERROR(__xludf.DUMMYFUNCTION("""COMPUTED_VALUE"""),"081263046667")</f>
        <v>081263046667</v>
      </c>
      <c r="D135" s="13"/>
      <c r="E135" s="13" t="str">
        <f>IFERROR(__xludf.DUMMYFUNCTION("""COMPUTED_VALUE"""),"OPD (Pemerintah Daerah)")</f>
        <v>OPD (Pemerintah Daerah)</v>
      </c>
      <c r="F135" s="13" t="str">
        <f>IFERROR(__xludf.DUMMYFUNCTION("""COMPUTED_VALUE"""),"Permintaan data hotel di kabupaten dairi")</f>
        <v>Permintaan data hotel di kabupaten dairi</v>
      </c>
      <c r="G135" s="13" t="str">
        <f>IFERROR(__xludf.DUMMYFUNCTION("""COMPUTED_VALUE"""),"https://drive:google:com/open?id=1vKWcEmP05cwyKxhQjklf8X20cK2-4J7f")</f>
        <v>https://drive:google:com/open?id=1vKWcEmP05cwyKxhQjklf8X20cK2-4J7f</v>
      </c>
      <c r="H135" s="13"/>
      <c r="I135" s="13"/>
      <c r="J135" s="13" t="str">
        <f t="shared" si="1"/>
        <v>Februari 2025</v>
      </c>
      <c r="K135" s="13" t="str">
        <f t="shared" si="2"/>
        <v>06 Feb 2025</v>
      </c>
      <c r="L135" s="4" t="str">
        <f t="shared" si="3"/>
        <v>TW 1</v>
      </c>
    </row>
    <row r="136">
      <c r="A136" s="43">
        <f>IFERROR(__xludf.DUMMYFUNCTION("""COMPUTED_VALUE"""),45694.59925693287)</f>
        <v>45694.59926</v>
      </c>
      <c r="B136" s="13" t="str">
        <f>IFERROR(__xludf.DUMMYFUNCTION("""COMPUTED_VALUE"""),"Sukmawati Sembiring")</f>
        <v>Sukmawati Sembiring</v>
      </c>
      <c r="C136" s="13" t="str">
        <f>IFERROR(__xludf.DUMMYFUNCTION("""COMPUTED_VALUE"""),"082165849178")</f>
        <v>082165849178</v>
      </c>
      <c r="D136" s="13" t="str">
        <f>IFERROR(__xludf.DUMMYFUNCTION("""COMPUTED_VALUE"""),"sukmawatisembiring@gmail:com")</f>
        <v>sukmawatisembiring@gmail:com</v>
      </c>
      <c r="E136" s="13" t="str">
        <f>IFERROR(__xludf.DUMMYFUNCTION("""COMPUTED_VALUE"""),"Mitra BPS")</f>
        <v>Mitra BPS</v>
      </c>
      <c r="F136" s="13" t="str">
        <f>IFERROR(__xludf.DUMMYFUNCTION("""COMPUTED_VALUE"""),"Mengantar dokumen susenas")</f>
        <v>Mengantar dokumen susenas</v>
      </c>
      <c r="G136" s="13" t="str">
        <f>IFERROR(__xludf.DUMMYFUNCTION("""COMPUTED_VALUE"""),"https://drive:google:com/open?id=15nMYKE4NdsPexhpCl5D4CH7BpRCUa9zi")</f>
        <v>https://drive:google:com/open?id=15nMYKE4NdsPexhpCl5D4CH7BpRCUa9zi</v>
      </c>
      <c r="H136" s="13"/>
      <c r="I136" s="13"/>
      <c r="J136" s="13" t="str">
        <f t="shared" si="1"/>
        <v>Februari 2025</v>
      </c>
      <c r="K136" s="13" t="str">
        <f t="shared" si="2"/>
        <v>06 Feb 2025</v>
      </c>
      <c r="L136" s="4" t="str">
        <f t="shared" si="3"/>
        <v>TW 1</v>
      </c>
    </row>
    <row r="137">
      <c r="A137" s="43">
        <f>IFERROR(__xludf.DUMMYFUNCTION("""COMPUTED_VALUE"""),45694.66438621528)</f>
        <v>45694.66439</v>
      </c>
      <c r="B137" s="13" t="str">
        <f>IFERROR(__xludf.DUMMYFUNCTION("""COMPUTED_VALUE"""),"Anne Siburian")</f>
        <v>Anne Siburian</v>
      </c>
      <c r="C137" s="13" t="str">
        <f>IFERROR(__xludf.DUMMYFUNCTION("""COMPUTED_VALUE"""),"082277456020")</f>
        <v>082277456020</v>
      </c>
      <c r="D137" s="13" t="str">
        <f>IFERROR(__xludf.DUMMYFUNCTION("""COMPUTED_VALUE"""),"siburiananne@gmail:com")</f>
        <v>siburiananne@gmail:com</v>
      </c>
      <c r="E137" s="13" t="str">
        <f>IFERROR(__xludf.DUMMYFUNCTION("""COMPUTED_VALUE"""),"Mitra BPS")</f>
        <v>Mitra BPS</v>
      </c>
      <c r="F137" s="13" t="str">
        <f>IFERROR(__xludf.DUMMYFUNCTION("""COMPUTED_VALUE"""),"Pelayanan Statistik (Permintaan Data/Konsultasi)")</f>
        <v>Pelayanan Statistik (Permintaan Data/Konsultasi)</v>
      </c>
      <c r="G137" s="13" t="str">
        <f>IFERROR(__xludf.DUMMYFUNCTION("""COMPUTED_VALUE"""),"https://drive:google:com/open?id=1EgF5rg2zbBR4lStnAOimcPhO7qXcxsKN")</f>
        <v>https://drive:google:com/open?id=1EgF5rg2zbBR4lStnAOimcPhO7qXcxsKN</v>
      </c>
      <c r="H137" s="13" t="str">
        <f>IFERROR(__xludf.DUMMYFUNCTION("""COMPUTED_VALUE"""),"Terkait susenas")</f>
        <v>Terkait susenas</v>
      </c>
      <c r="I137" s="13"/>
      <c r="J137" s="13" t="str">
        <f t="shared" si="1"/>
        <v>Februari 2025</v>
      </c>
      <c r="K137" s="13" t="str">
        <f t="shared" si="2"/>
        <v>06 Feb 2025</v>
      </c>
      <c r="L137" s="4" t="str">
        <f t="shared" si="3"/>
        <v>TW 1</v>
      </c>
    </row>
    <row r="138">
      <c r="A138" s="43">
        <f>IFERROR(__xludf.DUMMYFUNCTION("""COMPUTED_VALUE"""),45699.36751768519)</f>
        <v>45699.36752</v>
      </c>
      <c r="B138" s="13" t="str">
        <f>IFERROR(__xludf.DUMMYFUNCTION("""COMPUTED_VALUE"""),"Valentina Pangaribuan")</f>
        <v>Valentina Pangaribuan</v>
      </c>
      <c r="C138" s="13" t="str">
        <f>IFERROR(__xludf.DUMMYFUNCTION("""COMPUTED_VALUE"""),"082220388521")</f>
        <v>082220388521</v>
      </c>
      <c r="D138" s="13"/>
      <c r="E138" s="13" t="str">
        <f>IFERROR(__xludf.DUMMYFUNCTION("""COMPUTED_VALUE"""),"BUMN/BUMD")</f>
        <v>BUMN/BUMD</v>
      </c>
      <c r="F138" s="13" t="str">
        <f>IFERROR(__xludf.DUMMYFUNCTION("""COMPUTED_VALUE"""),"Pelayanan Statistik (Permintaan Data/Konsultasi)")</f>
        <v>Pelayanan Statistik (Permintaan Data/Konsultasi)</v>
      </c>
      <c r="G138" s="13" t="str">
        <f>IFERROR(__xludf.DUMMYFUNCTION("""COMPUTED_VALUE"""),"https://drive:google:com/open?id=1FsppJMzV3G48uKM32TDzokvxvI4IvBEd")</f>
        <v>https://drive:google:com/open?id=1FsppJMzV3G48uKM32TDzokvxvI4IvBEd</v>
      </c>
      <c r="H138" s="13" t="str">
        <f>IFERROR(__xludf.DUMMYFUNCTION("""COMPUTED_VALUE"""),"Konsultasi")</f>
        <v>Konsultasi</v>
      </c>
      <c r="I138" s="13"/>
      <c r="J138" s="13" t="str">
        <f t="shared" si="1"/>
        <v>Februari 2025</v>
      </c>
      <c r="K138" s="13" t="str">
        <f t="shared" si="2"/>
        <v>11 Feb 2025</v>
      </c>
      <c r="L138" s="4" t="str">
        <f t="shared" si="3"/>
        <v>TW 1</v>
      </c>
    </row>
    <row r="139">
      <c r="A139" s="43">
        <f>IFERROR(__xludf.DUMMYFUNCTION("""COMPUTED_VALUE"""),45700.39992574074)</f>
        <v>45700.39993</v>
      </c>
      <c r="B139" s="13" t="str">
        <f>IFERROR(__xludf.DUMMYFUNCTION("""COMPUTED_VALUE"""),"anggara sinurat")</f>
        <v>anggara sinurat</v>
      </c>
      <c r="C139" s="13" t="str">
        <f>IFERROR(__xludf.DUMMYFUNCTION("""COMPUTED_VALUE"""),"082160987894")</f>
        <v>082160987894</v>
      </c>
      <c r="D139" s="13" t="str">
        <f>IFERROR(__xludf.DUMMYFUNCTION("""COMPUTED_VALUE"""),"anggarasinurat@gmail:com")</f>
        <v>anggarasinurat@gmail:com</v>
      </c>
      <c r="E139" s="13" t="str">
        <f>IFERROR(__xludf.DUMMYFUNCTION("""COMPUTED_VALUE"""),"OPD (Pemerintah Daerah)")</f>
        <v>OPD (Pemerintah Daerah)</v>
      </c>
      <c r="F139" s="13" t="str">
        <f>IFERROR(__xludf.DUMMYFUNCTION("""COMPUTED_VALUE"""),"Koordinasi antar lembaga")</f>
        <v>Koordinasi antar lembaga</v>
      </c>
      <c r="G139" s="13" t="str">
        <f>IFERROR(__xludf.DUMMYFUNCTION("""COMPUTED_VALUE"""),"https://drive:google:com/open?id=12KBAvTDP1roozr07Ie8db7b3pPswy9SM")</f>
        <v>https://drive:google:com/open?id=12KBAvTDP1roozr07Ie8db7b3pPswy9SM</v>
      </c>
      <c r="H139" s="13"/>
      <c r="I139" s="13" t="str">
        <f>IFERROR(__xludf.DUMMYFUNCTION("""COMPUTED_VALUE"""),"opd pemerintah")</f>
        <v>opd pemerintah</v>
      </c>
      <c r="J139" s="13" t="str">
        <f t="shared" si="1"/>
        <v>Februari 2025</v>
      </c>
      <c r="K139" s="13" t="str">
        <f t="shared" si="2"/>
        <v>12 Feb 2025</v>
      </c>
      <c r="L139" s="4" t="str">
        <f t="shared" si="3"/>
        <v>TW 1</v>
      </c>
    </row>
    <row r="140">
      <c r="A140" s="43">
        <f>IFERROR(__xludf.DUMMYFUNCTION("""COMPUTED_VALUE"""),45700.41169086805)</f>
        <v>45700.41169</v>
      </c>
      <c r="B140" s="13" t="str">
        <f>IFERROR(__xludf.DUMMYFUNCTION("""COMPUTED_VALUE"""),"rina wati tambunan")</f>
        <v>rina wati tambunan</v>
      </c>
      <c r="C140" s="13" t="str">
        <f>IFERROR(__xludf.DUMMYFUNCTION("""COMPUTED_VALUE"""),"082368242454")</f>
        <v>082368242454</v>
      </c>
      <c r="D140" s="13" t="str">
        <f>IFERROR(__xludf.DUMMYFUNCTION("""COMPUTED_VALUE"""),"rinawatitambunan123@gmail:com")</f>
        <v>rinawatitambunan123@gmail:com</v>
      </c>
      <c r="E140" s="13" t="str">
        <f>IFERROR(__xludf.DUMMYFUNCTION("""COMPUTED_VALUE"""),"OPD (Pemerintah Daerah)")</f>
        <v>OPD (Pemerintah Daerah)</v>
      </c>
      <c r="F140" s="13" t="str">
        <f>IFERROR(__xludf.DUMMYFUNCTION("""COMPUTED_VALUE"""),"Koordinasi antar lembaga")</f>
        <v>Koordinasi antar lembaga</v>
      </c>
      <c r="G140" s="13" t="str">
        <f>IFERROR(__xludf.DUMMYFUNCTION("""COMPUTED_VALUE"""),"https://drive:google:com/open?id=1ZC3iuanWqIDBrrI-wuGVENFtqFUN7jY4")</f>
        <v>https://drive:google:com/open?id=1ZC3iuanWqIDBrrI-wuGVENFtqFUN7jY4</v>
      </c>
      <c r="H140" s="13"/>
      <c r="I140" s="13" t="str">
        <f>IFERROR(__xludf.DUMMYFUNCTION("""COMPUTED_VALUE"""),"Inspektorat")</f>
        <v>Inspektorat</v>
      </c>
      <c r="J140" s="13" t="str">
        <f t="shared" si="1"/>
        <v>Februari 2025</v>
      </c>
      <c r="K140" s="13" t="str">
        <f t="shared" si="2"/>
        <v>12 Feb 2025</v>
      </c>
      <c r="L140" s="4" t="str">
        <f t="shared" si="3"/>
        <v>TW 1</v>
      </c>
    </row>
    <row r="141">
      <c r="A141" s="43">
        <f>IFERROR(__xludf.DUMMYFUNCTION("""COMPUTED_VALUE"""),45700.41609820602)</f>
        <v>45700.4161</v>
      </c>
      <c r="B141" s="13" t="str">
        <f>IFERROR(__xludf.DUMMYFUNCTION("""COMPUTED_VALUE"""),"elpi sembiring")</f>
        <v>elpi sembiring</v>
      </c>
      <c r="C141" s="13" t="str">
        <f>IFERROR(__xludf.DUMMYFUNCTION("""COMPUTED_VALUE"""),"082370987858")</f>
        <v>082370987858</v>
      </c>
      <c r="D141" s="13" t="str">
        <f>IFERROR(__xludf.DUMMYFUNCTION("""COMPUTED_VALUE"""),"Elpiyonika_S@yahoo:com")</f>
        <v>Elpiyonika_S@yahoo:com</v>
      </c>
      <c r="E141" s="13" t="str">
        <f>IFERROR(__xludf.DUMMYFUNCTION("""COMPUTED_VALUE"""),"OPD (Pemerintah Daerah)")</f>
        <v>OPD (Pemerintah Daerah)</v>
      </c>
      <c r="F141" s="13" t="str">
        <f>IFERROR(__xludf.DUMMYFUNCTION("""COMPUTED_VALUE"""),"Koordinasi antar lembaga")</f>
        <v>Koordinasi antar lembaga</v>
      </c>
      <c r="G141" s="13" t="str">
        <f>IFERROR(__xludf.DUMMYFUNCTION("""COMPUTED_VALUE"""),"https://drive:google:com/open?id=10UDZXvbKv_mdSS5WgoPYTeinqm-U2PgN")</f>
        <v>https://drive:google:com/open?id=10UDZXvbKv_mdSS5WgoPYTeinqm-U2PgN</v>
      </c>
      <c r="H141" s="13"/>
      <c r="I141" s="13" t="str">
        <f>IFERROR(__xludf.DUMMYFUNCTION("""COMPUTED_VALUE"""),"kominfo dairi(opd)")</f>
        <v>kominfo dairi(opd)</v>
      </c>
      <c r="J141" s="13" t="str">
        <f t="shared" si="1"/>
        <v>Februari 2025</v>
      </c>
      <c r="K141" s="13" t="str">
        <f t="shared" si="2"/>
        <v>12 Feb 2025</v>
      </c>
      <c r="L141" s="4" t="str">
        <f t="shared" si="3"/>
        <v>TW 1</v>
      </c>
    </row>
    <row r="142">
      <c r="A142" s="43">
        <f>IFERROR(__xludf.DUMMYFUNCTION("""COMPUTED_VALUE"""),45728.39879443287)</f>
        <v>45728.39879</v>
      </c>
      <c r="B142" s="13" t="str">
        <f>IFERROR(__xludf.DUMMYFUNCTION("""COMPUTED_VALUE"""),"deddy situmorang")</f>
        <v>deddy situmorang</v>
      </c>
      <c r="C142" s="13" t="str">
        <f>IFERROR(__xludf.DUMMYFUNCTION("""COMPUTED_VALUE"""),"082160565656")</f>
        <v>082160565656</v>
      </c>
      <c r="D142" s="13" t="str">
        <f>IFERROR(__xludf.DUMMYFUNCTION("""COMPUTED_VALUE"""),"situmorangdeddy@gmail:com")</f>
        <v>situmorangdeddy@gmail:com</v>
      </c>
      <c r="E142" s="13" t="str">
        <f>IFERROR(__xludf.DUMMYFUNCTION("""COMPUTED_VALUE"""),"capil")</f>
        <v>capil</v>
      </c>
      <c r="F142" s="13" t="str">
        <f>IFERROR(__xludf.DUMMYFUNCTION("""COMPUTED_VALUE"""),"Koordinasi antar lembaga")</f>
        <v>Koordinasi antar lembaga</v>
      </c>
      <c r="G142" s="13"/>
      <c r="H142" s="13"/>
      <c r="I142" s="13" t="str">
        <f>IFERROR(__xludf.DUMMYFUNCTION("""COMPUTED_VALUE"""),"Dukcapil")</f>
        <v>Dukcapil</v>
      </c>
      <c r="J142" s="13" t="str">
        <f t="shared" si="1"/>
        <v>Maret 2025</v>
      </c>
      <c r="K142" s="13" t="str">
        <f t="shared" si="2"/>
        <v>12 Mar 2025</v>
      </c>
      <c r="L142" s="4" t="str">
        <f t="shared" si="3"/>
        <v>TW 1</v>
      </c>
    </row>
    <row r="143">
      <c r="A143" s="43">
        <f>IFERROR(__xludf.DUMMYFUNCTION("""COMPUTED_VALUE"""),45750.88159399306)</f>
        <v>45750.88159</v>
      </c>
      <c r="B143" s="13" t="str">
        <f>IFERROR(__xludf.DUMMYFUNCTION("""COMPUTED_VALUE"""),"robin bintang")</f>
        <v>robin bintang</v>
      </c>
      <c r="C143" s="13" t="str">
        <f>IFERROR(__xludf.DUMMYFUNCTION("""COMPUTED_VALUE"""),"082163754822")</f>
        <v>082163754822</v>
      </c>
      <c r="D143" s="13" t="str">
        <f>IFERROR(__xludf.DUMMYFUNCTION("""COMPUTED_VALUE"""),"bintangrobin1212@gmail:com")</f>
        <v>bintangrobin1212@gmail:com</v>
      </c>
      <c r="E143" s="13" t="str">
        <f>IFERROR(__xludf.DUMMYFUNCTION("""COMPUTED_VALUE"""),"pt poj")</f>
        <v>pt poj</v>
      </c>
      <c r="F143" s="13" t="str">
        <f>IFERROR(__xludf.DUMMYFUNCTION("""COMPUTED_VALUE"""),"korlap poj")</f>
        <v>korlap poj</v>
      </c>
      <c r="G143" s="13" t="str">
        <f>IFERROR(__xludf.DUMMYFUNCTION("""COMPUTED_VALUE"""),"https://drive:google:com/open?id=1GD-Mg0Dg3Wo6QSwxwcMOtMiK5Emswx-N")</f>
        <v>https://drive:google:com/open?id=1GD-Mg0Dg3Wo6QSwxwcMOtMiK5Emswx-N</v>
      </c>
      <c r="H143" s="13"/>
      <c r="I143" s="13"/>
      <c r="J143" s="13" t="str">
        <f t="shared" si="1"/>
        <v>April 2025</v>
      </c>
      <c r="K143" s="13" t="str">
        <f t="shared" si="2"/>
        <v>03 Apr 2025</v>
      </c>
      <c r="L143" s="4" t="str">
        <f t="shared" si="3"/>
        <v>TW 2</v>
      </c>
    </row>
    <row r="144">
      <c r="A144" s="43">
        <f>IFERROR(__xludf.DUMMYFUNCTION("""COMPUTED_VALUE"""),45813.38445725694)</f>
        <v>45813.38446</v>
      </c>
      <c r="B144" s="13" t="str">
        <f>IFERROR(__xludf.DUMMYFUNCTION("""COMPUTED_VALUE"""),"daniel piere sebayang")</f>
        <v>daniel piere sebayang</v>
      </c>
      <c r="C144" s="13" t="str">
        <f>IFERROR(__xludf.DUMMYFUNCTION("""COMPUTED_VALUE"""),"+62 813-5007-6980")</f>
        <v>+62 813-5007-6980</v>
      </c>
      <c r="D144" s="13"/>
      <c r="E144" s="13" t="str">
        <f>IFERROR(__xludf.DUMMYFUNCTION("""COMPUTED_VALUE"""),"OPD (Pemerintah Daerah)")</f>
        <v>OPD (Pemerintah Daerah)</v>
      </c>
      <c r="F144" s="13" t="str">
        <f>IFERROR(__xludf.DUMMYFUNCTION("""COMPUTED_VALUE"""),"Pelayanan Statistik (Permintaan Data/Konsultasi)")</f>
        <v>Pelayanan Statistik (Permintaan Data/Konsultasi)</v>
      </c>
      <c r="G144" s="47" t="str">
        <f>IFERROR(__xludf.DUMMYFUNCTION("""COMPUTED_VALUE"""),"https://drive.google.com/open?id=1LD4PMm_buzBG-jdsyKTW92KdUQ3hNsIE")</f>
        <v>https://drive.google.com/open?id=1LD4PMm_buzBG-jdsyKTW92KdUQ3hNsIE</v>
      </c>
      <c r="H144" s="13" t="str">
        <f>IFERROR(__xludf.DUMMYFUNCTION("""COMPUTED_VALUE"""),"Permintaan Peta desa dan dusun Kuta gamber kecamatan tanah pinem")</f>
        <v>Permintaan Peta desa dan dusun Kuta gamber kecamatan tanah pinem</v>
      </c>
      <c r="I144" s="13"/>
      <c r="J144" s="13" t="str">
        <f t="shared" si="1"/>
        <v>Juni 2025</v>
      </c>
      <c r="K144" s="13" t="str">
        <f t="shared" si="2"/>
        <v>05 Jun 2025</v>
      </c>
      <c r="L144" s="4" t="str">
        <f t="shared" si="3"/>
        <v>TW 2</v>
      </c>
    </row>
    <row r="145">
      <c r="A145" s="43">
        <f>IFERROR(__xludf.DUMMYFUNCTION("""COMPUTED_VALUE"""),45840.40382907407)</f>
        <v>45840.40383</v>
      </c>
      <c r="B145" s="13" t="str">
        <f>IFERROR(__xludf.DUMMYFUNCTION("""COMPUTED_VALUE"""),"tetty rr situmorang")</f>
        <v>tetty rr situmorang</v>
      </c>
      <c r="C145" s="13" t="str">
        <f>IFERROR(__xludf.DUMMYFUNCTION("""COMPUTED_VALUE"""),"082167071275")</f>
        <v>082167071275</v>
      </c>
      <c r="D145" s="13" t="str">
        <f>IFERROR(__xludf.DUMMYFUNCTION("""COMPUTED_VALUE""")," tetty71situmorang@gmail.com")</f>
        <v> tetty71situmorang@gmail.com</v>
      </c>
      <c r="E145" s="13" t="str">
        <f>IFERROR(__xludf.DUMMYFUNCTION("""COMPUTED_VALUE"""),"OPD (Pemerintah Daerah)")</f>
        <v>OPD (Pemerintah Daerah)</v>
      </c>
      <c r="F145" s="13" t="str">
        <f>IFERROR(__xludf.DUMMYFUNCTION("""COMPUTED_VALUE"""),"Pelayanan Statistik (Permintaan Data/Konsultasi)")</f>
        <v>Pelayanan Statistik (Permintaan Data/Konsultasi)</v>
      </c>
      <c r="G145" s="13"/>
      <c r="H145" s="13"/>
      <c r="I145" s="13"/>
      <c r="J145" s="13" t="str">
        <f t="shared" si="1"/>
        <v>Juli 2025</v>
      </c>
      <c r="K145" s="13" t="str">
        <f t="shared" si="2"/>
        <v>02 Jul 2025</v>
      </c>
      <c r="L145" s="4" t="str">
        <f t="shared" si="3"/>
        <v>TW 3</v>
      </c>
    </row>
    <row r="146">
      <c r="A146" s="43"/>
      <c r="B146" s="13"/>
      <c r="C146" s="13"/>
      <c r="D146" s="13"/>
      <c r="E146" s="13"/>
      <c r="F146" s="13"/>
      <c r="G146" s="13"/>
      <c r="H146" s="13"/>
      <c r="I146" s="13"/>
      <c r="J146" s="13" t="str">
        <f t="shared" si="1"/>
        <v/>
      </c>
      <c r="K146" s="13" t="str">
        <f t="shared" si="2"/>
        <v/>
      </c>
      <c r="L146" s="4" t="str">
        <f t="shared" si="3"/>
        <v/>
      </c>
    </row>
    <row r="147">
      <c r="A147" s="43"/>
      <c r="B147" s="13"/>
      <c r="C147" s="13"/>
      <c r="D147" s="13"/>
      <c r="E147" s="13"/>
      <c r="F147" s="13"/>
      <c r="G147" s="13"/>
      <c r="H147" s="13"/>
      <c r="I147" s="13"/>
      <c r="J147" s="13" t="str">
        <f t="shared" si="1"/>
        <v/>
      </c>
      <c r="K147" s="13" t="str">
        <f t="shared" si="2"/>
        <v/>
      </c>
      <c r="L147" s="4" t="str">
        <f t="shared" si="3"/>
        <v/>
      </c>
    </row>
    <row r="148">
      <c r="A148" s="43"/>
      <c r="B148" s="13"/>
      <c r="C148" s="13"/>
      <c r="D148" s="13"/>
      <c r="E148" s="13"/>
      <c r="F148" s="13"/>
      <c r="G148" s="13"/>
      <c r="H148" s="13"/>
      <c r="I148" s="13"/>
      <c r="J148" s="13" t="str">
        <f t="shared" si="1"/>
        <v/>
      </c>
      <c r="K148" s="13" t="str">
        <f t="shared" si="2"/>
        <v/>
      </c>
      <c r="L148" s="4" t="str">
        <f t="shared" si="3"/>
        <v/>
      </c>
    </row>
    <row r="149">
      <c r="A149" s="43">
        <f>IFERROR(__xludf.DUMMYFUNCTION("""COMPUTED_VALUE"""),25.0)</f>
        <v>25</v>
      </c>
      <c r="B149" s="13"/>
      <c r="C149" s="13"/>
      <c r="D149" s="13"/>
      <c r="E149" s="13"/>
      <c r="F149" s="13"/>
      <c r="G149" s="13"/>
      <c r="H149" s="13"/>
      <c r="I149" s="13"/>
      <c r="J149" s="13" t="str">
        <f t="shared" si="1"/>
        <v>Januari 1900</v>
      </c>
      <c r="K149" s="13" t="str">
        <f t="shared" si="2"/>
        <v>24 Jan 1900</v>
      </c>
      <c r="L149" s="4" t="str">
        <f t="shared" si="3"/>
        <v>TW 1</v>
      </c>
    </row>
    <row r="150">
      <c r="A150" s="43"/>
      <c r="B150" s="13"/>
      <c r="C150" s="13"/>
      <c r="D150" s="13"/>
      <c r="E150" s="13"/>
      <c r="F150" s="13"/>
      <c r="G150" s="13"/>
      <c r="H150" s="13"/>
      <c r="I150" s="13"/>
      <c r="J150" s="13" t="str">
        <f t="shared" si="1"/>
        <v/>
      </c>
      <c r="K150" s="13" t="str">
        <f t="shared" si="2"/>
        <v/>
      </c>
      <c r="L150" s="4" t="str">
        <f t="shared" si="3"/>
        <v/>
      </c>
    </row>
    <row r="151">
      <c r="A151" s="43"/>
      <c r="B151" s="13"/>
      <c r="C151" s="13"/>
      <c r="D151" s="13"/>
      <c r="E151" s="13"/>
      <c r="F151" s="13"/>
      <c r="G151" s="13"/>
      <c r="H151" s="13"/>
      <c r="I151" s="13"/>
      <c r="J151" s="13" t="str">
        <f t="shared" si="1"/>
        <v/>
      </c>
      <c r="K151" s="13" t="str">
        <f t="shared" si="2"/>
        <v/>
      </c>
      <c r="L151" s="4" t="str">
        <f t="shared" si="3"/>
        <v/>
      </c>
    </row>
    <row r="152">
      <c r="A152" s="43"/>
      <c r="B152" s="13"/>
      <c r="C152" s="13"/>
      <c r="D152" s="13"/>
      <c r="E152" s="13"/>
      <c r="F152" s="13"/>
      <c r="G152" s="13"/>
      <c r="H152" s="13"/>
      <c r="I152" s="13"/>
      <c r="J152" s="13" t="str">
        <f t="shared" si="1"/>
        <v/>
      </c>
      <c r="K152" s="13" t="str">
        <f t="shared" si="2"/>
        <v/>
      </c>
      <c r="L152" s="4" t="str">
        <f t="shared" si="3"/>
        <v/>
      </c>
    </row>
    <row r="153">
      <c r="A153" s="43"/>
      <c r="B153" s="13"/>
      <c r="C153" s="13"/>
      <c r="D153" s="13"/>
      <c r="E153" s="13"/>
      <c r="F153" s="13"/>
      <c r="G153" s="13"/>
      <c r="H153" s="13"/>
      <c r="I153" s="13"/>
      <c r="J153" s="13" t="str">
        <f t="shared" si="1"/>
        <v/>
      </c>
      <c r="K153" s="13" t="str">
        <f t="shared" si="2"/>
        <v/>
      </c>
      <c r="L153" s="4" t="str">
        <f t="shared" si="3"/>
        <v/>
      </c>
    </row>
    <row r="154">
      <c r="A154" s="43"/>
      <c r="B154" s="13"/>
      <c r="C154" s="13"/>
      <c r="D154" s="13"/>
      <c r="E154" s="13"/>
      <c r="F154" s="13"/>
      <c r="G154" s="13"/>
      <c r="H154" s="13"/>
      <c r="I154" s="13"/>
      <c r="J154" s="13" t="str">
        <f t="shared" si="1"/>
        <v/>
      </c>
      <c r="K154" s="13" t="str">
        <f t="shared" si="2"/>
        <v/>
      </c>
      <c r="L154" s="4" t="str">
        <f t="shared" si="3"/>
        <v/>
      </c>
    </row>
    <row r="155">
      <c r="A155" s="43"/>
      <c r="B155" s="13"/>
      <c r="C155" s="13"/>
      <c r="D155" s="13"/>
      <c r="E155" s="13"/>
      <c r="F155" s="13"/>
      <c r="G155" s="13"/>
      <c r="H155" s="13"/>
      <c r="I155" s="13"/>
      <c r="J155" s="13" t="str">
        <f t="shared" si="1"/>
        <v/>
      </c>
      <c r="K155" s="13" t="str">
        <f t="shared" si="2"/>
        <v/>
      </c>
      <c r="L155" s="4" t="str">
        <f t="shared" si="3"/>
        <v/>
      </c>
    </row>
    <row r="156">
      <c r="A156" s="43"/>
      <c r="B156" s="13"/>
      <c r="C156" s="13"/>
      <c r="D156" s="13"/>
      <c r="E156" s="13"/>
      <c r="F156" s="13"/>
      <c r="G156" s="13"/>
      <c r="H156" s="13"/>
      <c r="I156" s="13"/>
      <c r="J156" s="13" t="str">
        <f t="shared" si="1"/>
        <v/>
      </c>
      <c r="K156" s="13" t="str">
        <f t="shared" si="2"/>
        <v/>
      </c>
      <c r="L156" s="4" t="str">
        <f t="shared" si="3"/>
        <v/>
      </c>
    </row>
    <row r="157">
      <c r="A157" s="43"/>
      <c r="B157" s="13"/>
      <c r="C157" s="13"/>
      <c r="D157" s="13"/>
      <c r="E157" s="13"/>
      <c r="F157" s="13"/>
      <c r="G157" s="13"/>
      <c r="H157" s="13"/>
      <c r="I157" s="13"/>
      <c r="J157" s="13" t="str">
        <f t="shared" si="1"/>
        <v/>
      </c>
      <c r="K157" s="13" t="str">
        <f t="shared" si="2"/>
        <v/>
      </c>
      <c r="L157" s="4" t="str">
        <f t="shared" si="3"/>
        <v/>
      </c>
    </row>
    <row r="158">
      <c r="A158" s="43"/>
      <c r="B158" s="13"/>
      <c r="C158" s="13"/>
      <c r="D158" s="13"/>
      <c r="E158" s="13"/>
      <c r="F158" s="13"/>
      <c r="G158" s="13"/>
      <c r="H158" s="13"/>
      <c r="I158" s="13"/>
      <c r="J158" s="13" t="str">
        <f t="shared" si="1"/>
        <v/>
      </c>
      <c r="K158" s="13" t="str">
        <f t="shared" si="2"/>
        <v/>
      </c>
      <c r="L158" s="4" t="str">
        <f t="shared" si="3"/>
        <v/>
      </c>
    </row>
    <row r="159">
      <c r="A159" s="43"/>
      <c r="B159" s="13"/>
      <c r="C159" s="13"/>
      <c r="D159" s="13"/>
      <c r="E159" s="13"/>
      <c r="F159" s="13"/>
      <c r="G159" s="13"/>
      <c r="H159" s="13"/>
      <c r="I159" s="13"/>
      <c r="J159" s="13" t="str">
        <f t="shared" si="1"/>
        <v/>
      </c>
      <c r="K159" s="13" t="str">
        <f t="shared" si="2"/>
        <v/>
      </c>
      <c r="L159" s="4" t="str">
        <f t="shared" si="3"/>
        <v/>
      </c>
    </row>
    <row r="160">
      <c r="A160" s="43"/>
      <c r="B160" s="13"/>
      <c r="C160" s="13"/>
      <c r="D160" s="13"/>
      <c r="E160" s="13"/>
      <c r="F160" s="13"/>
      <c r="G160" s="13"/>
      <c r="H160" s="13"/>
      <c r="I160" s="13"/>
      <c r="J160" s="13" t="str">
        <f t="shared" si="1"/>
        <v/>
      </c>
      <c r="K160" s="13" t="str">
        <f t="shared" si="2"/>
        <v/>
      </c>
      <c r="L160" s="4" t="str">
        <f t="shared" si="3"/>
        <v/>
      </c>
    </row>
    <row r="161">
      <c r="A161" s="43"/>
      <c r="B161" s="13"/>
      <c r="C161" s="13"/>
      <c r="D161" s="13"/>
      <c r="E161" s="13"/>
      <c r="F161" s="13"/>
      <c r="G161" s="13"/>
      <c r="H161" s="13"/>
      <c r="I161" s="13"/>
      <c r="J161" s="13" t="str">
        <f t="shared" si="1"/>
        <v/>
      </c>
      <c r="K161" s="13" t="str">
        <f t="shared" si="2"/>
        <v/>
      </c>
      <c r="L161" s="4" t="str">
        <f t="shared" si="3"/>
        <v/>
      </c>
    </row>
    <row r="162">
      <c r="A162" s="43"/>
      <c r="B162" s="13"/>
      <c r="C162" s="13"/>
      <c r="D162" s="13"/>
      <c r="E162" s="13"/>
      <c r="F162" s="13"/>
      <c r="G162" s="13"/>
      <c r="H162" s="13"/>
      <c r="I162" s="13"/>
      <c r="J162" s="13" t="str">
        <f t="shared" si="1"/>
        <v/>
      </c>
      <c r="K162" s="13" t="str">
        <f t="shared" si="2"/>
        <v/>
      </c>
      <c r="L162" s="4" t="str">
        <f t="shared" si="3"/>
        <v/>
      </c>
    </row>
    <row r="163">
      <c r="A163" s="43"/>
      <c r="B163" s="13"/>
      <c r="C163" s="13"/>
      <c r="D163" s="13"/>
      <c r="E163" s="13"/>
      <c r="F163" s="13"/>
      <c r="G163" s="13"/>
      <c r="H163" s="13"/>
      <c r="I163" s="13"/>
      <c r="J163" s="13" t="str">
        <f t="shared" si="1"/>
        <v/>
      </c>
      <c r="K163" s="13" t="str">
        <f t="shared" si="2"/>
        <v/>
      </c>
      <c r="L163" s="4" t="str">
        <f t="shared" si="3"/>
        <v/>
      </c>
    </row>
    <row r="164">
      <c r="A164" s="43"/>
      <c r="B164" s="13"/>
      <c r="C164" s="13"/>
      <c r="D164" s="13"/>
      <c r="E164" s="13"/>
      <c r="F164" s="13"/>
      <c r="G164" s="13"/>
      <c r="H164" s="13"/>
      <c r="I164" s="13"/>
      <c r="J164" s="13" t="str">
        <f t="shared" si="1"/>
        <v/>
      </c>
      <c r="K164" s="13" t="str">
        <f t="shared" si="2"/>
        <v/>
      </c>
      <c r="L164" s="4" t="str">
        <f t="shared" si="3"/>
        <v/>
      </c>
    </row>
    <row r="165">
      <c r="A165" s="43"/>
      <c r="B165" s="13"/>
      <c r="C165" s="13"/>
      <c r="D165" s="13"/>
      <c r="E165" s="13"/>
      <c r="F165" s="13"/>
      <c r="G165" s="13"/>
      <c r="H165" s="13"/>
      <c r="I165" s="13"/>
      <c r="J165" s="13" t="str">
        <f t="shared" si="1"/>
        <v/>
      </c>
      <c r="K165" s="13" t="str">
        <f t="shared" si="2"/>
        <v/>
      </c>
      <c r="L165" s="4" t="str">
        <f t="shared" si="3"/>
        <v/>
      </c>
    </row>
    <row r="166">
      <c r="A166" s="43"/>
      <c r="B166" s="13"/>
      <c r="C166" s="13"/>
      <c r="D166" s="13"/>
      <c r="E166" s="13"/>
      <c r="F166" s="13"/>
      <c r="G166" s="13"/>
      <c r="H166" s="13"/>
      <c r="I166" s="13"/>
      <c r="J166" s="13" t="str">
        <f t="shared" si="1"/>
        <v/>
      </c>
      <c r="K166" s="13" t="str">
        <f t="shared" si="2"/>
        <v/>
      </c>
      <c r="L166" s="4" t="str">
        <f t="shared" si="3"/>
        <v/>
      </c>
    </row>
    <row r="167">
      <c r="A167" s="43"/>
      <c r="B167" s="13"/>
      <c r="C167" s="13"/>
      <c r="D167" s="13"/>
      <c r="E167" s="13"/>
      <c r="F167" s="13"/>
      <c r="G167" s="13"/>
      <c r="H167" s="13"/>
      <c r="I167" s="13"/>
      <c r="J167" s="13" t="str">
        <f t="shared" si="1"/>
        <v/>
      </c>
      <c r="K167" s="13" t="str">
        <f t="shared" si="2"/>
        <v/>
      </c>
      <c r="L167" s="4" t="str">
        <f t="shared" si="3"/>
        <v/>
      </c>
    </row>
    <row r="168">
      <c r="A168" s="43"/>
      <c r="B168" s="13"/>
      <c r="C168" s="13"/>
      <c r="D168" s="13"/>
      <c r="E168" s="13"/>
      <c r="F168" s="13"/>
      <c r="G168" s="13"/>
      <c r="H168" s="13"/>
      <c r="I168" s="13"/>
      <c r="J168" s="13" t="str">
        <f t="shared" si="1"/>
        <v/>
      </c>
      <c r="K168" s="13" t="str">
        <f t="shared" si="2"/>
        <v/>
      </c>
      <c r="L168" s="4" t="str">
        <f t="shared" si="3"/>
        <v/>
      </c>
    </row>
    <row r="169">
      <c r="A169" s="43"/>
      <c r="B169" s="13"/>
      <c r="C169" s="13"/>
      <c r="D169" s="13"/>
      <c r="E169" s="13"/>
      <c r="F169" s="13"/>
      <c r="G169" s="13"/>
      <c r="H169" s="13"/>
      <c r="I169" s="13"/>
      <c r="J169" s="13" t="str">
        <f t="shared" si="1"/>
        <v/>
      </c>
      <c r="K169" s="13" t="str">
        <f t="shared" si="2"/>
        <v/>
      </c>
      <c r="L169" s="4" t="str">
        <f t="shared" si="3"/>
        <v/>
      </c>
    </row>
    <row r="170">
      <c r="A170" s="43"/>
      <c r="B170" s="13"/>
      <c r="C170" s="13"/>
      <c r="D170" s="13"/>
      <c r="E170" s="13"/>
      <c r="F170" s="13"/>
      <c r="G170" s="13"/>
      <c r="H170" s="13"/>
      <c r="I170" s="13"/>
      <c r="J170" s="13" t="str">
        <f t="shared" si="1"/>
        <v/>
      </c>
      <c r="K170" s="13" t="str">
        <f t="shared" si="2"/>
        <v/>
      </c>
      <c r="L170" s="4" t="str">
        <f t="shared" si="3"/>
        <v/>
      </c>
    </row>
    <row r="171">
      <c r="A171" s="43"/>
      <c r="B171" s="13"/>
      <c r="C171" s="13"/>
      <c r="D171" s="13"/>
      <c r="E171" s="13"/>
      <c r="F171" s="13"/>
      <c r="G171" s="13"/>
      <c r="H171" s="13"/>
      <c r="I171" s="13"/>
      <c r="J171" s="13" t="str">
        <f t="shared" si="1"/>
        <v/>
      </c>
      <c r="K171" s="13" t="str">
        <f t="shared" si="2"/>
        <v/>
      </c>
      <c r="L171" s="4" t="str">
        <f t="shared" si="3"/>
        <v/>
      </c>
    </row>
    <row r="172">
      <c r="A172" s="43"/>
      <c r="B172" s="13"/>
      <c r="C172" s="13"/>
      <c r="D172" s="13"/>
      <c r="E172" s="13"/>
      <c r="F172" s="13"/>
      <c r="G172" s="13"/>
      <c r="H172" s="13"/>
      <c r="I172" s="13"/>
      <c r="J172" s="13" t="str">
        <f t="shared" si="1"/>
        <v/>
      </c>
      <c r="K172" s="13" t="str">
        <f t="shared" si="2"/>
        <v/>
      </c>
      <c r="L172" s="4" t="str">
        <f t="shared" si="3"/>
        <v/>
      </c>
    </row>
    <row r="173">
      <c r="A173" s="43"/>
      <c r="B173" s="13"/>
      <c r="C173" s="13"/>
      <c r="D173" s="13"/>
      <c r="E173" s="13"/>
      <c r="F173" s="13"/>
      <c r="G173" s="13"/>
      <c r="H173" s="13"/>
      <c r="I173" s="13"/>
      <c r="J173" s="13" t="str">
        <f t="shared" si="1"/>
        <v/>
      </c>
      <c r="K173" s="13" t="str">
        <f t="shared" si="2"/>
        <v/>
      </c>
      <c r="L173" s="4" t="str">
        <f t="shared" si="3"/>
        <v/>
      </c>
    </row>
    <row r="174">
      <c r="A174" s="43"/>
      <c r="B174" s="13"/>
      <c r="C174" s="13"/>
      <c r="D174" s="13"/>
      <c r="E174" s="13"/>
      <c r="F174" s="13"/>
      <c r="G174" s="13"/>
      <c r="H174" s="13"/>
      <c r="I174" s="13"/>
      <c r="J174" s="13" t="str">
        <f t="shared" si="1"/>
        <v/>
      </c>
      <c r="K174" s="13" t="str">
        <f t="shared" si="2"/>
        <v/>
      </c>
      <c r="L174" s="4" t="str">
        <f t="shared" si="3"/>
        <v/>
      </c>
    </row>
    <row r="175">
      <c r="A175" s="43"/>
      <c r="B175" s="13"/>
      <c r="C175" s="13"/>
      <c r="D175" s="13"/>
      <c r="E175" s="13"/>
      <c r="F175" s="13"/>
      <c r="G175" s="13"/>
      <c r="H175" s="13"/>
      <c r="I175" s="13"/>
      <c r="J175" s="13" t="str">
        <f t="shared" si="1"/>
        <v/>
      </c>
      <c r="K175" s="13" t="str">
        <f t="shared" si="2"/>
        <v/>
      </c>
      <c r="L175" s="4" t="str">
        <f t="shared" si="3"/>
        <v/>
      </c>
    </row>
    <row r="176">
      <c r="A176" s="43"/>
      <c r="B176" s="13"/>
      <c r="C176" s="13"/>
      <c r="D176" s="13"/>
      <c r="E176" s="13"/>
      <c r="F176" s="13"/>
      <c r="G176" s="13"/>
      <c r="H176" s="13"/>
      <c r="I176" s="13"/>
      <c r="J176" s="13" t="str">
        <f t="shared" si="1"/>
        <v/>
      </c>
      <c r="K176" s="13" t="str">
        <f t="shared" si="2"/>
        <v/>
      </c>
      <c r="L176" s="4" t="str">
        <f t="shared" si="3"/>
        <v/>
      </c>
    </row>
    <row r="177">
      <c r="A177" s="43"/>
      <c r="B177" s="13"/>
      <c r="C177" s="13"/>
      <c r="D177" s="13"/>
      <c r="E177" s="13"/>
      <c r="F177" s="13"/>
      <c r="G177" s="13"/>
      <c r="H177" s="13"/>
      <c r="I177" s="13"/>
      <c r="J177" s="13" t="str">
        <f t="shared" si="1"/>
        <v/>
      </c>
      <c r="K177" s="13" t="str">
        <f t="shared" si="2"/>
        <v/>
      </c>
      <c r="L177" s="4" t="str">
        <f t="shared" si="3"/>
        <v/>
      </c>
    </row>
    <row r="178">
      <c r="A178" s="43"/>
      <c r="B178" s="13"/>
      <c r="C178" s="13"/>
      <c r="D178" s="13"/>
      <c r="E178" s="13"/>
      <c r="F178" s="13"/>
      <c r="G178" s="13"/>
      <c r="H178" s="13"/>
      <c r="I178" s="13"/>
      <c r="J178" s="13" t="str">
        <f t="shared" si="1"/>
        <v/>
      </c>
      <c r="K178" s="13" t="str">
        <f t="shared" si="2"/>
        <v/>
      </c>
      <c r="L178" s="4" t="str">
        <f t="shared" si="3"/>
        <v/>
      </c>
    </row>
    <row r="179">
      <c r="A179" s="43"/>
      <c r="B179" s="13"/>
      <c r="C179" s="13"/>
      <c r="D179" s="13"/>
      <c r="E179" s="13"/>
      <c r="F179" s="13"/>
      <c r="G179" s="13"/>
      <c r="H179" s="13"/>
      <c r="I179" s="13"/>
      <c r="J179" s="13" t="str">
        <f t="shared" si="1"/>
        <v/>
      </c>
      <c r="K179" s="13" t="str">
        <f t="shared" si="2"/>
        <v/>
      </c>
      <c r="L179" s="4" t="str">
        <f t="shared" si="3"/>
        <v/>
      </c>
    </row>
    <row r="180">
      <c r="A180" s="43"/>
      <c r="B180" s="13"/>
      <c r="C180" s="13"/>
      <c r="D180" s="13"/>
      <c r="E180" s="13"/>
      <c r="F180" s="13"/>
      <c r="G180" s="13"/>
      <c r="H180" s="13"/>
      <c r="I180" s="13"/>
      <c r="J180" s="13" t="str">
        <f t="shared" si="1"/>
        <v/>
      </c>
      <c r="K180" s="13" t="str">
        <f t="shared" si="2"/>
        <v/>
      </c>
      <c r="L180" s="4" t="str">
        <f t="shared" si="3"/>
        <v/>
      </c>
    </row>
    <row r="181">
      <c r="A181" s="43"/>
      <c r="B181" s="13"/>
      <c r="C181" s="13"/>
      <c r="D181" s="13"/>
      <c r="E181" s="13"/>
      <c r="F181" s="13"/>
      <c r="G181" s="13"/>
      <c r="H181" s="13"/>
      <c r="I181" s="13"/>
      <c r="J181" s="13" t="str">
        <f t="shared" si="1"/>
        <v/>
      </c>
      <c r="K181" s="13" t="str">
        <f t="shared" si="2"/>
        <v/>
      </c>
      <c r="L181" s="4" t="str">
        <f t="shared" si="3"/>
        <v/>
      </c>
    </row>
    <row r="182">
      <c r="A182" s="43"/>
      <c r="B182" s="13"/>
      <c r="C182" s="13"/>
      <c r="D182" s="13"/>
      <c r="E182" s="13"/>
      <c r="F182" s="13"/>
      <c r="G182" s="13"/>
      <c r="H182" s="13"/>
      <c r="I182" s="13"/>
      <c r="J182" s="13" t="str">
        <f t="shared" si="1"/>
        <v/>
      </c>
      <c r="K182" s="13" t="str">
        <f t="shared" si="2"/>
        <v/>
      </c>
      <c r="L182" s="4" t="str">
        <f t="shared" si="3"/>
        <v/>
      </c>
    </row>
    <row r="183">
      <c r="A183" s="43"/>
      <c r="B183" s="13"/>
      <c r="C183" s="13"/>
      <c r="D183" s="13"/>
      <c r="E183" s="13"/>
      <c r="F183" s="13"/>
      <c r="G183" s="13"/>
      <c r="H183" s="13"/>
      <c r="I183" s="13"/>
      <c r="J183" s="13" t="str">
        <f t="shared" si="1"/>
        <v/>
      </c>
      <c r="K183" s="13" t="str">
        <f t="shared" si="2"/>
        <v/>
      </c>
      <c r="L183" s="4" t="str">
        <f t="shared" si="3"/>
        <v/>
      </c>
    </row>
    <row r="184">
      <c r="A184" s="43"/>
      <c r="B184" s="13"/>
      <c r="C184" s="13"/>
      <c r="D184" s="13"/>
      <c r="E184" s="13"/>
      <c r="F184" s="13"/>
      <c r="G184" s="13"/>
      <c r="H184" s="13"/>
      <c r="I184" s="13"/>
      <c r="J184" s="13" t="str">
        <f t="shared" si="1"/>
        <v/>
      </c>
      <c r="K184" s="13" t="str">
        <f t="shared" si="2"/>
        <v/>
      </c>
      <c r="L184" s="4" t="str">
        <f t="shared" si="3"/>
        <v/>
      </c>
    </row>
    <row r="185">
      <c r="A185" s="43"/>
      <c r="B185" s="13"/>
      <c r="C185" s="13"/>
      <c r="D185" s="13"/>
      <c r="E185" s="13"/>
      <c r="F185" s="13"/>
      <c r="G185" s="13"/>
      <c r="H185" s="13"/>
      <c r="I185" s="13"/>
      <c r="J185" s="13" t="str">
        <f t="shared" si="1"/>
        <v/>
      </c>
      <c r="K185" s="13" t="str">
        <f t="shared" si="2"/>
        <v/>
      </c>
      <c r="L185" s="4" t="str">
        <f t="shared" si="3"/>
        <v/>
      </c>
    </row>
    <row r="186">
      <c r="A186" s="43"/>
      <c r="B186" s="13"/>
      <c r="C186" s="13"/>
      <c r="D186" s="13"/>
      <c r="E186" s="13"/>
      <c r="F186" s="13"/>
      <c r="G186" s="13"/>
      <c r="H186" s="13"/>
      <c r="I186" s="13"/>
      <c r="J186" s="13" t="str">
        <f t="shared" si="1"/>
        <v/>
      </c>
      <c r="K186" s="13" t="str">
        <f t="shared" si="2"/>
        <v/>
      </c>
      <c r="L186" s="4" t="str">
        <f t="shared" si="3"/>
        <v/>
      </c>
    </row>
    <row r="187">
      <c r="A187" s="43"/>
      <c r="B187" s="13"/>
      <c r="C187" s="13"/>
      <c r="D187" s="13"/>
      <c r="E187" s="13"/>
      <c r="F187" s="13"/>
      <c r="G187" s="13"/>
      <c r="H187" s="13"/>
      <c r="I187" s="13"/>
      <c r="J187" s="13" t="str">
        <f t="shared" si="1"/>
        <v/>
      </c>
      <c r="K187" s="13" t="str">
        <f t="shared" si="2"/>
        <v/>
      </c>
      <c r="L187" s="4" t="str">
        <f t="shared" si="3"/>
        <v/>
      </c>
    </row>
    <row r="188">
      <c r="A188" s="43"/>
      <c r="B188" s="13"/>
      <c r="C188" s="13"/>
      <c r="D188" s="13"/>
      <c r="E188" s="13"/>
      <c r="F188" s="13"/>
      <c r="G188" s="13"/>
      <c r="H188" s="13"/>
      <c r="I188" s="13"/>
      <c r="J188" s="13" t="str">
        <f t="shared" si="1"/>
        <v/>
      </c>
      <c r="K188" s="13" t="str">
        <f t="shared" si="2"/>
        <v/>
      </c>
      <c r="L188" s="4" t="str">
        <f t="shared" si="3"/>
        <v/>
      </c>
    </row>
    <row r="189">
      <c r="A189" s="43"/>
      <c r="B189" s="13"/>
      <c r="C189" s="13"/>
      <c r="D189" s="13"/>
      <c r="E189" s="13"/>
      <c r="F189" s="13"/>
      <c r="G189" s="13"/>
      <c r="H189" s="13"/>
      <c r="I189" s="13"/>
      <c r="J189" s="13" t="str">
        <f t="shared" si="1"/>
        <v/>
      </c>
      <c r="K189" s="13" t="str">
        <f t="shared" si="2"/>
        <v/>
      </c>
      <c r="L189" s="4" t="str">
        <f t="shared" si="3"/>
        <v/>
      </c>
    </row>
    <row r="190">
      <c r="A190" s="43"/>
      <c r="B190" s="13"/>
      <c r="C190" s="13"/>
      <c r="D190" s="13"/>
      <c r="E190" s="13"/>
      <c r="F190" s="13"/>
      <c r="G190" s="13"/>
      <c r="H190" s="13"/>
      <c r="I190" s="13"/>
      <c r="J190" s="13" t="str">
        <f t="shared" si="1"/>
        <v/>
      </c>
      <c r="K190" s="13" t="str">
        <f t="shared" si="2"/>
        <v/>
      </c>
      <c r="L190" s="4" t="str">
        <f t="shared" si="3"/>
        <v/>
      </c>
    </row>
    <row r="191">
      <c r="A191" s="43"/>
      <c r="B191" s="13"/>
      <c r="C191" s="13"/>
      <c r="D191" s="13"/>
      <c r="E191" s="13"/>
      <c r="F191" s="13"/>
      <c r="G191" s="13"/>
      <c r="H191" s="13"/>
      <c r="I191" s="13"/>
      <c r="J191" s="13" t="str">
        <f t="shared" si="1"/>
        <v/>
      </c>
      <c r="K191" s="13" t="str">
        <f t="shared" si="2"/>
        <v/>
      </c>
      <c r="L191" s="4" t="str">
        <f t="shared" si="3"/>
        <v/>
      </c>
    </row>
    <row r="192">
      <c r="A192" s="43"/>
      <c r="B192" s="13"/>
      <c r="C192" s="13"/>
      <c r="D192" s="13"/>
      <c r="E192" s="13"/>
      <c r="F192" s="13"/>
      <c r="G192" s="13"/>
      <c r="H192" s="13"/>
      <c r="I192" s="13"/>
      <c r="J192" s="13" t="str">
        <f t="shared" si="1"/>
        <v/>
      </c>
      <c r="K192" s="13" t="str">
        <f t="shared" si="2"/>
        <v/>
      </c>
      <c r="L192" s="4" t="str">
        <f t="shared" si="3"/>
        <v/>
      </c>
    </row>
    <row r="193">
      <c r="A193" s="43"/>
      <c r="B193" s="13"/>
      <c r="C193" s="13"/>
      <c r="D193" s="13"/>
      <c r="E193" s="13"/>
      <c r="F193" s="13"/>
      <c r="G193" s="13"/>
      <c r="H193" s="13"/>
      <c r="I193" s="13"/>
      <c r="J193" s="13" t="str">
        <f t="shared" si="1"/>
        <v/>
      </c>
      <c r="K193" s="13" t="str">
        <f t="shared" si="2"/>
        <v/>
      </c>
      <c r="L193" s="4" t="str">
        <f t="shared" si="3"/>
        <v/>
      </c>
    </row>
    <row r="194">
      <c r="A194" s="43"/>
      <c r="B194" s="13"/>
      <c r="C194" s="13"/>
      <c r="D194" s="13"/>
      <c r="E194" s="13"/>
      <c r="F194" s="13"/>
      <c r="G194" s="13"/>
      <c r="H194" s="13"/>
      <c r="I194" s="13"/>
      <c r="J194" s="13" t="str">
        <f t="shared" si="1"/>
        <v/>
      </c>
      <c r="K194" s="13" t="str">
        <f t="shared" si="2"/>
        <v/>
      </c>
      <c r="L194" s="4" t="str">
        <f t="shared" si="3"/>
        <v/>
      </c>
    </row>
    <row r="195">
      <c r="A195" s="43"/>
      <c r="B195" s="13"/>
      <c r="C195" s="13"/>
      <c r="D195" s="13"/>
      <c r="E195" s="13"/>
      <c r="F195" s="13"/>
      <c r="G195" s="13"/>
      <c r="H195" s="13"/>
      <c r="I195" s="13"/>
      <c r="J195" s="13" t="str">
        <f t="shared" si="1"/>
        <v/>
      </c>
      <c r="K195" s="13" t="str">
        <f t="shared" si="2"/>
        <v/>
      </c>
      <c r="L195" s="4" t="str">
        <f t="shared" si="3"/>
        <v/>
      </c>
    </row>
    <row r="196">
      <c r="A196" s="43"/>
      <c r="B196" s="13"/>
      <c r="C196" s="13"/>
      <c r="D196" s="13"/>
      <c r="E196" s="13"/>
      <c r="F196" s="13"/>
      <c r="G196" s="13"/>
      <c r="H196" s="13"/>
      <c r="I196" s="13"/>
      <c r="J196" s="13" t="str">
        <f t="shared" si="1"/>
        <v/>
      </c>
      <c r="K196" s="13" t="str">
        <f t="shared" si="2"/>
        <v/>
      </c>
      <c r="L196" s="4" t="str">
        <f t="shared" si="3"/>
        <v/>
      </c>
    </row>
    <row r="197">
      <c r="A197" s="43"/>
      <c r="B197" s="13"/>
      <c r="C197" s="13"/>
      <c r="D197" s="13"/>
      <c r="E197" s="13"/>
      <c r="F197" s="13"/>
      <c r="G197" s="13"/>
      <c r="H197" s="13"/>
      <c r="I197" s="13"/>
      <c r="J197" s="13" t="str">
        <f t="shared" si="1"/>
        <v/>
      </c>
      <c r="K197" s="13" t="str">
        <f t="shared" si="2"/>
        <v/>
      </c>
      <c r="L197" s="4" t="str">
        <f t="shared" si="3"/>
        <v/>
      </c>
    </row>
    <row r="198">
      <c r="A198" s="43"/>
      <c r="B198" s="13"/>
      <c r="C198" s="13"/>
      <c r="D198" s="13"/>
      <c r="E198" s="13"/>
      <c r="F198" s="13"/>
      <c r="G198" s="13"/>
      <c r="H198" s="13"/>
      <c r="I198" s="13"/>
      <c r="J198" s="13" t="str">
        <f t="shared" si="1"/>
        <v/>
      </c>
      <c r="K198" s="13" t="str">
        <f t="shared" si="2"/>
        <v/>
      </c>
      <c r="L198" s="4" t="str">
        <f t="shared" si="3"/>
        <v/>
      </c>
    </row>
    <row r="199">
      <c r="A199" s="43"/>
      <c r="B199" s="13"/>
      <c r="C199" s="13"/>
      <c r="D199" s="13"/>
      <c r="E199" s="13"/>
      <c r="F199" s="13"/>
      <c r="G199" s="13"/>
      <c r="H199" s="13"/>
      <c r="I199" s="13"/>
      <c r="J199" s="13" t="str">
        <f t="shared" si="1"/>
        <v/>
      </c>
      <c r="K199" s="13" t="str">
        <f t="shared" si="2"/>
        <v/>
      </c>
      <c r="L199" s="4" t="str">
        <f t="shared" si="3"/>
        <v/>
      </c>
    </row>
    <row r="200">
      <c r="A200" s="43"/>
      <c r="B200" s="13"/>
      <c r="C200" s="13"/>
      <c r="D200" s="13"/>
      <c r="E200" s="13"/>
      <c r="F200" s="13"/>
      <c r="G200" s="13"/>
      <c r="H200" s="13"/>
      <c r="I200" s="13"/>
      <c r="J200" s="13" t="str">
        <f t="shared" si="1"/>
        <v/>
      </c>
      <c r="K200" s="13" t="str">
        <f t="shared" si="2"/>
        <v/>
      </c>
      <c r="L200" s="4" t="str">
        <f t="shared" si="3"/>
        <v/>
      </c>
    </row>
    <row r="201">
      <c r="A201" s="43"/>
      <c r="B201" s="13"/>
      <c r="C201" s="13"/>
      <c r="D201" s="13"/>
      <c r="E201" s="13"/>
      <c r="F201" s="13"/>
      <c r="G201" s="13"/>
      <c r="H201" s="13"/>
      <c r="I201" s="13"/>
      <c r="J201" s="13" t="str">
        <f t="shared" si="1"/>
        <v/>
      </c>
      <c r="K201" s="13" t="str">
        <f t="shared" si="2"/>
        <v/>
      </c>
      <c r="L201" s="4" t="str">
        <f t="shared" si="3"/>
        <v/>
      </c>
    </row>
    <row r="202">
      <c r="A202" s="43"/>
      <c r="B202" s="13"/>
      <c r="C202" s="13"/>
      <c r="D202" s="13"/>
      <c r="E202" s="13"/>
      <c r="F202" s="13"/>
      <c r="G202" s="13"/>
      <c r="H202" s="13"/>
      <c r="I202" s="13"/>
      <c r="J202" s="13" t="str">
        <f t="shared" si="1"/>
        <v/>
      </c>
      <c r="K202" s="13" t="str">
        <f t="shared" si="2"/>
        <v/>
      </c>
      <c r="L202" s="4" t="str">
        <f t="shared" si="3"/>
        <v/>
      </c>
    </row>
    <row r="203">
      <c r="A203" s="43"/>
      <c r="B203" s="13"/>
      <c r="C203" s="13"/>
      <c r="D203" s="13"/>
      <c r="E203" s="13"/>
      <c r="F203" s="13"/>
      <c r="G203" s="13"/>
      <c r="H203" s="13"/>
      <c r="I203" s="13"/>
      <c r="J203" s="13" t="str">
        <f t="shared" si="1"/>
        <v/>
      </c>
      <c r="K203" s="13" t="str">
        <f t="shared" si="2"/>
        <v/>
      </c>
      <c r="L203" s="4" t="str">
        <f t="shared" si="3"/>
        <v/>
      </c>
    </row>
    <row r="204">
      <c r="A204" s="43"/>
      <c r="B204" s="13"/>
      <c r="C204" s="13"/>
      <c r="D204" s="13"/>
      <c r="E204" s="13"/>
      <c r="F204" s="13"/>
      <c r="G204" s="13"/>
      <c r="H204" s="13"/>
      <c r="I204" s="13"/>
      <c r="J204" s="13" t="str">
        <f t="shared" si="1"/>
        <v/>
      </c>
      <c r="K204" s="13" t="str">
        <f t="shared" si="2"/>
        <v/>
      </c>
      <c r="L204" s="4" t="str">
        <f t="shared" si="3"/>
        <v/>
      </c>
    </row>
    <row r="205">
      <c r="A205" s="43"/>
      <c r="B205" s="13"/>
      <c r="C205" s="13"/>
      <c r="D205" s="13"/>
      <c r="E205" s="13"/>
      <c r="F205" s="13"/>
      <c r="G205" s="13"/>
      <c r="H205" s="13"/>
      <c r="I205" s="13"/>
      <c r="J205" s="13" t="str">
        <f t="shared" si="1"/>
        <v/>
      </c>
      <c r="K205" s="13" t="str">
        <f t="shared" si="2"/>
        <v/>
      </c>
      <c r="L205" s="4" t="str">
        <f t="shared" si="3"/>
        <v/>
      </c>
    </row>
    <row r="206">
      <c r="A206" s="43"/>
      <c r="B206" s="13"/>
      <c r="C206" s="13"/>
      <c r="D206" s="13"/>
      <c r="E206" s="13"/>
      <c r="F206" s="13"/>
      <c r="G206" s="13"/>
      <c r="H206" s="13"/>
      <c r="I206" s="13"/>
      <c r="J206" s="13" t="str">
        <f t="shared" si="1"/>
        <v/>
      </c>
      <c r="K206" s="13" t="str">
        <f t="shared" si="2"/>
        <v/>
      </c>
      <c r="L206" s="4" t="str">
        <f t="shared" si="3"/>
        <v/>
      </c>
    </row>
    <row r="207">
      <c r="A207" s="43"/>
      <c r="B207" s="13"/>
      <c r="C207" s="13"/>
      <c r="D207" s="13"/>
      <c r="E207" s="13"/>
      <c r="F207" s="13"/>
      <c r="G207" s="13"/>
      <c r="H207" s="13"/>
      <c r="I207" s="13"/>
      <c r="J207" s="13" t="str">
        <f t="shared" si="1"/>
        <v/>
      </c>
      <c r="K207" s="13" t="str">
        <f t="shared" si="2"/>
        <v/>
      </c>
      <c r="L207" s="4" t="str">
        <f t="shared" si="3"/>
        <v/>
      </c>
    </row>
    <row r="208">
      <c r="A208" s="43"/>
      <c r="B208" s="13"/>
      <c r="C208" s="13"/>
      <c r="D208" s="13"/>
      <c r="E208" s="13"/>
      <c r="F208" s="13"/>
      <c r="G208" s="13"/>
      <c r="H208" s="13"/>
      <c r="I208" s="13"/>
      <c r="J208" s="13" t="str">
        <f t="shared" si="1"/>
        <v/>
      </c>
      <c r="K208" s="13" t="str">
        <f t="shared" si="2"/>
        <v/>
      </c>
      <c r="L208" s="4" t="str">
        <f t="shared" si="3"/>
        <v/>
      </c>
    </row>
    <row r="209">
      <c r="A209" s="43"/>
      <c r="B209" s="13"/>
      <c r="C209" s="13"/>
      <c r="D209" s="13"/>
      <c r="E209" s="13"/>
      <c r="F209" s="13"/>
      <c r="G209" s="13"/>
      <c r="H209" s="13"/>
      <c r="I209" s="13"/>
      <c r="J209" s="13" t="str">
        <f t="shared" si="1"/>
        <v/>
      </c>
      <c r="K209" s="13" t="str">
        <f t="shared" si="2"/>
        <v/>
      </c>
      <c r="L209" s="4" t="str">
        <f t="shared" si="3"/>
        <v/>
      </c>
    </row>
    <row r="210">
      <c r="A210" s="43"/>
      <c r="B210" s="13"/>
      <c r="C210" s="13"/>
      <c r="D210" s="13"/>
      <c r="E210" s="13"/>
      <c r="F210" s="13"/>
      <c r="G210" s="13"/>
      <c r="H210" s="13"/>
      <c r="I210" s="13"/>
      <c r="J210" s="13" t="str">
        <f t="shared" si="1"/>
        <v/>
      </c>
      <c r="K210" s="13" t="str">
        <f t="shared" si="2"/>
        <v/>
      </c>
      <c r="L210" s="4" t="str">
        <f t="shared" si="3"/>
        <v/>
      </c>
    </row>
    <row r="211">
      <c r="A211" s="43"/>
      <c r="B211" s="13"/>
      <c r="C211" s="13"/>
      <c r="D211" s="13"/>
      <c r="E211" s="13"/>
      <c r="F211" s="13"/>
      <c r="G211" s="13"/>
      <c r="H211" s="13"/>
      <c r="I211" s="13"/>
      <c r="J211" s="13" t="str">
        <f t="shared" si="1"/>
        <v/>
      </c>
      <c r="K211" s="13" t="str">
        <f t="shared" si="2"/>
        <v/>
      </c>
      <c r="L211" s="4" t="str">
        <f t="shared" si="3"/>
        <v/>
      </c>
    </row>
    <row r="212">
      <c r="A212" s="43"/>
      <c r="B212" s="13"/>
      <c r="C212" s="13"/>
      <c r="D212" s="13"/>
      <c r="E212" s="13"/>
      <c r="F212" s="13"/>
      <c r="G212" s="13"/>
      <c r="H212" s="13"/>
      <c r="I212" s="13"/>
      <c r="J212" s="13" t="str">
        <f t="shared" si="1"/>
        <v/>
      </c>
      <c r="K212" s="13" t="str">
        <f t="shared" si="2"/>
        <v/>
      </c>
      <c r="L212" s="4" t="str">
        <f t="shared" si="3"/>
        <v/>
      </c>
    </row>
    <row r="213">
      <c r="A213" s="43"/>
      <c r="B213" s="13"/>
      <c r="C213" s="13"/>
      <c r="D213" s="13"/>
      <c r="E213" s="13"/>
      <c r="F213" s="13"/>
      <c r="G213" s="13"/>
      <c r="H213" s="13"/>
      <c r="I213" s="13"/>
      <c r="J213" s="13" t="str">
        <f t="shared" si="1"/>
        <v/>
      </c>
      <c r="K213" s="13" t="str">
        <f t="shared" si="2"/>
        <v/>
      </c>
      <c r="L213" s="4" t="str">
        <f t="shared" si="3"/>
        <v/>
      </c>
    </row>
    <row r="214">
      <c r="A214" s="43"/>
      <c r="B214" s="13"/>
      <c r="C214" s="13"/>
      <c r="D214" s="13"/>
      <c r="E214" s="13"/>
      <c r="F214" s="13"/>
      <c r="G214" s="13"/>
      <c r="H214" s="13"/>
      <c r="I214" s="13"/>
      <c r="J214" s="13" t="str">
        <f t="shared" si="1"/>
        <v/>
      </c>
      <c r="K214" s="13" t="str">
        <f t="shared" si="2"/>
        <v/>
      </c>
      <c r="L214" s="4" t="str">
        <f t="shared" si="3"/>
        <v/>
      </c>
    </row>
    <row r="215">
      <c r="A215" s="43"/>
      <c r="B215" s="13"/>
      <c r="C215" s="13"/>
      <c r="D215" s="13"/>
      <c r="E215" s="13"/>
      <c r="F215" s="13"/>
      <c r="G215" s="13"/>
      <c r="H215" s="13"/>
      <c r="I215" s="13"/>
      <c r="J215" s="13" t="str">
        <f t="shared" si="1"/>
        <v/>
      </c>
      <c r="K215" s="13" t="str">
        <f t="shared" si="2"/>
        <v/>
      </c>
      <c r="L215" s="4" t="str">
        <f t="shared" si="3"/>
        <v/>
      </c>
    </row>
    <row r="216">
      <c r="A216" s="43"/>
      <c r="B216" s="13"/>
      <c r="C216" s="13"/>
      <c r="D216" s="13"/>
      <c r="E216" s="13"/>
      <c r="F216" s="13"/>
      <c r="G216" s="13"/>
      <c r="H216" s="13"/>
      <c r="I216" s="13"/>
      <c r="J216" s="13" t="str">
        <f t="shared" si="1"/>
        <v/>
      </c>
      <c r="K216" s="13" t="str">
        <f t="shared" si="2"/>
        <v/>
      </c>
      <c r="L216" s="4" t="str">
        <f t="shared" si="3"/>
        <v/>
      </c>
    </row>
    <row r="217">
      <c r="A217" s="43"/>
      <c r="B217" s="13"/>
      <c r="C217" s="13"/>
      <c r="D217" s="13"/>
      <c r="E217" s="13"/>
      <c r="F217" s="13"/>
      <c r="G217" s="13"/>
      <c r="H217" s="13"/>
      <c r="I217" s="13"/>
      <c r="J217" s="13" t="str">
        <f t="shared" si="1"/>
        <v/>
      </c>
      <c r="K217" s="13" t="str">
        <f t="shared" si="2"/>
        <v/>
      </c>
      <c r="L217" s="4" t="str">
        <f t="shared" si="3"/>
        <v/>
      </c>
    </row>
    <row r="218">
      <c r="A218" s="43"/>
      <c r="B218" s="13"/>
      <c r="C218" s="13"/>
      <c r="D218" s="13"/>
      <c r="E218" s="13"/>
      <c r="F218" s="13"/>
      <c r="G218" s="13"/>
      <c r="H218" s="13"/>
      <c r="I218" s="13"/>
      <c r="J218" s="13" t="str">
        <f t="shared" si="1"/>
        <v/>
      </c>
      <c r="K218" s="13" t="str">
        <f t="shared" si="2"/>
        <v/>
      </c>
      <c r="L218" s="4" t="str">
        <f t="shared" si="3"/>
        <v/>
      </c>
    </row>
    <row r="219">
      <c r="A219" s="43"/>
      <c r="B219" s="13"/>
      <c r="C219" s="13"/>
      <c r="D219" s="13"/>
      <c r="E219" s="13"/>
      <c r="F219" s="13"/>
      <c r="G219" s="13"/>
      <c r="H219" s="13"/>
      <c r="I219" s="13"/>
      <c r="J219" s="13" t="str">
        <f t="shared" si="1"/>
        <v/>
      </c>
      <c r="K219" s="13" t="str">
        <f t="shared" si="2"/>
        <v/>
      </c>
      <c r="L219" s="4" t="str">
        <f t="shared" si="3"/>
        <v/>
      </c>
    </row>
    <row r="220">
      <c r="A220" s="43"/>
      <c r="B220" s="13"/>
      <c r="C220" s="13"/>
      <c r="D220" s="13"/>
      <c r="E220" s="13"/>
      <c r="F220" s="13"/>
      <c r="G220" s="13"/>
      <c r="H220" s="13"/>
      <c r="I220" s="13"/>
      <c r="J220" s="13" t="str">
        <f t="shared" si="1"/>
        <v/>
      </c>
      <c r="K220" s="13" t="str">
        <f t="shared" si="2"/>
        <v/>
      </c>
      <c r="L220" s="4" t="str">
        <f t="shared" si="3"/>
        <v/>
      </c>
    </row>
    <row r="221">
      <c r="A221" s="43"/>
      <c r="B221" s="13"/>
      <c r="C221" s="13"/>
      <c r="D221" s="13"/>
      <c r="E221" s="13"/>
      <c r="F221" s="13"/>
      <c r="G221" s="13"/>
      <c r="H221" s="13"/>
      <c r="I221" s="13"/>
      <c r="J221" s="13" t="str">
        <f t="shared" si="1"/>
        <v/>
      </c>
      <c r="K221" s="13" t="str">
        <f t="shared" si="2"/>
        <v/>
      </c>
      <c r="L221" s="4" t="str">
        <f t="shared" si="3"/>
        <v/>
      </c>
    </row>
    <row r="222">
      <c r="A222" s="43"/>
      <c r="B222" s="13"/>
      <c r="C222" s="13"/>
      <c r="D222" s="13"/>
      <c r="E222" s="13"/>
      <c r="F222" s="13"/>
      <c r="G222" s="13"/>
      <c r="H222" s="13"/>
      <c r="I222" s="13"/>
      <c r="J222" s="13" t="str">
        <f t="shared" si="1"/>
        <v/>
      </c>
      <c r="K222" s="13" t="str">
        <f t="shared" si="2"/>
        <v/>
      </c>
      <c r="L222" s="4" t="str">
        <f t="shared" si="3"/>
        <v/>
      </c>
    </row>
    <row r="223">
      <c r="A223" s="43"/>
      <c r="B223" s="13"/>
      <c r="C223" s="13"/>
      <c r="D223" s="13"/>
      <c r="E223" s="13"/>
      <c r="F223" s="13"/>
      <c r="G223" s="13"/>
      <c r="H223" s="13"/>
      <c r="I223" s="13"/>
      <c r="J223" s="13" t="str">
        <f t="shared" si="1"/>
        <v/>
      </c>
      <c r="K223" s="13" t="str">
        <f t="shared" si="2"/>
        <v/>
      </c>
      <c r="L223" s="4" t="str">
        <f t="shared" si="3"/>
        <v/>
      </c>
    </row>
    <row r="224">
      <c r="A224" s="43"/>
      <c r="B224" s="13"/>
      <c r="C224" s="13"/>
      <c r="D224" s="13"/>
      <c r="E224" s="13"/>
      <c r="F224" s="13"/>
      <c r="G224" s="13"/>
      <c r="H224" s="13"/>
      <c r="I224" s="13"/>
      <c r="J224" s="13" t="str">
        <f t="shared" si="1"/>
        <v/>
      </c>
      <c r="K224" s="13" t="str">
        <f t="shared" si="2"/>
        <v/>
      </c>
      <c r="L224" s="4" t="str">
        <f t="shared" si="3"/>
        <v/>
      </c>
    </row>
    <row r="225">
      <c r="A225" s="43"/>
      <c r="B225" s="13"/>
      <c r="C225" s="13"/>
      <c r="D225" s="13"/>
      <c r="E225" s="13"/>
      <c r="F225" s="13"/>
      <c r="G225" s="13"/>
      <c r="H225" s="13"/>
      <c r="I225" s="13"/>
      <c r="J225" s="13" t="str">
        <f t="shared" si="1"/>
        <v/>
      </c>
      <c r="K225" s="13" t="str">
        <f t="shared" si="2"/>
        <v/>
      </c>
      <c r="L225" s="4" t="str">
        <f t="shared" si="3"/>
        <v/>
      </c>
    </row>
    <row r="226">
      <c r="A226" s="43"/>
      <c r="B226" s="13"/>
      <c r="C226" s="13"/>
      <c r="D226" s="13"/>
      <c r="E226" s="13"/>
      <c r="F226" s="13"/>
      <c r="G226" s="13"/>
      <c r="H226" s="13"/>
      <c r="I226" s="13"/>
      <c r="J226" s="13" t="str">
        <f t="shared" si="1"/>
        <v/>
      </c>
      <c r="K226" s="13" t="str">
        <f t="shared" si="2"/>
        <v/>
      </c>
      <c r="L226" s="4" t="str">
        <f t="shared" si="3"/>
        <v/>
      </c>
    </row>
    <row r="227">
      <c r="A227" s="43"/>
      <c r="B227" s="13"/>
      <c r="C227" s="13"/>
      <c r="D227" s="13"/>
      <c r="E227" s="13"/>
      <c r="F227" s="13"/>
      <c r="G227" s="13"/>
      <c r="H227" s="13"/>
      <c r="I227" s="13"/>
      <c r="J227" s="13" t="str">
        <f t="shared" si="1"/>
        <v/>
      </c>
      <c r="K227" s="13" t="str">
        <f t="shared" si="2"/>
        <v/>
      </c>
      <c r="L227" s="4" t="str">
        <f t="shared" si="3"/>
        <v/>
      </c>
    </row>
    <row r="228">
      <c r="A228" s="43"/>
      <c r="B228" s="13"/>
      <c r="C228" s="13"/>
      <c r="D228" s="13"/>
      <c r="E228" s="13"/>
      <c r="F228" s="13"/>
      <c r="G228" s="13"/>
      <c r="H228" s="13"/>
      <c r="I228" s="13"/>
      <c r="J228" s="13" t="str">
        <f t="shared" si="1"/>
        <v/>
      </c>
      <c r="K228" s="13" t="str">
        <f t="shared" si="2"/>
        <v/>
      </c>
      <c r="L228" s="4" t="str">
        <f t="shared" si="3"/>
        <v/>
      </c>
    </row>
    <row r="229">
      <c r="A229" s="43"/>
      <c r="B229" s="13"/>
      <c r="C229" s="13"/>
      <c r="D229" s="13"/>
      <c r="E229" s="13"/>
      <c r="F229" s="13"/>
      <c r="G229" s="13"/>
      <c r="H229" s="13"/>
      <c r="I229" s="13"/>
      <c r="J229" s="13" t="str">
        <f t="shared" si="1"/>
        <v/>
      </c>
      <c r="K229" s="13" t="str">
        <f t="shared" si="2"/>
        <v/>
      </c>
      <c r="L229" s="4" t="str">
        <f t="shared" si="3"/>
        <v/>
      </c>
    </row>
    <row r="230">
      <c r="A230" s="43"/>
      <c r="B230" s="13"/>
      <c r="C230" s="13"/>
      <c r="D230" s="13"/>
      <c r="E230" s="13"/>
      <c r="F230" s="13"/>
      <c r="G230" s="13"/>
      <c r="H230" s="13"/>
      <c r="I230" s="13"/>
      <c r="J230" s="13" t="str">
        <f t="shared" si="1"/>
        <v/>
      </c>
      <c r="K230" s="13" t="str">
        <f t="shared" si="2"/>
        <v/>
      </c>
      <c r="L230" s="4" t="str">
        <f t="shared" si="3"/>
        <v/>
      </c>
    </row>
    <row r="231">
      <c r="A231" s="43"/>
      <c r="B231" s="13"/>
      <c r="C231" s="13"/>
      <c r="D231" s="13"/>
      <c r="E231" s="13"/>
      <c r="F231" s="13"/>
      <c r="G231" s="13"/>
      <c r="H231" s="13"/>
      <c r="I231" s="13"/>
      <c r="J231" s="13" t="str">
        <f t="shared" si="1"/>
        <v/>
      </c>
      <c r="K231" s="13" t="str">
        <f t="shared" si="2"/>
        <v/>
      </c>
      <c r="L231" s="4" t="str">
        <f t="shared" si="3"/>
        <v/>
      </c>
    </row>
    <row r="232">
      <c r="A232" s="43"/>
      <c r="B232" s="13"/>
      <c r="C232" s="13"/>
      <c r="D232" s="13"/>
      <c r="E232" s="13"/>
      <c r="F232" s="13"/>
      <c r="G232" s="13"/>
      <c r="H232" s="13"/>
      <c r="I232" s="13"/>
      <c r="J232" s="13" t="str">
        <f t="shared" si="1"/>
        <v/>
      </c>
      <c r="K232" s="13" t="str">
        <f t="shared" si="2"/>
        <v/>
      </c>
      <c r="L232" s="4" t="str">
        <f t="shared" si="3"/>
        <v/>
      </c>
    </row>
    <row r="233">
      <c r="A233" s="43"/>
      <c r="B233" s="13"/>
      <c r="C233" s="13"/>
      <c r="D233" s="13"/>
      <c r="E233" s="13"/>
      <c r="F233" s="13"/>
      <c r="G233" s="13"/>
      <c r="H233" s="13"/>
      <c r="I233" s="13"/>
      <c r="J233" s="13" t="str">
        <f t="shared" si="1"/>
        <v/>
      </c>
      <c r="K233" s="13" t="str">
        <f t="shared" si="2"/>
        <v/>
      </c>
      <c r="L233" s="4" t="str">
        <f t="shared" si="3"/>
        <v/>
      </c>
    </row>
    <row r="234">
      <c r="A234" s="43"/>
      <c r="B234" s="13"/>
      <c r="C234" s="13"/>
      <c r="D234" s="13"/>
      <c r="E234" s="13"/>
      <c r="F234" s="13"/>
      <c r="G234" s="13"/>
      <c r="H234" s="13"/>
      <c r="I234" s="13"/>
      <c r="J234" s="13" t="str">
        <f t="shared" si="1"/>
        <v/>
      </c>
      <c r="K234" s="13" t="str">
        <f t="shared" si="2"/>
        <v/>
      </c>
      <c r="L234" s="4" t="str">
        <f t="shared" si="3"/>
        <v/>
      </c>
    </row>
    <row r="235">
      <c r="A235" s="43"/>
      <c r="B235" s="13"/>
      <c r="C235" s="13"/>
      <c r="D235" s="13"/>
      <c r="E235" s="13"/>
      <c r="F235" s="13"/>
      <c r="G235" s="13"/>
      <c r="H235" s="13"/>
      <c r="I235" s="13"/>
      <c r="J235" s="13" t="str">
        <f t="shared" si="1"/>
        <v/>
      </c>
      <c r="K235" s="13" t="str">
        <f t="shared" si="2"/>
        <v/>
      </c>
      <c r="L235" s="4" t="str">
        <f t="shared" si="3"/>
        <v/>
      </c>
    </row>
    <row r="236">
      <c r="A236" s="43"/>
      <c r="B236" s="13"/>
      <c r="C236" s="13"/>
      <c r="D236" s="13"/>
      <c r="E236" s="13"/>
      <c r="F236" s="13"/>
      <c r="G236" s="13"/>
      <c r="H236" s="13"/>
      <c r="I236" s="13"/>
      <c r="J236" s="13" t="str">
        <f t="shared" si="1"/>
        <v/>
      </c>
      <c r="K236" s="13" t="str">
        <f t="shared" si="2"/>
        <v/>
      </c>
      <c r="L236" s="4" t="str">
        <f t="shared" si="3"/>
        <v/>
      </c>
    </row>
    <row r="237">
      <c r="A237" s="43"/>
      <c r="B237" s="13"/>
      <c r="C237" s="13"/>
      <c r="D237" s="13"/>
      <c r="E237" s="13"/>
      <c r="F237" s="13"/>
      <c r="G237" s="13"/>
      <c r="H237" s="13"/>
      <c r="I237" s="13"/>
      <c r="J237" s="13" t="str">
        <f t="shared" si="1"/>
        <v/>
      </c>
      <c r="K237" s="13" t="str">
        <f t="shared" si="2"/>
        <v/>
      </c>
      <c r="L237" s="4" t="str">
        <f t="shared" si="3"/>
        <v/>
      </c>
    </row>
    <row r="238">
      <c r="A238" s="43"/>
      <c r="B238" s="13"/>
      <c r="C238" s="13"/>
      <c r="D238" s="13"/>
      <c r="E238" s="13"/>
      <c r="F238" s="13"/>
      <c r="G238" s="13"/>
      <c r="H238" s="13"/>
      <c r="I238" s="13"/>
      <c r="J238" s="13" t="str">
        <f t="shared" si="1"/>
        <v/>
      </c>
      <c r="K238" s="13" t="str">
        <f t="shared" si="2"/>
        <v/>
      </c>
      <c r="L238" s="4" t="str">
        <f t="shared" si="3"/>
        <v/>
      </c>
    </row>
    <row r="239">
      <c r="A239" s="43"/>
      <c r="B239" s="13"/>
      <c r="C239" s="13"/>
      <c r="D239" s="13"/>
      <c r="E239" s="13"/>
      <c r="F239" s="13"/>
      <c r="G239" s="13"/>
      <c r="H239" s="13"/>
      <c r="I239" s="13"/>
      <c r="J239" s="13" t="str">
        <f t="shared" si="1"/>
        <v/>
      </c>
      <c r="K239" s="13" t="str">
        <f t="shared" si="2"/>
        <v/>
      </c>
      <c r="L239" s="4" t="str">
        <f t="shared" si="3"/>
        <v/>
      </c>
    </row>
    <row r="240">
      <c r="A240" s="43"/>
      <c r="B240" s="13"/>
      <c r="C240" s="13"/>
      <c r="D240" s="13"/>
      <c r="E240" s="13"/>
      <c r="F240" s="13"/>
      <c r="G240" s="13"/>
      <c r="H240" s="13"/>
      <c r="I240" s="13"/>
      <c r="J240" s="13" t="str">
        <f t="shared" si="1"/>
        <v/>
      </c>
      <c r="K240" s="13" t="str">
        <f t="shared" si="2"/>
        <v/>
      </c>
      <c r="L240" s="4" t="str">
        <f t="shared" si="3"/>
        <v/>
      </c>
    </row>
    <row r="241">
      <c r="A241" s="43"/>
      <c r="B241" s="13"/>
      <c r="C241" s="13"/>
      <c r="D241" s="13"/>
      <c r="E241" s="13"/>
      <c r="F241" s="13"/>
      <c r="G241" s="13"/>
      <c r="H241" s="13"/>
      <c r="I241" s="13"/>
      <c r="J241" s="13" t="str">
        <f t="shared" si="1"/>
        <v/>
      </c>
      <c r="K241" s="13" t="str">
        <f t="shared" si="2"/>
        <v/>
      </c>
      <c r="L241" s="4" t="str">
        <f t="shared" si="3"/>
        <v/>
      </c>
    </row>
    <row r="242">
      <c r="A242" s="43"/>
      <c r="B242" s="13"/>
      <c r="C242" s="13"/>
      <c r="D242" s="13"/>
      <c r="E242" s="13"/>
      <c r="F242" s="13"/>
      <c r="G242" s="13"/>
      <c r="H242" s="13"/>
      <c r="I242" s="13"/>
      <c r="J242" s="13" t="str">
        <f t="shared" si="1"/>
        <v/>
      </c>
      <c r="K242" s="13" t="str">
        <f t="shared" si="2"/>
        <v/>
      </c>
      <c r="L242" s="4" t="str">
        <f t="shared" si="3"/>
        <v/>
      </c>
    </row>
    <row r="243">
      <c r="A243" s="43"/>
      <c r="B243" s="13"/>
      <c r="C243" s="13"/>
      <c r="D243" s="13"/>
      <c r="E243" s="13"/>
      <c r="F243" s="13"/>
      <c r="G243" s="13"/>
      <c r="H243" s="13"/>
      <c r="I243" s="13"/>
      <c r="J243" s="13" t="str">
        <f t="shared" si="1"/>
        <v/>
      </c>
      <c r="K243" s="13" t="str">
        <f t="shared" si="2"/>
        <v/>
      </c>
      <c r="L243" s="4" t="str">
        <f t="shared" si="3"/>
        <v/>
      </c>
    </row>
    <row r="244">
      <c r="A244" s="43"/>
      <c r="B244" s="13"/>
      <c r="C244" s="13"/>
      <c r="D244" s="13"/>
      <c r="E244" s="13"/>
      <c r="F244" s="13"/>
      <c r="G244" s="13"/>
      <c r="H244" s="13"/>
      <c r="I244" s="13"/>
      <c r="J244" s="13" t="str">
        <f t="shared" si="1"/>
        <v/>
      </c>
      <c r="K244" s="13" t="str">
        <f t="shared" si="2"/>
        <v/>
      </c>
      <c r="L244" s="4" t="str">
        <f t="shared" si="3"/>
        <v/>
      </c>
    </row>
    <row r="245">
      <c r="A245" s="43"/>
      <c r="B245" s="13"/>
      <c r="C245" s="13"/>
      <c r="D245" s="13"/>
      <c r="E245" s="13"/>
      <c r="F245" s="13"/>
      <c r="G245" s="13"/>
      <c r="H245" s="13"/>
      <c r="I245" s="13"/>
      <c r="J245" s="13" t="str">
        <f t="shared" si="1"/>
        <v/>
      </c>
      <c r="K245" s="13" t="str">
        <f t="shared" si="2"/>
        <v/>
      </c>
      <c r="L245" s="4" t="str">
        <f t="shared" si="3"/>
        <v/>
      </c>
    </row>
    <row r="246">
      <c r="J246" s="13" t="str">
        <f t="shared" si="1"/>
        <v/>
      </c>
      <c r="K246" s="13" t="str">
        <f t="shared" si="2"/>
        <v/>
      </c>
      <c r="L246" s="4" t="str">
        <f t="shared" si="3"/>
        <v/>
      </c>
    </row>
    <row r="247">
      <c r="J247" s="13" t="str">
        <f t="shared" si="1"/>
        <v/>
      </c>
      <c r="K247" s="13" t="str">
        <f t="shared" si="2"/>
        <v/>
      </c>
      <c r="L247" s="4" t="str">
        <f t="shared" si="3"/>
        <v/>
      </c>
    </row>
    <row r="248">
      <c r="J248" s="13" t="str">
        <f t="shared" si="1"/>
        <v/>
      </c>
      <c r="K248" s="13" t="str">
        <f t="shared" si="2"/>
        <v/>
      </c>
      <c r="L248" s="4" t="str">
        <f t="shared" si="3"/>
        <v/>
      </c>
    </row>
    <row r="249">
      <c r="J249" s="13" t="str">
        <f t="shared" si="1"/>
        <v/>
      </c>
      <c r="K249" s="13" t="str">
        <f t="shared" si="2"/>
        <v/>
      </c>
      <c r="L249" s="4" t="str">
        <f t="shared" si="3"/>
        <v/>
      </c>
    </row>
    <row r="250">
      <c r="J250" s="13" t="str">
        <f t="shared" si="1"/>
        <v/>
      </c>
      <c r="K250" s="13" t="str">
        <f t="shared" si="2"/>
        <v/>
      </c>
      <c r="L250" s="4" t="str">
        <f t="shared" si="3"/>
        <v/>
      </c>
    </row>
    <row r="251">
      <c r="J251" s="13" t="str">
        <f t="shared" si="1"/>
        <v/>
      </c>
      <c r="K251" s="13" t="str">
        <f t="shared" si="2"/>
        <v/>
      </c>
      <c r="L251" s="4" t="str">
        <f t="shared" si="3"/>
        <v/>
      </c>
    </row>
    <row r="252">
      <c r="J252" s="13" t="str">
        <f t="shared" si="1"/>
        <v/>
      </c>
      <c r="K252" s="13" t="str">
        <f t="shared" si="2"/>
        <v/>
      </c>
      <c r="L252" s="4" t="str">
        <f t="shared" si="3"/>
        <v/>
      </c>
    </row>
    <row r="253">
      <c r="J253" s="13" t="str">
        <f t="shared" si="1"/>
        <v/>
      </c>
      <c r="K253" s="13" t="str">
        <f t="shared" si="2"/>
        <v/>
      </c>
      <c r="L253" s="4" t="str">
        <f t="shared" si="3"/>
        <v/>
      </c>
    </row>
    <row r="254">
      <c r="J254" s="13" t="str">
        <f t="shared" si="1"/>
        <v/>
      </c>
      <c r="K254" s="13" t="str">
        <f t="shared" si="2"/>
        <v/>
      </c>
      <c r="L254" s="4" t="str">
        <f t="shared" si="3"/>
        <v/>
      </c>
    </row>
    <row r="255">
      <c r="J255" s="13" t="str">
        <f t="shared" si="1"/>
        <v/>
      </c>
      <c r="K255" s="13" t="str">
        <f t="shared" si="2"/>
        <v/>
      </c>
      <c r="L255" s="4" t="str">
        <f t="shared" si="3"/>
        <v/>
      </c>
    </row>
    <row r="256">
      <c r="J256" s="13" t="str">
        <f t="shared" si="1"/>
        <v/>
      </c>
      <c r="K256" s="13" t="str">
        <f t="shared" si="2"/>
        <v/>
      </c>
      <c r="L256" s="4" t="str">
        <f t="shared" si="3"/>
        <v/>
      </c>
    </row>
    <row r="257">
      <c r="J257" s="13" t="str">
        <f t="shared" si="1"/>
        <v/>
      </c>
      <c r="K257" s="13" t="str">
        <f t="shared" si="2"/>
        <v/>
      </c>
      <c r="L257" s="4" t="str">
        <f t="shared" si="3"/>
        <v/>
      </c>
    </row>
    <row r="258">
      <c r="J258" s="13" t="str">
        <f t="shared" si="1"/>
        <v/>
      </c>
      <c r="K258" s="13" t="str">
        <f t="shared" si="2"/>
        <v/>
      </c>
      <c r="L258" s="4" t="str">
        <f t="shared" si="3"/>
        <v/>
      </c>
    </row>
    <row r="259">
      <c r="J259" s="13" t="str">
        <f t="shared" si="1"/>
        <v/>
      </c>
      <c r="K259" s="13" t="str">
        <f t="shared" si="2"/>
        <v/>
      </c>
      <c r="L259" s="4" t="str">
        <f t="shared" si="3"/>
        <v/>
      </c>
    </row>
    <row r="260">
      <c r="J260" s="13" t="str">
        <f t="shared" si="1"/>
        <v/>
      </c>
      <c r="K260" s="13" t="str">
        <f t="shared" si="2"/>
        <v/>
      </c>
      <c r="L260" s="4" t="str">
        <f t="shared" si="3"/>
        <v/>
      </c>
    </row>
    <row r="261">
      <c r="J261" s="13" t="str">
        <f t="shared" si="1"/>
        <v/>
      </c>
      <c r="K261" s="13" t="str">
        <f t="shared" si="2"/>
        <v/>
      </c>
      <c r="L261" s="4" t="str">
        <f t="shared" si="3"/>
        <v/>
      </c>
    </row>
    <row r="262">
      <c r="J262" s="13" t="str">
        <f t="shared" si="1"/>
        <v/>
      </c>
      <c r="K262" s="13" t="str">
        <f t="shared" si="2"/>
        <v/>
      </c>
      <c r="L262" s="4" t="str">
        <f t="shared" si="3"/>
        <v/>
      </c>
    </row>
    <row r="263">
      <c r="J263" s="13" t="str">
        <f t="shared" si="1"/>
        <v/>
      </c>
      <c r="K263" s="13" t="str">
        <f t="shared" si="2"/>
        <v/>
      </c>
      <c r="L263" s="4" t="str">
        <f t="shared" si="3"/>
        <v/>
      </c>
    </row>
    <row r="264">
      <c r="J264" s="13" t="str">
        <f t="shared" si="1"/>
        <v/>
      </c>
      <c r="K264" s="13" t="str">
        <f t="shared" si="2"/>
        <v/>
      </c>
      <c r="L264" s="4" t="str">
        <f t="shared" si="3"/>
        <v/>
      </c>
    </row>
    <row r="265">
      <c r="J265" s="13" t="str">
        <f t="shared" si="1"/>
        <v/>
      </c>
      <c r="K265" s="13" t="str">
        <f t="shared" si="2"/>
        <v/>
      </c>
      <c r="L265" s="4" t="str">
        <f t="shared" si="3"/>
        <v/>
      </c>
    </row>
    <row r="266">
      <c r="J266" s="13" t="str">
        <f t="shared" si="1"/>
        <v/>
      </c>
      <c r="K266" s="13" t="str">
        <f t="shared" si="2"/>
        <v/>
      </c>
      <c r="L266" s="4" t="str">
        <f t="shared" si="3"/>
        <v/>
      </c>
    </row>
    <row r="267">
      <c r="J267" s="13" t="str">
        <f t="shared" si="1"/>
        <v/>
      </c>
      <c r="K267" s="13" t="str">
        <f t="shared" si="2"/>
        <v/>
      </c>
      <c r="L267" s="4" t="str">
        <f t="shared" si="3"/>
        <v/>
      </c>
    </row>
    <row r="268">
      <c r="J268" s="13" t="str">
        <f t="shared" si="1"/>
        <v/>
      </c>
      <c r="K268" s="13" t="str">
        <f t="shared" si="2"/>
        <v/>
      </c>
      <c r="L268" s="4" t="str">
        <f t="shared" si="3"/>
        <v/>
      </c>
    </row>
    <row r="269">
      <c r="J269" s="13" t="str">
        <f t="shared" si="1"/>
        <v/>
      </c>
      <c r="K269" s="13" t="str">
        <f t="shared" si="2"/>
        <v/>
      </c>
      <c r="L269" s="4" t="str">
        <f t="shared" si="3"/>
        <v/>
      </c>
    </row>
    <row r="270">
      <c r="J270" s="13" t="str">
        <f t="shared" si="1"/>
        <v/>
      </c>
      <c r="K270" s="13" t="str">
        <f t="shared" si="2"/>
        <v/>
      </c>
      <c r="L270" s="4" t="str">
        <f t="shared" si="3"/>
        <v/>
      </c>
    </row>
    <row r="271">
      <c r="J271" s="13" t="str">
        <f t="shared" si="1"/>
        <v/>
      </c>
      <c r="K271" s="13" t="str">
        <f t="shared" si="2"/>
        <v/>
      </c>
      <c r="L271" s="4" t="str">
        <f t="shared" si="3"/>
        <v/>
      </c>
    </row>
    <row r="272">
      <c r="J272" s="13" t="str">
        <f t="shared" si="1"/>
        <v/>
      </c>
      <c r="K272" s="13" t="str">
        <f t="shared" si="2"/>
        <v/>
      </c>
      <c r="L272" s="4" t="str">
        <f t="shared" si="3"/>
        <v/>
      </c>
    </row>
    <row r="273">
      <c r="J273" s="13" t="str">
        <f t="shared" si="1"/>
        <v/>
      </c>
      <c r="K273" s="13" t="str">
        <f t="shared" si="2"/>
        <v/>
      </c>
      <c r="L273" s="4" t="str">
        <f t="shared" si="3"/>
        <v/>
      </c>
    </row>
    <row r="274">
      <c r="J274" s="13" t="str">
        <f t="shared" si="1"/>
        <v/>
      </c>
      <c r="K274" s="13" t="str">
        <f t="shared" si="2"/>
        <v/>
      </c>
      <c r="L274" s="4" t="str">
        <f t="shared" si="3"/>
        <v/>
      </c>
    </row>
    <row r="275">
      <c r="J275" s="13" t="str">
        <f t="shared" si="1"/>
        <v/>
      </c>
      <c r="K275" s="13" t="str">
        <f t="shared" si="2"/>
        <v/>
      </c>
      <c r="L275" s="4" t="str">
        <f t="shared" si="3"/>
        <v/>
      </c>
    </row>
    <row r="276">
      <c r="J276" s="13" t="str">
        <f t="shared" si="1"/>
        <v/>
      </c>
      <c r="K276" s="13" t="str">
        <f t="shared" si="2"/>
        <v/>
      </c>
      <c r="L276" s="4" t="str">
        <f t="shared" si="3"/>
        <v/>
      </c>
    </row>
    <row r="277">
      <c r="J277" s="13" t="str">
        <f t="shared" si="1"/>
        <v/>
      </c>
      <c r="K277" s="13" t="str">
        <f t="shared" si="2"/>
        <v/>
      </c>
      <c r="L277" s="4" t="str">
        <f t="shared" si="3"/>
        <v/>
      </c>
    </row>
    <row r="278">
      <c r="J278" s="13" t="str">
        <f t="shared" si="1"/>
        <v/>
      </c>
      <c r="K278" s="13" t="str">
        <f t="shared" si="2"/>
        <v/>
      </c>
      <c r="L278" s="4" t="str">
        <f t="shared" si="3"/>
        <v/>
      </c>
    </row>
    <row r="279">
      <c r="J279" s="13" t="str">
        <f t="shared" si="1"/>
        <v/>
      </c>
      <c r="K279" s="13" t="str">
        <f t="shared" si="2"/>
        <v/>
      </c>
      <c r="L279" s="4" t="str">
        <f t="shared" si="3"/>
        <v/>
      </c>
    </row>
    <row r="280">
      <c r="J280" s="13" t="str">
        <f t="shared" si="1"/>
        <v/>
      </c>
      <c r="K280" s="13" t="str">
        <f t="shared" si="2"/>
        <v/>
      </c>
      <c r="L280" s="4" t="str">
        <f t="shared" si="3"/>
        <v/>
      </c>
    </row>
    <row r="281">
      <c r="J281" s="13" t="str">
        <f t="shared" si="1"/>
        <v/>
      </c>
      <c r="K281" s="13" t="str">
        <f t="shared" si="2"/>
        <v/>
      </c>
      <c r="L281" s="4" t="str">
        <f t="shared" si="3"/>
        <v/>
      </c>
    </row>
    <row r="282">
      <c r="J282" s="13" t="str">
        <f t="shared" si="1"/>
        <v/>
      </c>
      <c r="K282" s="13" t="str">
        <f t="shared" si="2"/>
        <v/>
      </c>
      <c r="L282" s="4" t="str">
        <f t="shared" si="3"/>
        <v/>
      </c>
    </row>
    <row r="283">
      <c r="J283" s="13" t="str">
        <f t="shared" si="1"/>
        <v/>
      </c>
      <c r="K283" s="13" t="str">
        <f t="shared" si="2"/>
        <v/>
      </c>
      <c r="L283" s="4" t="str">
        <f t="shared" si="3"/>
        <v/>
      </c>
    </row>
    <row r="284">
      <c r="J284" s="13" t="str">
        <f t="shared" si="1"/>
        <v/>
      </c>
      <c r="K284" s="13" t="str">
        <f t="shared" si="2"/>
        <v/>
      </c>
      <c r="L284" s="4" t="str">
        <f t="shared" si="3"/>
        <v/>
      </c>
    </row>
    <row r="285">
      <c r="J285" s="13" t="str">
        <f t="shared" si="1"/>
        <v/>
      </c>
      <c r="K285" s="13" t="str">
        <f t="shared" si="2"/>
        <v/>
      </c>
      <c r="L285" s="4" t="str">
        <f t="shared" si="3"/>
        <v/>
      </c>
    </row>
    <row r="286">
      <c r="J286" s="13" t="str">
        <f t="shared" si="1"/>
        <v/>
      </c>
      <c r="K286" s="13" t="str">
        <f t="shared" si="2"/>
        <v/>
      </c>
      <c r="L286" s="4" t="str">
        <f t="shared" si="3"/>
        <v/>
      </c>
    </row>
    <row r="287">
      <c r="J287" s="13" t="str">
        <f t="shared" si="1"/>
        <v/>
      </c>
      <c r="K287" s="13" t="str">
        <f t="shared" si="2"/>
        <v/>
      </c>
      <c r="L287" s="4" t="str">
        <f t="shared" si="3"/>
        <v/>
      </c>
    </row>
    <row r="288">
      <c r="J288" s="13" t="str">
        <f t="shared" si="1"/>
        <v/>
      </c>
      <c r="K288" s="13" t="str">
        <f t="shared" si="2"/>
        <v/>
      </c>
      <c r="L288" s="4" t="str">
        <f t="shared" si="3"/>
        <v/>
      </c>
    </row>
    <row r="289">
      <c r="J289" s="13" t="str">
        <f t="shared" si="1"/>
        <v/>
      </c>
      <c r="K289" s="13" t="str">
        <f t="shared" si="2"/>
        <v/>
      </c>
      <c r="L289" s="4" t="str">
        <f t="shared" si="3"/>
        <v/>
      </c>
    </row>
    <row r="290">
      <c r="J290" s="13" t="str">
        <f t="shared" si="1"/>
        <v/>
      </c>
      <c r="K290" s="13" t="str">
        <f t="shared" si="2"/>
        <v/>
      </c>
      <c r="L290" s="4" t="str">
        <f t="shared" si="3"/>
        <v/>
      </c>
    </row>
    <row r="291">
      <c r="J291" s="13" t="str">
        <f t="shared" si="1"/>
        <v/>
      </c>
      <c r="K291" s="13" t="str">
        <f t="shared" si="2"/>
        <v/>
      </c>
      <c r="L291" s="4" t="str">
        <f t="shared" si="3"/>
        <v/>
      </c>
    </row>
    <row r="292">
      <c r="J292" s="13" t="str">
        <f t="shared" si="1"/>
        <v/>
      </c>
      <c r="K292" s="13" t="str">
        <f t="shared" si="2"/>
        <v/>
      </c>
      <c r="L292" s="4" t="str">
        <f t="shared" si="3"/>
        <v/>
      </c>
    </row>
    <row r="293">
      <c r="J293" s="13" t="str">
        <f t="shared" si="1"/>
        <v/>
      </c>
      <c r="K293" s="13" t="str">
        <f t="shared" si="2"/>
        <v/>
      </c>
      <c r="L293" s="4" t="str">
        <f t="shared" si="3"/>
        <v/>
      </c>
    </row>
    <row r="294">
      <c r="J294" s="13" t="str">
        <f t="shared" si="1"/>
        <v/>
      </c>
      <c r="K294" s="13" t="str">
        <f t="shared" si="2"/>
        <v/>
      </c>
      <c r="L294" s="4" t="str">
        <f t="shared" si="3"/>
        <v/>
      </c>
    </row>
    <row r="295">
      <c r="J295" s="13" t="str">
        <f t="shared" si="1"/>
        <v/>
      </c>
      <c r="K295" s="13" t="str">
        <f t="shared" si="2"/>
        <v/>
      </c>
      <c r="L295" s="4" t="str">
        <f t="shared" si="3"/>
        <v/>
      </c>
    </row>
    <row r="296">
      <c r="J296" s="13" t="str">
        <f t="shared" si="1"/>
        <v/>
      </c>
      <c r="K296" s="13" t="str">
        <f t="shared" si="2"/>
        <v/>
      </c>
      <c r="L296" s="4" t="str">
        <f t="shared" si="3"/>
        <v/>
      </c>
    </row>
    <row r="297">
      <c r="J297" s="13" t="str">
        <f t="shared" si="1"/>
        <v/>
      </c>
      <c r="K297" s="13" t="str">
        <f t="shared" si="2"/>
        <v/>
      </c>
      <c r="L297" s="4" t="str">
        <f t="shared" si="3"/>
        <v/>
      </c>
    </row>
    <row r="298">
      <c r="J298" s="13" t="str">
        <f t="shared" si="1"/>
        <v/>
      </c>
      <c r="K298" s="13" t="str">
        <f t="shared" si="2"/>
        <v/>
      </c>
      <c r="L298" s="4" t="str">
        <f t="shared" si="3"/>
        <v/>
      </c>
    </row>
    <row r="299">
      <c r="J299" s="13" t="str">
        <f t="shared" si="1"/>
        <v/>
      </c>
      <c r="K299" s="13" t="str">
        <f t="shared" si="2"/>
        <v/>
      </c>
      <c r="L299" s="4" t="str">
        <f t="shared" si="3"/>
        <v/>
      </c>
    </row>
    <row r="300">
      <c r="J300" s="13" t="str">
        <f t="shared" si="1"/>
        <v/>
      </c>
      <c r="K300" s="13" t="str">
        <f t="shared" si="2"/>
        <v/>
      </c>
      <c r="L300" s="4" t="str">
        <f t="shared" si="3"/>
        <v/>
      </c>
    </row>
    <row r="301">
      <c r="J301" s="13" t="str">
        <f t="shared" si="1"/>
        <v/>
      </c>
      <c r="K301" s="13" t="str">
        <f t="shared" si="2"/>
        <v/>
      </c>
      <c r="L301" s="4" t="str">
        <f t="shared" si="3"/>
        <v/>
      </c>
    </row>
    <row r="302">
      <c r="J302" s="13" t="str">
        <f t="shared" si="1"/>
        <v/>
      </c>
      <c r="K302" s="13" t="str">
        <f t="shared" si="2"/>
        <v/>
      </c>
      <c r="L302" s="4" t="str">
        <f t="shared" si="3"/>
        <v/>
      </c>
    </row>
    <row r="303">
      <c r="J303" s="13" t="str">
        <f t="shared" si="1"/>
        <v/>
      </c>
      <c r="K303" s="13" t="str">
        <f t="shared" si="2"/>
        <v/>
      </c>
      <c r="L303" s="4" t="str">
        <f t="shared" si="3"/>
        <v/>
      </c>
    </row>
    <row r="304">
      <c r="J304" s="13" t="str">
        <f t="shared" si="1"/>
        <v/>
      </c>
      <c r="K304" s="13" t="str">
        <f t="shared" si="2"/>
        <v/>
      </c>
      <c r="L304" s="4" t="str">
        <f t="shared" si="3"/>
        <v/>
      </c>
    </row>
    <row r="305">
      <c r="J305" s="13" t="str">
        <f t="shared" si="1"/>
        <v/>
      </c>
      <c r="K305" s="13" t="str">
        <f t="shared" si="2"/>
        <v/>
      </c>
      <c r="L305" s="4" t="str">
        <f t="shared" si="3"/>
        <v/>
      </c>
    </row>
    <row r="306">
      <c r="J306" s="13" t="str">
        <f t="shared" si="1"/>
        <v/>
      </c>
      <c r="K306" s="13" t="str">
        <f t="shared" si="2"/>
        <v/>
      </c>
      <c r="L306" s="4" t="str">
        <f t="shared" si="3"/>
        <v/>
      </c>
    </row>
    <row r="307">
      <c r="J307" s="13" t="str">
        <f t="shared" si="1"/>
        <v/>
      </c>
      <c r="K307" s="13" t="str">
        <f t="shared" si="2"/>
        <v/>
      </c>
      <c r="L307" s="4" t="str">
        <f t="shared" si="3"/>
        <v/>
      </c>
    </row>
    <row r="308">
      <c r="J308" s="13" t="str">
        <f t="shared" si="1"/>
        <v/>
      </c>
      <c r="K308" s="13" t="str">
        <f t="shared" si="2"/>
        <v/>
      </c>
      <c r="L308" s="4" t="str">
        <f t="shared" si="3"/>
        <v/>
      </c>
    </row>
    <row r="309">
      <c r="J309" s="13" t="str">
        <f t="shared" si="1"/>
        <v/>
      </c>
      <c r="K309" s="13" t="str">
        <f t="shared" si="2"/>
        <v/>
      </c>
      <c r="L309" s="4" t="str">
        <f t="shared" si="3"/>
        <v/>
      </c>
    </row>
    <row r="310">
      <c r="J310" s="13" t="str">
        <f t="shared" si="1"/>
        <v/>
      </c>
      <c r="K310" s="13" t="str">
        <f t="shared" si="2"/>
        <v/>
      </c>
      <c r="L310" s="4" t="str">
        <f t="shared" si="3"/>
        <v/>
      </c>
    </row>
    <row r="311">
      <c r="J311" s="13" t="str">
        <f t="shared" si="1"/>
        <v/>
      </c>
      <c r="K311" s="13" t="str">
        <f t="shared" si="2"/>
        <v/>
      </c>
      <c r="L311" s="4" t="str">
        <f t="shared" si="3"/>
        <v/>
      </c>
    </row>
    <row r="312">
      <c r="J312" s="13" t="str">
        <f t="shared" si="1"/>
        <v/>
      </c>
      <c r="K312" s="13" t="str">
        <f t="shared" si="2"/>
        <v/>
      </c>
      <c r="L312" s="4" t="str">
        <f t="shared" si="3"/>
        <v/>
      </c>
    </row>
    <row r="313">
      <c r="J313" s="13" t="str">
        <f t="shared" si="1"/>
        <v/>
      </c>
      <c r="K313" s="13" t="str">
        <f t="shared" si="2"/>
        <v/>
      </c>
      <c r="L313" s="4" t="str">
        <f t="shared" si="3"/>
        <v/>
      </c>
    </row>
    <row r="314">
      <c r="J314" s="13" t="str">
        <f t="shared" si="1"/>
        <v/>
      </c>
      <c r="K314" s="13" t="str">
        <f t="shared" si="2"/>
        <v/>
      </c>
      <c r="L314" s="4" t="str">
        <f t="shared" si="3"/>
        <v/>
      </c>
    </row>
    <row r="315">
      <c r="J315" s="13" t="str">
        <f t="shared" si="1"/>
        <v/>
      </c>
      <c r="K315" s="13" t="str">
        <f t="shared" si="2"/>
        <v/>
      </c>
      <c r="L315" s="4" t="str">
        <f t="shared" si="3"/>
        <v/>
      </c>
    </row>
    <row r="316">
      <c r="J316" s="13" t="str">
        <f t="shared" si="1"/>
        <v/>
      </c>
      <c r="K316" s="13" t="str">
        <f t="shared" si="2"/>
        <v/>
      </c>
      <c r="L316" s="4" t="str">
        <f t="shared" si="3"/>
        <v/>
      </c>
    </row>
    <row r="317">
      <c r="J317" s="13" t="str">
        <f t="shared" si="1"/>
        <v/>
      </c>
      <c r="K317" s="13" t="str">
        <f t="shared" si="2"/>
        <v/>
      </c>
      <c r="L317" s="4" t="str">
        <f t="shared" si="3"/>
        <v/>
      </c>
    </row>
    <row r="318">
      <c r="J318" s="13" t="str">
        <f t="shared" si="1"/>
        <v/>
      </c>
      <c r="K318" s="13" t="str">
        <f t="shared" si="2"/>
        <v/>
      </c>
      <c r="L318" s="4" t="str">
        <f t="shared" si="3"/>
        <v/>
      </c>
    </row>
    <row r="319">
      <c r="J319" s="13" t="str">
        <f t="shared" si="1"/>
        <v/>
      </c>
      <c r="K319" s="13" t="str">
        <f t="shared" si="2"/>
        <v/>
      </c>
      <c r="L319" s="4" t="str">
        <f t="shared" si="3"/>
        <v/>
      </c>
    </row>
    <row r="320">
      <c r="J320" s="13" t="str">
        <f t="shared" si="1"/>
        <v/>
      </c>
      <c r="K320" s="13" t="str">
        <f t="shared" si="2"/>
        <v/>
      </c>
      <c r="L320" s="4" t="str">
        <f t="shared" si="3"/>
        <v/>
      </c>
    </row>
    <row r="321">
      <c r="J321" s="13" t="str">
        <f t="shared" si="1"/>
        <v/>
      </c>
      <c r="K321" s="13" t="str">
        <f t="shared" si="2"/>
        <v/>
      </c>
      <c r="L321" s="4" t="str">
        <f t="shared" si="3"/>
        <v/>
      </c>
    </row>
    <row r="322">
      <c r="J322" s="13" t="str">
        <f t="shared" si="1"/>
        <v/>
      </c>
      <c r="K322" s="13" t="str">
        <f t="shared" si="2"/>
        <v/>
      </c>
      <c r="L322" s="4" t="str">
        <f t="shared" si="3"/>
        <v/>
      </c>
    </row>
    <row r="323">
      <c r="J323" s="13" t="str">
        <f t="shared" si="1"/>
        <v/>
      </c>
      <c r="K323" s="13" t="str">
        <f t="shared" si="2"/>
        <v/>
      </c>
      <c r="L323" s="4" t="str">
        <f t="shared" si="3"/>
        <v/>
      </c>
    </row>
    <row r="324">
      <c r="J324" s="13" t="str">
        <f t="shared" si="1"/>
        <v/>
      </c>
      <c r="K324" s="13" t="str">
        <f t="shared" si="2"/>
        <v/>
      </c>
      <c r="L324" s="4" t="str">
        <f t="shared" si="3"/>
        <v/>
      </c>
    </row>
    <row r="325">
      <c r="J325" s="13" t="str">
        <f t="shared" si="1"/>
        <v/>
      </c>
      <c r="K325" s="13" t="str">
        <f t="shared" si="2"/>
        <v/>
      </c>
      <c r="L325" s="4" t="str">
        <f t="shared" si="3"/>
        <v/>
      </c>
    </row>
    <row r="326">
      <c r="J326" s="13" t="str">
        <f t="shared" si="1"/>
        <v/>
      </c>
      <c r="K326" s="13" t="str">
        <f t="shared" si="2"/>
        <v/>
      </c>
      <c r="L326" s="4" t="str">
        <f t="shared" si="3"/>
        <v/>
      </c>
    </row>
    <row r="327">
      <c r="J327" s="13" t="str">
        <f t="shared" si="1"/>
        <v/>
      </c>
      <c r="K327" s="13" t="str">
        <f t="shared" si="2"/>
        <v/>
      </c>
      <c r="L327" s="4" t="str">
        <f t="shared" si="3"/>
        <v/>
      </c>
    </row>
    <row r="328">
      <c r="J328" s="13" t="str">
        <f t="shared" si="1"/>
        <v/>
      </c>
      <c r="K328" s="13" t="str">
        <f t="shared" si="2"/>
        <v/>
      </c>
      <c r="L328" s="4" t="str">
        <f t="shared" si="3"/>
        <v/>
      </c>
    </row>
    <row r="329">
      <c r="J329" s="13" t="str">
        <f t="shared" si="1"/>
        <v/>
      </c>
      <c r="K329" s="13" t="str">
        <f t="shared" si="2"/>
        <v/>
      </c>
      <c r="L329" s="4" t="str">
        <f t="shared" si="3"/>
        <v/>
      </c>
    </row>
    <row r="330">
      <c r="J330" s="13" t="str">
        <f t="shared" si="1"/>
        <v/>
      </c>
      <c r="K330" s="13" t="str">
        <f t="shared" si="2"/>
        <v/>
      </c>
      <c r="L330" s="4" t="str">
        <f t="shared" si="3"/>
        <v/>
      </c>
    </row>
    <row r="331">
      <c r="J331" s="13" t="str">
        <f t="shared" si="1"/>
        <v/>
      </c>
      <c r="K331" s="13" t="str">
        <f t="shared" si="2"/>
        <v/>
      </c>
      <c r="L331" s="4" t="str">
        <f t="shared" si="3"/>
        <v/>
      </c>
    </row>
    <row r="332">
      <c r="J332" s="13" t="str">
        <f t="shared" si="1"/>
        <v/>
      </c>
      <c r="K332" s="13" t="str">
        <f t="shared" si="2"/>
        <v/>
      </c>
      <c r="L332" s="4" t="str">
        <f t="shared" si="3"/>
        <v/>
      </c>
    </row>
    <row r="333">
      <c r="J333" s="13" t="str">
        <f t="shared" si="1"/>
        <v/>
      </c>
      <c r="K333" s="13" t="str">
        <f t="shared" si="2"/>
        <v/>
      </c>
      <c r="L333" s="4" t="str">
        <f t="shared" si="3"/>
        <v/>
      </c>
    </row>
    <row r="334">
      <c r="J334" s="13" t="str">
        <f t="shared" si="1"/>
        <v/>
      </c>
      <c r="K334" s="13" t="str">
        <f t="shared" si="2"/>
        <v/>
      </c>
      <c r="L334" s="4" t="str">
        <f t="shared" si="3"/>
        <v/>
      </c>
    </row>
    <row r="335">
      <c r="J335" s="13" t="str">
        <f t="shared" si="1"/>
        <v/>
      </c>
      <c r="K335" s="13" t="str">
        <f t="shared" si="2"/>
        <v/>
      </c>
      <c r="L335" s="4" t="str">
        <f t="shared" si="3"/>
        <v/>
      </c>
    </row>
    <row r="336">
      <c r="J336" s="13" t="str">
        <f t="shared" si="1"/>
        <v/>
      </c>
      <c r="K336" s="13" t="str">
        <f t="shared" si="2"/>
        <v/>
      </c>
      <c r="L336" s="4" t="str">
        <f t="shared" si="3"/>
        <v/>
      </c>
    </row>
    <row r="337">
      <c r="J337" s="13" t="str">
        <f t="shared" si="1"/>
        <v/>
      </c>
      <c r="K337" s="13" t="str">
        <f t="shared" si="2"/>
        <v/>
      </c>
      <c r="L337" s="4" t="str">
        <f t="shared" si="3"/>
        <v/>
      </c>
    </row>
    <row r="338">
      <c r="J338" s="13" t="str">
        <f t="shared" si="1"/>
        <v/>
      </c>
      <c r="K338" s="13" t="str">
        <f t="shared" si="2"/>
        <v/>
      </c>
      <c r="L338" s="4" t="str">
        <f t="shared" si="3"/>
        <v/>
      </c>
    </row>
    <row r="339">
      <c r="J339" s="13" t="str">
        <f t="shared" si="1"/>
        <v/>
      </c>
      <c r="K339" s="13" t="str">
        <f t="shared" si="2"/>
        <v/>
      </c>
      <c r="L339" s="4" t="str">
        <f t="shared" si="3"/>
        <v/>
      </c>
    </row>
    <row r="340">
      <c r="J340" s="13" t="str">
        <f t="shared" si="1"/>
        <v/>
      </c>
      <c r="K340" s="13" t="str">
        <f t="shared" si="2"/>
        <v/>
      </c>
      <c r="L340" s="4" t="str">
        <f t="shared" si="3"/>
        <v/>
      </c>
    </row>
    <row r="341">
      <c r="J341" s="13" t="str">
        <f t="shared" si="1"/>
        <v/>
      </c>
      <c r="K341" s="13" t="str">
        <f t="shared" si="2"/>
        <v/>
      </c>
      <c r="L341" s="4" t="str">
        <f t="shared" si="3"/>
        <v/>
      </c>
    </row>
    <row r="342">
      <c r="J342" s="13" t="str">
        <f t="shared" si="1"/>
        <v/>
      </c>
      <c r="K342" s="13" t="str">
        <f t="shared" si="2"/>
        <v/>
      </c>
      <c r="L342" s="4" t="str">
        <f t="shared" si="3"/>
        <v/>
      </c>
    </row>
    <row r="343">
      <c r="J343" s="13" t="str">
        <f t="shared" si="1"/>
        <v/>
      </c>
      <c r="K343" s="13" t="str">
        <f t="shared" si="2"/>
        <v/>
      </c>
      <c r="L343" s="4" t="str">
        <f t="shared" si="3"/>
        <v/>
      </c>
    </row>
    <row r="344">
      <c r="J344" s="13" t="str">
        <f t="shared" si="1"/>
        <v/>
      </c>
      <c r="K344" s="13" t="str">
        <f t="shared" si="2"/>
        <v/>
      </c>
      <c r="L344" s="4" t="str">
        <f t="shared" si="3"/>
        <v/>
      </c>
    </row>
    <row r="345">
      <c r="J345" s="13" t="str">
        <f t="shared" si="1"/>
        <v/>
      </c>
      <c r="K345" s="13" t="str">
        <f t="shared" si="2"/>
        <v/>
      </c>
      <c r="L345" s="4" t="str">
        <f t="shared" si="3"/>
        <v/>
      </c>
    </row>
    <row r="346">
      <c r="J346" s="13" t="str">
        <f t="shared" si="1"/>
        <v/>
      </c>
      <c r="K346" s="13" t="str">
        <f t="shared" si="2"/>
        <v/>
      </c>
      <c r="L346" s="4" t="str">
        <f t="shared" si="3"/>
        <v/>
      </c>
    </row>
    <row r="347">
      <c r="J347" s="13" t="str">
        <f t="shared" si="1"/>
        <v/>
      </c>
      <c r="K347" s="13" t="str">
        <f t="shared" si="2"/>
        <v/>
      </c>
      <c r="L347" s="4" t="str">
        <f t="shared" si="3"/>
        <v/>
      </c>
    </row>
    <row r="348">
      <c r="J348" s="13" t="str">
        <f t="shared" si="1"/>
        <v/>
      </c>
      <c r="K348" s="13" t="str">
        <f t="shared" si="2"/>
        <v/>
      </c>
      <c r="L348" s="4" t="str">
        <f t="shared" si="3"/>
        <v/>
      </c>
    </row>
    <row r="349">
      <c r="J349" s="13" t="str">
        <f t="shared" si="1"/>
        <v/>
      </c>
      <c r="K349" s="13" t="str">
        <f t="shared" si="2"/>
        <v/>
      </c>
      <c r="L349" s="4" t="str">
        <f t="shared" si="3"/>
        <v/>
      </c>
    </row>
    <row r="350">
      <c r="J350" s="13" t="str">
        <f t="shared" si="1"/>
        <v/>
      </c>
      <c r="K350" s="13" t="str">
        <f t="shared" si="2"/>
        <v/>
      </c>
      <c r="L350" s="4" t="str">
        <f t="shared" si="3"/>
        <v/>
      </c>
    </row>
    <row r="351">
      <c r="J351" s="13" t="str">
        <f t="shared" si="1"/>
        <v/>
      </c>
      <c r="K351" s="13" t="str">
        <f t="shared" si="2"/>
        <v/>
      </c>
      <c r="L351" s="4" t="str">
        <f t="shared" si="3"/>
        <v/>
      </c>
    </row>
    <row r="352">
      <c r="J352" s="13" t="str">
        <f t="shared" si="1"/>
        <v/>
      </c>
      <c r="K352" s="13" t="str">
        <f t="shared" si="2"/>
        <v/>
      </c>
      <c r="L352" s="4" t="str">
        <f t="shared" si="3"/>
        <v/>
      </c>
    </row>
    <row r="353">
      <c r="J353" s="13" t="str">
        <f t="shared" si="1"/>
        <v/>
      </c>
      <c r="K353" s="13" t="str">
        <f t="shared" si="2"/>
        <v/>
      </c>
      <c r="L353" s="4" t="str">
        <f t="shared" si="3"/>
        <v/>
      </c>
    </row>
    <row r="354">
      <c r="J354" s="13" t="str">
        <f t="shared" si="1"/>
        <v/>
      </c>
      <c r="K354" s="13" t="str">
        <f t="shared" si="2"/>
        <v/>
      </c>
      <c r="L354" s="4" t="str">
        <f t="shared" si="3"/>
        <v/>
      </c>
    </row>
    <row r="355">
      <c r="J355" s="13" t="str">
        <f t="shared" si="1"/>
        <v/>
      </c>
      <c r="K355" s="13" t="str">
        <f t="shared" si="2"/>
        <v/>
      </c>
      <c r="L355" s="4" t="str">
        <f t="shared" si="3"/>
        <v/>
      </c>
    </row>
    <row r="356">
      <c r="J356" s="13" t="str">
        <f t="shared" si="1"/>
        <v/>
      </c>
      <c r="K356" s="13" t="str">
        <f t="shared" si="2"/>
        <v/>
      </c>
      <c r="L356" s="4" t="str">
        <f t="shared" si="3"/>
        <v/>
      </c>
    </row>
    <row r="357">
      <c r="J357" s="13" t="str">
        <f t="shared" si="1"/>
        <v/>
      </c>
      <c r="K357" s="13" t="str">
        <f t="shared" si="2"/>
        <v/>
      </c>
      <c r="L357" s="4" t="str">
        <f t="shared" si="3"/>
        <v/>
      </c>
    </row>
    <row r="358">
      <c r="J358" s="13" t="str">
        <f t="shared" si="1"/>
        <v/>
      </c>
      <c r="K358" s="13" t="str">
        <f t="shared" si="2"/>
        <v/>
      </c>
      <c r="L358" s="4" t="str">
        <f t="shared" si="3"/>
        <v/>
      </c>
    </row>
    <row r="359">
      <c r="J359" s="13" t="str">
        <f t="shared" si="1"/>
        <v/>
      </c>
      <c r="K359" s="13" t="str">
        <f t="shared" si="2"/>
        <v/>
      </c>
      <c r="L359" s="4" t="str">
        <f t="shared" si="3"/>
        <v/>
      </c>
    </row>
    <row r="360">
      <c r="J360" s="13" t="str">
        <f t="shared" si="1"/>
        <v/>
      </c>
      <c r="K360" s="13" t="str">
        <f t="shared" si="2"/>
        <v/>
      </c>
      <c r="L360" s="4" t="str">
        <f t="shared" si="3"/>
        <v/>
      </c>
    </row>
    <row r="361">
      <c r="J361" s="13" t="str">
        <f t="shared" si="1"/>
        <v/>
      </c>
      <c r="K361" s="13" t="str">
        <f t="shared" si="2"/>
        <v/>
      </c>
      <c r="L361" s="4" t="str">
        <f t="shared" si="3"/>
        <v/>
      </c>
    </row>
    <row r="362">
      <c r="J362" s="13" t="str">
        <f t="shared" si="1"/>
        <v/>
      </c>
      <c r="K362" s="13" t="str">
        <f t="shared" si="2"/>
        <v/>
      </c>
      <c r="L362" s="4" t="str">
        <f t="shared" si="3"/>
        <v/>
      </c>
    </row>
    <row r="363">
      <c r="J363" s="13" t="str">
        <f t="shared" si="1"/>
        <v/>
      </c>
      <c r="K363" s="13" t="str">
        <f t="shared" si="2"/>
        <v/>
      </c>
      <c r="L363" s="4" t="str">
        <f t="shared" si="3"/>
        <v/>
      </c>
    </row>
    <row r="364">
      <c r="J364" s="13" t="str">
        <f t="shared" si="1"/>
        <v/>
      </c>
      <c r="K364" s="13" t="str">
        <f t="shared" si="2"/>
        <v/>
      </c>
      <c r="L364" s="4" t="str">
        <f t="shared" si="3"/>
        <v/>
      </c>
    </row>
    <row r="365">
      <c r="J365" s="13" t="str">
        <f t="shared" si="1"/>
        <v/>
      </c>
      <c r="K365" s="13" t="str">
        <f t="shared" si="2"/>
        <v/>
      </c>
      <c r="L365" s="4" t="str">
        <f t="shared" si="3"/>
        <v/>
      </c>
    </row>
    <row r="366">
      <c r="J366" s="13" t="str">
        <f t="shared" si="1"/>
        <v/>
      </c>
      <c r="K366" s="13" t="str">
        <f t="shared" si="2"/>
        <v/>
      </c>
      <c r="L366" s="4" t="str">
        <f t="shared" si="3"/>
        <v/>
      </c>
    </row>
    <row r="367">
      <c r="J367" s="13" t="str">
        <f t="shared" si="1"/>
        <v/>
      </c>
      <c r="K367" s="13" t="str">
        <f t="shared" si="2"/>
        <v/>
      </c>
      <c r="L367" s="4" t="str">
        <f t="shared" si="3"/>
        <v/>
      </c>
    </row>
    <row r="368">
      <c r="J368" s="13" t="str">
        <f t="shared" si="1"/>
        <v/>
      </c>
      <c r="K368" s="13" t="str">
        <f t="shared" si="2"/>
        <v/>
      </c>
      <c r="L368" s="4" t="str">
        <f t="shared" si="3"/>
        <v/>
      </c>
    </row>
    <row r="369">
      <c r="J369" s="13" t="str">
        <f t="shared" si="1"/>
        <v/>
      </c>
      <c r="K369" s="13" t="str">
        <f t="shared" si="2"/>
        <v/>
      </c>
      <c r="L369" s="4" t="str">
        <f t="shared" si="3"/>
        <v/>
      </c>
    </row>
    <row r="370">
      <c r="J370" s="13" t="str">
        <f t="shared" si="1"/>
        <v/>
      </c>
      <c r="K370" s="13" t="str">
        <f t="shared" si="2"/>
        <v/>
      </c>
      <c r="L370" s="4" t="str">
        <f t="shared" si="3"/>
        <v/>
      </c>
    </row>
    <row r="371">
      <c r="J371" s="13" t="str">
        <f t="shared" si="1"/>
        <v/>
      </c>
      <c r="K371" s="13" t="str">
        <f t="shared" si="2"/>
        <v/>
      </c>
      <c r="L371" s="4" t="str">
        <f t="shared" si="3"/>
        <v/>
      </c>
    </row>
    <row r="372">
      <c r="J372" s="13" t="str">
        <f t="shared" si="1"/>
        <v/>
      </c>
      <c r="K372" s="13" t="str">
        <f t="shared" si="2"/>
        <v/>
      </c>
      <c r="L372" s="4" t="str">
        <f t="shared" si="3"/>
        <v/>
      </c>
    </row>
    <row r="373">
      <c r="J373" s="13" t="str">
        <f t="shared" si="1"/>
        <v/>
      </c>
      <c r="K373" s="13" t="str">
        <f t="shared" si="2"/>
        <v/>
      </c>
      <c r="L373" s="4" t="str">
        <f t="shared" si="3"/>
        <v/>
      </c>
    </row>
    <row r="374">
      <c r="J374" s="13" t="str">
        <f t="shared" si="1"/>
        <v/>
      </c>
      <c r="K374" s="13" t="str">
        <f t="shared" si="2"/>
        <v/>
      </c>
      <c r="L374" s="4" t="str">
        <f t="shared" si="3"/>
        <v/>
      </c>
    </row>
    <row r="375">
      <c r="J375" s="13" t="str">
        <f t="shared" si="1"/>
        <v/>
      </c>
      <c r="K375" s="13" t="str">
        <f t="shared" si="2"/>
        <v/>
      </c>
      <c r="L375" s="4" t="str">
        <f t="shared" si="3"/>
        <v/>
      </c>
    </row>
    <row r="376">
      <c r="J376" s="13" t="str">
        <f t="shared" si="1"/>
        <v/>
      </c>
      <c r="K376" s="13" t="str">
        <f t="shared" si="2"/>
        <v/>
      </c>
      <c r="L376" s="4" t="str">
        <f t="shared" si="3"/>
        <v/>
      </c>
    </row>
    <row r="377">
      <c r="J377" s="13" t="str">
        <f t="shared" si="1"/>
        <v/>
      </c>
      <c r="K377" s="13" t="str">
        <f t="shared" si="2"/>
        <v/>
      </c>
      <c r="L377" s="4" t="str">
        <f t="shared" si="3"/>
        <v/>
      </c>
    </row>
    <row r="378">
      <c r="J378" s="13" t="str">
        <f t="shared" si="1"/>
        <v/>
      </c>
      <c r="K378" s="13" t="str">
        <f t="shared" si="2"/>
        <v/>
      </c>
      <c r="L378" s="4" t="str">
        <f t="shared" si="3"/>
        <v/>
      </c>
    </row>
    <row r="379">
      <c r="J379" s="13" t="str">
        <f t="shared" si="1"/>
        <v/>
      </c>
      <c r="K379" s="13" t="str">
        <f t="shared" si="2"/>
        <v/>
      </c>
      <c r="L379" s="4" t="str">
        <f t="shared" si="3"/>
        <v/>
      </c>
    </row>
    <row r="380">
      <c r="J380" s="13" t="str">
        <f t="shared" si="1"/>
        <v/>
      </c>
      <c r="K380" s="13" t="str">
        <f t="shared" si="2"/>
        <v/>
      </c>
      <c r="L380" s="4" t="str">
        <f t="shared" si="3"/>
        <v/>
      </c>
    </row>
    <row r="381">
      <c r="J381" s="13" t="str">
        <f t="shared" si="1"/>
        <v/>
      </c>
      <c r="K381" s="13" t="str">
        <f t="shared" si="2"/>
        <v/>
      </c>
      <c r="L381" s="4" t="str">
        <f t="shared" si="3"/>
        <v/>
      </c>
    </row>
    <row r="382">
      <c r="J382" s="13" t="str">
        <f t="shared" si="1"/>
        <v/>
      </c>
      <c r="K382" s="13" t="str">
        <f t="shared" si="2"/>
        <v/>
      </c>
      <c r="L382" s="4" t="str">
        <f t="shared" si="3"/>
        <v/>
      </c>
    </row>
    <row r="383">
      <c r="J383" s="13" t="str">
        <f t="shared" si="1"/>
        <v/>
      </c>
      <c r="K383" s="13" t="str">
        <f t="shared" si="2"/>
        <v/>
      </c>
      <c r="L383" s="4" t="str">
        <f t="shared" si="3"/>
        <v/>
      </c>
    </row>
    <row r="384">
      <c r="J384" s="13" t="str">
        <f t="shared" si="1"/>
        <v/>
      </c>
      <c r="K384" s="13" t="str">
        <f t="shared" si="2"/>
        <v/>
      </c>
      <c r="L384" s="4" t="str">
        <f t="shared" si="3"/>
        <v/>
      </c>
    </row>
    <row r="385">
      <c r="J385" s="13" t="str">
        <f t="shared" si="1"/>
        <v/>
      </c>
      <c r="K385" s="13" t="str">
        <f t="shared" si="2"/>
        <v/>
      </c>
      <c r="L385" s="4" t="str">
        <f t="shared" si="3"/>
        <v/>
      </c>
    </row>
    <row r="386">
      <c r="J386" s="13" t="str">
        <f t="shared" si="1"/>
        <v/>
      </c>
      <c r="K386" s="13" t="str">
        <f t="shared" si="2"/>
        <v/>
      </c>
      <c r="L386" s="4" t="str">
        <f t="shared" si="3"/>
        <v/>
      </c>
    </row>
    <row r="387">
      <c r="J387" s="13" t="str">
        <f t="shared" si="1"/>
        <v/>
      </c>
      <c r="K387" s="13" t="str">
        <f t="shared" si="2"/>
        <v/>
      </c>
      <c r="L387" s="4" t="str">
        <f t="shared" si="3"/>
        <v/>
      </c>
    </row>
    <row r="388">
      <c r="J388" s="13" t="str">
        <f t="shared" si="1"/>
        <v/>
      </c>
      <c r="K388" s="13" t="str">
        <f t="shared" si="2"/>
        <v/>
      </c>
      <c r="L388" s="4" t="str">
        <f t="shared" si="3"/>
        <v/>
      </c>
    </row>
    <row r="389">
      <c r="J389" s="13" t="str">
        <f t="shared" si="1"/>
        <v/>
      </c>
      <c r="K389" s="13" t="str">
        <f t="shared" si="2"/>
        <v/>
      </c>
      <c r="L389" s="4" t="str">
        <f t="shared" si="3"/>
        <v/>
      </c>
    </row>
    <row r="390">
      <c r="J390" s="13" t="str">
        <f t="shared" si="1"/>
        <v/>
      </c>
      <c r="K390" s="13" t="str">
        <f t="shared" si="2"/>
        <v/>
      </c>
      <c r="L390" s="4" t="str">
        <f t="shared" si="3"/>
        <v/>
      </c>
    </row>
    <row r="391">
      <c r="J391" s="13" t="str">
        <f t="shared" si="1"/>
        <v/>
      </c>
      <c r="K391" s="13" t="str">
        <f t="shared" si="2"/>
        <v/>
      </c>
      <c r="L391" s="4" t="str">
        <f t="shared" si="3"/>
        <v/>
      </c>
    </row>
    <row r="392">
      <c r="J392" s="13" t="str">
        <f t="shared" si="1"/>
        <v/>
      </c>
      <c r="K392" s="13" t="str">
        <f t="shared" si="2"/>
        <v/>
      </c>
      <c r="L392" s="4" t="str">
        <f t="shared" si="3"/>
        <v/>
      </c>
    </row>
    <row r="393">
      <c r="J393" s="13" t="str">
        <f t="shared" si="1"/>
        <v/>
      </c>
      <c r="K393" s="13" t="str">
        <f t="shared" si="2"/>
        <v/>
      </c>
      <c r="L393" s="4" t="str">
        <f t="shared" si="3"/>
        <v/>
      </c>
    </row>
    <row r="394">
      <c r="J394" s="13" t="str">
        <f t="shared" si="1"/>
        <v/>
      </c>
      <c r="K394" s="13" t="str">
        <f t="shared" si="2"/>
        <v/>
      </c>
      <c r="L394" s="4" t="str">
        <f t="shared" si="3"/>
        <v/>
      </c>
    </row>
    <row r="395">
      <c r="J395" s="13" t="str">
        <f t="shared" si="1"/>
        <v/>
      </c>
      <c r="K395" s="13" t="str">
        <f t="shared" si="2"/>
        <v/>
      </c>
      <c r="L395" s="4" t="str">
        <f t="shared" si="3"/>
        <v/>
      </c>
    </row>
    <row r="396">
      <c r="J396" s="13" t="str">
        <f t="shared" si="1"/>
        <v/>
      </c>
      <c r="K396" s="13" t="str">
        <f t="shared" si="2"/>
        <v/>
      </c>
      <c r="L396" s="4" t="str">
        <f t="shared" si="3"/>
        <v/>
      </c>
    </row>
    <row r="397">
      <c r="J397" s="13" t="str">
        <f t="shared" si="1"/>
        <v/>
      </c>
      <c r="K397" s="13" t="str">
        <f t="shared" si="2"/>
        <v/>
      </c>
      <c r="L397" s="4" t="str">
        <f t="shared" si="3"/>
        <v/>
      </c>
    </row>
    <row r="398">
      <c r="J398" s="13" t="str">
        <f t="shared" si="1"/>
        <v/>
      </c>
      <c r="K398" s="13" t="str">
        <f t="shared" si="2"/>
        <v/>
      </c>
      <c r="L398" s="4" t="str">
        <f t="shared" si="3"/>
        <v/>
      </c>
    </row>
    <row r="399">
      <c r="J399" s="13" t="str">
        <f t="shared" si="1"/>
        <v/>
      </c>
      <c r="K399" s="13" t="str">
        <f t="shared" si="2"/>
        <v/>
      </c>
      <c r="L399" s="4" t="str">
        <f t="shared" si="3"/>
        <v/>
      </c>
    </row>
    <row r="400">
      <c r="J400" s="13" t="str">
        <f t="shared" si="1"/>
        <v/>
      </c>
      <c r="K400" s="13" t="str">
        <f t="shared" si="2"/>
        <v/>
      </c>
      <c r="L400" s="4" t="str">
        <f t="shared" si="3"/>
        <v/>
      </c>
    </row>
    <row r="401">
      <c r="J401" s="13" t="str">
        <f t="shared" si="1"/>
        <v/>
      </c>
      <c r="K401" s="13" t="str">
        <f t="shared" si="2"/>
        <v/>
      </c>
      <c r="L401" s="4" t="str">
        <f t="shared" si="3"/>
        <v/>
      </c>
    </row>
    <row r="402">
      <c r="J402" s="13" t="str">
        <f t="shared" si="1"/>
        <v/>
      </c>
      <c r="K402" s="13" t="str">
        <f t="shared" si="2"/>
        <v/>
      </c>
      <c r="L402" s="4" t="str">
        <f t="shared" si="3"/>
        <v/>
      </c>
    </row>
    <row r="403">
      <c r="J403" s="13" t="str">
        <f t="shared" si="1"/>
        <v/>
      </c>
      <c r="K403" s="13" t="str">
        <f t="shared" si="2"/>
        <v/>
      </c>
      <c r="L403" s="4" t="str">
        <f t="shared" si="3"/>
        <v/>
      </c>
    </row>
    <row r="404">
      <c r="J404" s="13" t="str">
        <f t="shared" si="1"/>
        <v/>
      </c>
      <c r="K404" s="13" t="str">
        <f t="shared" si="2"/>
        <v/>
      </c>
      <c r="L404" s="4" t="str">
        <f t="shared" si="3"/>
        <v/>
      </c>
    </row>
    <row r="405">
      <c r="J405" s="13" t="str">
        <f t="shared" si="1"/>
        <v/>
      </c>
      <c r="K405" s="13" t="str">
        <f t="shared" si="2"/>
        <v/>
      </c>
      <c r="L405" s="4" t="str">
        <f t="shared" si="3"/>
        <v/>
      </c>
    </row>
    <row r="406">
      <c r="J406" s="13" t="str">
        <f t="shared" si="1"/>
        <v/>
      </c>
      <c r="K406" s="13" t="str">
        <f t="shared" si="2"/>
        <v/>
      </c>
      <c r="L406" s="4" t="str">
        <f t="shared" si="3"/>
        <v/>
      </c>
    </row>
    <row r="407">
      <c r="J407" s="13" t="str">
        <f t="shared" si="1"/>
        <v/>
      </c>
      <c r="K407" s="13" t="str">
        <f t="shared" si="2"/>
        <v/>
      </c>
      <c r="L407" s="4" t="str">
        <f t="shared" si="3"/>
        <v/>
      </c>
    </row>
    <row r="408">
      <c r="J408" s="13" t="str">
        <f t="shared" si="1"/>
        <v/>
      </c>
      <c r="K408" s="13" t="str">
        <f t="shared" si="2"/>
        <v/>
      </c>
      <c r="L408" s="4" t="str">
        <f t="shared" si="3"/>
        <v/>
      </c>
    </row>
    <row r="409">
      <c r="J409" s="13" t="str">
        <f t="shared" si="1"/>
        <v/>
      </c>
      <c r="K409" s="13" t="str">
        <f t="shared" si="2"/>
        <v/>
      </c>
      <c r="L409" s="4" t="str">
        <f t="shared" si="3"/>
        <v/>
      </c>
    </row>
    <row r="410">
      <c r="J410" s="13" t="str">
        <f t="shared" si="1"/>
        <v/>
      </c>
      <c r="K410" s="13" t="str">
        <f t="shared" si="2"/>
        <v/>
      </c>
      <c r="L410" s="4" t="str">
        <f t="shared" si="3"/>
        <v/>
      </c>
    </row>
    <row r="411">
      <c r="J411" s="13" t="str">
        <f t="shared" si="1"/>
        <v/>
      </c>
      <c r="K411" s="13" t="str">
        <f t="shared" si="2"/>
        <v/>
      </c>
      <c r="L411" s="4" t="str">
        <f t="shared" si="3"/>
        <v/>
      </c>
    </row>
    <row r="412">
      <c r="J412" s="13" t="str">
        <f t="shared" si="1"/>
        <v/>
      </c>
      <c r="K412" s="13" t="str">
        <f t="shared" si="2"/>
        <v/>
      </c>
      <c r="L412" s="4" t="str">
        <f t="shared" si="3"/>
        <v/>
      </c>
    </row>
    <row r="413">
      <c r="J413" s="13" t="str">
        <f t="shared" si="1"/>
        <v/>
      </c>
      <c r="K413" s="13" t="str">
        <f t="shared" si="2"/>
        <v/>
      </c>
      <c r="L413" s="4" t="str">
        <f t="shared" si="3"/>
        <v/>
      </c>
    </row>
    <row r="414">
      <c r="J414" s="13" t="str">
        <f t="shared" si="1"/>
        <v/>
      </c>
      <c r="K414" s="13" t="str">
        <f t="shared" si="2"/>
        <v/>
      </c>
      <c r="L414" s="4" t="str">
        <f t="shared" si="3"/>
        <v/>
      </c>
    </row>
    <row r="415">
      <c r="J415" s="13" t="str">
        <f t="shared" si="1"/>
        <v/>
      </c>
      <c r="K415" s="13" t="str">
        <f t="shared" si="2"/>
        <v/>
      </c>
      <c r="L415" s="4" t="str">
        <f t="shared" si="3"/>
        <v/>
      </c>
    </row>
    <row r="416">
      <c r="J416" s="13" t="str">
        <f t="shared" si="1"/>
        <v/>
      </c>
      <c r="K416" s="13" t="str">
        <f t="shared" si="2"/>
        <v/>
      </c>
      <c r="L416" s="4" t="str">
        <f t="shared" si="3"/>
        <v/>
      </c>
    </row>
    <row r="417">
      <c r="J417" s="13" t="str">
        <f t="shared" si="1"/>
        <v/>
      </c>
      <c r="K417" s="13" t="str">
        <f t="shared" si="2"/>
        <v/>
      </c>
      <c r="L417" s="4" t="str">
        <f t="shared" si="3"/>
        <v/>
      </c>
    </row>
    <row r="418">
      <c r="J418" s="13" t="str">
        <f t="shared" si="1"/>
        <v/>
      </c>
      <c r="K418" s="13" t="str">
        <f t="shared" si="2"/>
        <v/>
      </c>
      <c r="L418" s="4" t="str">
        <f t="shared" si="3"/>
        <v/>
      </c>
    </row>
    <row r="419">
      <c r="J419" s="13" t="str">
        <f t="shared" si="1"/>
        <v/>
      </c>
      <c r="K419" s="13" t="str">
        <f t="shared" si="2"/>
        <v/>
      </c>
      <c r="L419" s="4" t="str">
        <f t="shared" si="3"/>
        <v/>
      </c>
    </row>
    <row r="420">
      <c r="J420" s="13" t="str">
        <f t="shared" si="1"/>
        <v/>
      </c>
      <c r="K420" s="13" t="str">
        <f t="shared" si="2"/>
        <v/>
      </c>
      <c r="L420" s="4" t="str">
        <f t="shared" si="3"/>
        <v/>
      </c>
    </row>
    <row r="421">
      <c r="J421" s="13" t="str">
        <f t="shared" si="1"/>
        <v/>
      </c>
      <c r="K421" s="13" t="str">
        <f t="shared" si="2"/>
        <v/>
      </c>
      <c r="L421" s="4" t="str">
        <f t="shared" si="3"/>
        <v/>
      </c>
    </row>
    <row r="422">
      <c r="J422" s="13" t="str">
        <f t="shared" si="1"/>
        <v/>
      </c>
      <c r="K422" s="13" t="str">
        <f t="shared" si="2"/>
        <v/>
      </c>
      <c r="L422" s="4" t="str">
        <f t="shared" si="3"/>
        <v/>
      </c>
    </row>
    <row r="423">
      <c r="J423" s="13" t="str">
        <f t="shared" si="1"/>
        <v/>
      </c>
      <c r="K423" s="13" t="str">
        <f t="shared" si="2"/>
        <v/>
      </c>
      <c r="L423" s="4" t="str">
        <f t="shared" si="3"/>
        <v/>
      </c>
    </row>
    <row r="424">
      <c r="J424" s="13" t="str">
        <f t="shared" si="1"/>
        <v/>
      </c>
      <c r="K424" s="13" t="str">
        <f t="shared" si="2"/>
        <v/>
      </c>
      <c r="L424" s="4" t="str">
        <f t="shared" si="3"/>
        <v/>
      </c>
    </row>
    <row r="425">
      <c r="J425" s="13" t="str">
        <f t="shared" si="1"/>
        <v/>
      </c>
      <c r="K425" s="13" t="str">
        <f t="shared" si="2"/>
        <v/>
      </c>
      <c r="L425" s="4" t="str">
        <f t="shared" si="3"/>
        <v/>
      </c>
    </row>
    <row r="426">
      <c r="J426" s="13" t="str">
        <f t="shared" si="1"/>
        <v/>
      </c>
      <c r="K426" s="13" t="str">
        <f t="shared" si="2"/>
        <v/>
      </c>
      <c r="L426" s="4" t="str">
        <f t="shared" si="3"/>
        <v/>
      </c>
    </row>
    <row r="427">
      <c r="J427" s="13" t="str">
        <f t="shared" si="1"/>
        <v/>
      </c>
      <c r="K427" s="13" t="str">
        <f t="shared" si="2"/>
        <v/>
      </c>
      <c r="L427" s="4" t="str">
        <f t="shared" si="3"/>
        <v/>
      </c>
    </row>
    <row r="428">
      <c r="J428" s="13" t="str">
        <f t="shared" si="1"/>
        <v/>
      </c>
      <c r="K428" s="13" t="str">
        <f t="shared" si="2"/>
        <v/>
      </c>
      <c r="L428" s="4" t="str">
        <f t="shared" si="3"/>
        <v/>
      </c>
    </row>
    <row r="429">
      <c r="J429" s="13" t="str">
        <f t="shared" si="1"/>
        <v/>
      </c>
      <c r="K429" s="13" t="str">
        <f t="shared" si="2"/>
        <v/>
      </c>
      <c r="L429" s="4" t="str">
        <f t="shared" si="3"/>
        <v/>
      </c>
    </row>
    <row r="430">
      <c r="J430" s="13" t="str">
        <f t="shared" si="1"/>
        <v/>
      </c>
      <c r="K430" s="13" t="str">
        <f t="shared" si="2"/>
        <v/>
      </c>
      <c r="L430" s="4" t="str">
        <f t="shared" si="3"/>
        <v/>
      </c>
    </row>
    <row r="431">
      <c r="J431" s="13" t="str">
        <f t="shared" si="1"/>
        <v/>
      </c>
      <c r="K431" s="13" t="str">
        <f t="shared" si="2"/>
        <v/>
      </c>
      <c r="L431" s="4" t="str">
        <f t="shared" si="3"/>
        <v/>
      </c>
    </row>
    <row r="432">
      <c r="J432" s="13" t="str">
        <f t="shared" si="1"/>
        <v/>
      </c>
      <c r="K432" s="13" t="str">
        <f t="shared" si="2"/>
        <v/>
      </c>
      <c r="L432" s="4" t="str">
        <f t="shared" si="3"/>
        <v/>
      </c>
    </row>
    <row r="433">
      <c r="J433" s="13" t="str">
        <f t="shared" si="1"/>
        <v/>
      </c>
      <c r="K433" s="13" t="str">
        <f t="shared" si="2"/>
        <v/>
      </c>
      <c r="L433" s="4" t="str">
        <f t="shared" si="3"/>
        <v/>
      </c>
    </row>
    <row r="434">
      <c r="J434" s="13" t="str">
        <f t="shared" si="1"/>
        <v/>
      </c>
      <c r="K434" s="13" t="str">
        <f t="shared" si="2"/>
        <v/>
      </c>
      <c r="L434" s="4" t="str">
        <f t="shared" si="3"/>
        <v/>
      </c>
    </row>
    <row r="435">
      <c r="J435" s="13" t="str">
        <f t="shared" si="1"/>
        <v/>
      </c>
      <c r="K435" s="13" t="str">
        <f t="shared" si="2"/>
        <v/>
      </c>
      <c r="L435" s="4" t="str">
        <f t="shared" si="3"/>
        <v/>
      </c>
    </row>
    <row r="436">
      <c r="J436" s="13" t="str">
        <f t="shared" si="1"/>
        <v/>
      </c>
      <c r="K436" s="13" t="str">
        <f t="shared" si="2"/>
        <v/>
      </c>
      <c r="L436" s="4" t="str">
        <f t="shared" si="3"/>
        <v/>
      </c>
    </row>
    <row r="437">
      <c r="J437" s="13" t="str">
        <f t="shared" si="1"/>
        <v/>
      </c>
      <c r="K437" s="13" t="str">
        <f t="shared" si="2"/>
        <v/>
      </c>
      <c r="L437" s="4" t="str">
        <f t="shared" si="3"/>
        <v/>
      </c>
    </row>
    <row r="438">
      <c r="J438" s="13" t="str">
        <f t="shared" si="1"/>
        <v/>
      </c>
      <c r="K438" s="13" t="str">
        <f t="shared" si="2"/>
        <v/>
      </c>
      <c r="L438" s="4" t="str">
        <f t="shared" si="3"/>
        <v/>
      </c>
    </row>
    <row r="439">
      <c r="J439" s="13" t="str">
        <f t="shared" si="1"/>
        <v/>
      </c>
      <c r="K439" s="13" t="str">
        <f t="shared" si="2"/>
        <v/>
      </c>
      <c r="L439" s="4" t="str">
        <f t="shared" si="3"/>
        <v/>
      </c>
    </row>
    <row r="440">
      <c r="J440" s="13" t="str">
        <f t="shared" si="1"/>
        <v/>
      </c>
      <c r="K440" s="13" t="str">
        <f t="shared" si="2"/>
        <v/>
      </c>
      <c r="L440" s="4" t="str">
        <f t="shared" si="3"/>
        <v/>
      </c>
    </row>
    <row r="441">
      <c r="J441" s="13" t="str">
        <f t="shared" si="1"/>
        <v/>
      </c>
      <c r="K441" s="13" t="str">
        <f t="shared" si="2"/>
        <v/>
      </c>
      <c r="L441" s="4" t="str">
        <f t="shared" si="3"/>
        <v/>
      </c>
    </row>
    <row r="442">
      <c r="J442" s="13" t="str">
        <f t="shared" si="1"/>
        <v/>
      </c>
      <c r="K442" s="13" t="str">
        <f t="shared" si="2"/>
        <v/>
      </c>
      <c r="L442" s="4" t="str">
        <f t="shared" si="3"/>
        <v/>
      </c>
    </row>
    <row r="443">
      <c r="J443" s="13" t="str">
        <f t="shared" si="1"/>
        <v/>
      </c>
      <c r="K443" s="13" t="str">
        <f t="shared" si="2"/>
        <v/>
      </c>
      <c r="L443" s="4" t="str">
        <f t="shared" si="3"/>
        <v/>
      </c>
    </row>
    <row r="444">
      <c r="J444" s="13" t="str">
        <f t="shared" si="1"/>
        <v/>
      </c>
      <c r="K444" s="13" t="str">
        <f t="shared" si="2"/>
        <v/>
      </c>
      <c r="L444" s="4" t="str">
        <f t="shared" si="3"/>
        <v/>
      </c>
    </row>
    <row r="445">
      <c r="J445" s="13" t="str">
        <f t="shared" si="1"/>
        <v/>
      </c>
      <c r="K445" s="13" t="str">
        <f t="shared" si="2"/>
        <v/>
      </c>
      <c r="L445" s="4" t="str">
        <f t="shared" si="3"/>
        <v/>
      </c>
    </row>
    <row r="446">
      <c r="J446" s="13" t="str">
        <f t="shared" si="1"/>
        <v/>
      </c>
      <c r="K446" s="13" t="str">
        <f t="shared" si="2"/>
        <v/>
      </c>
      <c r="L446" s="4" t="str">
        <f t="shared" si="3"/>
        <v/>
      </c>
    </row>
    <row r="447">
      <c r="J447" s="13" t="str">
        <f t="shared" si="1"/>
        <v/>
      </c>
      <c r="K447" s="13" t="str">
        <f t="shared" si="2"/>
        <v/>
      </c>
      <c r="L447" s="4" t="str">
        <f t="shared" si="3"/>
        <v/>
      </c>
    </row>
    <row r="448">
      <c r="J448" s="13" t="str">
        <f t="shared" si="1"/>
        <v/>
      </c>
      <c r="K448" s="13" t="str">
        <f t="shared" si="2"/>
        <v/>
      </c>
      <c r="L448" s="4" t="str">
        <f t="shared" si="3"/>
        <v/>
      </c>
    </row>
    <row r="449">
      <c r="J449" s="13" t="str">
        <f t="shared" si="1"/>
        <v/>
      </c>
      <c r="K449" s="13" t="str">
        <f t="shared" si="2"/>
        <v/>
      </c>
      <c r="L449" s="4" t="str">
        <f t="shared" si="3"/>
        <v/>
      </c>
    </row>
    <row r="450">
      <c r="J450" s="13" t="str">
        <f t="shared" si="1"/>
        <v/>
      </c>
      <c r="K450" s="13" t="str">
        <f t="shared" si="2"/>
        <v/>
      </c>
      <c r="L450" s="4" t="str">
        <f t="shared" si="3"/>
        <v/>
      </c>
    </row>
    <row r="451">
      <c r="J451" s="13" t="str">
        <f t="shared" si="1"/>
        <v/>
      </c>
      <c r="K451" s="13" t="str">
        <f t="shared" si="2"/>
        <v/>
      </c>
      <c r="L451" s="4" t="str">
        <f t="shared" si="3"/>
        <v/>
      </c>
    </row>
    <row r="452">
      <c r="J452" s="13" t="str">
        <f t="shared" si="1"/>
        <v/>
      </c>
      <c r="K452" s="13" t="str">
        <f t="shared" si="2"/>
        <v/>
      </c>
      <c r="L452" s="4" t="str">
        <f t="shared" si="3"/>
        <v/>
      </c>
    </row>
    <row r="453">
      <c r="J453" s="13" t="str">
        <f t="shared" si="1"/>
        <v/>
      </c>
      <c r="K453" s="13" t="str">
        <f t="shared" si="2"/>
        <v/>
      </c>
      <c r="L453" s="4" t="str">
        <f t="shared" si="3"/>
        <v/>
      </c>
    </row>
    <row r="454">
      <c r="J454" s="13" t="str">
        <f t="shared" si="1"/>
        <v/>
      </c>
      <c r="K454" s="13" t="str">
        <f t="shared" si="2"/>
        <v/>
      </c>
      <c r="L454" s="4" t="str">
        <f t="shared" si="3"/>
        <v/>
      </c>
    </row>
    <row r="455">
      <c r="J455" s="13" t="str">
        <f t="shared" si="1"/>
        <v/>
      </c>
      <c r="K455" s="13" t="str">
        <f t="shared" si="2"/>
        <v/>
      </c>
      <c r="L455" s="4" t="str">
        <f t="shared" si="3"/>
        <v/>
      </c>
    </row>
    <row r="456">
      <c r="J456" s="13" t="str">
        <f t="shared" si="1"/>
        <v/>
      </c>
      <c r="K456" s="13" t="str">
        <f t="shared" si="2"/>
        <v/>
      </c>
      <c r="L456" s="4" t="str">
        <f t="shared" si="3"/>
        <v/>
      </c>
    </row>
    <row r="457">
      <c r="J457" s="13" t="str">
        <f t="shared" si="1"/>
        <v/>
      </c>
      <c r="K457" s="13" t="str">
        <f t="shared" si="2"/>
        <v/>
      </c>
      <c r="L457" s="4" t="str">
        <f t="shared" si="3"/>
        <v/>
      </c>
    </row>
    <row r="458">
      <c r="J458" s="13" t="str">
        <f t="shared" si="1"/>
        <v/>
      </c>
      <c r="K458" s="13" t="str">
        <f t="shared" si="2"/>
        <v/>
      </c>
      <c r="L458" s="4" t="str">
        <f t="shared" si="3"/>
        <v/>
      </c>
    </row>
    <row r="459">
      <c r="J459" s="13" t="str">
        <f t="shared" si="1"/>
        <v/>
      </c>
      <c r="K459" s="13" t="str">
        <f t="shared" si="2"/>
        <v/>
      </c>
      <c r="L459" s="4" t="str">
        <f t="shared" si="3"/>
        <v/>
      </c>
    </row>
    <row r="460">
      <c r="J460" s="13" t="str">
        <f t="shared" si="1"/>
        <v/>
      </c>
      <c r="K460" s="13" t="str">
        <f t="shared" si="2"/>
        <v/>
      </c>
      <c r="L460" s="4" t="str">
        <f t="shared" si="3"/>
        <v/>
      </c>
    </row>
    <row r="461">
      <c r="J461" s="13" t="str">
        <f t="shared" si="1"/>
        <v/>
      </c>
      <c r="K461" s="13" t="str">
        <f t="shared" si="2"/>
        <v/>
      </c>
      <c r="L461" s="4" t="str">
        <f t="shared" si="3"/>
        <v/>
      </c>
    </row>
    <row r="462">
      <c r="J462" s="13" t="str">
        <f t="shared" si="1"/>
        <v/>
      </c>
      <c r="K462" s="13" t="str">
        <f t="shared" si="2"/>
        <v/>
      </c>
      <c r="L462" s="4" t="str">
        <f t="shared" si="3"/>
        <v/>
      </c>
    </row>
    <row r="463">
      <c r="J463" s="13" t="str">
        <f t="shared" si="1"/>
        <v/>
      </c>
      <c r="K463" s="13" t="str">
        <f t="shared" si="2"/>
        <v/>
      </c>
      <c r="L463" s="4" t="str">
        <f t="shared" si="3"/>
        <v/>
      </c>
    </row>
    <row r="464">
      <c r="J464" s="13" t="str">
        <f t="shared" si="1"/>
        <v/>
      </c>
      <c r="K464" s="13" t="str">
        <f t="shared" si="2"/>
        <v/>
      </c>
      <c r="L464" s="4" t="str">
        <f t="shared" si="3"/>
        <v/>
      </c>
    </row>
    <row r="465">
      <c r="J465" s="13" t="str">
        <f t="shared" si="1"/>
        <v/>
      </c>
      <c r="K465" s="13" t="str">
        <f t="shared" si="2"/>
        <v/>
      </c>
      <c r="L465" s="4" t="str">
        <f t="shared" si="3"/>
        <v/>
      </c>
    </row>
    <row r="466">
      <c r="J466" s="13" t="str">
        <f t="shared" si="1"/>
        <v/>
      </c>
      <c r="K466" s="13" t="str">
        <f t="shared" si="2"/>
        <v/>
      </c>
      <c r="L466" s="4" t="str">
        <f t="shared" si="3"/>
        <v/>
      </c>
    </row>
    <row r="467">
      <c r="J467" s="13" t="str">
        <f t="shared" si="1"/>
        <v/>
      </c>
      <c r="K467" s="13" t="str">
        <f t="shared" si="2"/>
        <v/>
      </c>
      <c r="L467" s="4" t="str">
        <f t="shared" si="3"/>
        <v/>
      </c>
    </row>
    <row r="468">
      <c r="J468" s="13" t="str">
        <f t="shared" si="1"/>
        <v/>
      </c>
      <c r="K468" s="13" t="str">
        <f t="shared" si="2"/>
        <v/>
      </c>
      <c r="L468" s="4" t="str">
        <f t="shared" si="3"/>
        <v/>
      </c>
    </row>
    <row r="469">
      <c r="J469" s="13" t="str">
        <f t="shared" si="1"/>
        <v/>
      </c>
      <c r="K469" s="13" t="str">
        <f t="shared" si="2"/>
        <v/>
      </c>
      <c r="L469" s="4" t="str">
        <f t="shared" si="3"/>
        <v/>
      </c>
    </row>
    <row r="470">
      <c r="J470" s="13" t="str">
        <f t="shared" si="1"/>
        <v/>
      </c>
      <c r="K470" s="13" t="str">
        <f t="shared" si="2"/>
        <v/>
      </c>
      <c r="L470" s="4" t="str">
        <f t="shared" si="3"/>
        <v/>
      </c>
    </row>
    <row r="471">
      <c r="J471" s="13" t="str">
        <f t="shared" si="1"/>
        <v/>
      </c>
      <c r="K471" s="13" t="str">
        <f t="shared" si="2"/>
        <v/>
      </c>
      <c r="L471" s="4" t="str">
        <f t="shared" si="3"/>
        <v/>
      </c>
    </row>
    <row r="472">
      <c r="J472" s="13" t="str">
        <f t="shared" si="1"/>
        <v/>
      </c>
      <c r="K472" s="13" t="str">
        <f t="shared" si="2"/>
        <v/>
      </c>
      <c r="L472" s="4" t="str">
        <f t="shared" si="3"/>
        <v/>
      </c>
    </row>
    <row r="473">
      <c r="J473" s="13" t="str">
        <f t="shared" si="1"/>
        <v/>
      </c>
      <c r="K473" s="13" t="str">
        <f t="shared" si="2"/>
        <v/>
      </c>
      <c r="L473" s="4" t="str">
        <f t="shared" si="3"/>
        <v/>
      </c>
    </row>
    <row r="474">
      <c r="J474" s="13" t="str">
        <f t="shared" si="1"/>
        <v/>
      </c>
      <c r="K474" s="13" t="str">
        <f t="shared" si="2"/>
        <v/>
      </c>
      <c r="L474" s="4" t="str">
        <f t="shared" si="3"/>
        <v/>
      </c>
    </row>
    <row r="475">
      <c r="J475" s="13" t="str">
        <f t="shared" si="1"/>
        <v/>
      </c>
      <c r="K475" s="13" t="str">
        <f t="shared" si="2"/>
        <v/>
      </c>
      <c r="L475" s="4" t="str">
        <f t="shared" si="3"/>
        <v/>
      </c>
    </row>
    <row r="476">
      <c r="J476" s="13" t="str">
        <f t="shared" si="1"/>
        <v/>
      </c>
      <c r="K476" s="13" t="str">
        <f t="shared" si="2"/>
        <v/>
      </c>
      <c r="L476" s="4" t="str">
        <f t="shared" si="3"/>
        <v/>
      </c>
    </row>
    <row r="477">
      <c r="J477" s="13" t="str">
        <f t="shared" si="1"/>
        <v/>
      </c>
      <c r="K477" s="13" t="str">
        <f t="shared" si="2"/>
        <v/>
      </c>
      <c r="L477" s="4" t="str">
        <f t="shared" si="3"/>
        <v/>
      </c>
    </row>
    <row r="478">
      <c r="J478" s="13" t="str">
        <f t="shared" si="1"/>
        <v/>
      </c>
      <c r="K478" s="13" t="str">
        <f t="shared" si="2"/>
        <v/>
      </c>
      <c r="L478" s="4" t="str">
        <f t="shared" si="3"/>
        <v/>
      </c>
    </row>
    <row r="479">
      <c r="J479" s="13" t="str">
        <f t="shared" si="1"/>
        <v/>
      </c>
      <c r="K479" s="13" t="str">
        <f t="shared" si="2"/>
        <v/>
      </c>
      <c r="L479" s="4" t="str">
        <f t="shared" si="3"/>
        <v/>
      </c>
    </row>
    <row r="480">
      <c r="J480" s="13" t="str">
        <f t="shared" si="1"/>
        <v/>
      </c>
      <c r="K480" s="13" t="str">
        <f t="shared" si="2"/>
        <v/>
      </c>
      <c r="L480" s="4" t="str">
        <f t="shared" si="3"/>
        <v/>
      </c>
    </row>
    <row r="481">
      <c r="J481" s="13" t="str">
        <f t="shared" si="1"/>
        <v/>
      </c>
      <c r="K481" s="13" t="str">
        <f t="shared" si="2"/>
        <v/>
      </c>
      <c r="L481" s="4" t="str">
        <f t="shared" si="3"/>
        <v/>
      </c>
    </row>
    <row r="482">
      <c r="J482" s="13" t="str">
        <f t="shared" si="1"/>
        <v/>
      </c>
      <c r="K482" s="13" t="str">
        <f t="shared" si="2"/>
        <v/>
      </c>
      <c r="L482" s="4" t="str">
        <f t="shared" si="3"/>
        <v/>
      </c>
    </row>
    <row r="483">
      <c r="J483" s="13" t="str">
        <f t="shared" si="1"/>
        <v/>
      </c>
      <c r="K483" s="13" t="str">
        <f t="shared" si="2"/>
        <v/>
      </c>
      <c r="L483" s="4" t="str">
        <f t="shared" si="3"/>
        <v/>
      </c>
    </row>
    <row r="484">
      <c r="J484" s="13" t="str">
        <f t="shared" si="1"/>
        <v/>
      </c>
      <c r="K484" s="13" t="str">
        <f t="shared" si="2"/>
        <v/>
      </c>
      <c r="L484" s="4" t="str">
        <f t="shared" si="3"/>
        <v/>
      </c>
    </row>
    <row r="485">
      <c r="J485" s="13" t="str">
        <f t="shared" si="1"/>
        <v/>
      </c>
      <c r="K485" s="13" t="str">
        <f t="shared" si="2"/>
        <v/>
      </c>
      <c r="L485" s="4" t="str">
        <f t="shared" si="3"/>
        <v/>
      </c>
    </row>
    <row r="486">
      <c r="J486" s="13" t="str">
        <f t="shared" si="1"/>
        <v/>
      </c>
      <c r="K486" s="13" t="str">
        <f t="shared" si="2"/>
        <v/>
      </c>
      <c r="L486" s="4" t="str">
        <f t="shared" si="3"/>
        <v/>
      </c>
    </row>
    <row r="487">
      <c r="J487" s="13" t="str">
        <f t="shared" si="1"/>
        <v/>
      </c>
      <c r="K487" s="13" t="str">
        <f t="shared" si="2"/>
        <v/>
      </c>
      <c r="L487" s="4" t="str">
        <f t="shared" si="3"/>
        <v/>
      </c>
    </row>
    <row r="488">
      <c r="J488" s="13" t="str">
        <f t="shared" si="1"/>
        <v/>
      </c>
      <c r="K488" s="13" t="str">
        <f t="shared" si="2"/>
        <v/>
      </c>
      <c r="L488" s="4" t="str">
        <f t="shared" si="3"/>
        <v/>
      </c>
    </row>
    <row r="489">
      <c r="J489" s="13" t="str">
        <f t="shared" si="1"/>
        <v/>
      </c>
      <c r="K489" s="13" t="str">
        <f t="shared" si="2"/>
        <v/>
      </c>
      <c r="L489" s="4" t="str">
        <f t="shared" si="3"/>
        <v/>
      </c>
    </row>
    <row r="490">
      <c r="J490" s="13" t="str">
        <f t="shared" si="1"/>
        <v/>
      </c>
      <c r="K490" s="13" t="str">
        <f t="shared" si="2"/>
        <v/>
      </c>
      <c r="L490" s="4" t="str">
        <f t="shared" si="3"/>
        <v/>
      </c>
    </row>
    <row r="491">
      <c r="J491" s="13" t="str">
        <f t="shared" si="1"/>
        <v/>
      </c>
      <c r="K491" s="13" t="str">
        <f t="shared" si="2"/>
        <v/>
      </c>
      <c r="L491" s="4" t="str">
        <f t="shared" si="3"/>
        <v/>
      </c>
    </row>
    <row r="492">
      <c r="J492" s="13" t="str">
        <f t="shared" si="1"/>
        <v/>
      </c>
      <c r="K492" s="13" t="str">
        <f t="shared" si="2"/>
        <v/>
      </c>
      <c r="L492" s="4" t="str">
        <f t="shared" si="3"/>
        <v/>
      </c>
    </row>
    <row r="493">
      <c r="J493" s="13" t="str">
        <f t="shared" si="1"/>
        <v/>
      </c>
      <c r="K493" s="13" t="str">
        <f t="shared" si="2"/>
        <v/>
      </c>
      <c r="L493" s="4" t="str">
        <f t="shared" si="3"/>
        <v/>
      </c>
    </row>
    <row r="494">
      <c r="J494" s="13" t="str">
        <f t="shared" si="1"/>
        <v/>
      </c>
      <c r="K494" s="13" t="str">
        <f t="shared" si="2"/>
        <v/>
      </c>
      <c r="L494" s="4" t="str">
        <f t="shared" si="3"/>
        <v/>
      </c>
    </row>
    <row r="495">
      <c r="J495" s="13" t="str">
        <f t="shared" si="1"/>
        <v/>
      </c>
      <c r="K495" s="13" t="str">
        <f t="shared" si="2"/>
        <v/>
      </c>
      <c r="L495" s="4" t="str">
        <f t="shared" si="3"/>
        <v/>
      </c>
    </row>
    <row r="496">
      <c r="J496" s="13" t="str">
        <f t="shared" si="1"/>
        <v/>
      </c>
      <c r="K496" s="13" t="str">
        <f t="shared" si="2"/>
        <v/>
      </c>
      <c r="L496" s="4" t="str">
        <f t="shared" si="3"/>
        <v/>
      </c>
    </row>
    <row r="497">
      <c r="J497" s="13" t="str">
        <f t="shared" si="1"/>
        <v/>
      </c>
      <c r="K497" s="13" t="str">
        <f t="shared" si="2"/>
        <v/>
      </c>
      <c r="L497" s="4" t="str">
        <f t="shared" si="3"/>
        <v/>
      </c>
    </row>
    <row r="498">
      <c r="J498" s="13" t="str">
        <f t="shared" si="1"/>
        <v/>
      </c>
      <c r="K498" s="13" t="str">
        <f t="shared" si="2"/>
        <v/>
      </c>
      <c r="L498" s="4" t="str">
        <f t="shared" si="3"/>
        <v/>
      </c>
    </row>
    <row r="499">
      <c r="J499" s="13" t="str">
        <f t="shared" si="1"/>
        <v/>
      </c>
      <c r="K499" s="13" t="str">
        <f t="shared" si="2"/>
        <v/>
      </c>
      <c r="L499" s="4" t="str">
        <f t="shared" si="3"/>
        <v/>
      </c>
    </row>
    <row r="500">
      <c r="J500" s="13" t="str">
        <f t="shared" si="1"/>
        <v/>
      </c>
      <c r="K500" s="13" t="str">
        <f t="shared" si="2"/>
        <v/>
      </c>
      <c r="L500" s="4" t="str">
        <f t="shared" si="3"/>
        <v/>
      </c>
    </row>
    <row r="501">
      <c r="J501" s="13" t="str">
        <f t="shared" si="1"/>
        <v/>
      </c>
      <c r="K501" s="13" t="str">
        <f t="shared" si="2"/>
        <v/>
      </c>
      <c r="L501" s="4" t="str">
        <f t="shared" si="3"/>
        <v/>
      </c>
    </row>
    <row r="502">
      <c r="J502" s="13" t="str">
        <f t="shared" si="1"/>
        <v/>
      </c>
      <c r="K502" s="13" t="str">
        <f t="shared" si="2"/>
        <v/>
      </c>
      <c r="L502" s="4" t="str">
        <f t="shared" si="3"/>
        <v/>
      </c>
    </row>
    <row r="503">
      <c r="J503" s="13" t="str">
        <f t="shared" si="1"/>
        <v/>
      </c>
      <c r="K503" s="13" t="str">
        <f t="shared" si="2"/>
        <v/>
      </c>
      <c r="L503" s="4" t="str">
        <f t="shared" si="3"/>
        <v/>
      </c>
    </row>
    <row r="504">
      <c r="J504" s="13" t="str">
        <f t="shared" si="1"/>
        <v/>
      </c>
      <c r="K504" s="13" t="str">
        <f t="shared" si="2"/>
        <v/>
      </c>
      <c r="L504" s="4" t="str">
        <f t="shared" si="3"/>
        <v/>
      </c>
    </row>
    <row r="505">
      <c r="J505" s="13" t="str">
        <f t="shared" si="1"/>
        <v/>
      </c>
      <c r="K505" s="13" t="str">
        <f t="shared" si="2"/>
        <v/>
      </c>
      <c r="L505" s="4" t="str">
        <f t="shared" si="3"/>
        <v/>
      </c>
    </row>
    <row r="506">
      <c r="J506" s="13" t="str">
        <f t="shared" si="1"/>
        <v/>
      </c>
      <c r="K506" s="13" t="str">
        <f t="shared" si="2"/>
        <v/>
      </c>
      <c r="L506" s="4" t="str">
        <f t="shared" si="3"/>
        <v/>
      </c>
    </row>
    <row r="507">
      <c r="J507" s="13" t="str">
        <f t="shared" si="1"/>
        <v/>
      </c>
      <c r="K507" s="13" t="str">
        <f t="shared" si="2"/>
        <v/>
      </c>
      <c r="L507" s="4" t="str">
        <f t="shared" si="3"/>
        <v/>
      </c>
    </row>
    <row r="508">
      <c r="J508" s="13" t="str">
        <f t="shared" si="1"/>
        <v/>
      </c>
      <c r="K508" s="13" t="str">
        <f t="shared" si="2"/>
        <v/>
      </c>
      <c r="L508" s="4" t="str">
        <f t="shared" si="3"/>
        <v/>
      </c>
    </row>
    <row r="509">
      <c r="J509" s="13" t="str">
        <f t="shared" si="1"/>
        <v/>
      </c>
      <c r="K509" s="13" t="str">
        <f t="shared" si="2"/>
        <v/>
      </c>
      <c r="L509" s="4" t="str">
        <f t="shared" si="3"/>
        <v/>
      </c>
    </row>
    <row r="510">
      <c r="J510" s="13" t="str">
        <f t="shared" si="1"/>
        <v/>
      </c>
      <c r="K510" s="13" t="str">
        <f t="shared" si="2"/>
        <v/>
      </c>
      <c r="L510" s="4" t="str">
        <f t="shared" si="3"/>
        <v/>
      </c>
    </row>
    <row r="511">
      <c r="J511" s="13" t="str">
        <f t="shared" si="1"/>
        <v/>
      </c>
      <c r="K511" s="13" t="str">
        <f t="shared" si="2"/>
        <v/>
      </c>
      <c r="L511" s="4" t="str">
        <f t="shared" si="3"/>
        <v/>
      </c>
    </row>
    <row r="512">
      <c r="J512" s="13" t="str">
        <f t="shared" si="1"/>
        <v/>
      </c>
      <c r="K512" s="13" t="str">
        <f t="shared" si="2"/>
        <v/>
      </c>
      <c r="L512" s="4" t="str">
        <f t="shared" si="3"/>
        <v/>
      </c>
    </row>
    <row r="513">
      <c r="J513" s="13" t="str">
        <f t="shared" si="1"/>
        <v/>
      </c>
      <c r="K513" s="13" t="str">
        <f t="shared" si="2"/>
        <v/>
      </c>
      <c r="L513" s="4" t="str">
        <f t="shared" si="3"/>
        <v/>
      </c>
    </row>
    <row r="514">
      <c r="J514" s="13" t="str">
        <f t="shared" si="1"/>
        <v/>
      </c>
      <c r="K514" s="13" t="str">
        <f t="shared" si="2"/>
        <v/>
      </c>
      <c r="L514" s="4" t="str">
        <f t="shared" si="3"/>
        <v/>
      </c>
    </row>
    <row r="515">
      <c r="J515" s="13" t="str">
        <f t="shared" si="1"/>
        <v/>
      </c>
      <c r="K515" s="13" t="str">
        <f t="shared" si="2"/>
        <v/>
      </c>
      <c r="L515" s="4" t="str">
        <f t="shared" si="3"/>
        <v/>
      </c>
    </row>
    <row r="516">
      <c r="J516" s="13" t="str">
        <f t="shared" si="1"/>
        <v/>
      </c>
      <c r="K516" s="13" t="str">
        <f t="shared" si="2"/>
        <v/>
      </c>
      <c r="L516" s="4" t="str">
        <f t="shared" si="3"/>
        <v/>
      </c>
    </row>
    <row r="517">
      <c r="J517" s="13" t="str">
        <f t="shared" si="1"/>
        <v/>
      </c>
      <c r="K517" s="13" t="str">
        <f t="shared" si="2"/>
        <v/>
      </c>
      <c r="L517" s="4" t="str">
        <f t="shared" si="3"/>
        <v/>
      </c>
    </row>
    <row r="518">
      <c r="J518" s="13" t="str">
        <f t="shared" si="1"/>
        <v/>
      </c>
      <c r="K518" s="13" t="str">
        <f t="shared" si="2"/>
        <v/>
      </c>
      <c r="L518" s="4" t="str">
        <f t="shared" si="3"/>
        <v/>
      </c>
    </row>
    <row r="519">
      <c r="J519" s="13" t="str">
        <f t="shared" si="1"/>
        <v/>
      </c>
      <c r="K519" s="13" t="str">
        <f t="shared" si="2"/>
        <v/>
      </c>
      <c r="L519" s="4" t="str">
        <f t="shared" si="3"/>
        <v/>
      </c>
    </row>
    <row r="520">
      <c r="J520" s="13" t="str">
        <f t="shared" si="1"/>
        <v/>
      </c>
      <c r="K520" s="13" t="str">
        <f t="shared" si="2"/>
        <v/>
      </c>
      <c r="L520" s="4" t="str">
        <f t="shared" si="3"/>
        <v/>
      </c>
    </row>
    <row r="521">
      <c r="J521" s="13" t="str">
        <f t="shared" si="1"/>
        <v/>
      </c>
      <c r="K521" s="13" t="str">
        <f t="shared" si="2"/>
        <v/>
      </c>
      <c r="L521" s="4" t="str">
        <f t="shared" si="3"/>
        <v/>
      </c>
    </row>
    <row r="522">
      <c r="J522" s="13" t="str">
        <f t="shared" si="1"/>
        <v/>
      </c>
      <c r="K522" s="13" t="str">
        <f t="shared" si="2"/>
        <v/>
      </c>
      <c r="L522" s="4" t="str">
        <f t="shared" si="3"/>
        <v/>
      </c>
    </row>
    <row r="523">
      <c r="J523" s="13" t="str">
        <f t="shared" si="1"/>
        <v/>
      </c>
      <c r="K523" s="13" t="str">
        <f t="shared" si="2"/>
        <v/>
      </c>
      <c r="L523" s="4" t="str">
        <f t="shared" si="3"/>
        <v/>
      </c>
    </row>
    <row r="524">
      <c r="J524" s="13" t="str">
        <f t="shared" si="1"/>
        <v/>
      </c>
      <c r="K524" s="13" t="str">
        <f t="shared" si="2"/>
        <v/>
      </c>
      <c r="L524" s="4" t="str">
        <f t="shared" si="3"/>
        <v/>
      </c>
    </row>
    <row r="525">
      <c r="J525" s="13" t="str">
        <f t="shared" si="1"/>
        <v/>
      </c>
      <c r="K525" s="13" t="str">
        <f t="shared" si="2"/>
        <v/>
      </c>
      <c r="L525" s="4" t="str">
        <f t="shared" si="3"/>
        <v/>
      </c>
    </row>
    <row r="526">
      <c r="J526" s="13" t="str">
        <f t="shared" si="1"/>
        <v/>
      </c>
      <c r="K526" s="13" t="str">
        <f t="shared" si="2"/>
        <v/>
      </c>
      <c r="L526" s="4" t="str">
        <f t="shared" si="3"/>
        <v/>
      </c>
    </row>
    <row r="527">
      <c r="J527" s="13" t="str">
        <f t="shared" si="1"/>
        <v/>
      </c>
      <c r="K527" s="13" t="str">
        <f t="shared" si="2"/>
        <v/>
      </c>
      <c r="L527" s="4" t="str">
        <f t="shared" si="3"/>
        <v/>
      </c>
    </row>
    <row r="528">
      <c r="J528" s="13" t="str">
        <f t="shared" si="1"/>
        <v/>
      </c>
      <c r="K528" s="13" t="str">
        <f t="shared" si="2"/>
        <v/>
      </c>
      <c r="L528" s="4" t="str">
        <f t="shared" si="3"/>
        <v/>
      </c>
    </row>
    <row r="529">
      <c r="J529" s="13" t="str">
        <f t="shared" si="1"/>
        <v/>
      </c>
      <c r="K529" s="13" t="str">
        <f t="shared" si="2"/>
        <v/>
      </c>
      <c r="L529" s="4" t="str">
        <f t="shared" si="3"/>
        <v/>
      </c>
    </row>
    <row r="530">
      <c r="J530" s="13" t="str">
        <f t="shared" si="1"/>
        <v/>
      </c>
      <c r="K530" s="13" t="str">
        <f t="shared" si="2"/>
        <v/>
      </c>
      <c r="L530" s="4" t="str">
        <f t="shared" si="3"/>
        <v/>
      </c>
    </row>
    <row r="531">
      <c r="J531" s="13" t="str">
        <f t="shared" si="1"/>
        <v/>
      </c>
      <c r="K531" s="13" t="str">
        <f t="shared" si="2"/>
        <v/>
      </c>
      <c r="L531" s="4" t="str">
        <f t="shared" si="3"/>
        <v/>
      </c>
    </row>
    <row r="532">
      <c r="J532" s="13" t="str">
        <f t="shared" si="1"/>
        <v/>
      </c>
      <c r="K532" s="13" t="str">
        <f t="shared" si="2"/>
        <v/>
      </c>
      <c r="L532" s="4" t="str">
        <f t="shared" si="3"/>
        <v/>
      </c>
    </row>
    <row r="533">
      <c r="J533" s="13" t="str">
        <f t="shared" si="1"/>
        <v/>
      </c>
      <c r="K533" s="13" t="str">
        <f t="shared" si="2"/>
        <v/>
      </c>
      <c r="L533" s="4" t="str">
        <f t="shared" si="3"/>
        <v/>
      </c>
    </row>
    <row r="534">
      <c r="J534" s="13" t="str">
        <f t="shared" si="1"/>
        <v/>
      </c>
      <c r="K534" s="13" t="str">
        <f t="shared" si="2"/>
        <v/>
      </c>
      <c r="L534" s="4" t="str">
        <f t="shared" si="3"/>
        <v/>
      </c>
    </row>
    <row r="535">
      <c r="J535" s="13" t="str">
        <f t="shared" si="1"/>
        <v/>
      </c>
      <c r="K535" s="13" t="str">
        <f t="shared" si="2"/>
        <v/>
      </c>
      <c r="L535" s="4" t="str">
        <f t="shared" si="3"/>
        <v/>
      </c>
    </row>
    <row r="536">
      <c r="J536" s="13" t="str">
        <f t="shared" si="1"/>
        <v/>
      </c>
      <c r="K536" s="13" t="str">
        <f t="shared" si="2"/>
        <v/>
      </c>
      <c r="L536" s="4" t="str">
        <f t="shared" si="3"/>
        <v/>
      </c>
    </row>
    <row r="537">
      <c r="J537" s="13" t="str">
        <f t="shared" si="1"/>
        <v/>
      </c>
      <c r="K537" s="13" t="str">
        <f t="shared" si="2"/>
        <v/>
      </c>
      <c r="L537" s="4" t="str">
        <f t="shared" si="3"/>
        <v/>
      </c>
    </row>
    <row r="538">
      <c r="J538" s="13" t="str">
        <f t="shared" si="1"/>
        <v/>
      </c>
      <c r="K538" s="13" t="str">
        <f t="shared" si="2"/>
        <v/>
      </c>
      <c r="L538" s="4" t="str">
        <f t="shared" si="3"/>
        <v/>
      </c>
    </row>
    <row r="539">
      <c r="J539" s="13" t="str">
        <f t="shared" si="1"/>
        <v/>
      </c>
      <c r="K539" s="13" t="str">
        <f t="shared" si="2"/>
        <v/>
      </c>
      <c r="L539" s="4" t="str">
        <f t="shared" si="3"/>
        <v/>
      </c>
    </row>
    <row r="540">
      <c r="J540" s="13" t="str">
        <f t="shared" si="1"/>
        <v/>
      </c>
      <c r="K540" s="13" t="str">
        <f t="shared" si="2"/>
        <v/>
      </c>
      <c r="L540" s="4" t="str">
        <f t="shared" si="3"/>
        <v/>
      </c>
    </row>
    <row r="541">
      <c r="J541" s="13" t="str">
        <f t="shared" si="1"/>
        <v/>
      </c>
      <c r="K541" s="13" t="str">
        <f t="shared" si="2"/>
        <v/>
      </c>
      <c r="L541" s="4" t="str">
        <f t="shared" si="3"/>
        <v/>
      </c>
    </row>
    <row r="542">
      <c r="J542" s="13" t="str">
        <f t="shared" si="1"/>
        <v/>
      </c>
      <c r="K542" s="13" t="str">
        <f t="shared" si="2"/>
        <v/>
      </c>
      <c r="L542" s="4" t="str">
        <f t="shared" si="3"/>
        <v/>
      </c>
    </row>
    <row r="543">
      <c r="J543" s="13" t="str">
        <f t="shared" si="1"/>
        <v/>
      </c>
      <c r="K543" s="13" t="str">
        <f t="shared" si="2"/>
        <v/>
      </c>
      <c r="L543" s="4" t="str">
        <f t="shared" si="3"/>
        <v/>
      </c>
    </row>
    <row r="544">
      <c r="J544" s="13" t="str">
        <f t="shared" si="1"/>
        <v/>
      </c>
      <c r="K544" s="13" t="str">
        <f t="shared" si="2"/>
        <v/>
      </c>
      <c r="L544" s="4" t="str">
        <f t="shared" si="3"/>
        <v/>
      </c>
    </row>
    <row r="545">
      <c r="J545" s="13" t="str">
        <f t="shared" si="1"/>
        <v/>
      </c>
      <c r="K545" s="13" t="str">
        <f t="shared" si="2"/>
        <v/>
      </c>
      <c r="L545" s="4" t="str">
        <f t="shared" si="3"/>
        <v/>
      </c>
    </row>
    <row r="546">
      <c r="J546" s="13" t="str">
        <f t="shared" si="1"/>
        <v/>
      </c>
      <c r="K546" s="13" t="str">
        <f t="shared" si="2"/>
        <v/>
      </c>
      <c r="L546" s="4" t="str">
        <f t="shared" si="3"/>
        <v/>
      </c>
    </row>
    <row r="547">
      <c r="J547" s="13" t="str">
        <f t="shared" si="1"/>
        <v/>
      </c>
      <c r="K547" s="13" t="str">
        <f t="shared" si="2"/>
        <v/>
      </c>
      <c r="L547" s="4" t="str">
        <f t="shared" si="3"/>
        <v/>
      </c>
    </row>
    <row r="548">
      <c r="J548" s="13" t="str">
        <f t="shared" si="1"/>
        <v/>
      </c>
      <c r="K548" s="13" t="str">
        <f t="shared" si="2"/>
        <v/>
      </c>
      <c r="L548" s="4" t="str">
        <f t="shared" si="3"/>
        <v/>
      </c>
    </row>
    <row r="549">
      <c r="J549" s="13" t="str">
        <f t="shared" si="1"/>
        <v/>
      </c>
      <c r="K549" s="13" t="str">
        <f t="shared" si="2"/>
        <v/>
      </c>
      <c r="L549" s="4" t="str">
        <f t="shared" si="3"/>
        <v/>
      </c>
    </row>
    <row r="550">
      <c r="J550" s="13" t="str">
        <f t="shared" si="1"/>
        <v/>
      </c>
      <c r="K550" s="13" t="str">
        <f t="shared" si="2"/>
        <v/>
      </c>
      <c r="L550" s="4" t="str">
        <f t="shared" si="3"/>
        <v/>
      </c>
    </row>
    <row r="551">
      <c r="J551" s="13" t="str">
        <f t="shared" si="1"/>
        <v/>
      </c>
      <c r="K551" s="13" t="str">
        <f t="shared" si="2"/>
        <v/>
      </c>
      <c r="L551" s="4" t="str">
        <f t="shared" si="3"/>
        <v/>
      </c>
    </row>
    <row r="552">
      <c r="J552" s="13" t="str">
        <f t="shared" si="1"/>
        <v/>
      </c>
      <c r="K552" s="13" t="str">
        <f t="shared" si="2"/>
        <v/>
      </c>
      <c r="L552" s="4" t="str">
        <f t="shared" si="3"/>
        <v/>
      </c>
    </row>
    <row r="553">
      <c r="J553" s="13" t="str">
        <f t="shared" si="1"/>
        <v/>
      </c>
      <c r="K553" s="13" t="str">
        <f t="shared" si="2"/>
        <v/>
      </c>
      <c r="L553" s="4" t="str">
        <f t="shared" si="3"/>
        <v/>
      </c>
    </row>
    <row r="554">
      <c r="J554" s="13" t="str">
        <f t="shared" si="1"/>
        <v/>
      </c>
      <c r="K554" s="13" t="str">
        <f t="shared" si="2"/>
        <v/>
      </c>
      <c r="L554" s="4" t="str">
        <f t="shared" si="3"/>
        <v/>
      </c>
    </row>
    <row r="555">
      <c r="J555" s="13" t="str">
        <f t="shared" si="1"/>
        <v/>
      </c>
      <c r="K555" s="13" t="str">
        <f t="shared" si="2"/>
        <v/>
      </c>
      <c r="L555" s="4" t="str">
        <f t="shared" si="3"/>
        <v/>
      </c>
    </row>
    <row r="556">
      <c r="J556" s="13" t="str">
        <f t="shared" si="1"/>
        <v/>
      </c>
      <c r="K556" s="13" t="str">
        <f t="shared" si="2"/>
        <v/>
      </c>
      <c r="L556" s="4" t="str">
        <f t="shared" si="3"/>
        <v/>
      </c>
    </row>
    <row r="557">
      <c r="J557" s="13" t="str">
        <f t="shared" si="1"/>
        <v/>
      </c>
      <c r="K557" s="13" t="str">
        <f t="shared" si="2"/>
        <v/>
      </c>
      <c r="L557" s="4" t="str">
        <f t="shared" si="3"/>
        <v/>
      </c>
    </row>
    <row r="558">
      <c r="J558" s="13" t="str">
        <f t="shared" si="1"/>
        <v/>
      </c>
      <c r="K558" s="13" t="str">
        <f t="shared" si="2"/>
        <v/>
      </c>
      <c r="L558" s="4" t="str">
        <f t="shared" si="3"/>
        <v/>
      </c>
    </row>
    <row r="559">
      <c r="J559" s="13" t="str">
        <f t="shared" si="1"/>
        <v/>
      </c>
      <c r="K559" s="13" t="str">
        <f t="shared" si="2"/>
        <v/>
      </c>
      <c r="L559" s="4" t="str">
        <f t="shared" si="3"/>
        <v/>
      </c>
    </row>
    <row r="560">
      <c r="J560" s="13" t="str">
        <f t="shared" si="1"/>
        <v/>
      </c>
      <c r="K560" s="13" t="str">
        <f t="shared" si="2"/>
        <v/>
      </c>
      <c r="L560" s="4" t="str">
        <f t="shared" si="3"/>
        <v/>
      </c>
    </row>
    <row r="561">
      <c r="J561" s="13" t="str">
        <f t="shared" si="1"/>
        <v/>
      </c>
      <c r="K561" s="13" t="str">
        <f t="shared" si="2"/>
        <v/>
      </c>
      <c r="L561" s="4" t="str">
        <f t="shared" si="3"/>
        <v/>
      </c>
    </row>
    <row r="562">
      <c r="J562" s="13" t="str">
        <f t="shared" si="1"/>
        <v/>
      </c>
      <c r="K562" s="13" t="str">
        <f t="shared" si="2"/>
        <v/>
      </c>
      <c r="L562" s="4" t="str">
        <f t="shared" si="3"/>
        <v/>
      </c>
    </row>
    <row r="563">
      <c r="J563" s="13" t="str">
        <f t="shared" si="1"/>
        <v/>
      </c>
      <c r="K563" s="13" t="str">
        <f t="shared" si="2"/>
        <v/>
      </c>
      <c r="L563" s="4" t="str">
        <f t="shared" si="3"/>
        <v/>
      </c>
    </row>
    <row r="564">
      <c r="J564" s="13" t="str">
        <f t="shared" si="1"/>
        <v/>
      </c>
      <c r="K564" s="13" t="str">
        <f t="shared" si="2"/>
        <v/>
      </c>
      <c r="L564" s="4" t="str">
        <f t="shared" si="3"/>
        <v/>
      </c>
    </row>
    <row r="565">
      <c r="J565" s="13" t="str">
        <f t="shared" si="1"/>
        <v/>
      </c>
      <c r="K565" s="13" t="str">
        <f t="shared" si="2"/>
        <v/>
      </c>
      <c r="L565" s="4" t="str">
        <f t="shared" si="3"/>
        <v/>
      </c>
    </row>
    <row r="566">
      <c r="J566" s="13" t="str">
        <f t="shared" si="1"/>
        <v/>
      </c>
      <c r="K566" s="13" t="str">
        <f t="shared" si="2"/>
        <v/>
      </c>
      <c r="L566" s="4" t="str">
        <f t="shared" si="3"/>
        <v/>
      </c>
    </row>
    <row r="567">
      <c r="J567" s="13" t="str">
        <f t="shared" si="1"/>
        <v/>
      </c>
      <c r="K567" s="13" t="str">
        <f t="shared" si="2"/>
        <v/>
      </c>
      <c r="L567" s="4" t="str">
        <f t="shared" si="3"/>
        <v/>
      </c>
    </row>
    <row r="568">
      <c r="J568" s="13" t="str">
        <f t="shared" si="1"/>
        <v/>
      </c>
      <c r="K568" s="13" t="str">
        <f t="shared" si="2"/>
        <v/>
      </c>
      <c r="L568" s="4" t="str">
        <f t="shared" si="3"/>
        <v/>
      </c>
    </row>
    <row r="569">
      <c r="J569" s="13" t="str">
        <f t="shared" si="1"/>
        <v/>
      </c>
      <c r="K569" s="13" t="str">
        <f t="shared" si="2"/>
        <v/>
      </c>
      <c r="L569" s="4" t="str">
        <f t="shared" si="3"/>
        <v/>
      </c>
    </row>
    <row r="570">
      <c r="J570" s="13" t="str">
        <f t="shared" si="1"/>
        <v/>
      </c>
      <c r="K570" s="13" t="str">
        <f t="shared" si="2"/>
        <v/>
      </c>
      <c r="L570" s="4" t="str">
        <f t="shared" si="3"/>
        <v/>
      </c>
    </row>
    <row r="571">
      <c r="J571" s="13" t="str">
        <f t="shared" si="1"/>
        <v/>
      </c>
      <c r="K571" s="13" t="str">
        <f t="shared" si="2"/>
        <v/>
      </c>
      <c r="L571" s="4" t="str">
        <f t="shared" si="3"/>
        <v/>
      </c>
    </row>
    <row r="572">
      <c r="J572" s="13" t="str">
        <f t="shared" si="1"/>
        <v/>
      </c>
      <c r="K572" s="13" t="str">
        <f t="shared" si="2"/>
        <v/>
      </c>
      <c r="L572" s="4" t="str">
        <f t="shared" si="3"/>
        <v/>
      </c>
    </row>
    <row r="573">
      <c r="J573" s="13" t="str">
        <f t="shared" si="1"/>
        <v/>
      </c>
      <c r="K573" s="13" t="str">
        <f t="shared" si="2"/>
        <v/>
      </c>
      <c r="L573" s="4" t="str">
        <f t="shared" si="3"/>
        <v/>
      </c>
    </row>
    <row r="574">
      <c r="J574" s="13" t="str">
        <f t="shared" si="1"/>
        <v/>
      </c>
      <c r="K574" s="13" t="str">
        <f t="shared" si="2"/>
        <v/>
      </c>
      <c r="L574" s="4" t="str">
        <f t="shared" si="3"/>
        <v/>
      </c>
    </row>
    <row r="575">
      <c r="J575" s="13" t="str">
        <f t="shared" si="1"/>
        <v/>
      </c>
      <c r="K575" s="13" t="str">
        <f t="shared" si="2"/>
        <v/>
      </c>
      <c r="L575" s="4" t="str">
        <f t="shared" si="3"/>
        <v/>
      </c>
    </row>
    <row r="576">
      <c r="J576" s="13" t="str">
        <f t="shared" si="1"/>
        <v/>
      </c>
      <c r="K576" s="13" t="str">
        <f t="shared" si="2"/>
        <v/>
      </c>
      <c r="L576" s="4" t="str">
        <f t="shared" si="3"/>
        <v/>
      </c>
    </row>
    <row r="577">
      <c r="J577" s="13" t="str">
        <f t="shared" si="1"/>
        <v/>
      </c>
      <c r="K577" s="13" t="str">
        <f t="shared" si="2"/>
        <v/>
      </c>
      <c r="L577" s="4" t="str">
        <f t="shared" si="3"/>
        <v/>
      </c>
    </row>
    <row r="578">
      <c r="J578" s="13" t="str">
        <f t="shared" si="1"/>
        <v/>
      </c>
      <c r="K578" s="13" t="str">
        <f t="shared" si="2"/>
        <v/>
      </c>
      <c r="L578" s="4" t="str">
        <f t="shared" si="3"/>
        <v/>
      </c>
    </row>
    <row r="579">
      <c r="J579" s="13" t="str">
        <f t="shared" si="1"/>
        <v/>
      </c>
      <c r="K579" s="13" t="str">
        <f t="shared" si="2"/>
        <v/>
      </c>
      <c r="L579" s="4" t="str">
        <f t="shared" si="3"/>
        <v/>
      </c>
    </row>
    <row r="580">
      <c r="J580" s="13" t="str">
        <f t="shared" si="1"/>
        <v/>
      </c>
      <c r="K580" s="13" t="str">
        <f t="shared" si="2"/>
        <v/>
      </c>
      <c r="L580" s="4" t="str">
        <f t="shared" si="3"/>
        <v/>
      </c>
    </row>
    <row r="581">
      <c r="J581" s="13" t="str">
        <f t="shared" si="1"/>
        <v/>
      </c>
      <c r="K581" s="13" t="str">
        <f t="shared" si="2"/>
        <v/>
      </c>
      <c r="L581" s="4" t="str">
        <f t="shared" si="3"/>
        <v/>
      </c>
    </row>
    <row r="582">
      <c r="J582" s="13" t="str">
        <f t="shared" si="1"/>
        <v/>
      </c>
      <c r="K582" s="13" t="str">
        <f t="shared" si="2"/>
        <v/>
      </c>
      <c r="L582" s="4" t="str">
        <f t="shared" si="3"/>
        <v/>
      </c>
    </row>
    <row r="583">
      <c r="J583" s="13" t="str">
        <f t="shared" si="1"/>
        <v/>
      </c>
      <c r="K583" s="13" t="str">
        <f t="shared" si="2"/>
        <v/>
      </c>
      <c r="L583" s="4" t="str">
        <f t="shared" si="3"/>
        <v/>
      </c>
    </row>
    <row r="584">
      <c r="J584" s="13" t="str">
        <f t="shared" si="1"/>
        <v/>
      </c>
      <c r="K584" s="13" t="str">
        <f t="shared" si="2"/>
        <v/>
      </c>
      <c r="L584" s="4" t="str">
        <f t="shared" si="3"/>
        <v/>
      </c>
    </row>
    <row r="585">
      <c r="J585" s="13" t="str">
        <f t="shared" si="1"/>
        <v/>
      </c>
      <c r="K585" s="13" t="str">
        <f t="shared" si="2"/>
        <v/>
      </c>
      <c r="L585" s="4" t="str">
        <f t="shared" si="3"/>
        <v/>
      </c>
    </row>
    <row r="586">
      <c r="J586" s="13" t="str">
        <f t="shared" si="1"/>
        <v/>
      </c>
      <c r="K586" s="13" t="str">
        <f t="shared" si="2"/>
        <v/>
      </c>
      <c r="L586" s="4" t="str">
        <f t="shared" si="3"/>
        <v/>
      </c>
    </row>
    <row r="587">
      <c r="J587" s="13" t="str">
        <f t="shared" si="1"/>
        <v/>
      </c>
      <c r="K587" s="13" t="str">
        <f t="shared" si="2"/>
        <v/>
      </c>
      <c r="L587" s="4" t="str">
        <f t="shared" si="3"/>
        <v/>
      </c>
    </row>
    <row r="588">
      <c r="J588" s="13" t="str">
        <f t="shared" si="1"/>
        <v/>
      </c>
      <c r="K588" s="13" t="str">
        <f t="shared" si="2"/>
        <v/>
      </c>
      <c r="L588" s="4" t="str">
        <f t="shared" si="3"/>
        <v/>
      </c>
    </row>
    <row r="589">
      <c r="J589" s="13" t="str">
        <f t="shared" si="1"/>
        <v/>
      </c>
      <c r="K589" s="13" t="str">
        <f t="shared" si="2"/>
        <v/>
      </c>
      <c r="L589" s="4" t="str">
        <f t="shared" si="3"/>
        <v/>
      </c>
    </row>
    <row r="590">
      <c r="J590" s="13" t="str">
        <f t="shared" si="1"/>
        <v/>
      </c>
      <c r="K590" s="13" t="str">
        <f t="shared" si="2"/>
        <v/>
      </c>
      <c r="L590" s="4" t="str">
        <f t="shared" si="3"/>
        <v/>
      </c>
    </row>
    <row r="591">
      <c r="J591" s="13" t="str">
        <f t="shared" si="1"/>
        <v/>
      </c>
      <c r="K591" s="13" t="str">
        <f t="shared" si="2"/>
        <v/>
      </c>
      <c r="L591" s="4" t="str">
        <f t="shared" si="3"/>
        <v/>
      </c>
    </row>
    <row r="592">
      <c r="J592" s="13" t="str">
        <f t="shared" si="1"/>
        <v/>
      </c>
      <c r="K592" s="13" t="str">
        <f t="shared" si="2"/>
        <v/>
      </c>
      <c r="L592" s="4" t="str">
        <f t="shared" si="3"/>
        <v/>
      </c>
    </row>
    <row r="593">
      <c r="J593" s="13" t="str">
        <f t="shared" si="1"/>
        <v/>
      </c>
      <c r="K593" s="13" t="str">
        <f t="shared" si="2"/>
        <v/>
      </c>
      <c r="L593" s="4" t="str">
        <f t="shared" si="3"/>
        <v/>
      </c>
    </row>
    <row r="594">
      <c r="J594" s="13" t="str">
        <f t="shared" si="1"/>
        <v/>
      </c>
      <c r="K594" s="13" t="str">
        <f t="shared" si="2"/>
        <v/>
      </c>
      <c r="L594" s="4" t="str">
        <f t="shared" si="3"/>
        <v/>
      </c>
    </row>
    <row r="595">
      <c r="J595" s="13" t="str">
        <f t="shared" si="1"/>
        <v/>
      </c>
      <c r="K595" s="13" t="str">
        <f t="shared" si="2"/>
        <v/>
      </c>
      <c r="L595" s="4" t="str">
        <f t="shared" si="3"/>
        <v/>
      </c>
    </row>
    <row r="596">
      <c r="J596" s="13" t="str">
        <f t="shared" si="1"/>
        <v/>
      </c>
      <c r="K596" s="13" t="str">
        <f t="shared" si="2"/>
        <v/>
      </c>
      <c r="L596" s="4" t="str">
        <f t="shared" si="3"/>
        <v/>
      </c>
    </row>
    <row r="597">
      <c r="J597" s="13" t="str">
        <f t="shared" si="1"/>
        <v/>
      </c>
      <c r="K597" s="13" t="str">
        <f t="shared" si="2"/>
        <v/>
      </c>
      <c r="L597" s="4" t="str">
        <f t="shared" si="3"/>
        <v/>
      </c>
    </row>
    <row r="598">
      <c r="J598" s="13" t="str">
        <f t="shared" si="1"/>
        <v/>
      </c>
      <c r="K598" s="13" t="str">
        <f t="shared" si="2"/>
        <v/>
      </c>
      <c r="L598" s="4" t="str">
        <f t="shared" si="3"/>
        <v/>
      </c>
    </row>
    <row r="599">
      <c r="J599" s="13" t="str">
        <f t="shared" si="1"/>
        <v/>
      </c>
      <c r="K599" s="13" t="str">
        <f t="shared" si="2"/>
        <v/>
      </c>
      <c r="L599" s="4" t="str">
        <f t="shared" si="3"/>
        <v/>
      </c>
    </row>
    <row r="600">
      <c r="J600" s="13" t="str">
        <f t="shared" si="1"/>
        <v/>
      </c>
      <c r="K600" s="13" t="str">
        <f t="shared" si="2"/>
        <v/>
      </c>
      <c r="L600" s="4" t="str">
        <f t="shared" si="3"/>
        <v/>
      </c>
    </row>
    <row r="601">
      <c r="J601" s="13" t="str">
        <f t="shared" si="1"/>
        <v/>
      </c>
      <c r="K601" s="13" t="str">
        <f t="shared" si="2"/>
        <v/>
      </c>
      <c r="L601" s="4" t="str">
        <f t="shared" si="3"/>
        <v/>
      </c>
    </row>
    <row r="602">
      <c r="J602" s="13" t="str">
        <f t="shared" si="1"/>
        <v/>
      </c>
      <c r="K602" s="13" t="str">
        <f t="shared" si="2"/>
        <v/>
      </c>
      <c r="L602" s="4" t="str">
        <f t="shared" si="3"/>
        <v/>
      </c>
    </row>
    <row r="603">
      <c r="J603" s="13" t="str">
        <f t="shared" si="1"/>
        <v/>
      </c>
      <c r="K603" s="13" t="str">
        <f t="shared" si="2"/>
        <v/>
      </c>
      <c r="L603" s="4" t="str">
        <f t="shared" si="3"/>
        <v/>
      </c>
    </row>
    <row r="604">
      <c r="J604" s="13" t="str">
        <f t="shared" si="1"/>
        <v/>
      </c>
      <c r="K604" s="13" t="str">
        <f t="shared" si="2"/>
        <v/>
      </c>
      <c r="L604" s="4" t="str">
        <f t="shared" si="3"/>
        <v/>
      </c>
    </row>
    <row r="605">
      <c r="J605" s="13" t="str">
        <f t="shared" si="1"/>
        <v/>
      </c>
      <c r="K605" s="13" t="str">
        <f t="shared" si="2"/>
        <v/>
      </c>
      <c r="L605" s="4" t="str">
        <f t="shared" si="3"/>
        <v/>
      </c>
    </row>
    <row r="606">
      <c r="J606" s="13" t="str">
        <f t="shared" si="1"/>
        <v/>
      </c>
      <c r="K606" s="13" t="str">
        <f t="shared" si="2"/>
        <v/>
      </c>
      <c r="L606" s="4" t="str">
        <f t="shared" si="3"/>
        <v/>
      </c>
    </row>
    <row r="607">
      <c r="J607" s="13" t="str">
        <f t="shared" si="1"/>
        <v/>
      </c>
      <c r="K607" s="13" t="str">
        <f t="shared" si="2"/>
        <v/>
      </c>
      <c r="L607" s="4" t="str">
        <f t="shared" si="3"/>
        <v/>
      </c>
    </row>
    <row r="608">
      <c r="J608" s="13" t="str">
        <f t="shared" si="1"/>
        <v/>
      </c>
      <c r="K608" s="13" t="str">
        <f t="shared" si="2"/>
        <v/>
      </c>
      <c r="L608" s="4" t="str">
        <f t="shared" si="3"/>
        <v/>
      </c>
    </row>
    <row r="609">
      <c r="J609" s="13" t="str">
        <f t="shared" si="1"/>
        <v/>
      </c>
      <c r="K609" s="13" t="str">
        <f t="shared" si="2"/>
        <v/>
      </c>
      <c r="L609" s="4" t="str">
        <f t="shared" si="3"/>
        <v/>
      </c>
    </row>
    <row r="610">
      <c r="J610" s="13" t="str">
        <f t="shared" si="1"/>
        <v/>
      </c>
      <c r="K610" s="13" t="str">
        <f t="shared" si="2"/>
        <v/>
      </c>
      <c r="L610" s="4" t="str">
        <f t="shared" si="3"/>
        <v/>
      </c>
    </row>
    <row r="611">
      <c r="J611" s="13" t="str">
        <f t="shared" si="1"/>
        <v/>
      </c>
      <c r="K611" s="13" t="str">
        <f t="shared" si="2"/>
        <v/>
      </c>
      <c r="L611" s="4" t="str">
        <f t="shared" si="3"/>
        <v/>
      </c>
    </row>
    <row r="612">
      <c r="J612" s="13" t="str">
        <f t="shared" si="1"/>
        <v/>
      </c>
      <c r="K612" s="13" t="str">
        <f t="shared" si="2"/>
        <v/>
      </c>
      <c r="L612" s="4" t="str">
        <f t="shared" si="3"/>
        <v/>
      </c>
    </row>
    <row r="613">
      <c r="J613" s="13" t="str">
        <f t="shared" si="1"/>
        <v/>
      </c>
      <c r="K613" s="13" t="str">
        <f t="shared" si="2"/>
        <v/>
      </c>
      <c r="L613" s="4" t="str">
        <f t="shared" si="3"/>
        <v/>
      </c>
    </row>
    <row r="614">
      <c r="J614" s="13" t="str">
        <f t="shared" si="1"/>
        <v/>
      </c>
      <c r="K614" s="13" t="str">
        <f t="shared" si="2"/>
        <v/>
      </c>
      <c r="L614" s="4" t="str">
        <f t="shared" si="3"/>
        <v/>
      </c>
    </row>
    <row r="615">
      <c r="J615" s="13" t="str">
        <f t="shared" si="1"/>
        <v/>
      </c>
      <c r="K615" s="13" t="str">
        <f t="shared" si="2"/>
        <v/>
      </c>
      <c r="L615" s="4" t="str">
        <f t="shared" si="3"/>
        <v/>
      </c>
    </row>
    <row r="616">
      <c r="J616" s="13" t="str">
        <f t="shared" si="1"/>
        <v/>
      </c>
      <c r="K616" s="13" t="str">
        <f t="shared" si="2"/>
        <v/>
      </c>
      <c r="L616" s="4" t="str">
        <f t="shared" si="3"/>
        <v/>
      </c>
    </row>
    <row r="617">
      <c r="J617" s="13" t="str">
        <f t="shared" si="1"/>
        <v/>
      </c>
      <c r="K617" s="13" t="str">
        <f t="shared" si="2"/>
        <v/>
      </c>
      <c r="L617" s="4" t="str">
        <f t="shared" si="3"/>
        <v/>
      </c>
    </row>
    <row r="618">
      <c r="J618" s="13" t="str">
        <f t="shared" si="1"/>
        <v/>
      </c>
      <c r="K618" s="13" t="str">
        <f t="shared" si="2"/>
        <v/>
      </c>
      <c r="L618" s="4" t="str">
        <f t="shared" si="3"/>
        <v/>
      </c>
    </row>
    <row r="619">
      <c r="J619" s="13" t="str">
        <f t="shared" si="1"/>
        <v/>
      </c>
      <c r="K619" s="13" t="str">
        <f t="shared" si="2"/>
        <v/>
      </c>
      <c r="L619" s="4" t="str">
        <f t="shared" si="3"/>
        <v/>
      </c>
    </row>
    <row r="620">
      <c r="J620" s="13" t="str">
        <f t="shared" si="1"/>
        <v/>
      </c>
      <c r="K620" s="13" t="str">
        <f t="shared" si="2"/>
        <v/>
      </c>
      <c r="L620" s="4" t="str">
        <f t="shared" si="3"/>
        <v/>
      </c>
    </row>
    <row r="621">
      <c r="J621" s="13" t="str">
        <f t="shared" si="1"/>
        <v/>
      </c>
      <c r="K621" s="13" t="str">
        <f t="shared" si="2"/>
        <v/>
      </c>
      <c r="L621" s="4" t="str">
        <f t="shared" si="3"/>
        <v/>
      </c>
    </row>
    <row r="622">
      <c r="J622" s="13" t="str">
        <f t="shared" si="1"/>
        <v/>
      </c>
      <c r="K622" s="13" t="str">
        <f t="shared" si="2"/>
        <v/>
      </c>
      <c r="L622" s="4" t="str">
        <f t="shared" si="3"/>
        <v/>
      </c>
    </row>
    <row r="623">
      <c r="J623" s="13" t="str">
        <f t="shared" si="1"/>
        <v/>
      </c>
      <c r="K623" s="13" t="str">
        <f t="shared" si="2"/>
        <v/>
      </c>
      <c r="L623" s="4" t="str">
        <f t="shared" si="3"/>
        <v/>
      </c>
    </row>
    <row r="624">
      <c r="J624" s="13" t="str">
        <f t="shared" si="1"/>
        <v/>
      </c>
      <c r="K624" s="13" t="str">
        <f t="shared" si="2"/>
        <v/>
      </c>
      <c r="L624" s="4" t="str">
        <f t="shared" si="3"/>
        <v/>
      </c>
    </row>
    <row r="625">
      <c r="J625" s="13" t="str">
        <f t="shared" si="1"/>
        <v/>
      </c>
      <c r="K625" s="13" t="str">
        <f t="shared" si="2"/>
        <v/>
      </c>
      <c r="L625" s="4" t="str">
        <f t="shared" si="3"/>
        <v/>
      </c>
    </row>
    <row r="626">
      <c r="J626" s="13" t="str">
        <f t="shared" si="1"/>
        <v/>
      </c>
      <c r="K626" s="13" t="str">
        <f t="shared" si="2"/>
        <v/>
      </c>
      <c r="L626" s="4" t="str">
        <f t="shared" si="3"/>
        <v/>
      </c>
    </row>
    <row r="627">
      <c r="J627" s="13" t="str">
        <f t="shared" si="1"/>
        <v/>
      </c>
      <c r="K627" s="13" t="str">
        <f t="shared" si="2"/>
        <v/>
      </c>
      <c r="L627" s="4" t="str">
        <f t="shared" si="3"/>
        <v/>
      </c>
    </row>
    <row r="628">
      <c r="J628" s="13" t="str">
        <f t="shared" si="1"/>
        <v/>
      </c>
      <c r="K628" s="13" t="str">
        <f t="shared" si="2"/>
        <v/>
      </c>
      <c r="L628" s="4" t="str">
        <f t="shared" si="3"/>
        <v/>
      </c>
    </row>
    <row r="629">
      <c r="J629" s="13" t="str">
        <f t="shared" si="1"/>
        <v/>
      </c>
      <c r="K629" s="13" t="str">
        <f t="shared" si="2"/>
        <v/>
      </c>
      <c r="L629" s="4" t="str">
        <f t="shared" si="3"/>
        <v/>
      </c>
    </row>
    <row r="630">
      <c r="J630" s="13" t="str">
        <f t="shared" si="1"/>
        <v/>
      </c>
      <c r="K630" s="13" t="str">
        <f t="shared" si="2"/>
        <v/>
      </c>
      <c r="L630" s="4" t="str">
        <f t="shared" si="3"/>
        <v/>
      </c>
    </row>
    <row r="631">
      <c r="J631" s="13" t="str">
        <f t="shared" si="1"/>
        <v/>
      </c>
      <c r="K631" s="13" t="str">
        <f t="shared" si="2"/>
        <v/>
      </c>
      <c r="L631" s="4" t="str">
        <f t="shared" si="3"/>
        <v/>
      </c>
    </row>
    <row r="632">
      <c r="J632" s="13" t="str">
        <f t="shared" si="1"/>
        <v/>
      </c>
      <c r="K632" s="13" t="str">
        <f t="shared" si="2"/>
        <v/>
      </c>
      <c r="L632" s="4" t="str">
        <f t="shared" si="3"/>
        <v/>
      </c>
    </row>
    <row r="633">
      <c r="J633" s="13" t="str">
        <f t="shared" si="1"/>
        <v/>
      </c>
      <c r="K633" s="13" t="str">
        <f t="shared" si="2"/>
        <v/>
      </c>
      <c r="L633" s="4" t="str">
        <f t="shared" si="3"/>
        <v/>
      </c>
    </row>
    <row r="634">
      <c r="J634" s="13" t="str">
        <f t="shared" si="1"/>
        <v/>
      </c>
      <c r="K634" s="13" t="str">
        <f t="shared" si="2"/>
        <v/>
      </c>
      <c r="L634" s="4" t="str">
        <f t="shared" si="3"/>
        <v/>
      </c>
    </row>
    <row r="635">
      <c r="J635" s="13" t="str">
        <f t="shared" si="1"/>
        <v/>
      </c>
      <c r="K635" s="13" t="str">
        <f t="shared" si="2"/>
        <v/>
      </c>
      <c r="L635" s="4" t="str">
        <f t="shared" si="3"/>
        <v/>
      </c>
    </row>
    <row r="636">
      <c r="J636" s="13" t="str">
        <f t="shared" si="1"/>
        <v/>
      </c>
      <c r="K636" s="13" t="str">
        <f t="shared" si="2"/>
        <v/>
      </c>
      <c r="L636" s="4" t="str">
        <f t="shared" si="3"/>
        <v/>
      </c>
    </row>
    <row r="637">
      <c r="J637" s="13" t="str">
        <f t="shared" si="1"/>
        <v/>
      </c>
      <c r="K637" s="13" t="str">
        <f t="shared" si="2"/>
        <v/>
      </c>
      <c r="L637" s="4" t="str">
        <f t="shared" si="3"/>
        <v/>
      </c>
    </row>
    <row r="638">
      <c r="J638" s="13" t="str">
        <f t="shared" si="1"/>
        <v/>
      </c>
      <c r="K638" s="13" t="str">
        <f t="shared" si="2"/>
        <v/>
      </c>
      <c r="L638" s="4" t="str">
        <f t="shared" si="3"/>
        <v/>
      </c>
    </row>
    <row r="639">
      <c r="J639" s="13" t="str">
        <f t="shared" si="1"/>
        <v/>
      </c>
      <c r="K639" s="13" t="str">
        <f t="shared" si="2"/>
        <v/>
      </c>
      <c r="L639" s="4" t="str">
        <f t="shared" si="3"/>
        <v/>
      </c>
    </row>
    <row r="640">
      <c r="J640" s="13" t="str">
        <f t="shared" si="1"/>
        <v/>
      </c>
      <c r="K640" s="13" t="str">
        <f t="shared" si="2"/>
        <v/>
      </c>
      <c r="L640" s="4" t="str">
        <f t="shared" si="3"/>
        <v/>
      </c>
    </row>
    <row r="641">
      <c r="J641" s="13" t="str">
        <f t="shared" si="1"/>
        <v/>
      </c>
      <c r="K641" s="13" t="str">
        <f t="shared" si="2"/>
        <v/>
      </c>
      <c r="L641" s="4" t="str">
        <f t="shared" si="3"/>
        <v/>
      </c>
    </row>
    <row r="642">
      <c r="J642" s="13" t="str">
        <f t="shared" si="1"/>
        <v/>
      </c>
      <c r="K642" s="13" t="str">
        <f t="shared" si="2"/>
        <v/>
      </c>
      <c r="L642" s="4" t="str">
        <f t="shared" si="3"/>
        <v/>
      </c>
    </row>
    <row r="643">
      <c r="J643" s="13" t="str">
        <f t="shared" si="1"/>
        <v/>
      </c>
      <c r="K643" s="13" t="str">
        <f t="shared" si="2"/>
        <v/>
      </c>
      <c r="L643" s="4" t="str">
        <f t="shared" si="3"/>
        <v/>
      </c>
    </row>
    <row r="644">
      <c r="J644" s="13" t="str">
        <f t="shared" si="1"/>
        <v/>
      </c>
      <c r="K644" s="13" t="str">
        <f t="shared" si="2"/>
        <v/>
      </c>
      <c r="L644" s="4" t="str">
        <f t="shared" si="3"/>
        <v/>
      </c>
    </row>
    <row r="645">
      <c r="J645" s="13" t="str">
        <f t="shared" si="1"/>
        <v/>
      </c>
      <c r="K645" s="13" t="str">
        <f t="shared" si="2"/>
        <v/>
      </c>
      <c r="L645" s="4" t="str">
        <f t="shared" si="3"/>
        <v/>
      </c>
    </row>
    <row r="646">
      <c r="J646" s="13" t="str">
        <f t="shared" si="1"/>
        <v/>
      </c>
      <c r="K646" s="13" t="str">
        <f t="shared" si="2"/>
        <v/>
      </c>
      <c r="L646" s="4" t="str">
        <f t="shared" si="3"/>
        <v/>
      </c>
    </row>
    <row r="647">
      <c r="J647" s="13" t="str">
        <f t="shared" si="1"/>
        <v/>
      </c>
      <c r="K647" s="13" t="str">
        <f t="shared" si="2"/>
        <v/>
      </c>
      <c r="L647" s="4" t="str">
        <f t="shared" si="3"/>
        <v/>
      </c>
    </row>
    <row r="648">
      <c r="J648" s="13" t="str">
        <f t="shared" si="1"/>
        <v/>
      </c>
      <c r="K648" s="13" t="str">
        <f t="shared" si="2"/>
        <v/>
      </c>
      <c r="L648" s="4" t="str">
        <f t="shared" si="3"/>
        <v/>
      </c>
    </row>
    <row r="649">
      <c r="J649" s="13" t="str">
        <f t="shared" si="1"/>
        <v/>
      </c>
      <c r="K649" s="13" t="str">
        <f t="shared" si="2"/>
        <v/>
      </c>
      <c r="L649" s="4" t="str">
        <f t="shared" si="3"/>
        <v/>
      </c>
    </row>
    <row r="650">
      <c r="J650" s="13" t="str">
        <f t="shared" si="1"/>
        <v/>
      </c>
      <c r="K650" s="13" t="str">
        <f t="shared" si="2"/>
        <v/>
      </c>
      <c r="L650" s="4" t="str">
        <f t="shared" si="3"/>
        <v/>
      </c>
    </row>
    <row r="651">
      <c r="J651" s="13" t="str">
        <f t="shared" si="1"/>
        <v/>
      </c>
      <c r="K651" s="13" t="str">
        <f t="shared" si="2"/>
        <v/>
      </c>
      <c r="L651" s="4" t="str">
        <f t="shared" si="3"/>
        <v/>
      </c>
    </row>
    <row r="652">
      <c r="J652" s="13" t="str">
        <f t="shared" si="1"/>
        <v/>
      </c>
      <c r="K652" s="13" t="str">
        <f t="shared" si="2"/>
        <v/>
      </c>
      <c r="L652" s="4" t="str">
        <f t="shared" si="3"/>
        <v/>
      </c>
    </row>
    <row r="653">
      <c r="J653" s="13" t="str">
        <f t="shared" si="1"/>
        <v/>
      </c>
      <c r="K653" s="13" t="str">
        <f t="shared" si="2"/>
        <v/>
      </c>
      <c r="L653" s="4" t="str">
        <f t="shared" si="3"/>
        <v/>
      </c>
    </row>
    <row r="654">
      <c r="J654" s="13" t="str">
        <f t="shared" si="1"/>
        <v/>
      </c>
      <c r="K654" s="13" t="str">
        <f t="shared" si="2"/>
        <v/>
      </c>
      <c r="L654" s="4" t="str">
        <f t="shared" si="3"/>
        <v/>
      </c>
    </row>
    <row r="655">
      <c r="J655" s="13" t="str">
        <f t="shared" si="1"/>
        <v/>
      </c>
      <c r="K655" s="13" t="str">
        <f t="shared" si="2"/>
        <v/>
      </c>
      <c r="L655" s="4" t="str">
        <f t="shared" si="3"/>
        <v/>
      </c>
    </row>
    <row r="656">
      <c r="J656" s="13" t="str">
        <f t="shared" si="1"/>
        <v/>
      </c>
      <c r="K656" s="13" t="str">
        <f t="shared" si="2"/>
        <v/>
      </c>
      <c r="L656" s="4" t="str">
        <f t="shared" si="3"/>
        <v/>
      </c>
    </row>
    <row r="657">
      <c r="J657" s="13" t="str">
        <f t="shared" si="1"/>
        <v/>
      </c>
      <c r="K657" s="13" t="str">
        <f t="shared" si="2"/>
        <v/>
      </c>
      <c r="L657" s="4" t="str">
        <f t="shared" si="3"/>
        <v/>
      </c>
    </row>
    <row r="658">
      <c r="J658" s="13" t="str">
        <f t="shared" si="1"/>
        <v/>
      </c>
      <c r="K658" s="13" t="str">
        <f t="shared" si="2"/>
        <v/>
      </c>
      <c r="L658" s="4" t="str">
        <f t="shared" si="3"/>
        <v/>
      </c>
    </row>
    <row r="659">
      <c r="J659" s="13" t="str">
        <f t="shared" si="1"/>
        <v/>
      </c>
      <c r="K659" s="13" t="str">
        <f t="shared" si="2"/>
        <v/>
      </c>
      <c r="L659" s="4" t="str">
        <f t="shared" si="3"/>
        <v/>
      </c>
    </row>
    <row r="660">
      <c r="J660" s="13" t="str">
        <f t="shared" si="1"/>
        <v/>
      </c>
      <c r="K660" s="13" t="str">
        <f t="shared" si="2"/>
        <v/>
      </c>
      <c r="L660" s="4" t="str">
        <f t="shared" si="3"/>
        <v/>
      </c>
    </row>
    <row r="661">
      <c r="J661" s="13" t="str">
        <f t="shared" si="1"/>
        <v/>
      </c>
      <c r="K661" s="13" t="str">
        <f t="shared" si="2"/>
        <v/>
      </c>
      <c r="L661" s="4" t="str">
        <f t="shared" si="3"/>
        <v/>
      </c>
    </row>
    <row r="662">
      <c r="J662" s="13" t="str">
        <f t="shared" si="1"/>
        <v/>
      </c>
      <c r="K662" s="13" t="str">
        <f t="shared" si="2"/>
        <v/>
      </c>
      <c r="L662" s="4" t="str">
        <f t="shared" si="3"/>
        <v/>
      </c>
    </row>
    <row r="663">
      <c r="J663" s="13" t="str">
        <f t="shared" si="1"/>
        <v/>
      </c>
      <c r="K663" s="13" t="str">
        <f t="shared" si="2"/>
        <v/>
      </c>
      <c r="L663" s="4" t="str">
        <f t="shared" si="3"/>
        <v/>
      </c>
    </row>
    <row r="664">
      <c r="J664" s="13" t="str">
        <f t="shared" si="1"/>
        <v/>
      </c>
      <c r="K664" s="13" t="str">
        <f t="shared" si="2"/>
        <v/>
      </c>
      <c r="L664" s="4" t="str">
        <f t="shared" si="3"/>
        <v/>
      </c>
    </row>
    <row r="665">
      <c r="J665" s="13" t="str">
        <f t="shared" si="1"/>
        <v/>
      </c>
      <c r="K665" s="13" t="str">
        <f t="shared" si="2"/>
        <v/>
      </c>
      <c r="L665" s="4" t="str">
        <f t="shared" si="3"/>
        <v/>
      </c>
    </row>
    <row r="666">
      <c r="J666" s="13" t="str">
        <f t="shared" si="1"/>
        <v/>
      </c>
      <c r="K666" s="13" t="str">
        <f t="shared" si="2"/>
        <v/>
      </c>
      <c r="L666" s="4" t="str">
        <f t="shared" si="3"/>
        <v/>
      </c>
    </row>
    <row r="667">
      <c r="J667" s="13" t="str">
        <f t="shared" si="1"/>
        <v/>
      </c>
      <c r="K667" s="13" t="str">
        <f t="shared" si="2"/>
        <v/>
      </c>
      <c r="L667" s="4" t="str">
        <f t="shared" si="3"/>
        <v/>
      </c>
    </row>
    <row r="668">
      <c r="J668" s="13" t="str">
        <f t="shared" si="1"/>
        <v/>
      </c>
      <c r="K668" s="13" t="str">
        <f t="shared" si="2"/>
        <v/>
      </c>
      <c r="L668" s="4" t="str">
        <f t="shared" si="3"/>
        <v/>
      </c>
    </row>
    <row r="669">
      <c r="J669" s="13" t="str">
        <f t="shared" si="1"/>
        <v/>
      </c>
      <c r="K669" s="13" t="str">
        <f t="shared" si="2"/>
        <v/>
      </c>
      <c r="L669" s="4" t="str">
        <f t="shared" si="3"/>
        <v/>
      </c>
    </row>
    <row r="670">
      <c r="J670" s="13" t="str">
        <f t="shared" si="1"/>
        <v/>
      </c>
      <c r="K670" s="13" t="str">
        <f t="shared" si="2"/>
        <v/>
      </c>
      <c r="L670" s="4" t="str">
        <f t="shared" si="3"/>
        <v/>
      </c>
    </row>
    <row r="671">
      <c r="J671" s="13" t="str">
        <f t="shared" si="1"/>
        <v/>
      </c>
      <c r="K671" s="13" t="str">
        <f t="shared" si="2"/>
        <v/>
      </c>
      <c r="L671" s="4" t="str">
        <f t="shared" si="3"/>
        <v/>
      </c>
    </row>
    <row r="672">
      <c r="J672" s="13" t="str">
        <f t="shared" si="1"/>
        <v/>
      </c>
      <c r="K672" s="13" t="str">
        <f t="shared" si="2"/>
        <v/>
      </c>
      <c r="L672" s="4" t="str">
        <f t="shared" si="3"/>
        <v/>
      </c>
    </row>
    <row r="673">
      <c r="J673" s="13" t="str">
        <f t="shared" si="1"/>
        <v/>
      </c>
      <c r="K673" s="13" t="str">
        <f t="shared" si="2"/>
        <v/>
      </c>
      <c r="L673" s="4" t="str">
        <f t="shared" si="3"/>
        <v/>
      </c>
    </row>
    <row r="674">
      <c r="J674" s="13" t="str">
        <f t="shared" si="1"/>
        <v/>
      </c>
      <c r="K674" s="13" t="str">
        <f t="shared" si="2"/>
        <v/>
      </c>
      <c r="L674" s="4" t="str">
        <f t="shared" si="3"/>
        <v/>
      </c>
    </row>
    <row r="675">
      <c r="J675" s="13" t="str">
        <f t="shared" si="1"/>
        <v/>
      </c>
      <c r="K675" s="13" t="str">
        <f t="shared" si="2"/>
        <v/>
      </c>
      <c r="L675" s="4" t="str">
        <f t="shared" si="3"/>
        <v/>
      </c>
    </row>
    <row r="676">
      <c r="J676" s="13" t="str">
        <f t="shared" si="1"/>
        <v/>
      </c>
      <c r="K676" s="13" t="str">
        <f t="shared" si="2"/>
        <v/>
      </c>
      <c r="L676" s="4" t="str">
        <f t="shared" si="3"/>
        <v/>
      </c>
    </row>
    <row r="677">
      <c r="J677" s="13" t="str">
        <f t="shared" si="1"/>
        <v/>
      </c>
      <c r="K677" s="13" t="str">
        <f t="shared" si="2"/>
        <v/>
      </c>
      <c r="L677" s="4" t="str">
        <f t="shared" si="3"/>
        <v/>
      </c>
    </row>
    <row r="678">
      <c r="J678" s="13" t="str">
        <f t="shared" si="1"/>
        <v/>
      </c>
      <c r="K678" s="13" t="str">
        <f t="shared" si="2"/>
        <v/>
      </c>
      <c r="L678" s="4" t="str">
        <f t="shared" si="3"/>
        <v/>
      </c>
    </row>
    <row r="679">
      <c r="J679" s="13" t="str">
        <f t="shared" si="1"/>
        <v/>
      </c>
      <c r="K679" s="13" t="str">
        <f t="shared" si="2"/>
        <v/>
      </c>
      <c r="L679" s="4" t="str">
        <f t="shared" si="3"/>
        <v/>
      </c>
    </row>
    <row r="680">
      <c r="J680" s="13" t="str">
        <f t="shared" si="1"/>
        <v/>
      </c>
      <c r="K680" s="13" t="str">
        <f t="shared" si="2"/>
        <v/>
      </c>
      <c r="L680" s="4" t="str">
        <f t="shared" si="3"/>
        <v/>
      </c>
    </row>
    <row r="681">
      <c r="J681" s="13" t="str">
        <f t="shared" si="1"/>
        <v/>
      </c>
      <c r="K681" s="13" t="str">
        <f t="shared" si="2"/>
        <v/>
      </c>
      <c r="L681" s="4" t="str">
        <f t="shared" si="3"/>
        <v/>
      </c>
    </row>
    <row r="682">
      <c r="J682" s="13" t="str">
        <f t="shared" si="1"/>
        <v/>
      </c>
      <c r="K682" s="13" t="str">
        <f t="shared" si="2"/>
        <v/>
      </c>
      <c r="L682" s="4" t="str">
        <f t="shared" si="3"/>
        <v/>
      </c>
    </row>
    <row r="683">
      <c r="J683" s="13" t="str">
        <f t="shared" si="1"/>
        <v/>
      </c>
      <c r="K683" s="13" t="str">
        <f t="shared" si="2"/>
        <v/>
      </c>
      <c r="L683" s="4" t="str">
        <f t="shared" si="3"/>
        <v/>
      </c>
    </row>
    <row r="684">
      <c r="J684" s="13" t="str">
        <f t="shared" si="1"/>
        <v/>
      </c>
      <c r="K684" s="13" t="str">
        <f t="shared" si="2"/>
        <v/>
      </c>
      <c r="L684" s="4" t="str">
        <f t="shared" si="3"/>
        <v/>
      </c>
    </row>
    <row r="685">
      <c r="J685" s="13" t="str">
        <f t="shared" si="1"/>
        <v/>
      </c>
      <c r="K685" s="13" t="str">
        <f t="shared" si="2"/>
        <v/>
      </c>
      <c r="L685" s="4" t="str">
        <f t="shared" si="3"/>
        <v/>
      </c>
    </row>
    <row r="686">
      <c r="J686" s="13" t="str">
        <f t="shared" si="1"/>
        <v/>
      </c>
      <c r="K686" s="13" t="str">
        <f t="shared" si="2"/>
        <v/>
      </c>
      <c r="L686" s="4" t="str">
        <f t="shared" si="3"/>
        <v/>
      </c>
    </row>
    <row r="687">
      <c r="J687" s="13" t="str">
        <f t="shared" si="1"/>
        <v/>
      </c>
      <c r="K687" s="13" t="str">
        <f t="shared" si="2"/>
        <v/>
      </c>
      <c r="L687" s="4" t="str">
        <f t="shared" si="3"/>
        <v/>
      </c>
    </row>
    <row r="688">
      <c r="J688" s="13" t="str">
        <f t="shared" si="1"/>
        <v/>
      </c>
      <c r="K688" s="13" t="str">
        <f t="shared" si="2"/>
        <v/>
      </c>
      <c r="L688" s="4" t="str">
        <f t="shared" si="3"/>
        <v/>
      </c>
    </row>
    <row r="689">
      <c r="J689" s="13" t="str">
        <f t="shared" si="1"/>
        <v/>
      </c>
      <c r="K689" s="13" t="str">
        <f t="shared" si="2"/>
        <v/>
      </c>
      <c r="L689" s="4" t="str">
        <f t="shared" si="3"/>
        <v/>
      </c>
    </row>
    <row r="690">
      <c r="J690" s="13" t="str">
        <f t="shared" si="1"/>
        <v/>
      </c>
      <c r="K690" s="13" t="str">
        <f t="shared" si="2"/>
        <v/>
      </c>
      <c r="L690" s="4" t="str">
        <f t="shared" si="3"/>
        <v/>
      </c>
    </row>
    <row r="691">
      <c r="J691" s="13" t="str">
        <f t="shared" si="1"/>
        <v/>
      </c>
      <c r="K691" s="13" t="str">
        <f t="shared" si="2"/>
        <v/>
      </c>
      <c r="L691" s="4" t="str">
        <f t="shared" si="3"/>
        <v/>
      </c>
    </row>
    <row r="692">
      <c r="J692" s="13" t="str">
        <f t="shared" si="1"/>
        <v/>
      </c>
      <c r="K692" s="13" t="str">
        <f t="shared" si="2"/>
        <v/>
      </c>
      <c r="L692" s="4" t="str">
        <f t="shared" si="3"/>
        <v/>
      </c>
    </row>
    <row r="693">
      <c r="J693" s="13" t="str">
        <f t="shared" si="1"/>
        <v/>
      </c>
      <c r="K693" s="13" t="str">
        <f t="shared" si="2"/>
        <v/>
      </c>
      <c r="L693" s="4" t="str">
        <f t="shared" si="3"/>
        <v/>
      </c>
    </row>
    <row r="694">
      <c r="J694" s="13" t="str">
        <f t="shared" si="1"/>
        <v/>
      </c>
      <c r="K694" s="13" t="str">
        <f t="shared" si="2"/>
        <v/>
      </c>
      <c r="L694" s="4" t="str">
        <f t="shared" si="3"/>
        <v/>
      </c>
    </row>
    <row r="695">
      <c r="J695" s="13" t="str">
        <f t="shared" si="1"/>
        <v/>
      </c>
      <c r="K695" s="13" t="str">
        <f t="shared" si="2"/>
        <v/>
      </c>
      <c r="L695" s="4" t="str">
        <f t="shared" si="3"/>
        <v/>
      </c>
    </row>
    <row r="696">
      <c r="J696" s="13" t="str">
        <f t="shared" si="1"/>
        <v/>
      </c>
      <c r="K696" s="13" t="str">
        <f t="shared" si="2"/>
        <v/>
      </c>
      <c r="L696" s="4" t="str">
        <f t="shared" si="3"/>
        <v/>
      </c>
    </row>
    <row r="697">
      <c r="J697" s="13" t="str">
        <f t="shared" si="1"/>
        <v/>
      </c>
      <c r="K697" s="13" t="str">
        <f t="shared" si="2"/>
        <v/>
      </c>
      <c r="L697" s="4" t="str">
        <f t="shared" si="3"/>
        <v/>
      </c>
    </row>
    <row r="698">
      <c r="J698" s="13" t="str">
        <f t="shared" si="1"/>
        <v/>
      </c>
      <c r="K698" s="13" t="str">
        <f t="shared" si="2"/>
        <v/>
      </c>
      <c r="L698" s="4" t="str">
        <f t="shared" si="3"/>
        <v/>
      </c>
    </row>
    <row r="699">
      <c r="J699" s="13" t="str">
        <f t="shared" si="1"/>
        <v/>
      </c>
      <c r="K699" s="13" t="str">
        <f t="shared" si="2"/>
        <v/>
      </c>
      <c r="L699" s="4" t="str">
        <f t="shared" si="3"/>
        <v/>
      </c>
    </row>
    <row r="700">
      <c r="J700" s="13" t="str">
        <f t="shared" si="1"/>
        <v/>
      </c>
      <c r="K700" s="13" t="str">
        <f t="shared" si="2"/>
        <v/>
      </c>
      <c r="L700" s="4" t="str">
        <f t="shared" si="3"/>
        <v/>
      </c>
    </row>
    <row r="701">
      <c r="J701" s="13" t="str">
        <f t="shared" si="1"/>
        <v/>
      </c>
      <c r="K701" s="13" t="str">
        <f t="shared" si="2"/>
        <v/>
      </c>
      <c r="L701" s="4" t="str">
        <f t="shared" si="3"/>
        <v/>
      </c>
    </row>
    <row r="702">
      <c r="J702" s="13" t="str">
        <f t="shared" si="1"/>
        <v/>
      </c>
      <c r="K702" s="13" t="str">
        <f t="shared" si="2"/>
        <v/>
      </c>
      <c r="L702" s="4" t="str">
        <f t="shared" si="3"/>
        <v/>
      </c>
    </row>
    <row r="703">
      <c r="J703" s="13" t="str">
        <f t="shared" si="1"/>
        <v/>
      </c>
      <c r="K703" s="13" t="str">
        <f t="shared" si="2"/>
        <v/>
      </c>
      <c r="L703" s="4" t="str">
        <f t="shared" si="3"/>
        <v/>
      </c>
    </row>
    <row r="704">
      <c r="J704" s="13" t="str">
        <f t="shared" si="1"/>
        <v/>
      </c>
      <c r="K704" s="13" t="str">
        <f t="shared" si="2"/>
        <v/>
      </c>
      <c r="L704" s="4" t="str">
        <f t="shared" si="3"/>
        <v/>
      </c>
    </row>
    <row r="705">
      <c r="J705" s="13" t="str">
        <f t="shared" si="1"/>
        <v/>
      </c>
      <c r="K705" s="13" t="str">
        <f t="shared" si="2"/>
        <v/>
      </c>
      <c r="L705" s="4" t="str">
        <f t="shared" si="3"/>
        <v/>
      </c>
    </row>
    <row r="706">
      <c r="J706" s="13" t="str">
        <f t="shared" si="1"/>
        <v/>
      </c>
      <c r="K706" s="13" t="str">
        <f t="shared" si="2"/>
        <v/>
      </c>
      <c r="L706" s="4" t="str">
        <f t="shared" si="3"/>
        <v/>
      </c>
    </row>
    <row r="707">
      <c r="J707" s="13" t="str">
        <f t="shared" si="1"/>
        <v/>
      </c>
      <c r="K707" s="13" t="str">
        <f t="shared" si="2"/>
        <v/>
      </c>
      <c r="L707" s="4" t="str">
        <f t="shared" si="3"/>
        <v/>
      </c>
    </row>
    <row r="708">
      <c r="J708" s="13" t="str">
        <f t="shared" si="1"/>
        <v/>
      </c>
      <c r="K708" s="13" t="str">
        <f t="shared" si="2"/>
        <v/>
      </c>
      <c r="L708" s="4" t="str">
        <f t="shared" si="3"/>
        <v/>
      </c>
    </row>
    <row r="709">
      <c r="J709" s="13" t="str">
        <f t="shared" si="1"/>
        <v/>
      </c>
      <c r="K709" s="13" t="str">
        <f t="shared" si="2"/>
        <v/>
      </c>
      <c r="L709" s="4" t="str">
        <f t="shared" si="3"/>
        <v/>
      </c>
    </row>
    <row r="710">
      <c r="J710" s="13" t="str">
        <f t="shared" si="1"/>
        <v/>
      </c>
      <c r="K710" s="13" t="str">
        <f t="shared" si="2"/>
        <v/>
      </c>
      <c r="L710" s="4" t="str">
        <f t="shared" si="3"/>
        <v/>
      </c>
    </row>
    <row r="711">
      <c r="J711" s="13" t="str">
        <f t="shared" si="1"/>
        <v/>
      </c>
      <c r="K711" s="13" t="str">
        <f t="shared" si="2"/>
        <v/>
      </c>
      <c r="L711" s="4" t="str">
        <f t="shared" si="3"/>
        <v/>
      </c>
    </row>
    <row r="712">
      <c r="J712" s="13" t="str">
        <f t="shared" si="1"/>
        <v/>
      </c>
      <c r="K712" s="13" t="str">
        <f t="shared" si="2"/>
        <v/>
      </c>
      <c r="L712" s="4" t="str">
        <f t="shared" si="3"/>
        <v/>
      </c>
    </row>
    <row r="713">
      <c r="J713" s="13" t="str">
        <f t="shared" si="1"/>
        <v/>
      </c>
      <c r="K713" s="13" t="str">
        <f t="shared" si="2"/>
        <v/>
      </c>
      <c r="L713" s="4" t="str">
        <f t="shared" si="3"/>
        <v/>
      </c>
    </row>
    <row r="714">
      <c r="J714" s="13" t="str">
        <f t="shared" si="1"/>
        <v/>
      </c>
      <c r="K714" s="13" t="str">
        <f t="shared" si="2"/>
        <v/>
      </c>
      <c r="L714" s="4" t="str">
        <f t="shared" si="3"/>
        <v/>
      </c>
    </row>
    <row r="715">
      <c r="J715" s="13" t="str">
        <f t="shared" si="1"/>
        <v/>
      </c>
      <c r="K715" s="13" t="str">
        <f t="shared" si="2"/>
        <v/>
      </c>
      <c r="L715" s="4" t="str">
        <f t="shared" si="3"/>
        <v/>
      </c>
    </row>
    <row r="716">
      <c r="J716" s="13" t="str">
        <f t="shared" si="1"/>
        <v/>
      </c>
      <c r="K716" s="13" t="str">
        <f t="shared" si="2"/>
        <v/>
      </c>
      <c r="L716" s="4" t="str">
        <f t="shared" si="3"/>
        <v/>
      </c>
    </row>
    <row r="717">
      <c r="J717" s="13" t="str">
        <f t="shared" si="1"/>
        <v/>
      </c>
      <c r="K717" s="13" t="str">
        <f t="shared" si="2"/>
        <v/>
      </c>
      <c r="L717" s="4" t="str">
        <f t="shared" si="3"/>
        <v/>
      </c>
    </row>
    <row r="718">
      <c r="J718" s="13" t="str">
        <f t="shared" si="1"/>
        <v/>
      </c>
      <c r="K718" s="13" t="str">
        <f t="shared" si="2"/>
        <v/>
      </c>
      <c r="L718" s="4" t="str">
        <f t="shared" si="3"/>
        <v/>
      </c>
    </row>
    <row r="719">
      <c r="J719" s="13" t="str">
        <f t="shared" si="1"/>
        <v/>
      </c>
      <c r="K719" s="13" t="str">
        <f t="shared" si="2"/>
        <v/>
      </c>
      <c r="L719" s="4" t="str">
        <f t="shared" si="3"/>
        <v/>
      </c>
    </row>
    <row r="720">
      <c r="J720" s="13" t="str">
        <f t="shared" si="1"/>
        <v/>
      </c>
      <c r="K720" s="13" t="str">
        <f t="shared" si="2"/>
        <v/>
      </c>
      <c r="L720" s="4" t="str">
        <f t="shared" si="3"/>
        <v/>
      </c>
    </row>
    <row r="721">
      <c r="J721" s="13" t="str">
        <f t="shared" si="1"/>
        <v/>
      </c>
      <c r="K721" s="13" t="str">
        <f t="shared" si="2"/>
        <v/>
      </c>
      <c r="L721" s="4" t="str">
        <f t="shared" si="3"/>
        <v/>
      </c>
    </row>
    <row r="722">
      <c r="J722" s="13" t="str">
        <f t="shared" si="1"/>
        <v/>
      </c>
      <c r="K722" s="13" t="str">
        <f t="shared" si="2"/>
        <v/>
      </c>
      <c r="L722" s="4" t="str">
        <f t="shared" si="3"/>
        <v/>
      </c>
    </row>
    <row r="723">
      <c r="J723" s="13" t="str">
        <f t="shared" si="1"/>
        <v/>
      </c>
      <c r="K723" s="13" t="str">
        <f t="shared" si="2"/>
        <v/>
      </c>
      <c r="L723" s="4" t="str">
        <f t="shared" si="3"/>
        <v/>
      </c>
    </row>
    <row r="724">
      <c r="J724" s="13" t="str">
        <f t="shared" si="1"/>
        <v/>
      </c>
      <c r="K724" s="13" t="str">
        <f t="shared" si="2"/>
        <v/>
      </c>
      <c r="L724" s="4" t="str">
        <f t="shared" si="3"/>
        <v/>
      </c>
    </row>
    <row r="725">
      <c r="J725" s="13" t="str">
        <f t="shared" si="1"/>
        <v/>
      </c>
      <c r="K725" s="13" t="str">
        <f t="shared" si="2"/>
        <v/>
      </c>
      <c r="L725" s="4" t="str">
        <f t="shared" si="3"/>
        <v/>
      </c>
    </row>
    <row r="726">
      <c r="J726" s="13" t="str">
        <f t="shared" si="1"/>
        <v/>
      </c>
      <c r="K726" s="13" t="str">
        <f t="shared" si="2"/>
        <v/>
      </c>
      <c r="L726" s="4" t="str">
        <f t="shared" si="3"/>
        <v/>
      </c>
    </row>
    <row r="727">
      <c r="J727" s="13" t="str">
        <f t="shared" si="1"/>
        <v/>
      </c>
      <c r="K727" s="13" t="str">
        <f t="shared" si="2"/>
        <v/>
      </c>
      <c r="L727" s="4" t="str">
        <f t="shared" si="3"/>
        <v/>
      </c>
    </row>
    <row r="728">
      <c r="J728" s="13" t="str">
        <f t="shared" si="1"/>
        <v/>
      </c>
      <c r="K728" s="13" t="str">
        <f t="shared" si="2"/>
        <v/>
      </c>
      <c r="L728" s="4" t="str">
        <f t="shared" si="3"/>
        <v/>
      </c>
    </row>
    <row r="729">
      <c r="J729" s="13" t="str">
        <f t="shared" si="1"/>
        <v/>
      </c>
      <c r="K729" s="13" t="str">
        <f t="shared" si="2"/>
        <v/>
      </c>
      <c r="L729" s="4" t="str">
        <f t="shared" si="3"/>
        <v/>
      </c>
    </row>
    <row r="730">
      <c r="J730" s="13" t="str">
        <f t="shared" si="1"/>
        <v/>
      </c>
      <c r="K730" s="13" t="str">
        <f t="shared" si="2"/>
        <v/>
      </c>
      <c r="L730" s="4" t="str">
        <f t="shared" si="3"/>
        <v/>
      </c>
    </row>
    <row r="731">
      <c r="J731" s="13" t="str">
        <f t="shared" si="1"/>
        <v/>
      </c>
      <c r="K731" s="13" t="str">
        <f t="shared" si="2"/>
        <v/>
      </c>
      <c r="L731" s="4" t="str">
        <f t="shared" si="3"/>
        <v/>
      </c>
    </row>
    <row r="732">
      <c r="J732" s="13" t="str">
        <f t="shared" si="1"/>
        <v/>
      </c>
      <c r="K732" s="13" t="str">
        <f t="shared" si="2"/>
        <v/>
      </c>
      <c r="L732" s="4" t="str">
        <f t="shared" si="3"/>
        <v/>
      </c>
    </row>
    <row r="733">
      <c r="J733" s="13" t="str">
        <f t="shared" si="1"/>
        <v/>
      </c>
      <c r="K733" s="13" t="str">
        <f t="shared" si="2"/>
        <v/>
      </c>
      <c r="L733" s="4" t="str">
        <f t="shared" si="3"/>
        <v/>
      </c>
    </row>
    <row r="734">
      <c r="J734" s="13" t="str">
        <f t="shared" si="1"/>
        <v/>
      </c>
      <c r="K734" s="13" t="str">
        <f t="shared" si="2"/>
        <v/>
      </c>
      <c r="L734" s="4" t="str">
        <f t="shared" si="3"/>
        <v/>
      </c>
    </row>
    <row r="735">
      <c r="J735" s="13" t="str">
        <f t="shared" si="1"/>
        <v/>
      </c>
      <c r="K735" s="13" t="str">
        <f t="shared" si="2"/>
        <v/>
      </c>
      <c r="L735" s="4" t="str">
        <f t="shared" si="3"/>
        <v/>
      </c>
    </row>
    <row r="736">
      <c r="J736" s="13" t="str">
        <f t="shared" si="1"/>
        <v/>
      </c>
      <c r="K736" s="13" t="str">
        <f t="shared" si="2"/>
        <v/>
      </c>
      <c r="L736" s="4" t="str">
        <f t="shared" si="3"/>
        <v/>
      </c>
    </row>
    <row r="737">
      <c r="J737" s="13" t="str">
        <f t="shared" si="1"/>
        <v/>
      </c>
      <c r="K737" s="13" t="str">
        <f t="shared" si="2"/>
        <v/>
      </c>
      <c r="L737" s="4" t="str">
        <f t="shared" si="3"/>
        <v/>
      </c>
    </row>
    <row r="738">
      <c r="J738" s="13" t="str">
        <f t="shared" si="1"/>
        <v/>
      </c>
      <c r="K738" s="13" t="str">
        <f t="shared" si="2"/>
        <v/>
      </c>
      <c r="L738" s="4" t="str">
        <f t="shared" si="3"/>
        <v/>
      </c>
    </row>
    <row r="739">
      <c r="J739" s="13" t="str">
        <f t="shared" si="1"/>
        <v/>
      </c>
      <c r="K739" s="13" t="str">
        <f t="shared" si="2"/>
        <v/>
      </c>
      <c r="L739" s="4" t="str">
        <f t="shared" si="3"/>
        <v/>
      </c>
    </row>
    <row r="740">
      <c r="J740" s="13" t="str">
        <f t="shared" si="1"/>
        <v/>
      </c>
      <c r="K740" s="13" t="str">
        <f t="shared" si="2"/>
        <v/>
      </c>
      <c r="L740" s="4" t="str">
        <f t="shared" si="3"/>
        <v/>
      </c>
    </row>
    <row r="741">
      <c r="J741" s="13" t="str">
        <f t="shared" si="1"/>
        <v/>
      </c>
      <c r="K741" s="13" t="str">
        <f t="shared" si="2"/>
        <v/>
      </c>
      <c r="L741" s="4" t="str">
        <f t="shared" si="3"/>
        <v/>
      </c>
    </row>
    <row r="742">
      <c r="J742" s="13" t="str">
        <f t="shared" si="1"/>
        <v/>
      </c>
      <c r="K742" s="13" t="str">
        <f t="shared" si="2"/>
        <v/>
      </c>
      <c r="L742" s="4" t="str">
        <f t="shared" si="3"/>
        <v/>
      </c>
    </row>
    <row r="743">
      <c r="J743" s="13" t="str">
        <f t="shared" si="1"/>
        <v/>
      </c>
      <c r="K743" s="13" t="str">
        <f t="shared" si="2"/>
        <v/>
      </c>
      <c r="L743" s="4" t="str">
        <f t="shared" si="3"/>
        <v/>
      </c>
    </row>
    <row r="744">
      <c r="J744" s="13" t="str">
        <f t="shared" si="1"/>
        <v/>
      </c>
      <c r="K744" s="13" t="str">
        <f t="shared" si="2"/>
        <v/>
      </c>
      <c r="L744" s="4" t="str">
        <f t="shared" si="3"/>
        <v/>
      </c>
    </row>
    <row r="745">
      <c r="J745" s="13" t="str">
        <f t="shared" si="1"/>
        <v/>
      </c>
      <c r="K745" s="13" t="str">
        <f t="shared" si="2"/>
        <v/>
      </c>
      <c r="L745" s="4" t="str">
        <f t="shared" si="3"/>
        <v/>
      </c>
    </row>
    <row r="746">
      <c r="J746" s="13" t="str">
        <f t="shared" si="1"/>
        <v/>
      </c>
      <c r="K746" s="13" t="str">
        <f t="shared" si="2"/>
        <v/>
      </c>
      <c r="L746" s="4" t="str">
        <f t="shared" si="3"/>
        <v/>
      </c>
    </row>
    <row r="747">
      <c r="J747" s="13" t="str">
        <f t="shared" si="1"/>
        <v/>
      </c>
      <c r="K747" s="13" t="str">
        <f t="shared" si="2"/>
        <v/>
      </c>
      <c r="L747" s="4" t="str">
        <f t="shared" si="3"/>
        <v/>
      </c>
    </row>
    <row r="748">
      <c r="J748" s="13" t="str">
        <f t="shared" si="1"/>
        <v/>
      </c>
      <c r="K748" s="13" t="str">
        <f t="shared" si="2"/>
        <v/>
      </c>
      <c r="L748" s="4" t="str">
        <f t="shared" si="3"/>
        <v/>
      </c>
    </row>
    <row r="749">
      <c r="J749" s="13" t="str">
        <f t="shared" si="1"/>
        <v/>
      </c>
      <c r="K749" s="13" t="str">
        <f t="shared" si="2"/>
        <v/>
      </c>
      <c r="L749" s="4" t="str">
        <f t="shared" si="3"/>
        <v/>
      </c>
    </row>
    <row r="750">
      <c r="J750" s="13" t="str">
        <f t="shared" si="1"/>
        <v/>
      </c>
      <c r="K750" s="13" t="str">
        <f t="shared" si="2"/>
        <v/>
      </c>
      <c r="L750" s="4" t="str">
        <f t="shared" si="3"/>
        <v/>
      </c>
    </row>
    <row r="751">
      <c r="J751" s="13" t="str">
        <f t="shared" si="1"/>
        <v/>
      </c>
      <c r="K751" s="13" t="str">
        <f t="shared" si="2"/>
        <v/>
      </c>
      <c r="L751" s="4" t="str">
        <f t="shared" si="3"/>
        <v/>
      </c>
    </row>
    <row r="752">
      <c r="J752" s="13" t="str">
        <f t="shared" si="1"/>
        <v/>
      </c>
      <c r="K752" s="13" t="str">
        <f t="shared" si="2"/>
        <v/>
      </c>
      <c r="L752" s="4" t="str">
        <f t="shared" si="3"/>
        <v/>
      </c>
    </row>
    <row r="753">
      <c r="J753" s="13" t="str">
        <f t="shared" si="1"/>
        <v/>
      </c>
      <c r="K753" s="13" t="str">
        <f t="shared" si="2"/>
        <v/>
      </c>
      <c r="L753" s="4" t="str">
        <f t="shared" si="3"/>
        <v/>
      </c>
    </row>
    <row r="754">
      <c r="J754" s="13" t="str">
        <f t="shared" si="1"/>
        <v/>
      </c>
      <c r="K754" s="13" t="str">
        <f t="shared" si="2"/>
        <v/>
      </c>
      <c r="L754" s="4" t="str">
        <f t="shared" si="3"/>
        <v/>
      </c>
    </row>
    <row r="755">
      <c r="J755" s="13" t="str">
        <f t="shared" si="1"/>
        <v/>
      </c>
      <c r="K755" s="13" t="str">
        <f t="shared" si="2"/>
        <v/>
      </c>
      <c r="L755" s="4" t="str">
        <f t="shared" si="3"/>
        <v/>
      </c>
    </row>
    <row r="756">
      <c r="J756" s="13" t="str">
        <f t="shared" si="1"/>
        <v/>
      </c>
      <c r="K756" s="13" t="str">
        <f t="shared" si="2"/>
        <v/>
      </c>
      <c r="L756" s="4" t="str">
        <f t="shared" si="3"/>
        <v/>
      </c>
    </row>
    <row r="757">
      <c r="J757" s="13" t="str">
        <f t="shared" si="1"/>
        <v/>
      </c>
      <c r="K757" s="13" t="str">
        <f t="shared" si="2"/>
        <v/>
      </c>
      <c r="L757" s="4" t="str">
        <f t="shared" si="3"/>
        <v/>
      </c>
    </row>
    <row r="758">
      <c r="J758" s="13" t="str">
        <f t="shared" si="1"/>
        <v/>
      </c>
      <c r="K758" s="13" t="str">
        <f t="shared" si="2"/>
        <v/>
      </c>
      <c r="L758" s="4" t="str">
        <f t="shared" si="3"/>
        <v/>
      </c>
    </row>
    <row r="759">
      <c r="J759" s="13" t="str">
        <f t="shared" si="1"/>
        <v/>
      </c>
      <c r="K759" s="13" t="str">
        <f t="shared" si="2"/>
        <v/>
      </c>
      <c r="L759" s="4" t="str">
        <f t="shared" si="3"/>
        <v/>
      </c>
    </row>
    <row r="760">
      <c r="J760" s="13" t="str">
        <f t="shared" si="1"/>
        <v/>
      </c>
      <c r="K760" s="13" t="str">
        <f t="shared" si="2"/>
        <v/>
      </c>
      <c r="L760" s="4" t="str">
        <f t="shared" si="3"/>
        <v/>
      </c>
    </row>
    <row r="761">
      <c r="J761" s="13" t="str">
        <f t="shared" si="1"/>
        <v/>
      </c>
      <c r="K761" s="13" t="str">
        <f t="shared" si="2"/>
        <v/>
      </c>
      <c r="L761" s="4" t="str">
        <f t="shared" si="3"/>
        <v/>
      </c>
    </row>
    <row r="762">
      <c r="J762" s="13" t="str">
        <f t="shared" si="1"/>
        <v/>
      </c>
      <c r="K762" s="13" t="str">
        <f t="shared" si="2"/>
        <v/>
      </c>
      <c r="L762" s="4" t="str">
        <f t="shared" si="3"/>
        <v/>
      </c>
    </row>
    <row r="763">
      <c r="J763" s="13" t="str">
        <f t="shared" si="1"/>
        <v/>
      </c>
      <c r="K763" s="13" t="str">
        <f t="shared" si="2"/>
        <v/>
      </c>
      <c r="L763" s="4" t="str">
        <f t="shared" si="3"/>
        <v/>
      </c>
    </row>
    <row r="764">
      <c r="J764" s="13" t="str">
        <f t="shared" si="1"/>
        <v/>
      </c>
      <c r="K764" s="13" t="str">
        <f t="shared" si="2"/>
        <v/>
      </c>
      <c r="L764" s="4" t="str">
        <f t="shared" si="3"/>
        <v/>
      </c>
    </row>
    <row r="765">
      <c r="J765" s="13" t="str">
        <f t="shared" si="1"/>
        <v/>
      </c>
      <c r="K765" s="13" t="str">
        <f t="shared" si="2"/>
        <v/>
      </c>
      <c r="L765" s="4" t="str">
        <f t="shared" si="3"/>
        <v/>
      </c>
    </row>
    <row r="766">
      <c r="J766" s="13" t="str">
        <f t="shared" si="1"/>
        <v/>
      </c>
      <c r="K766" s="13" t="str">
        <f t="shared" si="2"/>
        <v/>
      </c>
      <c r="L766" s="4" t="str">
        <f t="shared" si="3"/>
        <v/>
      </c>
    </row>
    <row r="767">
      <c r="J767" s="13" t="str">
        <f t="shared" si="1"/>
        <v/>
      </c>
      <c r="K767" s="13" t="str">
        <f t="shared" si="2"/>
        <v/>
      </c>
      <c r="L767" s="4" t="str">
        <f t="shared" si="3"/>
        <v/>
      </c>
    </row>
    <row r="768">
      <c r="J768" s="13" t="str">
        <f t="shared" si="1"/>
        <v/>
      </c>
      <c r="K768" s="13" t="str">
        <f t="shared" si="2"/>
        <v/>
      </c>
      <c r="L768" s="4" t="str">
        <f t="shared" si="3"/>
        <v/>
      </c>
    </row>
    <row r="769">
      <c r="J769" s="13" t="str">
        <f t="shared" si="1"/>
        <v/>
      </c>
      <c r="K769" s="13" t="str">
        <f t="shared" si="2"/>
        <v/>
      </c>
      <c r="L769" s="4" t="str">
        <f t="shared" si="3"/>
        <v/>
      </c>
    </row>
    <row r="770">
      <c r="J770" s="13" t="str">
        <f t="shared" si="1"/>
        <v/>
      </c>
      <c r="K770" s="13" t="str">
        <f t="shared" si="2"/>
        <v/>
      </c>
      <c r="L770" s="4" t="str">
        <f t="shared" si="3"/>
        <v/>
      </c>
    </row>
    <row r="771">
      <c r="J771" s="13" t="str">
        <f t="shared" si="1"/>
        <v/>
      </c>
      <c r="K771" s="13" t="str">
        <f t="shared" si="2"/>
        <v/>
      </c>
      <c r="L771" s="4" t="str">
        <f t="shared" si="3"/>
        <v/>
      </c>
    </row>
    <row r="772">
      <c r="J772" s="13" t="str">
        <f t="shared" si="1"/>
        <v/>
      </c>
      <c r="K772" s="13" t="str">
        <f t="shared" si="2"/>
        <v/>
      </c>
      <c r="L772" s="4" t="str">
        <f t="shared" si="3"/>
        <v/>
      </c>
    </row>
    <row r="773">
      <c r="J773" s="13" t="str">
        <f t="shared" si="1"/>
        <v/>
      </c>
      <c r="K773" s="13" t="str">
        <f t="shared" si="2"/>
        <v/>
      </c>
      <c r="L773" s="4" t="str">
        <f t="shared" si="3"/>
        <v/>
      </c>
    </row>
    <row r="774">
      <c r="J774" s="13" t="str">
        <f t="shared" si="1"/>
        <v/>
      </c>
      <c r="K774" s="13" t="str">
        <f t="shared" si="2"/>
        <v/>
      </c>
      <c r="L774" s="4" t="str">
        <f t="shared" si="3"/>
        <v/>
      </c>
    </row>
    <row r="775">
      <c r="J775" s="13" t="str">
        <f t="shared" si="1"/>
        <v/>
      </c>
      <c r="K775" s="13" t="str">
        <f t="shared" si="2"/>
        <v/>
      </c>
      <c r="L775" s="4" t="str">
        <f t="shared" si="3"/>
        <v/>
      </c>
    </row>
    <row r="776">
      <c r="J776" s="13" t="str">
        <f t="shared" si="1"/>
        <v/>
      </c>
      <c r="K776" s="13" t="str">
        <f t="shared" si="2"/>
        <v/>
      </c>
      <c r="L776" s="4" t="str">
        <f t="shared" si="3"/>
        <v/>
      </c>
    </row>
    <row r="777">
      <c r="J777" s="13" t="str">
        <f t="shared" si="1"/>
        <v/>
      </c>
      <c r="K777" s="13" t="str">
        <f t="shared" si="2"/>
        <v/>
      </c>
      <c r="L777" s="4" t="str">
        <f t="shared" si="3"/>
        <v/>
      </c>
    </row>
    <row r="778">
      <c r="J778" s="13" t="str">
        <f t="shared" si="1"/>
        <v/>
      </c>
      <c r="K778" s="13" t="str">
        <f t="shared" si="2"/>
        <v/>
      </c>
      <c r="L778" s="4" t="str">
        <f t="shared" si="3"/>
        <v/>
      </c>
    </row>
    <row r="779">
      <c r="J779" s="13" t="str">
        <f t="shared" si="1"/>
        <v/>
      </c>
      <c r="K779" s="13" t="str">
        <f t="shared" si="2"/>
        <v/>
      </c>
      <c r="L779" s="4" t="str">
        <f t="shared" si="3"/>
        <v/>
      </c>
    </row>
    <row r="780">
      <c r="J780" s="13" t="str">
        <f t="shared" si="1"/>
        <v/>
      </c>
      <c r="K780" s="13" t="str">
        <f t="shared" si="2"/>
        <v/>
      </c>
      <c r="L780" s="4" t="str">
        <f t="shared" si="3"/>
        <v/>
      </c>
    </row>
    <row r="781">
      <c r="J781" s="13" t="str">
        <f t="shared" si="1"/>
        <v/>
      </c>
      <c r="K781" s="13" t="str">
        <f t="shared" si="2"/>
        <v/>
      </c>
      <c r="L781" s="4" t="str">
        <f t="shared" si="3"/>
        <v/>
      </c>
    </row>
    <row r="782">
      <c r="J782" s="13" t="str">
        <f t="shared" si="1"/>
        <v/>
      </c>
      <c r="K782" s="13" t="str">
        <f t="shared" si="2"/>
        <v/>
      </c>
      <c r="L782" s="4" t="str">
        <f t="shared" si="3"/>
        <v/>
      </c>
    </row>
    <row r="783">
      <c r="J783" s="13" t="str">
        <f t="shared" si="1"/>
        <v/>
      </c>
      <c r="K783" s="13" t="str">
        <f t="shared" si="2"/>
        <v/>
      </c>
      <c r="L783" s="4" t="str">
        <f t="shared" si="3"/>
        <v/>
      </c>
    </row>
    <row r="784">
      <c r="J784" s="13" t="str">
        <f t="shared" si="1"/>
        <v/>
      </c>
      <c r="K784" s="13" t="str">
        <f t="shared" si="2"/>
        <v/>
      </c>
      <c r="L784" s="4" t="str">
        <f t="shared" si="3"/>
        <v/>
      </c>
    </row>
    <row r="785">
      <c r="J785" s="13" t="str">
        <f t="shared" si="1"/>
        <v/>
      </c>
      <c r="K785" s="13" t="str">
        <f t="shared" si="2"/>
        <v/>
      </c>
      <c r="L785" s="4" t="str">
        <f t="shared" si="3"/>
        <v/>
      </c>
    </row>
    <row r="786">
      <c r="J786" s="13" t="str">
        <f t="shared" si="1"/>
        <v/>
      </c>
      <c r="K786" s="13" t="str">
        <f t="shared" si="2"/>
        <v/>
      </c>
      <c r="L786" s="4" t="str">
        <f t="shared" si="3"/>
        <v/>
      </c>
    </row>
    <row r="787">
      <c r="J787" s="13" t="str">
        <f t="shared" si="1"/>
        <v/>
      </c>
      <c r="K787" s="13" t="str">
        <f t="shared" si="2"/>
        <v/>
      </c>
      <c r="L787" s="4" t="str">
        <f t="shared" si="3"/>
        <v/>
      </c>
    </row>
    <row r="788">
      <c r="J788" s="13" t="str">
        <f t="shared" si="1"/>
        <v/>
      </c>
      <c r="K788" s="13" t="str">
        <f t="shared" si="2"/>
        <v/>
      </c>
      <c r="L788" s="4" t="str">
        <f t="shared" si="3"/>
        <v/>
      </c>
    </row>
    <row r="789">
      <c r="J789" s="13" t="str">
        <f t="shared" si="1"/>
        <v/>
      </c>
      <c r="K789" s="13" t="str">
        <f t="shared" si="2"/>
        <v/>
      </c>
      <c r="L789" s="4" t="str">
        <f t="shared" si="3"/>
        <v/>
      </c>
    </row>
    <row r="790">
      <c r="J790" s="13" t="str">
        <f t="shared" si="1"/>
        <v/>
      </c>
      <c r="K790" s="13" t="str">
        <f t="shared" si="2"/>
        <v/>
      </c>
      <c r="L790" s="4" t="str">
        <f t="shared" si="3"/>
        <v/>
      </c>
    </row>
    <row r="791">
      <c r="J791" s="13" t="str">
        <f t="shared" si="1"/>
        <v/>
      </c>
      <c r="K791" s="13" t="str">
        <f t="shared" si="2"/>
        <v/>
      </c>
      <c r="L791" s="4" t="str">
        <f t="shared" si="3"/>
        <v/>
      </c>
    </row>
    <row r="792">
      <c r="J792" s="13" t="str">
        <f t="shared" si="1"/>
        <v/>
      </c>
      <c r="K792" s="13" t="str">
        <f t="shared" si="2"/>
        <v/>
      </c>
      <c r="L792" s="4" t="str">
        <f t="shared" si="3"/>
        <v/>
      </c>
    </row>
    <row r="793">
      <c r="J793" s="13" t="str">
        <f t="shared" si="1"/>
        <v/>
      </c>
      <c r="K793" s="13" t="str">
        <f t="shared" si="2"/>
        <v/>
      </c>
      <c r="L793" s="4" t="str">
        <f t="shared" si="3"/>
        <v/>
      </c>
    </row>
    <row r="794">
      <c r="J794" s="13" t="str">
        <f t="shared" si="1"/>
        <v/>
      </c>
      <c r="K794" s="13" t="str">
        <f t="shared" si="2"/>
        <v/>
      </c>
      <c r="L794" s="4" t="str">
        <f t="shared" si="3"/>
        <v/>
      </c>
    </row>
    <row r="795">
      <c r="J795" s="13" t="str">
        <f t="shared" si="1"/>
        <v/>
      </c>
      <c r="K795" s="13" t="str">
        <f t="shared" si="2"/>
        <v/>
      </c>
      <c r="L795" s="4" t="str">
        <f t="shared" si="3"/>
        <v/>
      </c>
    </row>
    <row r="796">
      <c r="J796" s="13" t="str">
        <f t="shared" si="1"/>
        <v/>
      </c>
      <c r="K796" s="13" t="str">
        <f t="shared" si="2"/>
        <v/>
      </c>
      <c r="L796" s="4" t="str">
        <f t="shared" si="3"/>
        <v/>
      </c>
    </row>
    <row r="797">
      <c r="J797" s="13" t="str">
        <f t="shared" si="1"/>
        <v/>
      </c>
      <c r="K797" s="13" t="str">
        <f t="shared" si="2"/>
        <v/>
      </c>
      <c r="L797" s="4" t="str">
        <f t="shared" si="3"/>
        <v/>
      </c>
    </row>
    <row r="798">
      <c r="J798" s="13" t="str">
        <f t="shared" si="1"/>
        <v/>
      </c>
      <c r="K798" s="13" t="str">
        <f t="shared" si="2"/>
        <v/>
      </c>
      <c r="L798" s="4" t="str">
        <f t="shared" si="3"/>
        <v/>
      </c>
    </row>
    <row r="799">
      <c r="J799" s="13" t="str">
        <f t="shared" si="1"/>
        <v/>
      </c>
      <c r="K799" s="13" t="str">
        <f t="shared" si="2"/>
        <v/>
      </c>
      <c r="L799" s="4" t="str">
        <f t="shared" si="3"/>
        <v/>
      </c>
    </row>
    <row r="800">
      <c r="J800" s="13" t="str">
        <f t="shared" si="1"/>
        <v/>
      </c>
      <c r="K800" s="13" t="str">
        <f t="shared" si="2"/>
        <v/>
      </c>
      <c r="L800" s="4" t="str">
        <f t="shared" si="3"/>
        <v/>
      </c>
    </row>
    <row r="801">
      <c r="J801" s="13" t="str">
        <f t="shared" si="1"/>
        <v/>
      </c>
      <c r="K801" s="13" t="str">
        <f t="shared" si="2"/>
        <v/>
      </c>
      <c r="L801" s="4" t="str">
        <f t="shared" si="3"/>
        <v/>
      </c>
    </row>
    <row r="802">
      <c r="J802" s="13" t="str">
        <f t="shared" si="1"/>
        <v/>
      </c>
      <c r="K802" s="13" t="str">
        <f t="shared" si="2"/>
        <v/>
      </c>
      <c r="L802" s="4" t="str">
        <f t="shared" si="3"/>
        <v/>
      </c>
    </row>
    <row r="803">
      <c r="J803" s="13" t="str">
        <f t="shared" si="1"/>
        <v/>
      </c>
      <c r="K803" s="13" t="str">
        <f t="shared" si="2"/>
        <v/>
      </c>
      <c r="L803" s="4" t="str">
        <f t="shared" si="3"/>
        <v/>
      </c>
    </row>
    <row r="804">
      <c r="J804" s="13" t="str">
        <f t="shared" si="1"/>
        <v/>
      </c>
      <c r="K804" s="13" t="str">
        <f t="shared" si="2"/>
        <v/>
      </c>
      <c r="L804" s="4" t="str">
        <f t="shared" si="3"/>
        <v/>
      </c>
    </row>
    <row r="805">
      <c r="J805" s="13" t="str">
        <f t="shared" si="1"/>
        <v/>
      </c>
      <c r="K805" s="13" t="str">
        <f t="shared" si="2"/>
        <v/>
      </c>
      <c r="L805" s="4" t="str">
        <f t="shared" si="3"/>
        <v/>
      </c>
    </row>
    <row r="806">
      <c r="J806" s="13" t="str">
        <f t="shared" si="1"/>
        <v/>
      </c>
      <c r="K806" s="13" t="str">
        <f t="shared" si="2"/>
        <v/>
      </c>
      <c r="L806" s="4" t="str">
        <f t="shared" si="3"/>
        <v/>
      </c>
    </row>
    <row r="807">
      <c r="J807" s="13" t="str">
        <f t="shared" si="1"/>
        <v/>
      </c>
      <c r="K807" s="13" t="str">
        <f t="shared" si="2"/>
        <v/>
      </c>
      <c r="L807" s="4" t="str">
        <f t="shared" si="3"/>
        <v/>
      </c>
    </row>
    <row r="808">
      <c r="J808" s="13" t="str">
        <f t="shared" si="1"/>
        <v/>
      </c>
      <c r="K808" s="13" t="str">
        <f t="shared" si="2"/>
        <v/>
      </c>
      <c r="L808" s="4" t="str">
        <f t="shared" si="3"/>
        <v/>
      </c>
    </row>
    <row r="809">
      <c r="J809" s="13" t="str">
        <f t="shared" si="1"/>
        <v/>
      </c>
      <c r="K809" s="13" t="str">
        <f t="shared" si="2"/>
        <v/>
      </c>
      <c r="L809" s="4" t="str">
        <f t="shared" si="3"/>
        <v/>
      </c>
    </row>
    <row r="810">
      <c r="J810" s="13" t="str">
        <f t="shared" si="1"/>
        <v/>
      </c>
      <c r="K810" s="13" t="str">
        <f t="shared" si="2"/>
        <v/>
      </c>
      <c r="L810" s="4" t="str">
        <f t="shared" si="3"/>
        <v/>
      </c>
    </row>
    <row r="811">
      <c r="J811" s="13" t="str">
        <f t="shared" si="1"/>
        <v/>
      </c>
      <c r="K811" s="13" t="str">
        <f t="shared" si="2"/>
        <v/>
      </c>
      <c r="L811" s="4" t="str">
        <f t="shared" si="3"/>
        <v/>
      </c>
    </row>
    <row r="812">
      <c r="J812" s="13" t="str">
        <f t="shared" si="1"/>
        <v/>
      </c>
      <c r="K812" s="13" t="str">
        <f t="shared" si="2"/>
        <v/>
      </c>
      <c r="L812" s="4" t="str">
        <f t="shared" si="3"/>
        <v/>
      </c>
    </row>
    <row r="813">
      <c r="J813" s="13" t="str">
        <f t="shared" si="1"/>
        <v/>
      </c>
      <c r="K813" s="13" t="str">
        <f t="shared" si="2"/>
        <v/>
      </c>
      <c r="L813" s="4" t="str">
        <f t="shared" si="3"/>
        <v/>
      </c>
    </row>
    <row r="814">
      <c r="J814" s="13" t="str">
        <f t="shared" si="1"/>
        <v/>
      </c>
      <c r="K814" s="13" t="str">
        <f t="shared" si="2"/>
        <v/>
      </c>
      <c r="L814" s="4" t="str">
        <f t="shared" si="3"/>
        <v/>
      </c>
    </row>
    <row r="815">
      <c r="J815" s="13" t="str">
        <f t="shared" si="1"/>
        <v/>
      </c>
      <c r="K815" s="13" t="str">
        <f t="shared" si="2"/>
        <v/>
      </c>
      <c r="L815" s="4" t="str">
        <f t="shared" si="3"/>
        <v/>
      </c>
    </row>
    <row r="816">
      <c r="J816" s="13" t="str">
        <f t="shared" si="1"/>
        <v/>
      </c>
      <c r="K816" s="13" t="str">
        <f t="shared" si="2"/>
        <v/>
      </c>
      <c r="L816" s="4" t="str">
        <f t="shared" si="3"/>
        <v/>
      </c>
    </row>
    <row r="817">
      <c r="J817" s="13" t="str">
        <f t="shared" si="1"/>
        <v/>
      </c>
      <c r="K817" s="13" t="str">
        <f t="shared" si="2"/>
        <v/>
      </c>
      <c r="L817" s="4" t="str">
        <f t="shared" si="3"/>
        <v/>
      </c>
    </row>
    <row r="818">
      <c r="J818" s="13" t="str">
        <f t="shared" si="1"/>
        <v/>
      </c>
      <c r="K818" s="13" t="str">
        <f t="shared" si="2"/>
        <v/>
      </c>
      <c r="L818" s="4" t="str">
        <f t="shared" si="3"/>
        <v/>
      </c>
    </row>
    <row r="819">
      <c r="J819" s="13" t="str">
        <f t="shared" si="1"/>
        <v/>
      </c>
      <c r="K819" s="13" t="str">
        <f t="shared" si="2"/>
        <v/>
      </c>
      <c r="L819" s="4" t="str">
        <f t="shared" si="3"/>
        <v/>
      </c>
    </row>
    <row r="820">
      <c r="J820" s="13" t="str">
        <f t="shared" si="1"/>
        <v/>
      </c>
      <c r="K820" s="13" t="str">
        <f t="shared" si="2"/>
        <v/>
      </c>
      <c r="L820" s="4" t="str">
        <f t="shared" si="3"/>
        <v/>
      </c>
    </row>
    <row r="821">
      <c r="J821" s="13" t="str">
        <f t="shared" si="1"/>
        <v/>
      </c>
      <c r="K821" s="13" t="str">
        <f t="shared" si="2"/>
        <v/>
      </c>
      <c r="L821" s="4" t="str">
        <f t="shared" si="3"/>
        <v/>
      </c>
    </row>
    <row r="822">
      <c r="J822" s="13" t="str">
        <f t="shared" si="1"/>
        <v/>
      </c>
      <c r="K822" s="13" t="str">
        <f t="shared" si="2"/>
        <v/>
      </c>
      <c r="L822" s="4" t="str">
        <f t="shared" si="3"/>
        <v/>
      </c>
    </row>
    <row r="823">
      <c r="J823" s="13" t="str">
        <f t="shared" si="1"/>
        <v/>
      </c>
      <c r="K823" s="13" t="str">
        <f t="shared" si="2"/>
        <v/>
      </c>
      <c r="L823" s="4" t="str">
        <f t="shared" si="3"/>
        <v/>
      </c>
    </row>
    <row r="824">
      <c r="J824" s="13" t="str">
        <f t="shared" si="1"/>
        <v/>
      </c>
      <c r="K824" s="13" t="str">
        <f t="shared" si="2"/>
        <v/>
      </c>
      <c r="L824" s="4" t="str">
        <f t="shared" si="3"/>
        <v/>
      </c>
    </row>
    <row r="825">
      <c r="J825" s="13" t="str">
        <f t="shared" si="1"/>
        <v/>
      </c>
      <c r="K825" s="13" t="str">
        <f t="shared" si="2"/>
        <v/>
      </c>
      <c r="L825" s="4" t="str">
        <f t="shared" si="3"/>
        <v/>
      </c>
    </row>
    <row r="826">
      <c r="J826" s="13" t="str">
        <f t="shared" si="1"/>
        <v/>
      </c>
      <c r="K826" s="13" t="str">
        <f t="shared" si="2"/>
        <v/>
      </c>
      <c r="L826" s="4" t="str">
        <f t="shared" si="3"/>
        <v/>
      </c>
    </row>
    <row r="827">
      <c r="J827" s="13" t="str">
        <f t="shared" si="1"/>
        <v/>
      </c>
      <c r="K827" s="13" t="str">
        <f t="shared" si="2"/>
        <v/>
      </c>
      <c r="L827" s="4" t="str">
        <f t="shared" si="3"/>
        <v/>
      </c>
    </row>
    <row r="828">
      <c r="J828" s="13" t="str">
        <f t="shared" si="1"/>
        <v/>
      </c>
      <c r="K828" s="13" t="str">
        <f t="shared" si="2"/>
        <v/>
      </c>
      <c r="L828" s="4" t="str">
        <f t="shared" si="3"/>
        <v/>
      </c>
    </row>
    <row r="829">
      <c r="J829" s="13" t="str">
        <f t="shared" si="1"/>
        <v/>
      </c>
      <c r="K829" s="13" t="str">
        <f t="shared" si="2"/>
        <v/>
      </c>
      <c r="L829" s="4" t="str">
        <f t="shared" si="3"/>
        <v/>
      </c>
    </row>
    <row r="830">
      <c r="J830" s="13" t="str">
        <f t="shared" si="1"/>
        <v/>
      </c>
      <c r="K830" s="13" t="str">
        <f t="shared" si="2"/>
        <v/>
      </c>
      <c r="L830" s="4" t="str">
        <f t="shared" si="3"/>
        <v/>
      </c>
    </row>
    <row r="831">
      <c r="J831" s="13" t="str">
        <f t="shared" si="1"/>
        <v/>
      </c>
      <c r="K831" s="13" t="str">
        <f t="shared" si="2"/>
        <v/>
      </c>
      <c r="L831" s="4" t="str">
        <f t="shared" si="3"/>
        <v/>
      </c>
    </row>
    <row r="832">
      <c r="J832" s="13" t="str">
        <f t="shared" si="1"/>
        <v/>
      </c>
      <c r="K832" s="13" t="str">
        <f t="shared" si="2"/>
        <v/>
      </c>
      <c r="L832" s="4" t="str">
        <f t="shared" si="3"/>
        <v/>
      </c>
    </row>
    <row r="833">
      <c r="J833" s="13" t="str">
        <f t="shared" si="1"/>
        <v/>
      </c>
      <c r="K833" s="13" t="str">
        <f t="shared" si="2"/>
        <v/>
      </c>
      <c r="L833" s="4" t="str">
        <f t="shared" si="3"/>
        <v/>
      </c>
    </row>
    <row r="834">
      <c r="J834" s="13" t="str">
        <f t="shared" si="1"/>
        <v/>
      </c>
      <c r="K834" s="13" t="str">
        <f t="shared" si="2"/>
        <v/>
      </c>
      <c r="L834" s="4" t="str">
        <f t="shared" si="3"/>
        <v/>
      </c>
    </row>
    <row r="835">
      <c r="J835" s="13" t="str">
        <f t="shared" si="1"/>
        <v/>
      </c>
      <c r="K835" s="13" t="str">
        <f t="shared" si="2"/>
        <v/>
      </c>
      <c r="L835" s="4" t="str">
        <f t="shared" si="3"/>
        <v/>
      </c>
    </row>
    <row r="836">
      <c r="J836" s="13" t="str">
        <f t="shared" si="1"/>
        <v/>
      </c>
      <c r="K836" s="13" t="str">
        <f t="shared" si="2"/>
        <v/>
      </c>
      <c r="L836" s="4" t="str">
        <f t="shared" si="3"/>
        <v/>
      </c>
    </row>
    <row r="837">
      <c r="J837" s="13" t="str">
        <f t="shared" si="1"/>
        <v/>
      </c>
      <c r="K837" s="13" t="str">
        <f t="shared" si="2"/>
        <v/>
      </c>
      <c r="L837" s="4" t="str">
        <f t="shared" si="3"/>
        <v/>
      </c>
    </row>
    <row r="838">
      <c r="J838" s="13" t="str">
        <f t="shared" si="1"/>
        <v/>
      </c>
      <c r="K838" s="13" t="str">
        <f t="shared" si="2"/>
        <v/>
      </c>
      <c r="L838" s="4" t="str">
        <f t="shared" si="3"/>
        <v/>
      </c>
    </row>
    <row r="839">
      <c r="J839" s="13" t="str">
        <f t="shared" si="1"/>
        <v/>
      </c>
      <c r="K839" s="13" t="str">
        <f t="shared" si="2"/>
        <v/>
      </c>
      <c r="L839" s="4" t="str">
        <f t="shared" si="3"/>
        <v/>
      </c>
    </row>
    <row r="840">
      <c r="J840" s="13" t="str">
        <f t="shared" si="1"/>
        <v/>
      </c>
      <c r="K840" s="13" t="str">
        <f t="shared" si="2"/>
        <v/>
      </c>
      <c r="L840" s="4" t="str">
        <f t="shared" si="3"/>
        <v/>
      </c>
    </row>
    <row r="841">
      <c r="J841" s="13" t="str">
        <f t="shared" si="1"/>
        <v/>
      </c>
      <c r="K841" s="13" t="str">
        <f t="shared" si="2"/>
        <v/>
      </c>
      <c r="L841" s="4" t="str">
        <f t="shared" si="3"/>
        <v/>
      </c>
    </row>
    <row r="842">
      <c r="J842" s="13" t="str">
        <f t="shared" si="1"/>
        <v/>
      </c>
      <c r="K842" s="13" t="str">
        <f t="shared" si="2"/>
        <v/>
      </c>
      <c r="L842" s="4" t="str">
        <f t="shared" si="3"/>
        <v/>
      </c>
    </row>
    <row r="843">
      <c r="J843" s="13" t="str">
        <f t="shared" si="1"/>
        <v/>
      </c>
      <c r="K843" s="13" t="str">
        <f t="shared" si="2"/>
        <v/>
      </c>
      <c r="L843" s="4" t="str">
        <f t="shared" si="3"/>
        <v/>
      </c>
    </row>
    <row r="844">
      <c r="J844" s="13" t="str">
        <f t="shared" si="1"/>
        <v/>
      </c>
      <c r="K844" s="13" t="str">
        <f t="shared" si="2"/>
        <v/>
      </c>
      <c r="L844" s="4" t="str">
        <f t="shared" si="3"/>
        <v/>
      </c>
    </row>
    <row r="845">
      <c r="J845" s="13" t="str">
        <f t="shared" si="1"/>
        <v/>
      </c>
      <c r="K845" s="13" t="str">
        <f t="shared" si="2"/>
        <v/>
      </c>
      <c r="L845" s="4" t="str">
        <f t="shared" si="3"/>
        <v/>
      </c>
    </row>
    <row r="846">
      <c r="J846" s="13" t="str">
        <f t="shared" si="1"/>
        <v/>
      </c>
      <c r="K846" s="13" t="str">
        <f t="shared" si="2"/>
        <v/>
      </c>
      <c r="L846" s="4" t="str">
        <f t="shared" si="3"/>
        <v/>
      </c>
    </row>
    <row r="847">
      <c r="J847" s="13" t="str">
        <f t="shared" si="1"/>
        <v/>
      </c>
      <c r="K847" s="13" t="str">
        <f t="shared" si="2"/>
        <v/>
      </c>
      <c r="L847" s="4" t="str">
        <f t="shared" si="3"/>
        <v/>
      </c>
    </row>
    <row r="848">
      <c r="J848" s="13" t="str">
        <f t="shared" si="1"/>
        <v/>
      </c>
      <c r="K848" s="13" t="str">
        <f t="shared" si="2"/>
        <v/>
      </c>
      <c r="L848" s="4" t="str">
        <f t="shared" si="3"/>
        <v/>
      </c>
    </row>
    <row r="849">
      <c r="J849" s="13" t="str">
        <f t="shared" si="1"/>
        <v/>
      </c>
      <c r="K849" s="13" t="str">
        <f t="shared" si="2"/>
        <v/>
      </c>
      <c r="L849" s="4" t="str">
        <f t="shared" si="3"/>
        <v/>
      </c>
    </row>
    <row r="850">
      <c r="J850" s="13" t="str">
        <f t="shared" si="1"/>
        <v/>
      </c>
      <c r="K850" s="13" t="str">
        <f t="shared" si="2"/>
        <v/>
      </c>
      <c r="L850" s="4" t="str">
        <f t="shared" si="3"/>
        <v/>
      </c>
    </row>
    <row r="851">
      <c r="J851" s="13" t="str">
        <f t="shared" si="1"/>
        <v/>
      </c>
      <c r="K851" s="13" t="str">
        <f t="shared" si="2"/>
        <v/>
      </c>
      <c r="L851" s="4" t="str">
        <f t="shared" si="3"/>
        <v/>
      </c>
    </row>
    <row r="852">
      <c r="J852" s="13" t="str">
        <f t="shared" si="1"/>
        <v/>
      </c>
      <c r="K852" s="13" t="str">
        <f t="shared" si="2"/>
        <v/>
      </c>
      <c r="L852" s="4" t="str">
        <f t="shared" si="3"/>
        <v/>
      </c>
    </row>
    <row r="853">
      <c r="J853" s="13" t="str">
        <f t="shared" si="1"/>
        <v/>
      </c>
      <c r="K853" s="13" t="str">
        <f t="shared" si="2"/>
        <v/>
      </c>
      <c r="L853" s="4" t="str">
        <f t="shared" si="3"/>
        <v/>
      </c>
    </row>
    <row r="854">
      <c r="J854" s="13" t="str">
        <f t="shared" si="1"/>
        <v/>
      </c>
      <c r="K854" s="13" t="str">
        <f t="shared" si="2"/>
        <v/>
      </c>
      <c r="L854" s="4" t="str">
        <f t="shared" si="3"/>
        <v/>
      </c>
    </row>
    <row r="855">
      <c r="J855" s="13" t="str">
        <f t="shared" si="1"/>
        <v/>
      </c>
      <c r="K855" s="13" t="str">
        <f t="shared" si="2"/>
        <v/>
      </c>
      <c r="L855" s="4" t="str">
        <f t="shared" si="3"/>
        <v/>
      </c>
    </row>
    <row r="856">
      <c r="J856" s="13" t="str">
        <f t="shared" si="1"/>
        <v/>
      </c>
      <c r="K856" s="13" t="str">
        <f t="shared" si="2"/>
        <v/>
      </c>
      <c r="L856" s="4" t="str">
        <f t="shared" si="3"/>
        <v/>
      </c>
    </row>
    <row r="857">
      <c r="J857" s="13" t="str">
        <f t="shared" si="1"/>
        <v/>
      </c>
      <c r="K857" s="13" t="str">
        <f t="shared" si="2"/>
        <v/>
      </c>
      <c r="L857" s="4" t="str">
        <f t="shared" si="3"/>
        <v/>
      </c>
    </row>
    <row r="858">
      <c r="J858" s="13" t="str">
        <f t="shared" si="1"/>
        <v/>
      </c>
      <c r="K858" s="13" t="str">
        <f t="shared" si="2"/>
        <v/>
      </c>
      <c r="L858" s="4" t="str">
        <f t="shared" si="3"/>
        <v/>
      </c>
    </row>
    <row r="859">
      <c r="J859" s="13" t="str">
        <f t="shared" si="1"/>
        <v/>
      </c>
      <c r="K859" s="13" t="str">
        <f t="shared" si="2"/>
        <v/>
      </c>
      <c r="L859" s="4" t="str">
        <f t="shared" si="3"/>
        <v/>
      </c>
    </row>
    <row r="860">
      <c r="J860" s="13" t="str">
        <f t="shared" si="1"/>
        <v/>
      </c>
      <c r="K860" s="13" t="str">
        <f t="shared" si="2"/>
        <v/>
      </c>
      <c r="L860" s="4" t="str">
        <f t="shared" si="3"/>
        <v/>
      </c>
    </row>
    <row r="861">
      <c r="J861" s="13" t="str">
        <f t="shared" si="1"/>
        <v/>
      </c>
      <c r="K861" s="13" t="str">
        <f t="shared" si="2"/>
        <v/>
      </c>
      <c r="L861" s="4" t="str">
        <f t="shared" si="3"/>
        <v/>
      </c>
    </row>
    <row r="862">
      <c r="J862" s="13" t="str">
        <f t="shared" si="1"/>
        <v/>
      </c>
      <c r="K862" s="13" t="str">
        <f t="shared" si="2"/>
        <v/>
      </c>
      <c r="L862" s="4" t="str">
        <f t="shared" si="3"/>
        <v/>
      </c>
    </row>
    <row r="863">
      <c r="J863" s="13" t="str">
        <f t="shared" si="1"/>
        <v/>
      </c>
      <c r="K863" s="13" t="str">
        <f t="shared" si="2"/>
        <v/>
      </c>
      <c r="L863" s="4" t="str">
        <f t="shared" si="3"/>
        <v/>
      </c>
    </row>
    <row r="864">
      <c r="J864" s="13" t="str">
        <f t="shared" si="1"/>
        <v/>
      </c>
      <c r="K864" s="13" t="str">
        <f t="shared" si="2"/>
        <v/>
      </c>
      <c r="L864" s="4" t="str">
        <f t="shared" si="3"/>
        <v/>
      </c>
    </row>
    <row r="865">
      <c r="J865" s="13" t="str">
        <f t="shared" si="1"/>
        <v/>
      </c>
      <c r="K865" s="13" t="str">
        <f t="shared" si="2"/>
        <v/>
      </c>
      <c r="L865" s="4" t="str">
        <f t="shared" si="3"/>
        <v/>
      </c>
    </row>
    <row r="866">
      <c r="J866" s="13" t="str">
        <f t="shared" si="1"/>
        <v/>
      </c>
      <c r="K866" s="13" t="str">
        <f t="shared" si="2"/>
        <v/>
      </c>
      <c r="L866" s="4" t="str">
        <f t="shared" si="3"/>
        <v/>
      </c>
    </row>
    <row r="867">
      <c r="J867" s="13" t="str">
        <f t="shared" si="1"/>
        <v/>
      </c>
      <c r="K867" s="13" t="str">
        <f t="shared" si="2"/>
        <v/>
      </c>
      <c r="L867" s="4" t="str">
        <f t="shared" si="3"/>
        <v/>
      </c>
    </row>
    <row r="868">
      <c r="J868" s="13" t="str">
        <f t="shared" si="1"/>
        <v/>
      </c>
      <c r="K868" s="13" t="str">
        <f t="shared" si="2"/>
        <v/>
      </c>
      <c r="L868" s="4" t="str">
        <f t="shared" si="3"/>
        <v/>
      </c>
    </row>
    <row r="869">
      <c r="J869" s="13" t="str">
        <f t="shared" si="1"/>
        <v/>
      </c>
      <c r="K869" s="13" t="str">
        <f t="shared" si="2"/>
        <v/>
      </c>
      <c r="L869" s="4" t="str">
        <f t="shared" si="3"/>
        <v/>
      </c>
    </row>
    <row r="870">
      <c r="J870" s="13" t="str">
        <f t="shared" si="1"/>
        <v/>
      </c>
      <c r="K870" s="13" t="str">
        <f t="shared" si="2"/>
        <v/>
      </c>
      <c r="L870" s="4" t="str">
        <f t="shared" si="3"/>
        <v/>
      </c>
    </row>
    <row r="871">
      <c r="J871" s="13" t="str">
        <f t="shared" si="1"/>
        <v/>
      </c>
      <c r="K871" s="13" t="str">
        <f t="shared" si="2"/>
        <v/>
      </c>
      <c r="L871" s="4" t="str">
        <f t="shared" si="3"/>
        <v/>
      </c>
    </row>
    <row r="872">
      <c r="J872" s="13" t="str">
        <f t="shared" si="1"/>
        <v/>
      </c>
      <c r="K872" s="13" t="str">
        <f t="shared" si="2"/>
        <v/>
      </c>
      <c r="L872" s="4" t="str">
        <f t="shared" si="3"/>
        <v/>
      </c>
    </row>
    <row r="873">
      <c r="J873" s="13" t="str">
        <f t="shared" si="1"/>
        <v/>
      </c>
      <c r="K873" s="13" t="str">
        <f t="shared" si="2"/>
        <v/>
      </c>
      <c r="L873" s="4" t="str">
        <f t="shared" si="3"/>
        <v/>
      </c>
    </row>
    <row r="874">
      <c r="J874" s="13" t="str">
        <f t="shared" si="1"/>
        <v/>
      </c>
      <c r="K874" s="13" t="str">
        <f t="shared" si="2"/>
        <v/>
      </c>
      <c r="L874" s="4" t="str">
        <f t="shared" si="3"/>
        <v/>
      </c>
    </row>
    <row r="875">
      <c r="J875" s="13" t="str">
        <f t="shared" si="1"/>
        <v/>
      </c>
      <c r="K875" s="13" t="str">
        <f t="shared" si="2"/>
        <v/>
      </c>
      <c r="L875" s="4" t="str">
        <f t="shared" si="3"/>
        <v/>
      </c>
    </row>
    <row r="876">
      <c r="J876" s="13" t="str">
        <f t="shared" si="1"/>
        <v/>
      </c>
      <c r="K876" s="13" t="str">
        <f t="shared" si="2"/>
        <v/>
      </c>
      <c r="L876" s="4" t="str">
        <f t="shared" si="3"/>
        <v/>
      </c>
    </row>
    <row r="877">
      <c r="J877" s="13" t="str">
        <f t="shared" si="1"/>
        <v/>
      </c>
      <c r="K877" s="13" t="str">
        <f t="shared" si="2"/>
        <v/>
      </c>
      <c r="L877" s="4" t="str">
        <f t="shared" si="3"/>
        <v/>
      </c>
    </row>
    <row r="878">
      <c r="J878" s="13" t="str">
        <f t="shared" si="1"/>
        <v/>
      </c>
      <c r="K878" s="13" t="str">
        <f t="shared" si="2"/>
        <v/>
      </c>
      <c r="L878" s="4" t="str">
        <f t="shared" si="3"/>
        <v/>
      </c>
    </row>
    <row r="879">
      <c r="J879" s="13" t="str">
        <f t="shared" si="1"/>
        <v/>
      </c>
      <c r="K879" s="13" t="str">
        <f t="shared" si="2"/>
        <v/>
      </c>
      <c r="L879" s="4" t="str">
        <f t="shared" si="3"/>
        <v/>
      </c>
    </row>
    <row r="880">
      <c r="J880" s="13" t="str">
        <f t="shared" si="1"/>
        <v/>
      </c>
      <c r="K880" s="13" t="str">
        <f t="shared" si="2"/>
        <v/>
      </c>
      <c r="L880" s="4" t="str">
        <f t="shared" si="3"/>
        <v/>
      </c>
    </row>
    <row r="881">
      <c r="J881" s="13" t="str">
        <f t="shared" si="1"/>
        <v/>
      </c>
      <c r="K881" s="13" t="str">
        <f t="shared" si="2"/>
        <v/>
      </c>
      <c r="L881" s="4" t="str">
        <f t="shared" si="3"/>
        <v/>
      </c>
    </row>
    <row r="882">
      <c r="J882" s="13" t="str">
        <f t="shared" si="1"/>
        <v/>
      </c>
      <c r="K882" s="13" t="str">
        <f t="shared" si="2"/>
        <v/>
      </c>
      <c r="L882" s="4" t="str">
        <f t="shared" si="3"/>
        <v/>
      </c>
    </row>
    <row r="883">
      <c r="J883" s="13" t="str">
        <f t="shared" si="1"/>
        <v/>
      </c>
      <c r="K883" s="13" t="str">
        <f t="shared" si="2"/>
        <v/>
      </c>
      <c r="L883" s="4" t="str">
        <f t="shared" si="3"/>
        <v/>
      </c>
    </row>
    <row r="884">
      <c r="J884" s="13" t="str">
        <f t="shared" si="1"/>
        <v/>
      </c>
      <c r="K884" s="13" t="str">
        <f t="shared" si="2"/>
        <v/>
      </c>
      <c r="L884" s="4" t="str">
        <f t="shared" si="3"/>
        <v/>
      </c>
    </row>
    <row r="885">
      <c r="J885" s="13" t="str">
        <f t="shared" si="1"/>
        <v/>
      </c>
      <c r="K885" s="13" t="str">
        <f t="shared" si="2"/>
        <v/>
      </c>
      <c r="L885" s="4" t="str">
        <f t="shared" si="3"/>
        <v/>
      </c>
    </row>
    <row r="886">
      <c r="J886" s="13" t="str">
        <f t="shared" si="1"/>
        <v/>
      </c>
      <c r="K886" s="13" t="str">
        <f t="shared" si="2"/>
        <v/>
      </c>
      <c r="L886" s="4" t="str">
        <f t="shared" si="3"/>
        <v/>
      </c>
    </row>
    <row r="887">
      <c r="J887" s="13" t="str">
        <f t="shared" si="1"/>
        <v/>
      </c>
      <c r="K887" s="13" t="str">
        <f t="shared" si="2"/>
        <v/>
      </c>
      <c r="L887" s="4" t="str">
        <f t="shared" si="3"/>
        <v/>
      </c>
    </row>
    <row r="888">
      <c r="J888" s="13" t="str">
        <f t="shared" si="1"/>
        <v/>
      </c>
      <c r="K888" s="13" t="str">
        <f t="shared" si="2"/>
        <v/>
      </c>
      <c r="L888" s="4" t="str">
        <f t="shared" si="3"/>
        <v/>
      </c>
    </row>
    <row r="889">
      <c r="J889" s="13" t="str">
        <f t="shared" si="1"/>
        <v/>
      </c>
      <c r="K889" s="13" t="str">
        <f t="shared" si="2"/>
        <v/>
      </c>
      <c r="L889" s="4" t="str">
        <f t="shared" si="3"/>
        <v/>
      </c>
    </row>
    <row r="890">
      <c r="J890" s="13" t="str">
        <f t="shared" si="1"/>
        <v/>
      </c>
      <c r="K890" s="13" t="str">
        <f t="shared" si="2"/>
        <v/>
      </c>
      <c r="L890" s="4" t="str">
        <f t="shared" si="3"/>
        <v/>
      </c>
    </row>
    <row r="891">
      <c r="J891" s="13" t="str">
        <f t="shared" si="1"/>
        <v/>
      </c>
      <c r="K891" s="13" t="str">
        <f t="shared" si="2"/>
        <v/>
      </c>
      <c r="L891" s="4" t="str">
        <f t="shared" si="3"/>
        <v/>
      </c>
    </row>
    <row r="892">
      <c r="J892" s="13" t="str">
        <f t="shared" si="1"/>
        <v/>
      </c>
      <c r="K892" s="13" t="str">
        <f t="shared" si="2"/>
        <v/>
      </c>
      <c r="L892" s="4" t="str">
        <f t="shared" si="3"/>
        <v/>
      </c>
    </row>
    <row r="893">
      <c r="J893" s="13" t="str">
        <f t="shared" si="1"/>
        <v/>
      </c>
      <c r="K893" s="13" t="str">
        <f t="shared" si="2"/>
        <v/>
      </c>
      <c r="L893" s="4" t="str">
        <f t="shared" si="3"/>
        <v/>
      </c>
    </row>
    <row r="894">
      <c r="J894" s="13" t="str">
        <f t="shared" si="1"/>
        <v/>
      </c>
      <c r="K894" s="13" t="str">
        <f t="shared" si="2"/>
        <v/>
      </c>
      <c r="L894" s="4" t="str">
        <f t="shared" si="3"/>
        <v/>
      </c>
    </row>
    <row r="895">
      <c r="J895" s="13" t="str">
        <f t="shared" si="1"/>
        <v/>
      </c>
      <c r="K895" s="13" t="str">
        <f t="shared" si="2"/>
        <v/>
      </c>
      <c r="L895" s="4" t="str">
        <f t="shared" si="3"/>
        <v/>
      </c>
    </row>
    <row r="896">
      <c r="J896" s="13" t="str">
        <f t="shared" si="1"/>
        <v/>
      </c>
      <c r="K896" s="13" t="str">
        <f t="shared" si="2"/>
        <v/>
      </c>
      <c r="L896" s="4" t="str">
        <f t="shared" si="3"/>
        <v/>
      </c>
    </row>
    <row r="897">
      <c r="J897" s="13" t="str">
        <f t="shared" si="1"/>
        <v/>
      </c>
      <c r="K897" s="13" t="str">
        <f t="shared" si="2"/>
        <v/>
      </c>
      <c r="L897" s="4" t="str">
        <f t="shared" si="3"/>
        <v/>
      </c>
    </row>
    <row r="898">
      <c r="J898" s="13" t="str">
        <f t="shared" si="1"/>
        <v/>
      </c>
      <c r="K898" s="13" t="str">
        <f t="shared" si="2"/>
        <v/>
      </c>
      <c r="L898" s="4" t="str">
        <f t="shared" si="3"/>
        <v/>
      </c>
    </row>
    <row r="899">
      <c r="J899" s="13" t="str">
        <f t="shared" si="1"/>
        <v/>
      </c>
      <c r="K899" s="13" t="str">
        <f t="shared" si="2"/>
        <v/>
      </c>
      <c r="L899" s="4" t="str">
        <f t="shared" si="3"/>
        <v/>
      </c>
    </row>
    <row r="900">
      <c r="J900" s="13" t="str">
        <f t="shared" si="1"/>
        <v/>
      </c>
      <c r="K900" s="13" t="str">
        <f t="shared" si="2"/>
        <v/>
      </c>
      <c r="L900" s="4" t="str">
        <f t="shared" si="3"/>
        <v/>
      </c>
    </row>
    <row r="901">
      <c r="J901" s="13" t="str">
        <f t="shared" si="1"/>
        <v/>
      </c>
      <c r="K901" s="13" t="str">
        <f t="shared" si="2"/>
        <v/>
      </c>
      <c r="L901" s="4" t="str">
        <f t="shared" si="3"/>
        <v/>
      </c>
    </row>
    <row r="902">
      <c r="J902" s="13" t="str">
        <f t="shared" si="1"/>
        <v/>
      </c>
      <c r="K902" s="13" t="str">
        <f t="shared" si="2"/>
        <v/>
      </c>
      <c r="L902" s="4" t="str">
        <f t="shared" si="3"/>
        <v/>
      </c>
    </row>
    <row r="903">
      <c r="J903" s="13" t="str">
        <f t="shared" si="1"/>
        <v/>
      </c>
      <c r="K903" s="13" t="str">
        <f t="shared" si="2"/>
        <v/>
      </c>
      <c r="L903" s="4" t="str">
        <f t="shared" si="3"/>
        <v/>
      </c>
    </row>
    <row r="904">
      <c r="J904" s="13" t="str">
        <f t="shared" si="1"/>
        <v/>
      </c>
      <c r="K904" s="13" t="str">
        <f t="shared" si="2"/>
        <v/>
      </c>
      <c r="L904" s="4" t="str">
        <f t="shared" si="3"/>
        <v/>
      </c>
    </row>
    <row r="905">
      <c r="J905" s="13" t="str">
        <f t="shared" si="1"/>
        <v/>
      </c>
      <c r="K905" s="13" t="str">
        <f t="shared" si="2"/>
        <v/>
      </c>
      <c r="L905" s="4" t="str">
        <f t="shared" si="3"/>
        <v/>
      </c>
    </row>
    <row r="906">
      <c r="J906" s="13" t="str">
        <f t="shared" si="1"/>
        <v/>
      </c>
      <c r="K906" s="13" t="str">
        <f t="shared" si="2"/>
        <v/>
      </c>
      <c r="L906" s="4" t="str">
        <f t="shared" si="3"/>
        <v/>
      </c>
    </row>
    <row r="907">
      <c r="J907" s="13" t="str">
        <f t="shared" si="1"/>
        <v/>
      </c>
      <c r="K907" s="13" t="str">
        <f t="shared" si="2"/>
        <v/>
      </c>
      <c r="L907" s="4" t="str">
        <f t="shared" si="3"/>
        <v/>
      </c>
    </row>
    <row r="908">
      <c r="J908" s="13" t="str">
        <f t="shared" si="1"/>
        <v/>
      </c>
      <c r="K908" s="13" t="str">
        <f t="shared" si="2"/>
        <v/>
      </c>
      <c r="L908" s="4" t="str">
        <f t="shared" si="3"/>
        <v/>
      </c>
    </row>
    <row r="909">
      <c r="J909" s="13" t="str">
        <f t="shared" si="1"/>
        <v/>
      </c>
      <c r="K909" s="13" t="str">
        <f t="shared" si="2"/>
        <v/>
      </c>
      <c r="L909" s="4" t="str">
        <f t="shared" si="3"/>
        <v/>
      </c>
    </row>
    <row r="910">
      <c r="J910" s="13" t="str">
        <f t="shared" si="1"/>
        <v/>
      </c>
      <c r="K910" s="13" t="str">
        <f t="shared" si="2"/>
        <v/>
      </c>
      <c r="L910" s="4" t="str">
        <f t="shared" si="3"/>
        <v/>
      </c>
    </row>
    <row r="911">
      <c r="J911" s="13" t="str">
        <f t="shared" si="1"/>
        <v/>
      </c>
      <c r="K911" s="13" t="str">
        <f t="shared" si="2"/>
        <v/>
      </c>
      <c r="L911" s="4" t="str">
        <f t="shared" si="3"/>
        <v/>
      </c>
    </row>
    <row r="912">
      <c r="J912" s="13" t="str">
        <f t="shared" si="1"/>
        <v/>
      </c>
      <c r="K912" s="13" t="str">
        <f t="shared" si="2"/>
        <v/>
      </c>
      <c r="L912" s="4" t="str">
        <f t="shared" si="3"/>
        <v/>
      </c>
    </row>
    <row r="913">
      <c r="J913" s="13" t="str">
        <f t="shared" si="1"/>
        <v/>
      </c>
      <c r="K913" s="13" t="str">
        <f t="shared" si="2"/>
        <v/>
      </c>
      <c r="L913" s="4" t="str">
        <f t="shared" si="3"/>
        <v/>
      </c>
    </row>
    <row r="914">
      <c r="J914" s="13" t="str">
        <f t="shared" si="1"/>
        <v/>
      </c>
      <c r="K914" s="13" t="str">
        <f t="shared" si="2"/>
        <v/>
      </c>
      <c r="L914" s="4" t="str">
        <f t="shared" si="3"/>
        <v/>
      </c>
    </row>
    <row r="915">
      <c r="J915" s="13" t="str">
        <f t="shared" si="1"/>
        <v/>
      </c>
      <c r="K915" s="13" t="str">
        <f t="shared" si="2"/>
        <v/>
      </c>
      <c r="L915" s="4" t="str">
        <f t="shared" si="3"/>
        <v/>
      </c>
    </row>
    <row r="916">
      <c r="J916" s="13" t="str">
        <f t="shared" si="1"/>
        <v/>
      </c>
      <c r="K916" s="13" t="str">
        <f t="shared" si="2"/>
        <v/>
      </c>
      <c r="L916" s="4" t="str">
        <f t="shared" si="3"/>
        <v/>
      </c>
    </row>
    <row r="917">
      <c r="J917" s="13" t="str">
        <f t="shared" si="1"/>
        <v/>
      </c>
      <c r="K917" s="13" t="str">
        <f t="shared" si="2"/>
        <v/>
      </c>
      <c r="L917" s="4" t="str">
        <f t="shared" si="3"/>
        <v/>
      </c>
    </row>
    <row r="918">
      <c r="J918" s="13" t="str">
        <f t="shared" si="1"/>
        <v/>
      </c>
      <c r="K918" s="13" t="str">
        <f t="shared" si="2"/>
        <v/>
      </c>
      <c r="L918" s="4" t="str">
        <f t="shared" si="3"/>
        <v/>
      </c>
    </row>
    <row r="919">
      <c r="J919" s="13" t="str">
        <f t="shared" si="1"/>
        <v/>
      </c>
      <c r="K919" s="13" t="str">
        <f t="shared" si="2"/>
        <v/>
      </c>
      <c r="L919" s="4" t="str">
        <f t="shared" si="3"/>
        <v/>
      </c>
    </row>
    <row r="920">
      <c r="J920" s="13" t="str">
        <f t="shared" si="1"/>
        <v/>
      </c>
      <c r="K920" s="13" t="str">
        <f t="shared" si="2"/>
        <v/>
      </c>
      <c r="L920" s="4" t="str">
        <f t="shared" si="3"/>
        <v/>
      </c>
    </row>
    <row r="921">
      <c r="J921" s="13" t="str">
        <f t="shared" si="1"/>
        <v/>
      </c>
      <c r="K921" s="13" t="str">
        <f t="shared" si="2"/>
        <v/>
      </c>
      <c r="L921" s="4" t="str">
        <f t="shared" si="3"/>
        <v/>
      </c>
    </row>
    <row r="922">
      <c r="J922" s="13" t="str">
        <f t="shared" si="1"/>
        <v/>
      </c>
      <c r="K922" s="13" t="str">
        <f t="shared" si="2"/>
        <v/>
      </c>
      <c r="L922" s="4" t="str">
        <f t="shared" si="3"/>
        <v/>
      </c>
    </row>
    <row r="923">
      <c r="J923" s="13" t="str">
        <f t="shared" si="1"/>
        <v/>
      </c>
      <c r="K923" s="13" t="str">
        <f t="shared" si="2"/>
        <v/>
      </c>
      <c r="L923" s="4" t="str">
        <f t="shared" si="3"/>
        <v/>
      </c>
    </row>
    <row r="924">
      <c r="J924" s="13" t="str">
        <f t="shared" si="1"/>
        <v/>
      </c>
      <c r="K924" s="13" t="str">
        <f t="shared" si="2"/>
        <v/>
      </c>
      <c r="L924" s="4" t="str">
        <f t="shared" si="3"/>
        <v/>
      </c>
    </row>
    <row r="925">
      <c r="J925" s="13" t="str">
        <f t="shared" si="1"/>
        <v/>
      </c>
      <c r="K925" s="13" t="str">
        <f t="shared" si="2"/>
        <v/>
      </c>
      <c r="L925" s="4" t="str">
        <f t="shared" si="3"/>
        <v/>
      </c>
    </row>
    <row r="926">
      <c r="J926" s="13" t="str">
        <f t="shared" si="1"/>
        <v/>
      </c>
      <c r="K926" s="13" t="str">
        <f t="shared" si="2"/>
        <v/>
      </c>
      <c r="L926" s="4" t="str">
        <f t="shared" si="3"/>
        <v/>
      </c>
    </row>
    <row r="927">
      <c r="J927" s="13" t="str">
        <f t="shared" si="1"/>
        <v/>
      </c>
      <c r="K927" s="13" t="str">
        <f t="shared" si="2"/>
        <v/>
      </c>
      <c r="L927" s="4" t="str">
        <f t="shared" si="3"/>
        <v/>
      </c>
    </row>
    <row r="928">
      <c r="J928" s="13" t="str">
        <f t="shared" si="1"/>
        <v/>
      </c>
      <c r="K928" s="13" t="str">
        <f t="shared" si="2"/>
        <v/>
      </c>
      <c r="L928" s="4" t="str">
        <f t="shared" si="3"/>
        <v/>
      </c>
    </row>
    <row r="929">
      <c r="J929" s="13" t="str">
        <f t="shared" si="1"/>
        <v/>
      </c>
      <c r="K929" s="13" t="str">
        <f t="shared" si="2"/>
        <v/>
      </c>
      <c r="L929" s="4" t="str">
        <f t="shared" si="3"/>
        <v/>
      </c>
    </row>
    <row r="930">
      <c r="J930" s="13" t="str">
        <f t="shared" si="1"/>
        <v/>
      </c>
      <c r="K930" s="13" t="str">
        <f t="shared" si="2"/>
        <v/>
      </c>
      <c r="L930" s="4" t="str">
        <f t="shared" si="3"/>
        <v/>
      </c>
    </row>
    <row r="931">
      <c r="J931" s="13" t="str">
        <f t="shared" si="1"/>
        <v/>
      </c>
      <c r="K931" s="13" t="str">
        <f t="shared" si="2"/>
        <v/>
      </c>
      <c r="L931" s="4" t="str">
        <f t="shared" si="3"/>
        <v/>
      </c>
    </row>
    <row r="932">
      <c r="J932" s="13" t="str">
        <f t="shared" si="1"/>
        <v/>
      </c>
      <c r="K932" s="13" t="str">
        <f t="shared" si="2"/>
        <v/>
      </c>
      <c r="L932" s="4" t="str">
        <f t="shared" si="3"/>
        <v/>
      </c>
    </row>
    <row r="933">
      <c r="J933" s="13" t="str">
        <f t="shared" si="1"/>
        <v/>
      </c>
      <c r="K933" s="13" t="str">
        <f t="shared" si="2"/>
        <v/>
      </c>
      <c r="L933" s="4" t="str">
        <f t="shared" si="3"/>
        <v/>
      </c>
    </row>
    <row r="934">
      <c r="J934" s="13" t="str">
        <f t="shared" si="1"/>
        <v/>
      </c>
      <c r="K934" s="13" t="str">
        <f t="shared" si="2"/>
        <v/>
      </c>
      <c r="L934" s="4" t="str">
        <f t="shared" si="3"/>
        <v/>
      </c>
    </row>
    <row r="935">
      <c r="J935" s="13" t="str">
        <f t="shared" si="1"/>
        <v/>
      </c>
      <c r="K935" s="13" t="str">
        <f t="shared" si="2"/>
        <v/>
      </c>
      <c r="L935" s="4" t="str">
        <f t="shared" si="3"/>
        <v/>
      </c>
    </row>
    <row r="936">
      <c r="J936" s="13" t="str">
        <f t="shared" si="1"/>
        <v/>
      </c>
      <c r="K936" s="13" t="str">
        <f t="shared" si="2"/>
        <v/>
      </c>
      <c r="L936" s="4" t="str">
        <f t="shared" si="3"/>
        <v/>
      </c>
    </row>
    <row r="937">
      <c r="J937" s="13" t="str">
        <f t="shared" si="1"/>
        <v/>
      </c>
      <c r="K937" s="13" t="str">
        <f t="shared" si="2"/>
        <v/>
      </c>
      <c r="L937" s="4" t="str">
        <f t="shared" si="3"/>
        <v/>
      </c>
    </row>
    <row r="938">
      <c r="J938" s="13" t="str">
        <f t="shared" si="1"/>
        <v/>
      </c>
      <c r="K938" s="13" t="str">
        <f t="shared" si="2"/>
        <v/>
      </c>
      <c r="L938" s="4" t="str">
        <f t="shared" si="3"/>
        <v/>
      </c>
    </row>
    <row r="939">
      <c r="J939" s="13" t="str">
        <f t="shared" si="1"/>
        <v/>
      </c>
      <c r="K939" s="13" t="str">
        <f t="shared" si="2"/>
        <v/>
      </c>
      <c r="L939" s="4" t="str">
        <f t="shared" si="3"/>
        <v/>
      </c>
    </row>
    <row r="940">
      <c r="J940" s="13" t="str">
        <f t="shared" si="1"/>
        <v/>
      </c>
      <c r="K940" s="13" t="str">
        <f t="shared" si="2"/>
        <v/>
      </c>
      <c r="L940" s="4" t="str">
        <f t="shared" si="3"/>
        <v/>
      </c>
    </row>
    <row r="941">
      <c r="J941" s="13" t="str">
        <f t="shared" si="1"/>
        <v/>
      </c>
      <c r="K941" s="13" t="str">
        <f t="shared" si="2"/>
        <v/>
      </c>
      <c r="L941" s="4" t="str">
        <f t="shared" si="3"/>
        <v/>
      </c>
    </row>
    <row r="942">
      <c r="J942" s="13" t="str">
        <f t="shared" si="1"/>
        <v/>
      </c>
      <c r="K942" s="13" t="str">
        <f t="shared" si="2"/>
        <v/>
      </c>
      <c r="L942" s="4" t="str">
        <f t="shared" si="3"/>
        <v/>
      </c>
    </row>
    <row r="943">
      <c r="J943" s="13" t="str">
        <f t="shared" si="1"/>
        <v/>
      </c>
      <c r="K943" s="13" t="str">
        <f t="shared" si="2"/>
        <v/>
      </c>
      <c r="L943" s="4" t="str">
        <f t="shared" si="3"/>
        <v/>
      </c>
    </row>
    <row r="944">
      <c r="J944" s="13" t="str">
        <f t="shared" si="1"/>
        <v/>
      </c>
      <c r="K944" s="13" t="str">
        <f t="shared" si="2"/>
        <v/>
      </c>
      <c r="L944" s="4" t="str">
        <f t="shared" si="3"/>
        <v/>
      </c>
    </row>
    <row r="945">
      <c r="J945" s="13" t="str">
        <f t="shared" si="1"/>
        <v/>
      </c>
      <c r="K945" s="13" t="str">
        <f t="shared" si="2"/>
        <v/>
      </c>
      <c r="L945" s="4" t="str">
        <f t="shared" si="3"/>
        <v/>
      </c>
    </row>
    <row r="946">
      <c r="J946" s="13" t="str">
        <f t="shared" si="1"/>
        <v/>
      </c>
      <c r="K946" s="13" t="str">
        <f t="shared" si="2"/>
        <v/>
      </c>
      <c r="L946" s="4" t="str">
        <f t="shared" si="3"/>
        <v/>
      </c>
    </row>
    <row r="947">
      <c r="J947" s="13" t="str">
        <f t="shared" si="1"/>
        <v/>
      </c>
      <c r="K947" s="13" t="str">
        <f t="shared" si="2"/>
        <v/>
      </c>
      <c r="L947" s="4" t="str">
        <f t="shared" si="3"/>
        <v/>
      </c>
    </row>
    <row r="948">
      <c r="J948" s="13" t="str">
        <f t="shared" si="1"/>
        <v/>
      </c>
      <c r="K948" s="13" t="str">
        <f t="shared" si="2"/>
        <v/>
      </c>
      <c r="L948" s="4" t="str">
        <f t="shared" si="3"/>
        <v/>
      </c>
    </row>
    <row r="949">
      <c r="J949" s="13" t="str">
        <f t="shared" si="1"/>
        <v/>
      </c>
      <c r="K949" s="13" t="str">
        <f t="shared" si="2"/>
        <v/>
      </c>
      <c r="L949" s="4" t="str">
        <f t="shared" si="3"/>
        <v/>
      </c>
    </row>
    <row r="950">
      <c r="J950" s="13" t="str">
        <f t="shared" si="1"/>
        <v/>
      </c>
      <c r="K950" s="13" t="str">
        <f t="shared" si="2"/>
        <v/>
      </c>
      <c r="L950" s="4" t="str">
        <f t="shared" si="3"/>
        <v/>
      </c>
    </row>
    <row r="951">
      <c r="J951" s="13" t="str">
        <f t="shared" si="1"/>
        <v/>
      </c>
      <c r="K951" s="13" t="str">
        <f t="shared" si="2"/>
        <v/>
      </c>
      <c r="L951" s="4" t="str">
        <f t="shared" si="3"/>
        <v/>
      </c>
    </row>
    <row r="952">
      <c r="J952" s="13" t="str">
        <f t="shared" si="1"/>
        <v/>
      </c>
      <c r="K952" s="13" t="str">
        <f t="shared" si="2"/>
        <v/>
      </c>
      <c r="L952" s="4" t="str">
        <f t="shared" si="3"/>
        <v/>
      </c>
    </row>
    <row r="953">
      <c r="J953" s="13" t="str">
        <f t="shared" si="1"/>
        <v/>
      </c>
      <c r="K953" s="13" t="str">
        <f t="shared" si="2"/>
        <v/>
      </c>
      <c r="L953" s="4" t="str">
        <f t="shared" si="3"/>
        <v/>
      </c>
    </row>
    <row r="954">
      <c r="J954" s="13" t="str">
        <f t="shared" si="1"/>
        <v/>
      </c>
      <c r="K954" s="13" t="str">
        <f t="shared" si="2"/>
        <v/>
      </c>
      <c r="L954" s="4" t="str">
        <f t="shared" si="3"/>
        <v/>
      </c>
    </row>
    <row r="955">
      <c r="J955" s="13" t="str">
        <f t="shared" si="1"/>
        <v/>
      </c>
      <c r="K955" s="13" t="str">
        <f t="shared" si="2"/>
        <v/>
      </c>
      <c r="L955" s="4" t="str">
        <f t="shared" si="3"/>
        <v/>
      </c>
    </row>
    <row r="956">
      <c r="J956" s="13" t="str">
        <f t="shared" si="1"/>
        <v/>
      </c>
      <c r="K956" s="13" t="str">
        <f t="shared" si="2"/>
        <v/>
      </c>
      <c r="L956" s="4" t="str">
        <f t="shared" si="3"/>
        <v/>
      </c>
    </row>
    <row r="957">
      <c r="J957" s="13" t="str">
        <f t="shared" si="1"/>
        <v/>
      </c>
      <c r="K957" s="13" t="str">
        <f t="shared" si="2"/>
        <v/>
      </c>
      <c r="L957" s="4" t="str">
        <f t="shared" si="3"/>
        <v/>
      </c>
    </row>
    <row r="958">
      <c r="J958" s="13" t="str">
        <f t="shared" si="1"/>
        <v/>
      </c>
      <c r="K958" s="13" t="str">
        <f t="shared" si="2"/>
        <v/>
      </c>
      <c r="L958" s="4" t="str">
        <f t="shared" si="3"/>
        <v/>
      </c>
    </row>
    <row r="959">
      <c r="J959" s="13" t="str">
        <f t="shared" si="1"/>
        <v/>
      </c>
      <c r="K959" s="13" t="str">
        <f t="shared" si="2"/>
        <v/>
      </c>
      <c r="L959" s="4" t="str">
        <f t="shared" si="3"/>
        <v/>
      </c>
    </row>
    <row r="960">
      <c r="J960" s="13" t="str">
        <f t="shared" si="1"/>
        <v/>
      </c>
      <c r="K960" s="13" t="str">
        <f t="shared" si="2"/>
        <v/>
      </c>
      <c r="L960" s="4" t="str">
        <f t="shared" si="3"/>
        <v/>
      </c>
    </row>
    <row r="961">
      <c r="J961" s="13" t="str">
        <f t="shared" si="1"/>
        <v/>
      </c>
      <c r="K961" s="13" t="str">
        <f t="shared" si="2"/>
        <v/>
      </c>
      <c r="L961" s="4" t="str">
        <f t="shared" si="3"/>
        <v/>
      </c>
    </row>
    <row r="962">
      <c r="J962" s="13" t="str">
        <f t="shared" si="1"/>
        <v/>
      </c>
      <c r="K962" s="13" t="str">
        <f t="shared" si="2"/>
        <v/>
      </c>
      <c r="L962" s="4" t="str">
        <f t="shared" si="3"/>
        <v/>
      </c>
    </row>
    <row r="963">
      <c r="J963" s="13" t="str">
        <f t="shared" si="1"/>
        <v/>
      </c>
      <c r="K963" s="13" t="str">
        <f t="shared" si="2"/>
        <v/>
      </c>
      <c r="L963" s="4" t="str">
        <f t="shared" si="3"/>
        <v/>
      </c>
    </row>
    <row r="964">
      <c r="J964" s="13" t="str">
        <f t="shared" si="1"/>
        <v/>
      </c>
      <c r="K964" s="13" t="str">
        <f t="shared" si="2"/>
        <v/>
      </c>
      <c r="L964" s="4" t="str">
        <f t="shared" si="3"/>
        <v/>
      </c>
    </row>
    <row r="965">
      <c r="J965" s="13" t="str">
        <f t="shared" si="1"/>
        <v/>
      </c>
      <c r="K965" s="13" t="str">
        <f t="shared" si="2"/>
        <v/>
      </c>
      <c r="L965" s="4" t="str">
        <f t="shared" si="3"/>
        <v/>
      </c>
    </row>
    <row r="966">
      <c r="J966" s="13" t="str">
        <f t="shared" si="1"/>
        <v/>
      </c>
      <c r="K966" s="13" t="str">
        <f t="shared" si="2"/>
        <v/>
      </c>
      <c r="L966" s="4" t="str">
        <f t="shared" si="3"/>
        <v/>
      </c>
    </row>
    <row r="967">
      <c r="J967" s="13" t="str">
        <f t="shared" si="1"/>
        <v/>
      </c>
      <c r="K967" s="13" t="str">
        <f t="shared" si="2"/>
        <v/>
      </c>
      <c r="L967" s="4" t="str">
        <f t="shared" si="3"/>
        <v/>
      </c>
    </row>
    <row r="968">
      <c r="J968" s="13" t="str">
        <f t="shared" si="1"/>
        <v/>
      </c>
      <c r="K968" s="13" t="str">
        <f t="shared" si="2"/>
        <v/>
      </c>
      <c r="L968" s="4" t="str">
        <f t="shared" si="3"/>
        <v/>
      </c>
    </row>
    <row r="969">
      <c r="J969" s="13" t="str">
        <f t="shared" si="1"/>
        <v/>
      </c>
      <c r="K969" s="13" t="str">
        <f t="shared" si="2"/>
        <v/>
      </c>
      <c r="L969" s="4" t="str">
        <f t="shared" si="3"/>
        <v/>
      </c>
    </row>
    <row r="970">
      <c r="J970" s="13" t="str">
        <f t="shared" si="1"/>
        <v/>
      </c>
      <c r="K970" s="13" t="str">
        <f t="shared" si="2"/>
        <v/>
      </c>
      <c r="L970" s="4" t="str">
        <f t="shared" si="3"/>
        <v/>
      </c>
    </row>
    <row r="971">
      <c r="J971" s="13" t="str">
        <f t="shared" si="1"/>
        <v/>
      </c>
      <c r="K971" s="13" t="str">
        <f t="shared" si="2"/>
        <v/>
      </c>
      <c r="L971" s="4" t="str">
        <f t="shared" si="3"/>
        <v/>
      </c>
    </row>
    <row r="972">
      <c r="J972" s="13" t="str">
        <f t="shared" si="1"/>
        <v/>
      </c>
      <c r="K972" s="13" t="str">
        <f t="shared" si="2"/>
        <v/>
      </c>
      <c r="L972" s="4" t="str">
        <f t="shared" si="3"/>
        <v/>
      </c>
    </row>
    <row r="973">
      <c r="J973" s="13" t="str">
        <f t="shared" si="1"/>
        <v/>
      </c>
      <c r="K973" s="13" t="str">
        <f t="shared" si="2"/>
        <v/>
      </c>
      <c r="L973" s="4" t="str">
        <f t="shared" si="3"/>
        <v/>
      </c>
    </row>
    <row r="974">
      <c r="J974" s="13" t="str">
        <f t="shared" si="1"/>
        <v/>
      </c>
      <c r="K974" s="13" t="str">
        <f t="shared" si="2"/>
        <v/>
      </c>
      <c r="L974" s="4" t="str">
        <f t="shared" si="3"/>
        <v/>
      </c>
    </row>
    <row r="975">
      <c r="J975" s="13" t="str">
        <f t="shared" si="1"/>
        <v/>
      </c>
      <c r="K975" s="13" t="str">
        <f t="shared" si="2"/>
        <v/>
      </c>
      <c r="L975" s="4" t="str">
        <f t="shared" si="3"/>
        <v/>
      </c>
    </row>
    <row r="976">
      <c r="J976" s="13" t="str">
        <f t="shared" si="1"/>
        <v/>
      </c>
      <c r="K976" s="13" t="str">
        <f t="shared" si="2"/>
        <v/>
      </c>
      <c r="L976" s="4" t="str">
        <f t="shared" si="3"/>
        <v/>
      </c>
    </row>
    <row r="977">
      <c r="J977" s="13" t="str">
        <f t="shared" si="1"/>
        <v/>
      </c>
      <c r="K977" s="13" t="str">
        <f t="shared" si="2"/>
        <v/>
      </c>
      <c r="L977" s="4" t="str">
        <f t="shared" si="3"/>
        <v/>
      </c>
    </row>
    <row r="978">
      <c r="J978" s="13" t="str">
        <f t="shared" si="1"/>
        <v/>
      </c>
      <c r="K978" s="13" t="str">
        <f t="shared" si="2"/>
        <v/>
      </c>
      <c r="L978" s="4" t="str">
        <f t="shared" si="3"/>
        <v/>
      </c>
    </row>
    <row r="979">
      <c r="J979" s="13" t="str">
        <f t="shared" si="1"/>
        <v/>
      </c>
      <c r="K979" s="13" t="str">
        <f t="shared" si="2"/>
        <v/>
      </c>
      <c r="L979" s="4" t="str">
        <f t="shared" si="3"/>
        <v/>
      </c>
    </row>
    <row r="980">
      <c r="J980" s="13" t="str">
        <f t="shared" si="1"/>
        <v/>
      </c>
      <c r="K980" s="13" t="str">
        <f t="shared" si="2"/>
        <v/>
      </c>
      <c r="L980" s="4" t="str">
        <f t="shared" si="3"/>
        <v/>
      </c>
    </row>
    <row r="981">
      <c r="J981" s="13" t="str">
        <f t="shared" si="1"/>
        <v/>
      </c>
      <c r="K981" s="13" t="str">
        <f t="shared" si="2"/>
        <v/>
      </c>
      <c r="L981" s="4" t="str">
        <f t="shared" si="3"/>
        <v/>
      </c>
    </row>
    <row r="982">
      <c r="J982" s="13" t="str">
        <f t="shared" si="1"/>
        <v/>
      </c>
      <c r="K982" s="13" t="str">
        <f t="shared" si="2"/>
        <v/>
      </c>
      <c r="L982" s="4" t="str">
        <f t="shared" si="3"/>
        <v/>
      </c>
    </row>
    <row r="983">
      <c r="J983" s="13" t="str">
        <f t="shared" si="1"/>
        <v/>
      </c>
      <c r="K983" s="13" t="str">
        <f t="shared" si="2"/>
        <v/>
      </c>
      <c r="L983" s="4" t="str">
        <f t="shared" si="3"/>
        <v/>
      </c>
    </row>
    <row r="984">
      <c r="J984" s="13" t="str">
        <f t="shared" si="1"/>
        <v/>
      </c>
      <c r="K984" s="13" t="str">
        <f t="shared" si="2"/>
        <v/>
      </c>
      <c r="L984" s="4" t="str">
        <f t="shared" si="3"/>
        <v/>
      </c>
    </row>
    <row r="985">
      <c r="J985" s="13" t="str">
        <f t="shared" si="1"/>
        <v/>
      </c>
      <c r="K985" s="13" t="str">
        <f t="shared" si="2"/>
        <v/>
      </c>
      <c r="L985" s="4" t="str">
        <f t="shared" si="3"/>
        <v/>
      </c>
    </row>
    <row r="986">
      <c r="J986" s="13" t="str">
        <f t="shared" si="1"/>
        <v/>
      </c>
      <c r="K986" s="13" t="str">
        <f t="shared" si="2"/>
        <v/>
      </c>
      <c r="L986" s="4" t="str">
        <f t="shared" si="3"/>
        <v/>
      </c>
    </row>
    <row r="987">
      <c r="J987" s="13" t="str">
        <f t="shared" si="1"/>
        <v/>
      </c>
      <c r="K987" s="13" t="str">
        <f t="shared" si="2"/>
        <v/>
      </c>
      <c r="L987" s="4" t="str">
        <f t="shared" si="3"/>
        <v/>
      </c>
    </row>
    <row r="988">
      <c r="J988" s="13" t="str">
        <f t="shared" si="1"/>
        <v/>
      </c>
      <c r="K988" s="13" t="str">
        <f t="shared" si="2"/>
        <v/>
      </c>
      <c r="L988" s="4" t="str">
        <f t="shared" si="3"/>
        <v/>
      </c>
    </row>
    <row r="989">
      <c r="J989" s="13" t="str">
        <f t="shared" si="1"/>
        <v/>
      </c>
      <c r="K989" s="13" t="str">
        <f t="shared" si="2"/>
        <v/>
      </c>
      <c r="L989" s="4" t="str">
        <f t="shared" si="3"/>
        <v/>
      </c>
    </row>
    <row r="990">
      <c r="J990" s="13" t="str">
        <f t="shared" si="1"/>
        <v/>
      </c>
      <c r="K990" s="13" t="str">
        <f t="shared" si="2"/>
        <v/>
      </c>
      <c r="L990" s="4" t="str">
        <f t="shared" si="3"/>
        <v/>
      </c>
    </row>
    <row r="991">
      <c r="J991" s="13" t="str">
        <f t="shared" si="1"/>
        <v/>
      </c>
      <c r="K991" s="13" t="str">
        <f t="shared" si="2"/>
        <v/>
      </c>
      <c r="L991" s="4" t="str">
        <f t="shared" si="3"/>
        <v/>
      </c>
    </row>
    <row r="992">
      <c r="J992" s="13" t="str">
        <f t="shared" si="1"/>
        <v/>
      </c>
      <c r="K992" s="13" t="str">
        <f t="shared" si="2"/>
        <v/>
      </c>
      <c r="L992" s="4" t="str">
        <f t="shared" si="3"/>
        <v/>
      </c>
    </row>
    <row r="993">
      <c r="J993" s="13" t="str">
        <f t="shared" si="1"/>
        <v/>
      </c>
      <c r="K993" s="13" t="str">
        <f t="shared" si="2"/>
        <v/>
      </c>
      <c r="L993" s="4" t="str">
        <f t="shared" si="3"/>
        <v/>
      </c>
    </row>
    <row r="994">
      <c r="J994" s="13" t="str">
        <f t="shared" si="1"/>
        <v/>
      </c>
      <c r="K994" s="13" t="str">
        <f t="shared" si="2"/>
        <v/>
      </c>
      <c r="L994" s="4" t="str">
        <f t="shared" si="3"/>
        <v/>
      </c>
    </row>
    <row r="995">
      <c r="J995" s="13" t="str">
        <f t="shared" si="1"/>
        <v/>
      </c>
      <c r="K995" s="13" t="str">
        <f t="shared" si="2"/>
        <v/>
      </c>
      <c r="L995" s="4" t="str">
        <f t="shared" si="3"/>
        <v/>
      </c>
    </row>
    <row r="996">
      <c r="J996" s="13" t="str">
        <f t="shared" si="1"/>
        <v/>
      </c>
      <c r="K996" s="13" t="str">
        <f t="shared" si="2"/>
        <v/>
      </c>
      <c r="L996" s="4" t="str">
        <f t="shared" si="3"/>
        <v/>
      </c>
    </row>
    <row r="997">
      <c r="J997" s="13" t="str">
        <f t="shared" si="1"/>
        <v/>
      </c>
      <c r="K997" s="13" t="str">
        <f t="shared" si="2"/>
        <v/>
      </c>
      <c r="L997" s="4" t="str">
        <f t="shared" si="3"/>
        <v/>
      </c>
    </row>
    <row r="998">
      <c r="J998" s="13" t="str">
        <f t="shared" si="1"/>
        <v/>
      </c>
      <c r="K998" s="13" t="str">
        <f t="shared" si="2"/>
        <v/>
      </c>
      <c r="L998" s="4" t="str">
        <f t="shared" si="3"/>
        <v/>
      </c>
    </row>
    <row r="999">
      <c r="J999" s="13" t="str">
        <f t="shared" si="1"/>
        <v/>
      </c>
      <c r="K999" s="13" t="str">
        <f t="shared" si="2"/>
        <v/>
      </c>
      <c r="L999" s="4" t="str">
        <f t="shared" si="3"/>
        <v/>
      </c>
    </row>
    <row r="1000">
      <c r="J1000" s="13" t="str">
        <f t="shared" si="1"/>
        <v/>
      </c>
      <c r="K1000" s="13" t="str">
        <f t="shared" si="2"/>
        <v/>
      </c>
      <c r="L1000" s="4" t="str">
        <f t="shared" si="3"/>
        <v/>
      </c>
    </row>
  </sheetData>
  <hyperlinks>
    <hyperlink r:id="rId1" ref="G144"/>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2" max="2" width="10.63"/>
  </cols>
  <sheetData>
    <row r="1">
      <c r="A1" s="48" t="s">
        <v>1885</v>
      </c>
      <c r="B1" s="49" t="s">
        <v>1897</v>
      </c>
    </row>
    <row r="2">
      <c r="A2" s="50">
        <v>45292.0</v>
      </c>
      <c r="B2" s="51">
        <f>countif(db!J:J,A2)</f>
        <v>18</v>
      </c>
    </row>
    <row r="3">
      <c r="A3" s="50">
        <v>45323.0</v>
      </c>
      <c r="B3" s="51">
        <f>countif(db!J:J,A3)</f>
        <v>18</v>
      </c>
    </row>
    <row r="4">
      <c r="A4" s="50">
        <v>45352.0</v>
      </c>
      <c r="B4" s="51">
        <f>countif(db!J:J,A4)</f>
        <v>16</v>
      </c>
    </row>
    <row r="5">
      <c r="A5" s="50">
        <v>45383.0</v>
      </c>
      <c r="B5" s="51">
        <f>countif(db!J:J,A5)</f>
        <v>0</v>
      </c>
    </row>
    <row r="6">
      <c r="A6" s="50">
        <v>45413.0</v>
      </c>
      <c r="B6" s="51">
        <f>countif(db!J:J,A6)</f>
        <v>10</v>
      </c>
    </row>
    <row r="7">
      <c r="A7" s="50">
        <v>45444.0</v>
      </c>
      <c r="B7" s="51">
        <f>countif(db!J:J,A7)</f>
        <v>5</v>
      </c>
    </row>
    <row r="8">
      <c r="A8" s="50">
        <v>45474.0</v>
      </c>
      <c r="B8" s="51">
        <f>countif(db!J:J,A8)</f>
        <v>5</v>
      </c>
    </row>
    <row r="9">
      <c r="A9" s="50">
        <v>45505.0</v>
      </c>
      <c r="B9" s="51">
        <f>countif(db!J:J,A9)</f>
        <v>3</v>
      </c>
    </row>
    <row r="10">
      <c r="A10" s="50">
        <v>45536.0</v>
      </c>
      <c r="B10" s="51">
        <f>countif(db!J:J,A10)</f>
        <v>6</v>
      </c>
    </row>
    <row r="11">
      <c r="A11" s="50">
        <v>45566.0</v>
      </c>
      <c r="B11" s="51">
        <f>countif(db!J:J,A11)</f>
        <v>19</v>
      </c>
    </row>
    <row r="12">
      <c r="A12" s="50">
        <v>45597.0</v>
      </c>
      <c r="B12" s="51">
        <f>countif(db!J:J,A12)</f>
        <v>11</v>
      </c>
    </row>
    <row r="13">
      <c r="A13" s="50">
        <v>45627.0</v>
      </c>
      <c r="B13" s="51">
        <f>countif(db!J:J,A13)</f>
        <v>5</v>
      </c>
    </row>
    <row r="14">
      <c r="A14" s="48" t="s">
        <v>1898</v>
      </c>
      <c r="B14" s="52">
        <f>SUM(B2:B13)</f>
        <v>116</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1885</v>
      </c>
      <c r="B1" s="4" t="s">
        <v>1897</v>
      </c>
    </row>
    <row r="2">
      <c r="A2" s="53">
        <v>45292.0</v>
      </c>
    </row>
    <row r="3">
      <c r="A3" s="53">
        <v>45323.0</v>
      </c>
    </row>
    <row r="4">
      <c r="A4" s="53">
        <v>45352.0</v>
      </c>
    </row>
    <row r="5">
      <c r="A5" s="53">
        <v>45383.0</v>
      </c>
    </row>
    <row r="6">
      <c r="A6" s="53">
        <v>45413.0</v>
      </c>
    </row>
    <row r="7">
      <c r="A7" s="53">
        <v>45444.0</v>
      </c>
    </row>
    <row r="8">
      <c r="A8" s="53">
        <v>45474.0</v>
      </c>
    </row>
    <row r="9">
      <c r="A9" s="53">
        <v>45505.0</v>
      </c>
    </row>
    <row r="10">
      <c r="A10" s="53">
        <v>45536.0</v>
      </c>
    </row>
    <row r="11">
      <c r="A11" s="53">
        <v>45566.0</v>
      </c>
    </row>
    <row r="12">
      <c r="A12" s="53">
        <v>45597.0</v>
      </c>
    </row>
    <row r="13">
      <c r="A13" s="53">
        <v>45627.0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13"/>
    <col customWidth="1" min="2" max="2" width="20.5"/>
    <col customWidth="1" min="3" max="3" width="34.13"/>
    <col customWidth="1" min="4" max="4" width="16.75"/>
    <col customWidth="1" min="5" max="5" width="30.63"/>
    <col customWidth="1" min="6" max="6" width="26.63"/>
    <col customWidth="1" min="7" max="8" width="37.63"/>
  </cols>
  <sheetData>
    <row r="1">
      <c r="A1" s="54" t="s">
        <v>1886</v>
      </c>
      <c r="B1" s="55" t="s">
        <v>1899</v>
      </c>
      <c r="C1" s="55" t="s">
        <v>1</v>
      </c>
      <c r="D1" s="55" t="s">
        <v>1900</v>
      </c>
      <c r="E1" s="55" t="s">
        <v>1762</v>
      </c>
      <c r="F1" s="55" t="s">
        <v>4</v>
      </c>
      <c r="G1" s="55" t="s">
        <v>1901</v>
      </c>
      <c r="H1" s="56" t="s">
        <v>1902</v>
      </c>
    </row>
    <row r="2">
      <c r="A2" s="57">
        <v>1.0</v>
      </c>
      <c r="B2" s="58">
        <v>45307.0</v>
      </c>
      <c r="C2" s="59" t="s">
        <v>1903</v>
      </c>
      <c r="D2" s="60" t="s">
        <v>1904</v>
      </c>
      <c r="E2" s="59" t="s">
        <v>1905</v>
      </c>
    </row>
    <row r="3">
      <c r="A3" s="61">
        <v>2.0</v>
      </c>
      <c r="B3" s="62">
        <v>45347.417650462965</v>
      </c>
      <c r="C3" s="63" t="s">
        <v>1821</v>
      </c>
      <c r="D3" s="63">
        <v>8.5296203382E10</v>
      </c>
      <c r="E3" s="63" t="s">
        <v>1149</v>
      </c>
      <c r="F3" s="63" t="s">
        <v>253</v>
      </c>
      <c r="G3" s="63" t="s">
        <v>1822</v>
      </c>
      <c r="H3" s="64" t="s">
        <v>1823</v>
      </c>
    </row>
    <row r="4">
      <c r="A4" s="57">
        <v>4.0</v>
      </c>
      <c r="B4" s="65">
        <v>45348.454421296294</v>
      </c>
      <c r="C4" s="59" t="s">
        <v>1825</v>
      </c>
      <c r="D4" s="59">
        <v>8.2166630824E10</v>
      </c>
      <c r="E4" s="59" t="s">
        <v>1169</v>
      </c>
      <c r="F4" s="59" t="s">
        <v>1016</v>
      </c>
      <c r="G4" s="59" t="s">
        <v>1830</v>
      </c>
      <c r="H4" s="66" t="s">
        <v>1831</v>
      </c>
    </row>
    <row r="5">
      <c r="A5" s="61">
        <v>5.0</v>
      </c>
      <c r="B5" s="62">
        <v>45348.57263888889</v>
      </c>
      <c r="C5" s="63" t="s">
        <v>1832</v>
      </c>
      <c r="D5" s="63">
        <v>8.136232699E10</v>
      </c>
      <c r="E5" s="63" t="s">
        <v>1833</v>
      </c>
      <c r="F5" s="63" t="s">
        <v>1834</v>
      </c>
      <c r="G5" s="63" t="s">
        <v>1835</v>
      </c>
      <c r="H5" s="64" t="s">
        <v>1836</v>
      </c>
    </row>
    <row r="6">
      <c r="A6" s="57">
        <v>6.0</v>
      </c>
      <c r="B6" s="65">
        <v>45349.611354166664</v>
      </c>
      <c r="C6" s="59" t="s">
        <v>1838</v>
      </c>
      <c r="D6" s="59">
        <v>8.5361962727E10</v>
      </c>
      <c r="E6" s="59" t="s">
        <v>1157</v>
      </c>
      <c r="F6" s="59" t="s">
        <v>1839</v>
      </c>
      <c r="G6" s="59" t="s">
        <v>1840</v>
      </c>
      <c r="H6" s="66" t="s">
        <v>1841</v>
      </c>
    </row>
    <row r="7">
      <c r="A7" s="61">
        <v>8.0</v>
      </c>
      <c r="B7" s="62">
        <v>45356.590833333335</v>
      </c>
      <c r="C7" s="63" t="s">
        <v>1843</v>
      </c>
      <c r="D7" s="63">
        <v>8.1265494169E10</v>
      </c>
      <c r="E7" s="63" t="s">
        <v>780</v>
      </c>
      <c r="F7" s="63" t="s">
        <v>1806</v>
      </c>
      <c r="G7" s="63" t="s">
        <v>1846</v>
      </c>
      <c r="H7" s="64" t="s">
        <v>1845</v>
      </c>
    </row>
    <row r="8">
      <c r="A8" s="57">
        <v>9.0</v>
      </c>
      <c r="B8" s="65">
        <v>45722.51385775463</v>
      </c>
      <c r="C8" s="59" t="s">
        <v>1848</v>
      </c>
      <c r="D8" s="59">
        <v>8.5261684828E10</v>
      </c>
      <c r="E8" s="59" t="s">
        <v>1675</v>
      </c>
      <c r="F8" s="59" t="s">
        <v>1849</v>
      </c>
      <c r="G8" s="59" t="s">
        <v>1850</v>
      </c>
      <c r="H8" s="66" t="s">
        <v>1850</v>
      </c>
    </row>
    <row r="9">
      <c r="A9" s="61">
        <v>10.0</v>
      </c>
      <c r="B9" s="62">
        <v>45723.55076109954</v>
      </c>
      <c r="C9" s="63" t="s">
        <v>1852</v>
      </c>
      <c r="D9" s="63">
        <v>8.5362643517E10</v>
      </c>
      <c r="E9" s="63" t="s">
        <v>1853</v>
      </c>
      <c r="F9" s="63" t="s">
        <v>1854</v>
      </c>
      <c r="G9" s="63" t="s">
        <v>1855</v>
      </c>
      <c r="H9" s="64" t="s">
        <v>1856</v>
      </c>
    </row>
    <row r="10">
      <c r="A10" s="67">
        <v>11.0</v>
      </c>
      <c r="B10" s="68">
        <v>45761.65163917824</v>
      </c>
      <c r="C10" s="69" t="s">
        <v>1906</v>
      </c>
      <c r="D10" s="70">
        <v>6.281260150718E12</v>
      </c>
      <c r="E10" s="69"/>
      <c r="F10" s="69" t="s">
        <v>1907</v>
      </c>
      <c r="G10" s="69" t="s">
        <v>1908</v>
      </c>
      <c r="H10" s="71"/>
    </row>
    <row r="14">
      <c r="A14" s="1"/>
    </row>
    <row r="15">
      <c r="A15" s="1"/>
    </row>
    <row r="16">
      <c r="A16" s="1"/>
    </row>
    <row r="17">
      <c r="A17" s="1"/>
    </row>
    <row r="18">
      <c r="A18" s="1"/>
    </row>
    <row r="19">
      <c r="A19" s="1"/>
    </row>
    <row r="20">
      <c r="A20" s="1"/>
    </row>
    <row r="21">
      <c r="A21" s="2"/>
    </row>
    <row r="22">
      <c r="A22" s="2"/>
    </row>
  </sheetData>
  <dataValidations>
    <dataValidation type="custom" allowBlank="1" showDropDown="1" sqref="B2:B10">
      <formula1>OR(NOT(ISERROR(DATEVALUE(B2))), AND(ISNUMBER(B2), LEFT(CELL("format", B2))="D"))</formula1>
    </dataValidation>
    <dataValidation type="custom" allowBlank="1" showDropDown="1" sqref="A2:A10 D2:D10">
      <formula1>AND(ISNUMBER(A2),(NOT(OR(NOT(ISERROR(DATEVALUE(A2))), AND(ISNUMBER(A2), LEFT(CELL("format", A2))="D")))))</formula1>
    </dataValidation>
  </dataValidations>
  <drawing r:id="rId1"/>
  <tableParts count="1">
    <tablePart r:id="rId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3.13"/>
    <col customWidth="1" min="2" max="2" width="40.0"/>
    <col customWidth="1" min="3" max="3" width="48.5"/>
    <col customWidth="1" min="4" max="4" width="44.25"/>
  </cols>
  <sheetData>
    <row r="1">
      <c r="A1" s="72" t="s">
        <v>1909</v>
      </c>
      <c r="B1" s="73" t="s">
        <v>1910</v>
      </c>
      <c r="C1" s="73" t="s">
        <v>1911</v>
      </c>
      <c r="D1" s="74" t="s">
        <v>1912</v>
      </c>
      <c r="E1" s="1"/>
      <c r="F1" s="1"/>
      <c r="G1" s="1"/>
      <c r="H1" s="2"/>
      <c r="I1" s="2"/>
    </row>
  </sheetData>
  <drawing r:id="rId1"/>
  <tableParts count="1">
    <tablePart r:id="rId3"/>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38"/>
  </cols>
  <sheetData>
    <row r="1">
      <c r="A1" s="4" t="s">
        <v>1913</v>
      </c>
      <c r="B1" s="4" t="s">
        <v>1914</v>
      </c>
    </row>
    <row r="2">
      <c r="A2" s="4" t="s">
        <v>1915</v>
      </c>
      <c r="B2" s="4" t="s">
        <v>256</v>
      </c>
    </row>
    <row r="3">
      <c r="A3" s="4" t="s">
        <v>1916</v>
      </c>
      <c r="B3" s="4" t="s">
        <v>1915</v>
      </c>
    </row>
    <row r="4">
      <c r="A4" s="75" t="s">
        <v>1917</v>
      </c>
      <c r="B4" s="4" t="s">
        <v>1916</v>
      </c>
    </row>
    <row r="5">
      <c r="A5" s="4" t="s">
        <v>1918</v>
      </c>
      <c r="B5" s="4" t="s">
        <v>1916</v>
      </c>
    </row>
    <row r="6">
      <c r="A6" s="4" t="s">
        <v>1917</v>
      </c>
      <c r="B6" s="4" t="s">
        <v>1916</v>
      </c>
    </row>
    <row r="7">
      <c r="A7" s="4" t="s">
        <v>1919</v>
      </c>
      <c r="B7" s="4" t="s">
        <v>1916</v>
      </c>
    </row>
    <row r="8">
      <c r="A8" s="4" t="s">
        <v>1920</v>
      </c>
      <c r="B8" s="4" t="s">
        <v>1916</v>
      </c>
    </row>
    <row r="9">
      <c r="A9" s="4" t="s">
        <v>1921</v>
      </c>
      <c r="B9" s="4" t="s">
        <v>1916</v>
      </c>
    </row>
    <row r="10">
      <c r="A10" s="4" t="s">
        <v>919</v>
      </c>
      <c r="B10" s="4" t="s">
        <v>1915</v>
      </c>
    </row>
    <row r="11">
      <c r="A11" s="4" t="s">
        <v>1922</v>
      </c>
      <c r="B11" s="4" t="s">
        <v>919</v>
      </c>
    </row>
    <row r="12">
      <c r="A12" s="4" t="s">
        <v>1923</v>
      </c>
      <c r="B12" s="4" t="s">
        <v>1924</v>
      </c>
    </row>
    <row r="13">
      <c r="A13" s="4" t="s">
        <v>1925</v>
      </c>
      <c r="B13" s="4" t="s">
        <v>1924</v>
      </c>
    </row>
    <row r="14">
      <c r="A14" s="4" t="s">
        <v>1926</v>
      </c>
      <c r="B14" s="4" t="s">
        <v>1924</v>
      </c>
    </row>
    <row r="15">
      <c r="A15" s="4" t="s">
        <v>1927</v>
      </c>
      <c r="B15" s="4" t="s">
        <v>1924</v>
      </c>
    </row>
    <row r="16">
      <c r="A16" s="4" t="s">
        <v>1928</v>
      </c>
      <c r="B16" s="4" t="s">
        <v>1924</v>
      </c>
    </row>
    <row r="17">
      <c r="A17" s="4" t="s">
        <v>1929</v>
      </c>
      <c r="B17" s="4" t="s">
        <v>1924</v>
      </c>
    </row>
    <row r="18">
      <c r="A18" s="4" t="s">
        <v>1930</v>
      </c>
      <c r="B18" s="4" t="s">
        <v>1915</v>
      </c>
    </row>
    <row r="19">
      <c r="A19" s="4" t="s">
        <v>1931</v>
      </c>
      <c r="B19" s="4" t="s">
        <v>1930</v>
      </c>
    </row>
    <row r="20">
      <c r="A20" s="4" t="s">
        <v>1932</v>
      </c>
      <c r="B20" s="4" t="s">
        <v>1930</v>
      </c>
    </row>
    <row r="21">
      <c r="A21" s="4" t="s">
        <v>1933</v>
      </c>
      <c r="B21" s="4" t="s">
        <v>1930</v>
      </c>
    </row>
    <row r="22">
      <c r="A22" s="4" t="s">
        <v>1934</v>
      </c>
      <c r="B22" s="4" t="s">
        <v>1930</v>
      </c>
    </row>
    <row r="23">
      <c r="A23" s="4" t="s">
        <v>1935</v>
      </c>
      <c r="B23" s="4" t="s">
        <v>1930</v>
      </c>
    </row>
    <row r="24">
      <c r="A24" s="4" t="s">
        <v>1936</v>
      </c>
      <c r="B24" s="4" t="s">
        <v>1930</v>
      </c>
    </row>
    <row r="25">
      <c r="A25" s="4" t="s">
        <v>1937</v>
      </c>
      <c r="B25" s="4" t="s">
        <v>1915</v>
      </c>
    </row>
    <row r="26">
      <c r="A26" s="5" t="s">
        <v>1938</v>
      </c>
      <c r="B26" s="4" t="s">
        <v>1937</v>
      </c>
    </row>
    <row r="27">
      <c r="A27" s="4" t="s">
        <v>1939</v>
      </c>
      <c r="B27" s="4" t="s">
        <v>1937</v>
      </c>
    </row>
    <row r="28">
      <c r="A28" s="4" t="s">
        <v>1940</v>
      </c>
      <c r="B28" s="4" t="s">
        <v>1937</v>
      </c>
    </row>
  </sheetData>
  <hyperlinks>
    <hyperlink r:id="rId1" ref="A26"/>
  </hyperlinks>
  <drawing r:id="rId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 customWidth="1" min="2" max="2" width="15.0"/>
    <col customWidth="1" min="3" max="3" width="22.25"/>
    <col customWidth="1" min="4" max="4" width="21.75"/>
    <col customWidth="1" min="5" max="5" width="18.63"/>
    <col customWidth="1" min="6" max="7" width="18.38"/>
  </cols>
  <sheetData>
    <row r="1">
      <c r="A1" s="76" t="s">
        <v>0</v>
      </c>
      <c r="B1" s="77" t="s">
        <v>1941</v>
      </c>
      <c r="C1" s="78" t="s">
        <v>1</v>
      </c>
      <c r="D1" s="78" t="s">
        <v>2</v>
      </c>
      <c r="E1" s="79" t="s">
        <v>3</v>
      </c>
      <c r="F1" s="79" t="s">
        <v>4</v>
      </c>
      <c r="G1" s="80" t="s">
        <v>1942</v>
      </c>
    </row>
    <row r="2">
      <c r="A2" s="81"/>
      <c r="B2" s="82"/>
      <c r="C2" s="83"/>
      <c r="D2" s="84"/>
      <c r="E2" s="83"/>
      <c r="F2" s="83"/>
      <c r="G2" s="85"/>
    </row>
    <row r="3">
      <c r="A3" s="86">
        <v>45301.55505787037</v>
      </c>
      <c r="B3" s="87" t="str">
        <f t="shared" ref="B3:B120" si="1">"1210"&amp;text(ROW(),"000")</f>
        <v>1210003</v>
      </c>
      <c r="C3" s="88" t="s">
        <v>21</v>
      </c>
      <c r="D3" s="89" t="s">
        <v>22</v>
      </c>
      <c r="E3" s="88"/>
      <c r="F3" s="88" t="s">
        <v>20</v>
      </c>
      <c r="G3" s="90"/>
    </row>
    <row r="4">
      <c r="A4" s="81">
        <v>45301.55640046296</v>
      </c>
      <c r="B4" s="82" t="str">
        <f t="shared" si="1"/>
        <v>1210004</v>
      </c>
      <c r="C4" s="83" t="s">
        <v>24</v>
      </c>
      <c r="D4" s="84" t="s">
        <v>25</v>
      </c>
      <c r="E4" s="82" t="s">
        <v>26</v>
      </c>
      <c r="F4" s="83" t="s">
        <v>20</v>
      </c>
      <c r="G4" s="85"/>
    </row>
    <row r="5">
      <c r="A5" s="86">
        <v>45303.457870370374</v>
      </c>
      <c r="B5" s="87" t="str">
        <f t="shared" si="1"/>
        <v>1210005</v>
      </c>
      <c r="C5" s="88" t="s">
        <v>29</v>
      </c>
      <c r="D5" s="89" t="s">
        <v>30</v>
      </c>
      <c r="E5" s="87" t="s">
        <v>31</v>
      </c>
      <c r="F5" s="88" t="s">
        <v>35</v>
      </c>
      <c r="G5" s="90"/>
    </row>
    <row r="6">
      <c r="A6" s="81">
        <v>45315.40917824074</v>
      </c>
      <c r="B6" s="82" t="str">
        <f t="shared" si="1"/>
        <v>1210006</v>
      </c>
      <c r="C6" s="83" t="s">
        <v>36</v>
      </c>
      <c r="D6" s="84" t="s">
        <v>37</v>
      </c>
      <c r="E6" s="83"/>
      <c r="F6" s="83" t="s">
        <v>39</v>
      </c>
      <c r="G6" s="85"/>
    </row>
    <row r="7">
      <c r="A7" s="86">
        <v>45321.34657407407</v>
      </c>
      <c r="B7" s="87" t="str">
        <f t="shared" si="1"/>
        <v>1210007</v>
      </c>
      <c r="C7" s="88" t="s">
        <v>40</v>
      </c>
      <c r="D7" s="89" t="s">
        <v>41</v>
      </c>
      <c r="E7" s="87" t="s">
        <v>42</v>
      </c>
      <c r="F7" s="88" t="s">
        <v>43</v>
      </c>
      <c r="G7" s="90"/>
    </row>
    <row r="8">
      <c r="A8" s="81">
        <v>45321.36635416667</v>
      </c>
      <c r="B8" s="82" t="str">
        <f t="shared" si="1"/>
        <v>1210008</v>
      </c>
      <c r="C8" s="83" t="s">
        <v>46</v>
      </c>
      <c r="D8" s="84" t="s">
        <v>47</v>
      </c>
      <c r="E8" s="82" t="s">
        <v>48</v>
      </c>
      <c r="F8" s="83" t="s">
        <v>43</v>
      </c>
      <c r="G8" s="85"/>
    </row>
    <row r="9">
      <c r="A9" s="86">
        <v>45321.36769675926</v>
      </c>
      <c r="B9" s="87" t="str">
        <f t="shared" si="1"/>
        <v>1210009</v>
      </c>
      <c r="C9" s="88" t="s">
        <v>51</v>
      </c>
      <c r="D9" s="89" t="s">
        <v>52</v>
      </c>
      <c r="E9" s="87" t="s">
        <v>53</v>
      </c>
      <c r="F9" s="88" t="s">
        <v>43</v>
      </c>
      <c r="G9" s="90"/>
    </row>
    <row r="10">
      <c r="A10" s="81">
        <v>45321.39533564815</v>
      </c>
      <c r="B10" s="82" t="str">
        <f t="shared" si="1"/>
        <v>1210010</v>
      </c>
      <c r="C10" s="83" t="s">
        <v>55</v>
      </c>
      <c r="D10" s="84" t="s">
        <v>56</v>
      </c>
      <c r="E10" s="82" t="s">
        <v>57</v>
      </c>
      <c r="F10" s="83" t="s">
        <v>58</v>
      </c>
      <c r="G10" s="85"/>
    </row>
    <row r="11">
      <c r="A11" s="86">
        <v>45321.51493055555</v>
      </c>
      <c r="B11" s="87" t="str">
        <f t="shared" si="1"/>
        <v>1210011</v>
      </c>
      <c r="C11" s="88" t="s">
        <v>61</v>
      </c>
      <c r="D11" s="91" t="s">
        <v>62</v>
      </c>
      <c r="E11" s="87" t="s">
        <v>63</v>
      </c>
      <c r="F11" s="88" t="s">
        <v>58</v>
      </c>
      <c r="G11" s="90"/>
    </row>
    <row r="12">
      <c r="A12" s="81">
        <v>45321.589270833334</v>
      </c>
      <c r="B12" s="82" t="str">
        <f t="shared" si="1"/>
        <v>1210012</v>
      </c>
      <c r="C12" s="83" t="s">
        <v>66</v>
      </c>
      <c r="D12" s="92" t="s">
        <v>67</v>
      </c>
      <c r="E12" s="82" t="s">
        <v>68</v>
      </c>
      <c r="F12" s="83" t="s">
        <v>58</v>
      </c>
      <c r="G12" s="85"/>
    </row>
    <row r="13">
      <c r="A13" s="86">
        <v>45321.59664351852</v>
      </c>
      <c r="B13" s="87" t="str">
        <f t="shared" si="1"/>
        <v>1210013</v>
      </c>
      <c r="C13" s="88" t="s">
        <v>70</v>
      </c>
      <c r="D13" s="91" t="s">
        <v>71</v>
      </c>
      <c r="E13" s="87" t="s">
        <v>72</v>
      </c>
      <c r="F13" s="88" t="s">
        <v>58</v>
      </c>
      <c r="G13" s="90"/>
    </row>
    <row r="14">
      <c r="A14" s="81">
        <v>45322.409467592595</v>
      </c>
      <c r="B14" s="82" t="str">
        <f t="shared" si="1"/>
        <v>1210014</v>
      </c>
      <c r="C14" s="83" t="s">
        <v>74</v>
      </c>
      <c r="D14" s="92" t="s">
        <v>75</v>
      </c>
      <c r="E14" s="82" t="s">
        <v>76</v>
      </c>
      <c r="F14" s="83" t="s">
        <v>77</v>
      </c>
      <c r="G14" s="85"/>
    </row>
    <row r="15">
      <c r="A15" s="86">
        <v>45322.41434027778</v>
      </c>
      <c r="B15" s="87" t="str">
        <f t="shared" si="1"/>
        <v>1210015</v>
      </c>
      <c r="C15" s="88" t="s">
        <v>80</v>
      </c>
      <c r="D15" s="91" t="s">
        <v>81</v>
      </c>
      <c r="E15" s="87" t="s">
        <v>82</v>
      </c>
      <c r="F15" s="88" t="s">
        <v>58</v>
      </c>
      <c r="G15" s="90"/>
    </row>
    <row r="16">
      <c r="A16" s="81">
        <v>45322.45822916667</v>
      </c>
      <c r="B16" s="82" t="str">
        <f t="shared" si="1"/>
        <v>1210016</v>
      </c>
      <c r="C16" s="83" t="s">
        <v>85</v>
      </c>
      <c r="D16" s="92" t="s">
        <v>86</v>
      </c>
      <c r="E16" s="82" t="s">
        <v>87</v>
      </c>
      <c r="F16" s="83" t="s">
        <v>58</v>
      </c>
      <c r="G16" s="85"/>
    </row>
    <row r="17">
      <c r="A17" s="86">
        <v>45322.45962962963</v>
      </c>
      <c r="B17" s="87" t="str">
        <f t="shared" si="1"/>
        <v>1210017</v>
      </c>
      <c r="C17" s="88" t="s">
        <v>92</v>
      </c>
      <c r="D17" s="91" t="s">
        <v>93</v>
      </c>
      <c r="E17" s="87" t="s">
        <v>94</v>
      </c>
      <c r="F17" s="88" t="s">
        <v>58</v>
      </c>
      <c r="G17" s="90"/>
    </row>
    <row r="18">
      <c r="A18" s="81">
        <v>45322.62300925926</v>
      </c>
      <c r="B18" s="82" t="str">
        <f t="shared" si="1"/>
        <v>1210018</v>
      </c>
      <c r="C18" s="83" t="s">
        <v>97</v>
      </c>
      <c r="D18" s="93" t="s">
        <v>825</v>
      </c>
      <c r="E18" s="83"/>
      <c r="F18" s="83" t="s">
        <v>103</v>
      </c>
      <c r="G18" s="85"/>
    </row>
    <row r="19">
      <c r="A19" s="86">
        <v>45328.3537037037</v>
      </c>
      <c r="B19" s="87" t="str">
        <f t="shared" si="1"/>
        <v>1210019</v>
      </c>
      <c r="C19" s="88" t="s">
        <v>104</v>
      </c>
      <c r="D19" s="91" t="s">
        <v>105</v>
      </c>
      <c r="E19" s="87" t="s">
        <v>106</v>
      </c>
      <c r="F19" s="88" t="s">
        <v>58</v>
      </c>
      <c r="G19" s="90"/>
    </row>
    <row r="20">
      <c r="A20" s="81">
        <v>45329.40033564815</v>
      </c>
      <c r="B20" s="82" t="str">
        <f t="shared" si="1"/>
        <v>1210020</v>
      </c>
      <c r="C20" s="83" t="s">
        <v>110</v>
      </c>
      <c r="D20" s="92" t="s">
        <v>111</v>
      </c>
      <c r="E20" s="82" t="s">
        <v>112</v>
      </c>
      <c r="F20" s="83" t="s">
        <v>43</v>
      </c>
      <c r="G20" s="85"/>
    </row>
    <row r="21">
      <c r="A21" s="86">
        <v>45329.422314814816</v>
      </c>
      <c r="B21" s="87" t="str">
        <f t="shared" si="1"/>
        <v>1210021</v>
      </c>
      <c r="C21" s="88" t="s">
        <v>115</v>
      </c>
      <c r="D21" s="91" t="s">
        <v>116</v>
      </c>
      <c r="E21" s="87" t="s">
        <v>117</v>
      </c>
      <c r="F21" s="88" t="s">
        <v>58</v>
      </c>
      <c r="G21" s="90"/>
    </row>
    <row r="22">
      <c r="A22" s="81">
        <v>45329.42621527778</v>
      </c>
      <c r="B22" s="82" t="str">
        <f t="shared" si="1"/>
        <v>1210022</v>
      </c>
      <c r="C22" s="83" t="s">
        <v>121</v>
      </c>
      <c r="D22" s="92" t="s">
        <v>122</v>
      </c>
      <c r="E22" s="82" t="s">
        <v>123</v>
      </c>
      <c r="F22" s="83" t="s">
        <v>58</v>
      </c>
      <c r="G22" s="85"/>
    </row>
    <row r="23">
      <c r="A23" s="86">
        <v>45329.570706018516</v>
      </c>
      <c r="B23" s="87" t="str">
        <f t="shared" si="1"/>
        <v>1210023</v>
      </c>
      <c r="C23" s="88" t="s">
        <v>128</v>
      </c>
      <c r="D23" s="91" t="s">
        <v>129</v>
      </c>
      <c r="E23" s="87" t="s">
        <v>130</v>
      </c>
      <c r="F23" s="88" t="s">
        <v>132</v>
      </c>
      <c r="G23" s="90"/>
    </row>
    <row r="24">
      <c r="A24" s="81">
        <v>45334.584375</v>
      </c>
      <c r="B24" s="82" t="str">
        <f t="shared" si="1"/>
        <v>1210024</v>
      </c>
      <c r="C24" s="83" t="s">
        <v>133</v>
      </c>
      <c r="D24" s="92" t="s">
        <v>134</v>
      </c>
      <c r="E24" s="82" t="s">
        <v>135</v>
      </c>
      <c r="F24" s="83" t="s">
        <v>138</v>
      </c>
      <c r="G24" s="85"/>
    </row>
    <row r="25">
      <c r="A25" s="86">
        <v>45337.703668981485</v>
      </c>
      <c r="B25" s="87" t="str">
        <f t="shared" si="1"/>
        <v>1210025</v>
      </c>
      <c r="C25" s="87" t="s">
        <v>139</v>
      </c>
      <c r="D25" s="91" t="s">
        <v>140</v>
      </c>
      <c r="E25" s="87" t="s">
        <v>141</v>
      </c>
      <c r="F25" s="88" t="s">
        <v>145</v>
      </c>
      <c r="G25" s="90"/>
    </row>
    <row r="26">
      <c r="A26" s="81">
        <v>45337.71797453704</v>
      </c>
      <c r="B26" s="82" t="str">
        <f t="shared" si="1"/>
        <v>1210026</v>
      </c>
      <c r="C26" s="83" t="s">
        <v>146</v>
      </c>
      <c r="D26" s="92" t="s">
        <v>147</v>
      </c>
      <c r="E26" s="82" t="s">
        <v>148</v>
      </c>
      <c r="F26" s="83" t="s">
        <v>145</v>
      </c>
      <c r="G26" s="85"/>
    </row>
    <row r="27">
      <c r="A27" s="86">
        <v>45344.60427083333</v>
      </c>
      <c r="B27" s="87" t="str">
        <f t="shared" si="1"/>
        <v>1210027</v>
      </c>
      <c r="C27" s="88" t="s">
        <v>151</v>
      </c>
      <c r="D27" s="91" t="s">
        <v>152</v>
      </c>
      <c r="E27" s="87" t="s">
        <v>153</v>
      </c>
      <c r="F27" s="88" t="s">
        <v>156</v>
      </c>
      <c r="G27" s="90"/>
    </row>
    <row r="28">
      <c r="A28" s="81">
        <v>45345.47645833333</v>
      </c>
      <c r="B28" s="82" t="str">
        <f t="shared" si="1"/>
        <v>1210028</v>
      </c>
      <c r="C28" s="83" t="s">
        <v>157</v>
      </c>
      <c r="D28" s="92" t="s">
        <v>158</v>
      </c>
      <c r="E28" s="82" t="s">
        <v>159</v>
      </c>
      <c r="F28" s="83" t="s">
        <v>162</v>
      </c>
      <c r="G28" s="85"/>
    </row>
    <row r="29">
      <c r="A29" s="86">
        <v>45349.38246527778</v>
      </c>
      <c r="B29" s="87" t="str">
        <f t="shared" si="1"/>
        <v>1210029</v>
      </c>
      <c r="C29" s="88" t="s">
        <v>163</v>
      </c>
      <c r="D29" s="91" t="s">
        <v>164</v>
      </c>
      <c r="E29" s="87" t="s">
        <v>165</v>
      </c>
      <c r="F29" s="88" t="s">
        <v>58</v>
      </c>
      <c r="G29" s="90"/>
    </row>
    <row r="30">
      <c r="A30" s="81">
        <v>45350.35456018519</v>
      </c>
      <c r="B30" s="82" t="str">
        <f t="shared" si="1"/>
        <v>1210030</v>
      </c>
      <c r="C30" s="83" t="s">
        <v>169</v>
      </c>
      <c r="D30" s="92" t="s">
        <v>170</v>
      </c>
      <c r="E30" s="82" t="s">
        <v>171</v>
      </c>
      <c r="F30" s="83" t="s">
        <v>174</v>
      </c>
      <c r="G30" s="85"/>
    </row>
    <row r="31">
      <c r="A31" s="86">
        <v>45351.38</v>
      </c>
      <c r="B31" s="87" t="str">
        <f t="shared" si="1"/>
        <v>1210031</v>
      </c>
      <c r="C31" s="88" t="s">
        <v>180</v>
      </c>
      <c r="D31" s="91" t="s">
        <v>181</v>
      </c>
      <c r="E31" s="87" t="s">
        <v>182</v>
      </c>
      <c r="F31" s="88" t="s">
        <v>186</v>
      </c>
      <c r="G31" s="90"/>
    </row>
    <row r="32">
      <c r="A32" s="81">
        <v>45351.381747685184</v>
      </c>
      <c r="B32" s="82" t="str">
        <f t="shared" si="1"/>
        <v>1210032</v>
      </c>
      <c r="C32" s="82" t="s">
        <v>187</v>
      </c>
      <c r="D32" s="92" t="s">
        <v>188</v>
      </c>
      <c r="E32" s="82" t="s">
        <v>189</v>
      </c>
      <c r="F32" s="83" t="s">
        <v>186</v>
      </c>
      <c r="G32" s="85"/>
    </row>
    <row r="33">
      <c r="A33" s="86">
        <v>45351.38400462963</v>
      </c>
      <c r="B33" s="87" t="str">
        <f t="shared" si="1"/>
        <v>1210033</v>
      </c>
      <c r="C33" s="88" t="s">
        <v>191</v>
      </c>
      <c r="D33" s="91" t="s">
        <v>192</v>
      </c>
      <c r="E33" s="87" t="s">
        <v>193</v>
      </c>
      <c r="F33" s="88"/>
      <c r="G33" s="90"/>
    </row>
    <row r="34">
      <c r="A34" s="81">
        <v>45351.39125</v>
      </c>
      <c r="B34" s="82" t="str">
        <f t="shared" si="1"/>
        <v>1210034</v>
      </c>
      <c r="C34" s="83" t="s">
        <v>195</v>
      </c>
      <c r="D34" s="92" t="s">
        <v>196</v>
      </c>
      <c r="E34" s="82" t="s">
        <v>197</v>
      </c>
      <c r="F34" s="83" t="s">
        <v>199</v>
      </c>
      <c r="G34" s="85"/>
    </row>
    <row r="35">
      <c r="A35" s="86">
        <v>45352.387025462966</v>
      </c>
      <c r="B35" s="87" t="str">
        <f t="shared" si="1"/>
        <v>1210035</v>
      </c>
      <c r="C35" s="88" t="s">
        <v>200</v>
      </c>
      <c r="D35" s="94" t="s">
        <v>1943</v>
      </c>
      <c r="E35" s="87" t="s">
        <v>202</v>
      </c>
      <c r="F35" s="88" t="s">
        <v>204</v>
      </c>
      <c r="G35" s="95" t="s">
        <v>1944</v>
      </c>
    </row>
    <row r="36">
      <c r="A36" s="81">
        <v>45352.625</v>
      </c>
      <c r="B36" s="82" t="str">
        <f t="shared" si="1"/>
        <v>1210036</v>
      </c>
      <c r="C36" s="83" t="s">
        <v>205</v>
      </c>
      <c r="D36" s="92" t="s">
        <v>206</v>
      </c>
      <c r="E36" s="82" t="s">
        <v>207</v>
      </c>
      <c r="F36" s="83" t="s">
        <v>210</v>
      </c>
      <c r="G36" s="85"/>
    </row>
    <row r="37">
      <c r="A37" s="86">
        <v>45366.42101851852</v>
      </c>
      <c r="B37" s="87" t="str">
        <f t="shared" si="1"/>
        <v>1210037</v>
      </c>
      <c r="C37" s="88" t="s">
        <v>211</v>
      </c>
      <c r="D37" s="91" t="s">
        <v>212</v>
      </c>
      <c r="E37" s="87" t="s">
        <v>213</v>
      </c>
      <c r="F37" s="88" t="s">
        <v>214</v>
      </c>
      <c r="G37" s="90"/>
    </row>
    <row r="38">
      <c r="A38" s="81">
        <v>45370.34326388889</v>
      </c>
      <c r="B38" s="82" t="str">
        <f t="shared" si="1"/>
        <v>1210038</v>
      </c>
      <c r="C38" s="83" t="s">
        <v>220</v>
      </c>
      <c r="D38" s="92" t="s">
        <v>221</v>
      </c>
      <c r="E38" s="82" t="s">
        <v>222</v>
      </c>
      <c r="F38" s="83"/>
      <c r="G38" s="85"/>
    </row>
    <row r="39">
      <c r="A39" s="86">
        <v>45370.35221064815</v>
      </c>
      <c r="B39" s="87" t="str">
        <f t="shared" si="1"/>
        <v>1210039</v>
      </c>
      <c r="C39" s="88" t="s">
        <v>225</v>
      </c>
      <c r="D39" s="91" t="s">
        <v>226</v>
      </c>
      <c r="E39" s="87" t="s">
        <v>227</v>
      </c>
      <c r="F39" s="88"/>
      <c r="G39" s="90"/>
    </row>
    <row r="40">
      <c r="A40" s="81">
        <v>45370.353634259256</v>
      </c>
      <c r="B40" s="82" t="str">
        <f t="shared" si="1"/>
        <v>1210040</v>
      </c>
      <c r="C40" s="83" t="s">
        <v>229</v>
      </c>
      <c r="D40" s="92" t="s">
        <v>230</v>
      </c>
      <c r="E40" s="82" t="s">
        <v>231</v>
      </c>
      <c r="F40" s="83"/>
      <c r="G40" s="85"/>
    </row>
    <row r="41">
      <c r="A41" s="86">
        <v>45370.356145833335</v>
      </c>
      <c r="B41" s="87" t="str">
        <f t="shared" si="1"/>
        <v>1210041</v>
      </c>
      <c r="C41" s="88" t="s">
        <v>234</v>
      </c>
      <c r="D41" s="91" t="s">
        <v>235</v>
      </c>
      <c r="E41" s="87" t="s">
        <v>236</v>
      </c>
      <c r="F41" s="88"/>
      <c r="G41" s="90"/>
    </row>
    <row r="42">
      <c r="A42" s="81">
        <v>45372.39613425926</v>
      </c>
      <c r="B42" s="82" t="str">
        <f t="shared" si="1"/>
        <v>1210042</v>
      </c>
      <c r="C42" s="82" t="s">
        <v>238</v>
      </c>
      <c r="D42" s="92" t="s">
        <v>239</v>
      </c>
      <c r="E42" s="82" t="s">
        <v>240</v>
      </c>
      <c r="F42" s="83"/>
      <c r="G42" s="85"/>
    </row>
    <row r="43">
      <c r="A43" s="86">
        <v>45373.46055555555</v>
      </c>
      <c r="B43" s="87" t="str">
        <f t="shared" si="1"/>
        <v>1210043</v>
      </c>
      <c r="C43" s="88" t="s">
        <v>243</v>
      </c>
      <c r="D43" s="91" t="s">
        <v>244</v>
      </c>
      <c r="E43" s="87" t="s">
        <v>245</v>
      </c>
      <c r="F43" s="88"/>
      <c r="G43" s="90"/>
    </row>
    <row r="44">
      <c r="A44" s="81">
        <v>45373.47429398148</v>
      </c>
      <c r="B44" s="82" t="str">
        <f t="shared" si="1"/>
        <v>1210044</v>
      </c>
      <c r="C44" s="83" t="s">
        <v>249</v>
      </c>
      <c r="D44" s="92" t="s">
        <v>250</v>
      </c>
      <c r="E44" s="82" t="s">
        <v>251</v>
      </c>
      <c r="F44" s="83" t="s">
        <v>253</v>
      </c>
      <c r="G44" s="85"/>
    </row>
    <row r="45">
      <c r="A45" s="86">
        <v>45373.51122685185</v>
      </c>
      <c r="B45" s="87" t="str">
        <f t="shared" si="1"/>
        <v>1210045</v>
      </c>
      <c r="C45" s="88" t="s">
        <v>254</v>
      </c>
      <c r="D45" s="91" t="s">
        <v>255</v>
      </c>
      <c r="E45" s="88" t="s">
        <v>256</v>
      </c>
      <c r="F45" s="88" t="s">
        <v>258</v>
      </c>
      <c r="G45" s="90"/>
    </row>
    <row r="46">
      <c r="A46" s="81">
        <v>45376.59539351852</v>
      </c>
      <c r="B46" s="82" t="str">
        <f t="shared" si="1"/>
        <v>1210046</v>
      </c>
      <c r="C46" s="83" t="s">
        <v>259</v>
      </c>
      <c r="D46" s="92" t="s">
        <v>260</v>
      </c>
      <c r="E46" s="83" t="s">
        <v>261</v>
      </c>
      <c r="F46" s="83"/>
      <c r="G46" s="85"/>
    </row>
    <row r="47">
      <c r="A47" s="86">
        <v>45377.618263888886</v>
      </c>
      <c r="B47" s="87" t="str">
        <f t="shared" si="1"/>
        <v>1210047</v>
      </c>
      <c r="C47" s="87" t="s">
        <v>264</v>
      </c>
      <c r="D47" s="91" t="s">
        <v>265</v>
      </c>
      <c r="E47" s="87" t="s">
        <v>266</v>
      </c>
      <c r="F47" s="88"/>
      <c r="G47" s="90"/>
    </row>
    <row r="48">
      <c r="A48" s="81">
        <v>45378.37519675926</v>
      </c>
      <c r="B48" s="82" t="str">
        <f t="shared" si="1"/>
        <v>1210048</v>
      </c>
      <c r="C48" s="82" t="s">
        <v>269</v>
      </c>
      <c r="D48" s="92" t="s">
        <v>270</v>
      </c>
      <c r="E48" s="82" t="s">
        <v>271</v>
      </c>
      <c r="F48" s="83"/>
      <c r="G48" s="85"/>
    </row>
    <row r="49">
      <c r="A49" s="86">
        <v>45378.45798611111</v>
      </c>
      <c r="B49" s="87" t="str">
        <f t="shared" si="1"/>
        <v>1210049</v>
      </c>
      <c r="C49" s="88" t="s">
        <v>274</v>
      </c>
      <c r="D49" s="91" t="s">
        <v>275</v>
      </c>
      <c r="E49" s="88"/>
      <c r="F49" s="88"/>
      <c r="G49" s="90"/>
    </row>
    <row r="50">
      <c r="A50" s="81">
        <v>45427.4675</v>
      </c>
      <c r="B50" s="82" t="str">
        <f t="shared" si="1"/>
        <v>1210050</v>
      </c>
      <c r="C50" s="83" t="s">
        <v>278</v>
      </c>
      <c r="D50" s="92" t="s">
        <v>279</v>
      </c>
      <c r="E50" s="83" t="s">
        <v>256</v>
      </c>
      <c r="F50" s="83"/>
      <c r="G50" s="85"/>
    </row>
    <row r="51">
      <c r="A51" s="86">
        <v>45427.469826388886</v>
      </c>
      <c r="B51" s="87" t="str">
        <f t="shared" si="1"/>
        <v>1210051</v>
      </c>
      <c r="C51" s="88" t="s">
        <v>280</v>
      </c>
      <c r="D51" s="91" t="s">
        <v>281</v>
      </c>
      <c r="E51" s="87" t="s">
        <v>282</v>
      </c>
      <c r="F51" s="88"/>
      <c r="G51" s="90"/>
    </row>
    <row r="52">
      <c r="A52" s="81">
        <v>45428.46743055555</v>
      </c>
      <c r="B52" s="82" t="str">
        <f t="shared" si="1"/>
        <v>1210052</v>
      </c>
      <c r="C52" s="83" t="s">
        <v>286</v>
      </c>
      <c r="D52" s="92" t="s">
        <v>287</v>
      </c>
      <c r="E52" s="82" t="s">
        <v>288</v>
      </c>
      <c r="F52" s="83" t="s">
        <v>290</v>
      </c>
      <c r="G52" s="85"/>
    </row>
    <row r="53">
      <c r="A53" s="86">
        <v>45428.469247685185</v>
      </c>
      <c r="B53" s="87" t="str">
        <f t="shared" si="1"/>
        <v>1210053</v>
      </c>
      <c r="C53" s="88" t="s">
        <v>291</v>
      </c>
      <c r="D53" s="91" t="s">
        <v>292</v>
      </c>
      <c r="E53" s="87" t="s">
        <v>293</v>
      </c>
      <c r="F53" s="88"/>
      <c r="G53" s="90"/>
    </row>
    <row r="54">
      <c r="A54" s="81">
        <v>45440.46579861111</v>
      </c>
      <c r="B54" s="82" t="str">
        <f t="shared" si="1"/>
        <v>1210054</v>
      </c>
      <c r="C54" s="83" t="s">
        <v>295</v>
      </c>
      <c r="D54" s="92" t="s">
        <v>296</v>
      </c>
      <c r="E54" s="82" t="s">
        <v>297</v>
      </c>
      <c r="F54" s="83"/>
      <c r="G54" s="85"/>
    </row>
    <row r="55">
      <c r="A55" s="86">
        <v>45443.45259259259</v>
      </c>
      <c r="B55" s="87" t="str">
        <f t="shared" si="1"/>
        <v>1210055</v>
      </c>
      <c r="C55" s="88" t="s">
        <v>298</v>
      </c>
      <c r="D55" s="91" t="s">
        <v>299</v>
      </c>
      <c r="E55" s="87" t="s">
        <v>300</v>
      </c>
      <c r="F55" s="88" t="s">
        <v>301</v>
      </c>
      <c r="G55" s="90"/>
    </row>
    <row r="56">
      <c r="A56" s="81">
        <v>45443.48081018519</v>
      </c>
      <c r="B56" s="82" t="str">
        <f t="shared" si="1"/>
        <v>1210056</v>
      </c>
      <c r="C56" s="83" t="s">
        <v>303</v>
      </c>
      <c r="D56" s="92" t="s">
        <v>304</v>
      </c>
      <c r="E56" s="82" t="s">
        <v>305</v>
      </c>
      <c r="F56" s="83" t="s">
        <v>306</v>
      </c>
      <c r="G56" s="85"/>
    </row>
    <row r="57">
      <c r="A57" s="86">
        <v>45443.48204861111</v>
      </c>
      <c r="B57" s="87" t="str">
        <f t="shared" si="1"/>
        <v>1210057</v>
      </c>
      <c r="C57" s="88" t="s">
        <v>308</v>
      </c>
      <c r="D57" s="91" t="s">
        <v>309</v>
      </c>
      <c r="E57" s="87" t="s">
        <v>310</v>
      </c>
      <c r="F57" s="88" t="s">
        <v>306</v>
      </c>
      <c r="G57" s="90"/>
    </row>
    <row r="58">
      <c r="A58" s="81">
        <v>45443.48305555555</v>
      </c>
      <c r="B58" s="82" t="str">
        <f t="shared" si="1"/>
        <v>1210058</v>
      </c>
      <c r="C58" s="83" t="s">
        <v>312</v>
      </c>
      <c r="D58" s="92" t="s">
        <v>313</v>
      </c>
      <c r="E58" s="82" t="s">
        <v>314</v>
      </c>
      <c r="F58" s="83" t="s">
        <v>306</v>
      </c>
      <c r="G58" s="85"/>
    </row>
    <row r="59">
      <c r="A59" s="86">
        <v>45446.37082175926</v>
      </c>
      <c r="B59" s="87" t="str">
        <f t="shared" si="1"/>
        <v>1210059</v>
      </c>
      <c r="C59" s="88" t="s">
        <v>318</v>
      </c>
      <c r="D59" s="91" t="s">
        <v>319</v>
      </c>
      <c r="E59" s="87" t="s">
        <v>320</v>
      </c>
      <c r="F59" s="88"/>
      <c r="G59" s="90"/>
    </row>
    <row r="60">
      <c r="A60" s="81">
        <v>45449.41357638889</v>
      </c>
      <c r="B60" s="82" t="str">
        <f t="shared" si="1"/>
        <v>1210060</v>
      </c>
      <c r="C60" s="83" t="s">
        <v>323</v>
      </c>
      <c r="D60" s="92" t="s">
        <v>324</v>
      </c>
      <c r="E60" s="82" t="s">
        <v>325</v>
      </c>
      <c r="F60" s="83"/>
      <c r="G60" s="85"/>
    </row>
    <row r="61">
      <c r="A61" s="86">
        <v>45455.61997685185</v>
      </c>
      <c r="B61" s="87" t="str">
        <f t="shared" si="1"/>
        <v>1210061</v>
      </c>
      <c r="C61" s="88" t="s">
        <v>329</v>
      </c>
      <c r="D61" s="91" t="s">
        <v>330</v>
      </c>
      <c r="E61" s="87" t="s">
        <v>331</v>
      </c>
      <c r="F61" s="88"/>
      <c r="G61" s="90"/>
    </row>
    <row r="62">
      <c r="A62" s="81">
        <v>45456.6247337963</v>
      </c>
      <c r="B62" s="82" t="str">
        <f t="shared" si="1"/>
        <v>1210062</v>
      </c>
      <c r="C62" s="83" t="s">
        <v>335</v>
      </c>
      <c r="D62" s="92" t="s">
        <v>336</v>
      </c>
      <c r="E62" s="83"/>
      <c r="F62" s="83"/>
      <c r="G62" s="85"/>
    </row>
    <row r="63">
      <c r="A63" s="86">
        <v>45463.38407407407</v>
      </c>
      <c r="B63" s="87" t="str">
        <f t="shared" si="1"/>
        <v>1210063</v>
      </c>
      <c r="C63" s="88" t="s">
        <v>337</v>
      </c>
      <c r="D63" s="91" t="s">
        <v>338</v>
      </c>
      <c r="E63" s="87" t="s">
        <v>339</v>
      </c>
      <c r="F63" s="88"/>
      <c r="G63" s="90"/>
    </row>
    <row r="64">
      <c r="A64" s="81">
        <v>45478.48042824074</v>
      </c>
      <c r="B64" s="82" t="str">
        <f t="shared" si="1"/>
        <v>1210064</v>
      </c>
      <c r="C64" s="83" t="s">
        <v>342</v>
      </c>
      <c r="D64" s="92" t="s">
        <v>343</v>
      </c>
      <c r="E64" s="82" t="s">
        <v>344</v>
      </c>
      <c r="F64" s="83"/>
      <c r="G64" s="85"/>
    </row>
    <row r="65">
      <c r="A65" s="86">
        <v>45497.499606481484</v>
      </c>
      <c r="B65" s="87" t="str">
        <f t="shared" si="1"/>
        <v>1210065</v>
      </c>
      <c r="C65" s="88" t="s">
        <v>351</v>
      </c>
      <c r="D65" s="91" t="s">
        <v>352</v>
      </c>
      <c r="E65" s="87" t="s">
        <v>353</v>
      </c>
      <c r="F65" s="88"/>
      <c r="G65" s="90"/>
    </row>
    <row r="66">
      <c r="A66" s="81">
        <v>45498.44493055555</v>
      </c>
      <c r="B66" s="82" t="str">
        <f t="shared" si="1"/>
        <v>1210066</v>
      </c>
      <c r="C66" s="83" t="s">
        <v>356</v>
      </c>
      <c r="D66" s="92" t="s">
        <v>357</v>
      </c>
      <c r="E66" s="82" t="s">
        <v>358</v>
      </c>
      <c r="F66" s="83"/>
      <c r="G66" s="85"/>
    </row>
    <row r="67">
      <c r="A67" s="86">
        <v>45498.44578703704</v>
      </c>
      <c r="B67" s="87" t="str">
        <f t="shared" si="1"/>
        <v>1210067</v>
      </c>
      <c r="C67" s="88" t="s">
        <v>361</v>
      </c>
      <c r="D67" s="91" t="s">
        <v>362</v>
      </c>
      <c r="E67" s="87" t="s">
        <v>363</v>
      </c>
      <c r="F67" s="88"/>
      <c r="G67" s="90"/>
    </row>
    <row r="68">
      <c r="A68" s="81">
        <v>45506.39366898148</v>
      </c>
      <c r="B68" s="82" t="str">
        <f t="shared" si="1"/>
        <v>1210068</v>
      </c>
      <c r="C68" s="83" t="s">
        <v>366</v>
      </c>
      <c r="D68" s="92" t="s">
        <v>367</v>
      </c>
      <c r="E68" s="82" t="s">
        <v>368</v>
      </c>
      <c r="F68" s="83"/>
      <c r="G68" s="85"/>
    </row>
    <row r="69">
      <c r="A69" s="86">
        <v>45511.40023148148</v>
      </c>
      <c r="B69" s="87" t="str">
        <f t="shared" si="1"/>
        <v>1210069</v>
      </c>
      <c r="C69" s="88" t="s">
        <v>371</v>
      </c>
      <c r="D69" s="91" t="s">
        <v>372</v>
      </c>
      <c r="E69" s="87" t="s">
        <v>373</v>
      </c>
      <c r="F69" s="88"/>
      <c r="G69" s="90"/>
    </row>
    <row r="70">
      <c r="A70" s="81">
        <v>45531.316296296296</v>
      </c>
      <c r="B70" s="82" t="str">
        <f t="shared" si="1"/>
        <v>1210070</v>
      </c>
      <c r="C70" s="83" t="s">
        <v>377</v>
      </c>
      <c r="D70" s="92" t="s">
        <v>378</v>
      </c>
      <c r="E70" s="82" t="s">
        <v>379</v>
      </c>
      <c r="F70" s="83" t="s">
        <v>332</v>
      </c>
      <c r="G70" s="85"/>
    </row>
    <row r="71">
      <c r="A71" s="86">
        <v>45546.61195601852</v>
      </c>
      <c r="B71" s="87" t="str">
        <f t="shared" si="1"/>
        <v>1210071</v>
      </c>
      <c r="C71" s="88" t="s">
        <v>382</v>
      </c>
      <c r="D71" s="91" t="s">
        <v>383</v>
      </c>
      <c r="E71" s="87" t="s">
        <v>384</v>
      </c>
      <c r="F71" s="88"/>
      <c r="G71" s="90"/>
    </row>
    <row r="72">
      <c r="A72" s="81">
        <v>45548.37002314815</v>
      </c>
      <c r="B72" s="82" t="str">
        <f t="shared" si="1"/>
        <v>1210072</v>
      </c>
      <c r="C72" s="83" t="s">
        <v>386</v>
      </c>
      <c r="D72" s="92" t="s">
        <v>387</v>
      </c>
      <c r="E72" s="82" t="s">
        <v>388</v>
      </c>
      <c r="F72" s="83"/>
      <c r="G72" s="85"/>
    </row>
    <row r="73">
      <c r="A73" s="86">
        <v>45552.436956018515</v>
      </c>
      <c r="B73" s="87" t="str">
        <f t="shared" si="1"/>
        <v>1210073</v>
      </c>
      <c r="C73" s="88" t="s">
        <v>391</v>
      </c>
      <c r="D73" s="91" t="s">
        <v>392</v>
      </c>
      <c r="E73" s="87" t="s">
        <v>393</v>
      </c>
      <c r="F73" s="88"/>
      <c r="G73" s="90"/>
    </row>
    <row r="74">
      <c r="A74" s="81">
        <v>45552.437939814816</v>
      </c>
      <c r="B74" s="82" t="str">
        <f t="shared" si="1"/>
        <v>1210074</v>
      </c>
      <c r="C74" s="83" t="s">
        <v>397</v>
      </c>
      <c r="D74" s="92" t="s">
        <v>398</v>
      </c>
      <c r="E74" s="82" t="s">
        <v>399</v>
      </c>
      <c r="F74" s="83"/>
      <c r="G74" s="85"/>
    </row>
    <row r="75">
      <c r="A75" s="86">
        <v>45558.41699074074</v>
      </c>
      <c r="B75" s="87" t="str">
        <f t="shared" si="1"/>
        <v>1210075</v>
      </c>
      <c r="C75" s="88" t="s">
        <v>402</v>
      </c>
      <c r="D75" s="91" t="s">
        <v>403</v>
      </c>
      <c r="E75" s="87" t="s">
        <v>404</v>
      </c>
      <c r="F75" s="88"/>
      <c r="G75" s="90"/>
    </row>
    <row r="76">
      <c r="A76" s="81">
        <v>45558.417719907404</v>
      </c>
      <c r="B76" s="82" t="str">
        <f t="shared" si="1"/>
        <v>1210076</v>
      </c>
      <c r="C76" s="83" t="s">
        <v>407</v>
      </c>
      <c r="D76" s="92" t="s">
        <v>408</v>
      </c>
      <c r="E76" s="82" t="s">
        <v>409</v>
      </c>
      <c r="F76" s="83"/>
      <c r="G76" s="85"/>
    </row>
    <row r="77">
      <c r="A77" s="86">
        <v>45568.47957175926</v>
      </c>
      <c r="B77" s="87" t="str">
        <f t="shared" si="1"/>
        <v>1210077</v>
      </c>
      <c r="C77" s="88" t="s">
        <v>411</v>
      </c>
      <c r="D77" s="91" t="s">
        <v>412</v>
      </c>
      <c r="E77" s="88" t="s">
        <v>413</v>
      </c>
      <c r="F77" s="88"/>
      <c r="G77" s="90"/>
    </row>
    <row r="78">
      <c r="A78" s="81">
        <v>45569.471724537034</v>
      </c>
      <c r="B78" s="82" t="str">
        <f t="shared" si="1"/>
        <v>1210078</v>
      </c>
      <c r="C78" s="83" t="s">
        <v>415</v>
      </c>
      <c r="D78" s="92" t="s">
        <v>416</v>
      </c>
      <c r="E78" s="82" t="s">
        <v>417</v>
      </c>
      <c r="F78" s="83"/>
      <c r="G78" s="85"/>
    </row>
    <row r="79">
      <c r="A79" s="86">
        <v>45573.585324074076</v>
      </c>
      <c r="B79" s="87" t="str">
        <f t="shared" si="1"/>
        <v>1210079</v>
      </c>
      <c r="C79" s="88" t="s">
        <v>419</v>
      </c>
      <c r="D79" s="91" t="s">
        <v>420</v>
      </c>
      <c r="E79" s="87" t="s">
        <v>421</v>
      </c>
      <c r="F79" s="88"/>
      <c r="G79" s="90"/>
    </row>
    <row r="80">
      <c r="A80" s="81">
        <v>45573.59792824074</v>
      </c>
      <c r="B80" s="82" t="str">
        <f t="shared" si="1"/>
        <v>1210080</v>
      </c>
      <c r="C80" s="83" t="s">
        <v>430</v>
      </c>
      <c r="D80" s="92" t="s">
        <v>431</v>
      </c>
      <c r="E80" s="82" t="s">
        <v>432</v>
      </c>
      <c r="F80" s="83"/>
      <c r="G80" s="85"/>
    </row>
    <row r="81">
      <c r="A81" s="86">
        <v>45573.60045138889</v>
      </c>
      <c r="B81" s="87" t="str">
        <f t="shared" si="1"/>
        <v>1210081</v>
      </c>
      <c r="C81" s="88" t="s">
        <v>435</v>
      </c>
      <c r="D81" s="91" t="s">
        <v>436</v>
      </c>
      <c r="E81" s="88"/>
      <c r="F81" s="88"/>
      <c r="G81" s="90"/>
    </row>
    <row r="82">
      <c r="A82" s="81">
        <v>45573.61696759259</v>
      </c>
      <c r="B82" s="82" t="str">
        <f t="shared" si="1"/>
        <v>1210082</v>
      </c>
      <c r="C82" s="83" t="s">
        <v>439</v>
      </c>
      <c r="D82" s="92" t="s">
        <v>440</v>
      </c>
      <c r="E82" s="83"/>
      <c r="F82" s="83"/>
      <c r="G82" s="85"/>
    </row>
    <row r="83">
      <c r="A83" s="86">
        <v>45574.58530092592</v>
      </c>
      <c r="B83" s="87" t="str">
        <f t="shared" si="1"/>
        <v>1210083</v>
      </c>
      <c r="C83" s="88" t="s">
        <v>443</v>
      </c>
      <c r="D83" s="91" t="s">
        <v>444</v>
      </c>
      <c r="E83" s="88"/>
      <c r="F83" s="88"/>
      <c r="G83" s="90"/>
    </row>
    <row r="84">
      <c r="A84" s="81">
        <v>45574.59296296296</v>
      </c>
      <c r="B84" s="82" t="str">
        <f t="shared" si="1"/>
        <v>1210084</v>
      </c>
      <c r="C84" s="83" t="s">
        <v>451</v>
      </c>
      <c r="D84" s="92" t="s">
        <v>452</v>
      </c>
      <c r="E84" s="82" t="s">
        <v>453</v>
      </c>
      <c r="F84" s="83"/>
      <c r="G84" s="85"/>
    </row>
    <row r="85">
      <c r="A85" s="86">
        <v>45574.59380787037</v>
      </c>
      <c r="B85" s="87" t="str">
        <f t="shared" si="1"/>
        <v>1210085</v>
      </c>
      <c r="C85" s="88" t="s">
        <v>456</v>
      </c>
      <c r="D85" s="91" t="s">
        <v>457</v>
      </c>
      <c r="E85" s="87" t="s">
        <v>458</v>
      </c>
      <c r="F85" s="88"/>
      <c r="G85" s="90"/>
    </row>
    <row r="86">
      <c r="A86" s="81">
        <v>45574.600590277776</v>
      </c>
      <c r="B86" s="82" t="str">
        <f t="shared" si="1"/>
        <v>1210086</v>
      </c>
      <c r="C86" s="83" t="s">
        <v>460</v>
      </c>
      <c r="D86" s="92" t="s">
        <v>461</v>
      </c>
      <c r="E86" s="82" t="s">
        <v>462</v>
      </c>
      <c r="F86" s="83"/>
      <c r="G86" s="85"/>
    </row>
    <row r="87">
      <c r="A87" s="86">
        <v>45574.601585648146</v>
      </c>
      <c r="B87" s="87" t="str">
        <f t="shared" si="1"/>
        <v>1210087</v>
      </c>
      <c r="C87" s="88" t="s">
        <v>465</v>
      </c>
      <c r="D87" s="91" t="s">
        <v>466</v>
      </c>
      <c r="E87" s="87" t="s">
        <v>467</v>
      </c>
      <c r="F87" s="88"/>
      <c r="G87" s="90"/>
    </row>
    <row r="88">
      <c r="A88" s="81">
        <v>45576.498032407406</v>
      </c>
      <c r="B88" s="82" t="str">
        <f t="shared" si="1"/>
        <v>1210088</v>
      </c>
      <c r="C88" s="83" t="s">
        <v>470</v>
      </c>
      <c r="D88" s="92" t="s">
        <v>471</v>
      </c>
      <c r="E88" s="83"/>
      <c r="F88" s="83"/>
      <c r="G88" s="85"/>
    </row>
    <row r="89">
      <c r="A89" s="86">
        <v>45576.49896990741</v>
      </c>
      <c r="B89" s="87" t="str">
        <f t="shared" si="1"/>
        <v>1210089</v>
      </c>
      <c r="C89" s="88" t="s">
        <v>474</v>
      </c>
      <c r="D89" s="91" t="s">
        <v>475</v>
      </c>
      <c r="E89" s="88"/>
      <c r="F89" s="88"/>
      <c r="G89" s="90"/>
    </row>
    <row r="90">
      <c r="A90" s="81">
        <v>45576.50947916666</v>
      </c>
      <c r="B90" s="82" t="str">
        <f t="shared" si="1"/>
        <v>1210090</v>
      </c>
      <c r="C90" s="83" t="s">
        <v>478</v>
      </c>
      <c r="D90" s="92" t="s">
        <v>479</v>
      </c>
      <c r="E90" s="83"/>
      <c r="F90" s="83"/>
      <c r="G90" s="85"/>
    </row>
    <row r="91">
      <c r="A91" s="86">
        <v>45576.51069444444</v>
      </c>
      <c r="B91" s="87" t="str">
        <f t="shared" si="1"/>
        <v>1210091</v>
      </c>
      <c r="C91" s="88" t="s">
        <v>482</v>
      </c>
      <c r="D91" s="91" t="s">
        <v>483</v>
      </c>
      <c r="E91" s="87" t="s">
        <v>484</v>
      </c>
      <c r="F91" s="88"/>
      <c r="G91" s="90"/>
    </row>
    <row r="92">
      <c r="A92" s="81">
        <v>45596.72079861111</v>
      </c>
      <c r="B92" s="82" t="str">
        <f t="shared" si="1"/>
        <v>1210092</v>
      </c>
      <c r="C92" s="83" t="s">
        <v>487</v>
      </c>
      <c r="D92" s="92" t="s">
        <v>488</v>
      </c>
      <c r="E92" s="82" t="s">
        <v>489</v>
      </c>
      <c r="F92" s="83" t="s">
        <v>1945</v>
      </c>
      <c r="G92" s="85"/>
    </row>
    <row r="93">
      <c r="A93" s="86">
        <v>45601.59311342592</v>
      </c>
      <c r="B93" s="87" t="str">
        <f t="shared" si="1"/>
        <v>1210093</v>
      </c>
      <c r="C93" s="88" t="s">
        <v>492</v>
      </c>
      <c r="D93" s="91" t="s">
        <v>493</v>
      </c>
      <c r="E93" s="87" t="s">
        <v>494</v>
      </c>
      <c r="F93" s="88"/>
      <c r="G93" s="90"/>
    </row>
    <row r="94">
      <c r="A94" s="81">
        <v>45607.43607638889</v>
      </c>
      <c r="B94" s="82" t="str">
        <f t="shared" si="1"/>
        <v>1210094</v>
      </c>
      <c r="C94" s="83" t="s">
        <v>498</v>
      </c>
      <c r="D94" s="92" t="s">
        <v>499</v>
      </c>
      <c r="E94" s="82" t="s">
        <v>500</v>
      </c>
      <c r="F94" s="83" t="s">
        <v>502</v>
      </c>
      <c r="G94" s="85"/>
    </row>
    <row r="95">
      <c r="A95" s="86">
        <v>45607.51863425926</v>
      </c>
      <c r="B95" s="87" t="str">
        <f t="shared" si="1"/>
        <v>1210095</v>
      </c>
      <c r="C95" s="88" t="s">
        <v>503</v>
      </c>
      <c r="D95" s="91" t="s">
        <v>504</v>
      </c>
      <c r="E95" s="88"/>
      <c r="F95" s="88"/>
      <c r="G95" s="90"/>
    </row>
    <row r="96">
      <c r="A96" s="81">
        <v>45616.39392361111</v>
      </c>
      <c r="B96" s="82" t="str">
        <f t="shared" si="1"/>
        <v>1210096</v>
      </c>
      <c r="C96" s="83" t="s">
        <v>507</v>
      </c>
      <c r="D96" s="92" t="s">
        <v>508</v>
      </c>
      <c r="E96" s="83"/>
      <c r="F96" s="83" t="s">
        <v>511</v>
      </c>
      <c r="G96" s="85"/>
    </row>
    <row r="97">
      <c r="A97" s="86">
        <v>45616.39460648148</v>
      </c>
      <c r="B97" s="87" t="str">
        <f t="shared" si="1"/>
        <v>1210097</v>
      </c>
      <c r="C97" s="88" t="s">
        <v>512</v>
      </c>
      <c r="D97" s="91" t="s">
        <v>513</v>
      </c>
      <c r="E97" s="88"/>
      <c r="F97" s="88" t="s">
        <v>511</v>
      </c>
      <c r="G97" s="90"/>
    </row>
    <row r="98">
      <c r="A98" s="81">
        <v>45616.395474537036</v>
      </c>
      <c r="B98" s="82" t="str">
        <f t="shared" si="1"/>
        <v>1210098</v>
      </c>
      <c r="C98" s="83" t="s">
        <v>515</v>
      </c>
      <c r="D98" s="92" t="s">
        <v>516</v>
      </c>
      <c r="E98" s="82" t="s">
        <v>517</v>
      </c>
      <c r="F98" s="83" t="s">
        <v>511</v>
      </c>
      <c r="G98" s="85"/>
    </row>
    <row r="99">
      <c r="A99" s="86">
        <v>45622.6280787037</v>
      </c>
      <c r="B99" s="87" t="str">
        <f t="shared" si="1"/>
        <v>1210099</v>
      </c>
      <c r="C99" s="88" t="s">
        <v>1946</v>
      </c>
      <c r="D99" s="91" t="s">
        <v>528</v>
      </c>
      <c r="E99" s="87" t="s">
        <v>529</v>
      </c>
      <c r="F99" s="88" t="s">
        <v>531</v>
      </c>
      <c r="G99" s="90"/>
    </row>
    <row r="100">
      <c r="A100" s="81">
        <v>45628.619942129626</v>
      </c>
      <c r="B100" s="82" t="str">
        <f t="shared" si="1"/>
        <v>1210100</v>
      </c>
      <c r="C100" s="83" t="s">
        <v>536</v>
      </c>
      <c r="D100" s="92" t="s">
        <v>537</v>
      </c>
      <c r="E100" s="82" t="s">
        <v>538</v>
      </c>
      <c r="F100" s="83"/>
      <c r="G100" s="85"/>
    </row>
    <row r="101">
      <c r="A101" s="86">
        <v>45630.3803125</v>
      </c>
      <c r="B101" s="87" t="str">
        <f t="shared" si="1"/>
        <v>1210101</v>
      </c>
      <c r="C101" s="88" t="s">
        <v>541</v>
      </c>
      <c r="D101" s="91" t="s">
        <v>542</v>
      </c>
      <c r="E101" s="88"/>
      <c r="F101" s="88"/>
      <c r="G101" s="90"/>
    </row>
    <row r="102">
      <c r="A102" s="81">
        <v>45630.41831018519</v>
      </c>
      <c r="B102" s="82" t="str">
        <f t="shared" si="1"/>
        <v>1210102</v>
      </c>
      <c r="C102" s="83" t="s">
        <v>545</v>
      </c>
      <c r="D102" s="92" t="s">
        <v>546</v>
      </c>
      <c r="E102" s="83"/>
      <c r="F102" s="83" t="s">
        <v>547</v>
      </c>
      <c r="G102" s="85"/>
    </row>
    <row r="103">
      <c r="A103" s="86">
        <v>45632.435844907406</v>
      </c>
      <c r="B103" s="87" t="str">
        <f t="shared" si="1"/>
        <v>1210103</v>
      </c>
      <c r="C103" s="88" t="s">
        <v>549</v>
      </c>
      <c r="D103" s="91" t="s">
        <v>550</v>
      </c>
      <c r="E103" s="88"/>
      <c r="F103" s="88"/>
      <c r="G103" s="90"/>
    </row>
    <row r="104">
      <c r="A104" s="81">
        <v>45663.597650462965</v>
      </c>
      <c r="B104" s="82" t="str">
        <f t="shared" si="1"/>
        <v>1210104</v>
      </c>
      <c r="C104" s="83" t="s">
        <v>557</v>
      </c>
      <c r="D104" s="92" t="s">
        <v>558</v>
      </c>
      <c r="E104" s="82" t="s">
        <v>559</v>
      </c>
      <c r="F104" s="83"/>
      <c r="G104" s="85"/>
    </row>
    <row r="105">
      <c r="A105" s="86">
        <v>45670.36108796296</v>
      </c>
      <c r="B105" s="87" t="str">
        <f t="shared" si="1"/>
        <v>1210105</v>
      </c>
      <c r="C105" s="88" t="s">
        <v>567</v>
      </c>
      <c r="D105" s="91" t="s">
        <v>568</v>
      </c>
      <c r="E105" s="87" t="s">
        <v>569</v>
      </c>
      <c r="F105" s="88"/>
      <c r="G105" s="90"/>
    </row>
    <row r="106">
      <c r="A106" s="81">
        <v>45670.36231481482</v>
      </c>
      <c r="B106" s="82" t="str">
        <f t="shared" si="1"/>
        <v>1210106</v>
      </c>
      <c r="C106" s="83" t="s">
        <v>573</v>
      </c>
      <c r="D106" s="92" t="s">
        <v>574</v>
      </c>
      <c r="E106" s="82" t="s">
        <v>575</v>
      </c>
      <c r="F106" s="83"/>
      <c r="G106" s="85"/>
    </row>
    <row r="107">
      <c r="A107" s="86">
        <v>45670.37934027778</v>
      </c>
      <c r="B107" s="87" t="str">
        <f t="shared" si="1"/>
        <v>1210107</v>
      </c>
      <c r="C107" s="88" t="s">
        <v>579</v>
      </c>
      <c r="D107" s="91" t="s">
        <v>580</v>
      </c>
      <c r="E107" s="87" t="s">
        <v>581</v>
      </c>
      <c r="F107" s="88"/>
      <c r="G107" s="90"/>
    </row>
    <row r="108">
      <c r="A108" s="81">
        <v>45670.41017361111</v>
      </c>
      <c r="B108" s="82" t="str">
        <f t="shared" si="1"/>
        <v>1210108</v>
      </c>
      <c r="C108" s="83" t="s">
        <v>584</v>
      </c>
      <c r="D108" s="92" t="s">
        <v>585</v>
      </c>
      <c r="E108" s="82" t="s">
        <v>586</v>
      </c>
      <c r="F108" s="82" t="s">
        <v>1947</v>
      </c>
      <c r="G108" s="96" t="s">
        <v>1944</v>
      </c>
    </row>
    <row r="109">
      <c r="A109" s="86">
        <v>45670.417905092596</v>
      </c>
      <c r="B109" s="87" t="str">
        <f t="shared" si="1"/>
        <v>1210109</v>
      </c>
      <c r="C109" s="87" t="s">
        <v>1948</v>
      </c>
      <c r="D109" s="91" t="s">
        <v>590</v>
      </c>
      <c r="E109" s="87" t="s">
        <v>591</v>
      </c>
      <c r="F109" s="87" t="s">
        <v>1947</v>
      </c>
      <c r="G109" s="95" t="s">
        <v>1944</v>
      </c>
    </row>
    <row r="110">
      <c r="A110" s="81">
        <v>45671.33283564815</v>
      </c>
      <c r="B110" s="82" t="str">
        <f t="shared" si="1"/>
        <v>1210110</v>
      </c>
      <c r="C110" s="83" t="s">
        <v>593</v>
      </c>
      <c r="D110" s="92" t="s">
        <v>594</v>
      </c>
      <c r="E110" s="83"/>
      <c r="F110" s="83"/>
      <c r="G110" s="85"/>
    </row>
    <row r="111">
      <c r="A111" s="86">
        <v>45672.477326388886</v>
      </c>
      <c r="B111" s="87" t="str">
        <f t="shared" si="1"/>
        <v>1210111</v>
      </c>
      <c r="C111" s="88" t="s">
        <v>599</v>
      </c>
      <c r="D111" s="91" t="s">
        <v>600</v>
      </c>
      <c r="E111" s="87" t="s">
        <v>601</v>
      </c>
      <c r="F111" s="88"/>
      <c r="G111" s="90"/>
    </row>
    <row r="112">
      <c r="A112" s="81">
        <v>45677.449270833335</v>
      </c>
      <c r="B112" s="82" t="str">
        <f t="shared" si="1"/>
        <v>1210112</v>
      </c>
      <c r="C112" s="83" t="s">
        <v>604</v>
      </c>
      <c r="D112" s="92" t="s">
        <v>605</v>
      </c>
      <c r="E112" s="82" t="s">
        <v>606</v>
      </c>
      <c r="F112" s="83" t="s">
        <v>608</v>
      </c>
      <c r="G112" s="85"/>
    </row>
    <row r="113">
      <c r="A113" s="86">
        <v>45694.403599537036</v>
      </c>
      <c r="B113" s="87" t="str">
        <f t="shared" si="1"/>
        <v>1210113</v>
      </c>
      <c r="C113" s="88" t="s">
        <v>621</v>
      </c>
      <c r="D113" s="91" t="s">
        <v>622</v>
      </c>
      <c r="E113" s="88"/>
      <c r="F113" s="88"/>
      <c r="G113" s="90"/>
    </row>
    <row r="114">
      <c r="A114" s="81">
        <v>45694.412986111114</v>
      </c>
      <c r="B114" s="82" t="str">
        <f t="shared" si="1"/>
        <v>1210114</v>
      </c>
      <c r="C114" s="83" t="s">
        <v>625</v>
      </c>
      <c r="D114" s="92" t="s">
        <v>626</v>
      </c>
      <c r="E114" s="83"/>
      <c r="F114" s="83"/>
      <c r="G114" s="85"/>
    </row>
    <row r="115">
      <c r="A115" s="86">
        <v>45694.66438657408</v>
      </c>
      <c r="B115" s="87" t="str">
        <f t="shared" si="1"/>
        <v>1210115</v>
      </c>
      <c r="C115" s="88" t="s">
        <v>631</v>
      </c>
      <c r="D115" s="91" t="s">
        <v>632</v>
      </c>
      <c r="E115" s="87" t="s">
        <v>633</v>
      </c>
      <c r="F115" s="88"/>
      <c r="G115" s="90"/>
    </row>
    <row r="116">
      <c r="A116" s="81">
        <v>45700.399930555555</v>
      </c>
      <c r="B116" s="82" t="str">
        <f t="shared" si="1"/>
        <v>1210116</v>
      </c>
      <c r="C116" s="83" t="s">
        <v>637</v>
      </c>
      <c r="D116" s="92" t="s">
        <v>638</v>
      </c>
      <c r="E116" s="82" t="s">
        <v>639</v>
      </c>
      <c r="F116" s="83" t="s">
        <v>641</v>
      </c>
      <c r="G116" s="85"/>
    </row>
    <row r="117">
      <c r="A117" s="86">
        <v>45700.41168981481</v>
      </c>
      <c r="B117" s="87" t="str">
        <f t="shared" si="1"/>
        <v>1210117</v>
      </c>
      <c r="C117" s="88" t="s">
        <v>642</v>
      </c>
      <c r="D117" s="91" t="s">
        <v>643</v>
      </c>
      <c r="E117" s="87" t="s">
        <v>644</v>
      </c>
      <c r="F117" s="88" t="s">
        <v>646</v>
      </c>
      <c r="G117" s="90"/>
    </row>
    <row r="118">
      <c r="A118" s="81">
        <v>45700.41609953704</v>
      </c>
      <c r="B118" s="82" t="str">
        <f t="shared" si="1"/>
        <v>1210118</v>
      </c>
      <c r="C118" s="83" t="s">
        <v>647</v>
      </c>
      <c r="D118" s="92" t="s">
        <v>648</v>
      </c>
      <c r="E118" s="82" t="s">
        <v>649</v>
      </c>
      <c r="F118" s="83" t="s">
        <v>651</v>
      </c>
      <c r="G118" s="85"/>
    </row>
    <row r="119">
      <c r="A119" s="86">
        <v>45728.39879629629</v>
      </c>
      <c r="B119" s="87" t="str">
        <f t="shared" si="1"/>
        <v>1210119</v>
      </c>
      <c r="C119" s="88" t="s">
        <v>652</v>
      </c>
      <c r="D119" s="91" t="s">
        <v>653</v>
      </c>
      <c r="E119" s="87" t="s">
        <v>654</v>
      </c>
      <c r="F119" s="88" t="s">
        <v>656</v>
      </c>
      <c r="G119" s="90"/>
    </row>
    <row r="120">
      <c r="A120" s="81">
        <v>45750.88159722222</v>
      </c>
      <c r="B120" s="82" t="str">
        <f t="shared" si="1"/>
        <v>1210120</v>
      </c>
      <c r="C120" s="83" t="s">
        <v>657</v>
      </c>
      <c r="D120" s="92" t="s">
        <v>658</v>
      </c>
      <c r="E120" s="82" t="s">
        <v>659</v>
      </c>
      <c r="F120" s="83"/>
      <c r="G120" s="85"/>
    </row>
    <row r="121">
      <c r="A121" s="97">
        <v>45764.37795138889</v>
      </c>
      <c r="B121" s="98" t="s">
        <v>1949</v>
      </c>
      <c r="C121" s="99" t="s">
        <v>1950</v>
      </c>
      <c r="D121" s="98" t="s">
        <v>1951</v>
      </c>
      <c r="E121" s="99" t="s">
        <v>1952</v>
      </c>
      <c r="F121" s="99" t="s">
        <v>1953</v>
      </c>
      <c r="G121" s="100"/>
    </row>
    <row r="122">
      <c r="A122" s="101">
        <v>45775.37763888889</v>
      </c>
      <c r="B122" s="60" t="s">
        <v>1954</v>
      </c>
      <c r="C122" s="59" t="s">
        <v>1955</v>
      </c>
      <c r="D122" s="60" t="s">
        <v>1956</v>
      </c>
      <c r="E122" s="59" t="s">
        <v>1957</v>
      </c>
      <c r="F122" s="59" t="s">
        <v>88</v>
      </c>
      <c r="G122" s="66"/>
    </row>
    <row r="123">
      <c r="A123" s="97">
        <v>45775.3906712963</v>
      </c>
      <c r="B123" s="98" t="s">
        <v>1958</v>
      </c>
      <c r="C123" s="99" t="s">
        <v>1959</v>
      </c>
      <c r="D123" s="98" t="s">
        <v>1960</v>
      </c>
      <c r="E123" s="99" t="s">
        <v>1961</v>
      </c>
      <c r="F123" s="99" t="s">
        <v>1962</v>
      </c>
      <c r="G123" s="100"/>
    </row>
    <row r="124">
      <c r="A124" s="101">
        <v>45775.39204861111</v>
      </c>
      <c r="B124" s="60" t="s">
        <v>1963</v>
      </c>
      <c r="C124" s="59" t="s">
        <v>1964</v>
      </c>
      <c r="D124" s="60" t="s">
        <v>1965</v>
      </c>
      <c r="E124" s="59" t="s">
        <v>1966</v>
      </c>
      <c r="F124" s="59" t="s">
        <v>1967</v>
      </c>
      <c r="G124" s="66"/>
    </row>
    <row r="125">
      <c r="A125" s="97">
        <v>45775.395324074074</v>
      </c>
      <c r="B125" s="98" t="s">
        <v>1968</v>
      </c>
      <c r="C125" s="99" t="s">
        <v>1969</v>
      </c>
      <c r="D125" s="98" t="s">
        <v>653</v>
      </c>
      <c r="E125" s="99" t="s">
        <v>654</v>
      </c>
      <c r="F125" s="99" t="s">
        <v>1970</v>
      </c>
      <c r="G125" s="100"/>
    </row>
    <row r="126">
      <c r="A126" s="101">
        <v>45775.398043981484</v>
      </c>
      <c r="B126" s="60" t="s">
        <v>1971</v>
      </c>
      <c r="C126" s="59" t="s">
        <v>1972</v>
      </c>
      <c r="D126" s="60" t="s">
        <v>1973</v>
      </c>
      <c r="E126" s="59" t="s">
        <v>1974</v>
      </c>
      <c r="F126" s="59" t="s">
        <v>1975</v>
      </c>
      <c r="G126" s="66"/>
    </row>
    <row r="127">
      <c r="A127" s="97">
        <v>45775.400185185186</v>
      </c>
      <c r="B127" s="98" t="s">
        <v>1976</v>
      </c>
      <c r="C127" s="99" t="s">
        <v>1977</v>
      </c>
      <c r="D127" s="98" t="s">
        <v>1978</v>
      </c>
      <c r="E127" s="99" t="s">
        <v>1979</v>
      </c>
      <c r="F127" s="99" t="s">
        <v>1980</v>
      </c>
      <c r="G127" s="100"/>
    </row>
    <row r="128">
      <c r="A128" s="101">
        <v>45775.4053587963</v>
      </c>
      <c r="B128" s="60" t="s">
        <v>1981</v>
      </c>
      <c r="C128" s="59" t="s">
        <v>723</v>
      </c>
      <c r="D128" s="60" t="s">
        <v>724</v>
      </c>
      <c r="E128" s="59" t="s">
        <v>1149</v>
      </c>
      <c r="F128" s="59" t="s">
        <v>253</v>
      </c>
      <c r="G128" s="66"/>
    </row>
    <row r="129">
      <c r="A129" s="97">
        <v>45775.40765046296</v>
      </c>
      <c r="B129" s="98" t="s">
        <v>1982</v>
      </c>
      <c r="C129" s="99" t="s">
        <v>15</v>
      </c>
      <c r="D129" s="98" t="s">
        <v>16</v>
      </c>
      <c r="E129" s="99" t="s">
        <v>1983</v>
      </c>
      <c r="F129" s="99" t="s">
        <v>970</v>
      </c>
      <c r="G129" s="100"/>
    </row>
    <row r="130">
      <c r="A130" s="101">
        <v>45775.40975694444</v>
      </c>
      <c r="B130" s="60" t="s">
        <v>1984</v>
      </c>
      <c r="C130" s="59" t="s">
        <v>1985</v>
      </c>
      <c r="D130" s="60" t="s">
        <v>648</v>
      </c>
      <c r="E130" s="59" t="s">
        <v>1986</v>
      </c>
      <c r="F130" s="59" t="s">
        <v>20</v>
      </c>
      <c r="G130" s="66"/>
    </row>
    <row r="131">
      <c r="A131" s="97">
        <v>45775.41060185185</v>
      </c>
      <c r="B131" s="98" t="s">
        <v>1987</v>
      </c>
      <c r="C131" s="99" t="s">
        <v>1988</v>
      </c>
      <c r="D131" s="98" t="s">
        <v>1989</v>
      </c>
      <c r="E131" s="99" t="s">
        <v>1990</v>
      </c>
      <c r="F131" s="99" t="s">
        <v>20</v>
      </c>
      <c r="G131" s="100"/>
    </row>
    <row r="132">
      <c r="A132" s="101">
        <v>45775.44755787037</v>
      </c>
      <c r="B132" s="60" t="s">
        <v>1991</v>
      </c>
      <c r="C132" s="59" t="s">
        <v>269</v>
      </c>
      <c r="D132" s="60" t="s">
        <v>1992</v>
      </c>
      <c r="E132" s="59" t="s">
        <v>1258</v>
      </c>
      <c r="F132" s="59" t="s">
        <v>1993</v>
      </c>
      <c r="G132" s="66"/>
    </row>
    <row r="133">
      <c r="A133" s="97">
        <v>45776.593460648146</v>
      </c>
      <c r="B133" s="98" t="s">
        <v>1994</v>
      </c>
      <c r="C133" s="99" t="s">
        <v>1995</v>
      </c>
      <c r="D133" s="98" t="s">
        <v>1996</v>
      </c>
      <c r="E133" s="99" t="s">
        <v>1997</v>
      </c>
      <c r="F133" s="99" t="s">
        <v>1998</v>
      </c>
      <c r="G133" s="100"/>
    </row>
    <row r="134">
      <c r="A134" s="101">
        <v>45783.41028935185</v>
      </c>
      <c r="B134" s="60" t="s">
        <v>1999</v>
      </c>
      <c r="C134" s="59" t="s">
        <v>597</v>
      </c>
      <c r="D134" s="60" t="s">
        <v>86</v>
      </c>
      <c r="E134" s="59" t="s">
        <v>87</v>
      </c>
      <c r="F134" s="59" t="s">
        <v>43</v>
      </c>
      <c r="G134" s="66"/>
    </row>
    <row r="135">
      <c r="A135" s="97">
        <v>45785.41274305555</v>
      </c>
      <c r="B135" s="98" t="s">
        <v>2000</v>
      </c>
      <c r="C135" s="99" t="s">
        <v>2001</v>
      </c>
      <c r="D135" s="98" t="s">
        <v>2002</v>
      </c>
      <c r="E135" s="99" t="s">
        <v>2003</v>
      </c>
      <c r="F135" s="99" t="s">
        <v>43</v>
      </c>
      <c r="G135" s="100" t="s">
        <v>2004</v>
      </c>
    </row>
    <row r="136">
      <c r="A136" s="101">
        <v>45791.33385416667</v>
      </c>
      <c r="B136" s="60" t="s">
        <v>2005</v>
      </c>
      <c r="C136" s="59" t="s">
        <v>2006</v>
      </c>
      <c r="D136" s="60" t="s">
        <v>2007</v>
      </c>
      <c r="E136" s="59" t="s">
        <v>2008</v>
      </c>
      <c r="F136" s="59" t="s">
        <v>554</v>
      </c>
      <c r="G136" s="66"/>
    </row>
    <row r="137">
      <c r="A137" s="97">
        <v>45791.47133101852</v>
      </c>
      <c r="B137" s="98" t="s">
        <v>2009</v>
      </c>
      <c r="C137" s="99" t="s">
        <v>2010</v>
      </c>
      <c r="D137" s="98" t="s">
        <v>2011</v>
      </c>
      <c r="E137" s="99" t="s">
        <v>2012</v>
      </c>
      <c r="F137" s="99" t="s">
        <v>2013</v>
      </c>
      <c r="G137" s="100" t="s">
        <v>1944</v>
      </c>
    </row>
    <row r="138">
      <c r="A138" s="101">
        <v>45791.503171296295</v>
      </c>
      <c r="B138" s="60" t="s">
        <v>2014</v>
      </c>
      <c r="C138" s="59" t="s">
        <v>2015</v>
      </c>
      <c r="D138" s="60" t="s">
        <v>2016</v>
      </c>
      <c r="E138" s="59" t="s">
        <v>2017</v>
      </c>
      <c r="F138" s="59" t="s">
        <v>43</v>
      </c>
      <c r="G138" s="66" t="s">
        <v>1944</v>
      </c>
    </row>
    <row r="139">
      <c r="A139" s="97">
        <v>45791.635462962964</v>
      </c>
      <c r="B139" s="98" t="s">
        <v>2018</v>
      </c>
      <c r="C139" s="99" t="s">
        <v>2019</v>
      </c>
      <c r="D139" s="98" t="s">
        <v>2020</v>
      </c>
      <c r="E139" s="99" t="s">
        <v>2021</v>
      </c>
      <c r="F139" s="99" t="s">
        <v>2022</v>
      </c>
      <c r="G139" s="100"/>
    </row>
    <row r="140">
      <c r="A140" s="101">
        <v>45793.35767361111</v>
      </c>
      <c r="B140" s="60" t="s">
        <v>2023</v>
      </c>
      <c r="C140" s="59" t="s">
        <v>2024</v>
      </c>
      <c r="D140" s="60" t="s">
        <v>2025</v>
      </c>
      <c r="E140" s="59" t="s">
        <v>2026</v>
      </c>
      <c r="F140" s="59" t="s">
        <v>2027</v>
      </c>
      <c r="G140" s="66" t="s">
        <v>1944</v>
      </c>
    </row>
    <row r="141">
      <c r="A141" s="97">
        <v>45793.36619212963</v>
      </c>
      <c r="B141" s="98" t="s">
        <v>2028</v>
      </c>
      <c r="C141" s="99" t="s">
        <v>2029</v>
      </c>
      <c r="D141" s="98" t="s">
        <v>2030</v>
      </c>
      <c r="E141" s="99" t="s">
        <v>2031</v>
      </c>
      <c r="F141" s="99" t="s">
        <v>1834</v>
      </c>
      <c r="G141" s="100" t="s">
        <v>1944</v>
      </c>
    </row>
    <row r="142">
      <c r="A142" s="101">
        <v>45793.366875</v>
      </c>
      <c r="B142" s="60" t="s">
        <v>2032</v>
      </c>
      <c r="C142" s="59" t="s">
        <v>2033</v>
      </c>
      <c r="D142" s="60" t="s">
        <v>2034</v>
      </c>
      <c r="E142" s="59" t="s">
        <v>2035</v>
      </c>
      <c r="F142" s="59" t="s">
        <v>1834</v>
      </c>
      <c r="G142" s="66" t="s">
        <v>1944</v>
      </c>
    </row>
    <row r="143">
      <c r="A143" s="97">
        <v>45793.367789351854</v>
      </c>
      <c r="B143" s="98" t="s">
        <v>2036</v>
      </c>
      <c r="C143" s="99" t="s">
        <v>2037</v>
      </c>
      <c r="D143" s="98" t="s">
        <v>2038</v>
      </c>
      <c r="E143" s="99" t="s">
        <v>2039</v>
      </c>
      <c r="F143" s="99" t="s">
        <v>1993</v>
      </c>
      <c r="G143" s="100" t="s">
        <v>1944</v>
      </c>
    </row>
    <row r="144">
      <c r="A144" s="101">
        <v>45793.372453703705</v>
      </c>
      <c r="B144" s="60" t="s">
        <v>2040</v>
      </c>
      <c r="C144" s="59" t="s">
        <v>2041</v>
      </c>
      <c r="D144" s="60" t="s">
        <v>2042</v>
      </c>
      <c r="E144" s="59" t="s">
        <v>2043</v>
      </c>
      <c r="F144" s="59" t="s">
        <v>970</v>
      </c>
      <c r="G144" s="66" t="s">
        <v>2004</v>
      </c>
    </row>
    <row r="145">
      <c r="A145" s="97">
        <v>45793.37747685185</v>
      </c>
      <c r="B145" s="98" t="s">
        <v>2044</v>
      </c>
      <c r="C145" s="99" t="s">
        <v>2045</v>
      </c>
      <c r="D145" s="98" t="s">
        <v>2046</v>
      </c>
      <c r="E145" s="99" t="s">
        <v>2047</v>
      </c>
      <c r="F145" s="99" t="s">
        <v>2048</v>
      </c>
      <c r="G145" s="100" t="s">
        <v>1944</v>
      </c>
    </row>
    <row r="146">
      <c r="A146" s="101">
        <v>45793.3783912037</v>
      </c>
      <c r="B146" s="60" t="s">
        <v>2049</v>
      </c>
      <c r="C146" s="59" t="s">
        <v>2050</v>
      </c>
      <c r="D146" s="60" t="s">
        <v>2051</v>
      </c>
      <c r="E146" s="59" t="s">
        <v>2052</v>
      </c>
      <c r="F146" s="59" t="s">
        <v>2048</v>
      </c>
      <c r="G146" s="66" t="s">
        <v>1944</v>
      </c>
    </row>
    <row r="147">
      <c r="A147" s="97">
        <v>45793.383101851854</v>
      </c>
      <c r="B147" s="98" t="s">
        <v>2053</v>
      </c>
      <c r="C147" s="99" t="s">
        <v>2054</v>
      </c>
      <c r="D147" s="98" t="s">
        <v>2055</v>
      </c>
      <c r="E147" s="99" t="s">
        <v>2056</v>
      </c>
      <c r="F147" s="99" t="s">
        <v>2057</v>
      </c>
      <c r="G147" s="100" t="s">
        <v>1944</v>
      </c>
    </row>
    <row r="148">
      <c r="A148" s="101">
        <v>45793.38380787037</v>
      </c>
      <c r="B148" s="60" t="s">
        <v>2058</v>
      </c>
      <c r="C148" s="59" t="s">
        <v>2059</v>
      </c>
      <c r="D148" s="60" t="s">
        <v>2060</v>
      </c>
      <c r="E148" s="59" t="s">
        <v>1864</v>
      </c>
      <c r="F148" s="59" t="s">
        <v>2057</v>
      </c>
      <c r="G148" s="66" t="s">
        <v>1944</v>
      </c>
    </row>
    <row r="149">
      <c r="A149" s="97">
        <v>45793.40131944444</v>
      </c>
      <c r="B149" s="98" t="s">
        <v>2061</v>
      </c>
      <c r="C149" s="99" t="s">
        <v>2062</v>
      </c>
      <c r="D149" s="98" t="s">
        <v>2063</v>
      </c>
      <c r="E149" s="99" t="s">
        <v>2064</v>
      </c>
      <c r="F149" s="99" t="s">
        <v>970</v>
      </c>
      <c r="G149" s="100" t="s">
        <v>2004</v>
      </c>
    </row>
    <row r="150">
      <c r="A150" s="101">
        <v>45796.698796296296</v>
      </c>
      <c r="B150" s="60" t="s">
        <v>2065</v>
      </c>
      <c r="C150" s="59" t="s">
        <v>1788</v>
      </c>
      <c r="D150" s="60" t="s">
        <v>2066</v>
      </c>
      <c r="E150" s="59" t="s">
        <v>2067</v>
      </c>
      <c r="F150" s="59" t="s">
        <v>2068</v>
      </c>
      <c r="G150" s="66" t="s">
        <v>2004</v>
      </c>
    </row>
    <row r="151">
      <c r="A151" s="97">
        <v>45799.50334490741</v>
      </c>
      <c r="B151" s="98" t="s">
        <v>2069</v>
      </c>
      <c r="C151" s="99" t="s">
        <v>2070</v>
      </c>
      <c r="D151" s="98" t="s">
        <v>2071</v>
      </c>
      <c r="E151" s="99" t="s">
        <v>2072</v>
      </c>
      <c r="F151" s="99" t="s">
        <v>970</v>
      </c>
      <c r="G151" s="100" t="s">
        <v>2004</v>
      </c>
    </row>
    <row r="152">
      <c r="A152" s="101">
        <v>45803.326469907406</v>
      </c>
      <c r="B152" s="60" t="s">
        <v>2073</v>
      </c>
      <c r="C152" s="59" t="s">
        <v>2074</v>
      </c>
      <c r="D152" s="60" t="s">
        <v>122</v>
      </c>
      <c r="E152" s="59" t="s">
        <v>2075</v>
      </c>
      <c r="F152" s="59" t="s">
        <v>1947</v>
      </c>
      <c r="G152" s="66" t="s">
        <v>1944</v>
      </c>
    </row>
    <row r="153">
      <c r="A153" s="97">
        <v>45803.32881944445</v>
      </c>
      <c r="B153" s="98" t="s">
        <v>2076</v>
      </c>
      <c r="C153" s="99" t="s">
        <v>2077</v>
      </c>
      <c r="D153" s="98" t="s">
        <v>2078</v>
      </c>
      <c r="E153" s="99" t="s">
        <v>1403</v>
      </c>
      <c r="F153" s="99" t="s">
        <v>1947</v>
      </c>
      <c r="G153" s="100" t="s">
        <v>1944</v>
      </c>
    </row>
    <row r="154">
      <c r="A154" s="101">
        <v>45803.33162037037</v>
      </c>
      <c r="B154" s="60" t="s">
        <v>2079</v>
      </c>
      <c r="C154" s="59" t="s">
        <v>2080</v>
      </c>
      <c r="D154" s="60" t="s">
        <v>2081</v>
      </c>
      <c r="E154" s="59" t="s">
        <v>2082</v>
      </c>
      <c r="F154" s="59" t="s">
        <v>2083</v>
      </c>
      <c r="G154" s="66" t="s">
        <v>2004</v>
      </c>
    </row>
    <row r="155">
      <c r="A155" s="97">
        <v>45803.333645833336</v>
      </c>
      <c r="B155" s="98" t="s">
        <v>2084</v>
      </c>
      <c r="C155" s="99" t="s">
        <v>2085</v>
      </c>
      <c r="D155" s="98" t="s">
        <v>2086</v>
      </c>
      <c r="E155" s="99" t="s">
        <v>2087</v>
      </c>
      <c r="F155" s="99" t="s">
        <v>2083</v>
      </c>
      <c r="G155" s="100" t="s">
        <v>2004</v>
      </c>
    </row>
    <row r="156">
      <c r="A156" s="101">
        <v>45803.335277777776</v>
      </c>
      <c r="B156" s="60" t="s">
        <v>2088</v>
      </c>
      <c r="C156" s="59" t="s">
        <v>2089</v>
      </c>
      <c r="D156" s="60" t="s">
        <v>2090</v>
      </c>
      <c r="E156" s="59" t="s">
        <v>1412</v>
      </c>
      <c r="F156" s="59" t="s">
        <v>2083</v>
      </c>
      <c r="G156" s="66" t="s">
        <v>1944</v>
      </c>
    </row>
    <row r="157">
      <c r="A157" s="97">
        <v>45803.33825231482</v>
      </c>
      <c r="B157" s="98" t="s">
        <v>2091</v>
      </c>
      <c r="C157" s="99" t="s">
        <v>2092</v>
      </c>
      <c r="D157" s="98" t="s">
        <v>2093</v>
      </c>
      <c r="E157" s="99" t="s">
        <v>2094</v>
      </c>
      <c r="F157" s="99" t="s">
        <v>43</v>
      </c>
      <c r="G157" s="100" t="s">
        <v>1944</v>
      </c>
    </row>
    <row r="158">
      <c r="A158" s="101">
        <v>45803.33920138889</v>
      </c>
      <c r="B158" s="60" t="s">
        <v>2095</v>
      </c>
      <c r="C158" s="59" t="s">
        <v>2092</v>
      </c>
      <c r="D158" s="60" t="s">
        <v>2093</v>
      </c>
      <c r="E158" s="59" t="s">
        <v>2094</v>
      </c>
      <c r="F158" s="59" t="s">
        <v>43</v>
      </c>
      <c r="G158" s="66" t="s">
        <v>1944</v>
      </c>
    </row>
    <row r="159">
      <c r="A159" s="97">
        <v>45804.44681712963</v>
      </c>
      <c r="B159" s="98" t="s">
        <v>2096</v>
      </c>
      <c r="C159" s="99" t="s">
        <v>2097</v>
      </c>
      <c r="D159" s="98" t="s">
        <v>2098</v>
      </c>
      <c r="E159" s="99" t="s">
        <v>2099</v>
      </c>
      <c r="F159" s="99" t="s">
        <v>970</v>
      </c>
      <c r="G159" s="100" t="s">
        <v>2004</v>
      </c>
    </row>
    <row r="160">
      <c r="A160" s="101">
        <v>45805.481458333335</v>
      </c>
      <c r="B160" s="60" t="s">
        <v>2100</v>
      </c>
      <c r="C160" s="59" t="s">
        <v>2101</v>
      </c>
      <c r="D160" s="60" t="s">
        <v>2102</v>
      </c>
      <c r="E160" s="59" t="s">
        <v>2103</v>
      </c>
      <c r="F160" s="59" t="s">
        <v>2104</v>
      </c>
      <c r="G160" s="66" t="s">
        <v>1944</v>
      </c>
    </row>
    <row r="161">
      <c r="A161" s="97">
        <v>45805.487604166665</v>
      </c>
      <c r="B161" s="98" t="s">
        <v>2105</v>
      </c>
      <c r="C161" s="99" t="s">
        <v>2106</v>
      </c>
      <c r="D161" s="98" t="s">
        <v>2107</v>
      </c>
      <c r="E161" s="99" t="s">
        <v>2108</v>
      </c>
      <c r="F161" s="99" t="s">
        <v>2104</v>
      </c>
      <c r="G161" s="100" t="s">
        <v>1944</v>
      </c>
    </row>
    <row r="162">
      <c r="A162" s="101">
        <v>45805.48888888889</v>
      </c>
      <c r="B162" s="60" t="s">
        <v>2109</v>
      </c>
      <c r="C162" s="59" t="s">
        <v>2110</v>
      </c>
      <c r="D162" s="60" t="s">
        <v>2111</v>
      </c>
      <c r="E162" s="59" t="s">
        <v>2112</v>
      </c>
      <c r="F162" s="59" t="s">
        <v>2104</v>
      </c>
      <c r="G162" s="66" t="s">
        <v>1944</v>
      </c>
    </row>
    <row r="163">
      <c r="A163" s="102" t="s">
        <v>2113</v>
      </c>
      <c r="B163" s="98" t="s">
        <v>2114</v>
      </c>
      <c r="C163" s="99" t="s">
        <v>2115</v>
      </c>
      <c r="D163" s="99" t="s">
        <v>2116</v>
      </c>
      <c r="E163" s="99" t="s">
        <v>2117</v>
      </c>
      <c r="F163" s="99" t="s">
        <v>2118</v>
      </c>
      <c r="G163" s="100" t="s">
        <v>2004</v>
      </c>
    </row>
    <row r="164">
      <c r="A164" s="57" t="s">
        <v>2119</v>
      </c>
      <c r="B164" s="60" t="s">
        <v>2120</v>
      </c>
      <c r="C164" s="59" t="s">
        <v>2121</v>
      </c>
      <c r="D164" s="59" t="s">
        <v>2122</v>
      </c>
      <c r="E164" s="59" t="s">
        <v>2123</v>
      </c>
      <c r="F164" s="59" t="s">
        <v>2124</v>
      </c>
      <c r="G164" s="66" t="s">
        <v>1944</v>
      </c>
    </row>
    <row r="165">
      <c r="A165" s="102" t="s">
        <v>2125</v>
      </c>
      <c r="B165" s="98" t="s">
        <v>2126</v>
      </c>
      <c r="C165" s="99" t="s">
        <v>2127</v>
      </c>
      <c r="D165" s="98" t="s">
        <v>2128</v>
      </c>
      <c r="E165" s="99" t="s">
        <v>2129</v>
      </c>
      <c r="F165" s="99" t="s">
        <v>2130</v>
      </c>
      <c r="G165" s="100" t="s">
        <v>2004</v>
      </c>
    </row>
    <row r="166">
      <c r="A166" s="57" t="s">
        <v>2131</v>
      </c>
      <c r="B166" s="60" t="s">
        <v>2132</v>
      </c>
      <c r="C166" s="59" t="s">
        <v>2133</v>
      </c>
      <c r="D166" s="60" t="s">
        <v>2134</v>
      </c>
      <c r="E166" s="59" t="s">
        <v>2135</v>
      </c>
      <c r="F166" s="59" t="s">
        <v>43</v>
      </c>
      <c r="G166" s="66" t="s">
        <v>1944</v>
      </c>
    </row>
    <row r="167">
      <c r="A167" s="102" t="s">
        <v>2136</v>
      </c>
      <c r="B167" s="98" t="s">
        <v>2137</v>
      </c>
      <c r="C167" s="99" t="s">
        <v>2138</v>
      </c>
      <c r="D167" s="98" t="s">
        <v>2139</v>
      </c>
      <c r="E167" s="99" t="s">
        <v>2140</v>
      </c>
      <c r="F167" s="99" t="s">
        <v>43</v>
      </c>
      <c r="G167" s="100" t="s">
        <v>1944</v>
      </c>
    </row>
    <row r="168">
      <c r="A168" s="57" t="s">
        <v>2141</v>
      </c>
      <c r="B168" s="60" t="s">
        <v>2142</v>
      </c>
      <c r="C168" s="59" t="s">
        <v>2143</v>
      </c>
      <c r="D168" s="60" t="s">
        <v>2144</v>
      </c>
      <c r="E168" s="59" t="s">
        <v>2145</v>
      </c>
      <c r="F168" s="59" t="s">
        <v>43</v>
      </c>
      <c r="G168" s="66" t="s">
        <v>1944</v>
      </c>
    </row>
    <row r="169">
      <c r="A169" s="102" t="s">
        <v>2146</v>
      </c>
      <c r="B169" s="98" t="s">
        <v>2147</v>
      </c>
      <c r="C169" s="99" t="s">
        <v>2148</v>
      </c>
      <c r="D169" s="98" t="s">
        <v>2149</v>
      </c>
      <c r="E169" s="99" t="s">
        <v>2150</v>
      </c>
      <c r="F169" s="99" t="s">
        <v>43</v>
      </c>
      <c r="G169" s="100" t="s">
        <v>1944</v>
      </c>
    </row>
    <row r="170">
      <c r="A170" s="57" t="s">
        <v>2151</v>
      </c>
      <c r="B170" s="60" t="s">
        <v>2152</v>
      </c>
      <c r="C170" s="59" t="s">
        <v>2153</v>
      </c>
      <c r="D170" s="60" t="s">
        <v>2154</v>
      </c>
      <c r="E170" s="59" t="s">
        <v>2155</v>
      </c>
      <c r="F170" s="59" t="s">
        <v>43</v>
      </c>
      <c r="G170" s="66" t="s">
        <v>1944</v>
      </c>
    </row>
    <row r="171">
      <c r="A171" s="102" t="s">
        <v>2156</v>
      </c>
      <c r="B171" s="98" t="s">
        <v>2157</v>
      </c>
      <c r="C171" s="99" t="s">
        <v>2158</v>
      </c>
      <c r="D171" s="98" t="s">
        <v>2159</v>
      </c>
      <c r="E171" s="99" t="s">
        <v>2160</v>
      </c>
      <c r="F171" s="99" t="s">
        <v>43</v>
      </c>
      <c r="G171" s="100" t="s">
        <v>2004</v>
      </c>
    </row>
    <row r="172">
      <c r="A172" s="57" t="s">
        <v>2161</v>
      </c>
      <c r="B172" s="60" t="s">
        <v>2162</v>
      </c>
      <c r="C172" s="59" t="s">
        <v>2163</v>
      </c>
      <c r="D172" s="60" t="s">
        <v>2164</v>
      </c>
      <c r="E172" s="59" t="s">
        <v>2165</v>
      </c>
      <c r="F172" s="59" t="s">
        <v>43</v>
      </c>
      <c r="G172" s="66" t="s">
        <v>2004</v>
      </c>
    </row>
    <row r="173">
      <c r="A173" s="102" t="s">
        <v>2166</v>
      </c>
      <c r="B173" s="98" t="s">
        <v>2167</v>
      </c>
      <c r="C173" s="99" t="s">
        <v>2168</v>
      </c>
      <c r="D173" s="98" t="s">
        <v>2169</v>
      </c>
      <c r="E173" s="99" t="s">
        <v>2170</v>
      </c>
      <c r="F173" s="99" t="s">
        <v>43</v>
      </c>
      <c r="G173" s="100" t="s">
        <v>2004</v>
      </c>
    </row>
    <row r="174">
      <c r="A174" s="57" t="s">
        <v>2171</v>
      </c>
      <c r="B174" s="60" t="s">
        <v>2172</v>
      </c>
      <c r="C174" s="59" t="s">
        <v>2173</v>
      </c>
      <c r="D174" s="60" t="s">
        <v>2174</v>
      </c>
      <c r="E174" s="59" t="s">
        <v>2175</v>
      </c>
      <c r="F174" s="59" t="s">
        <v>43</v>
      </c>
      <c r="G174" s="66" t="s">
        <v>2004</v>
      </c>
    </row>
    <row r="175">
      <c r="A175" s="102" t="s">
        <v>2176</v>
      </c>
      <c r="B175" s="98" t="s">
        <v>2177</v>
      </c>
      <c r="C175" s="99" t="s">
        <v>2178</v>
      </c>
      <c r="D175" s="98" t="s">
        <v>2179</v>
      </c>
      <c r="E175" s="99" t="s">
        <v>2180</v>
      </c>
      <c r="F175" s="99" t="s">
        <v>43</v>
      </c>
      <c r="G175" s="100" t="s">
        <v>2004</v>
      </c>
    </row>
    <row r="176">
      <c r="A176" s="57" t="s">
        <v>2181</v>
      </c>
      <c r="B176" s="60" t="s">
        <v>2182</v>
      </c>
      <c r="C176" s="59" t="s">
        <v>2183</v>
      </c>
      <c r="D176" s="60" t="s">
        <v>2184</v>
      </c>
      <c r="E176" s="59" t="s">
        <v>2185</v>
      </c>
      <c r="F176" s="59" t="s">
        <v>43</v>
      </c>
      <c r="G176" s="66" t="s">
        <v>1944</v>
      </c>
    </row>
    <row r="177">
      <c r="A177" s="102" t="s">
        <v>2186</v>
      </c>
      <c r="B177" s="98" t="s">
        <v>2187</v>
      </c>
      <c r="C177" s="99" t="s">
        <v>2188</v>
      </c>
      <c r="D177" s="98" t="s">
        <v>2189</v>
      </c>
      <c r="E177" s="99" t="s">
        <v>2190</v>
      </c>
      <c r="F177" s="99" t="s">
        <v>43</v>
      </c>
      <c r="G177" s="100" t="s">
        <v>1944</v>
      </c>
    </row>
    <row r="178">
      <c r="A178" s="57" t="s">
        <v>2191</v>
      </c>
      <c r="B178" s="60" t="s">
        <v>2192</v>
      </c>
      <c r="C178" s="59" t="s">
        <v>2193</v>
      </c>
      <c r="D178" s="60" t="s">
        <v>2194</v>
      </c>
      <c r="E178" s="59" t="s">
        <v>2195</v>
      </c>
      <c r="F178" s="59" t="s">
        <v>43</v>
      </c>
      <c r="G178" s="66" t="s">
        <v>2004</v>
      </c>
    </row>
    <row r="179">
      <c r="A179" s="102" t="s">
        <v>2196</v>
      </c>
      <c r="B179" s="98" t="s">
        <v>2197</v>
      </c>
      <c r="C179" s="99" t="s">
        <v>2198</v>
      </c>
      <c r="D179" s="98" t="s">
        <v>2199</v>
      </c>
      <c r="E179" s="99" t="s">
        <v>2200</v>
      </c>
      <c r="F179" s="99" t="s">
        <v>43</v>
      </c>
      <c r="G179" s="100" t="s">
        <v>2004</v>
      </c>
    </row>
    <row r="180">
      <c r="A180" s="57" t="s">
        <v>2201</v>
      </c>
      <c r="B180" s="60" t="s">
        <v>2202</v>
      </c>
      <c r="C180" s="59" t="s">
        <v>2203</v>
      </c>
      <c r="D180" s="60" t="s">
        <v>2204</v>
      </c>
      <c r="E180" s="59" t="s">
        <v>2205</v>
      </c>
      <c r="F180" s="59" t="s">
        <v>43</v>
      </c>
      <c r="G180" s="66" t="s">
        <v>1944</v>
      </c>
    </row>
    <row r="181">
      <c r="A181" s="102" t="s">
        <v>2206</v>
      </c>
      <c r="B181" s="98" t="s">
        <v>2207</v>
      </c>
      <c r="C181" s="99" t="s">
        <v>2208</v>
      </c>
      <c r="D181" s="98" t="s">
        <v>2209</v>
      </c>
      <c r="E181" s="99" t="s">
        <v>2210</v>
      </c>
      <c r="F181" s="99" t="s">
        <v>2211</v>
      </c>
      <c r="G181" s="100" t="s">
        <v>2004</v>
      </c>
    </row>
    <row r="182">
      <c r="A182" s="57" t="s">
        <v>2212</v>
      </c>
      <c r="B182" s="60" t="s">
        <v>2213</v>
      </c>
      <c r="C182" s="59" t="s">
        <v>2214</v>
      </c>
      <c r="D182" s="60" t="s">
        <v>2215</v>
      </c>
      <c r="E182" s="59" t="s">
        <v>2216</v>
      </c>
      <c r="F182" s="59" t="s">
        <v>2217</v>
      </c>
      <c r="G182" s="66" t="s">
        <v>2004</v>
      </c>
    </row>
    <row r="183">
      <c r="A183" s="102" t="s">
        <v>2218</v>
      </c>
      <c r="B183" s="98" t="s">
        <v>2219</v>
      </c>
      <c r="C183" s="99" t="s">
        <v>2220</v>
      </c>
      <c r="D183" s="98" t="s">
        <v>2221</v>
      </c>
      <c r="E183" s="99" t="s">
        <v>2222</v>
      </c>
      <c r="F183" s="99" t="s">
        <v>43</v>
      </c>
      <c r="G183" s="100" t="s">
        <v>2004</v>
      </c>
    </row>
    <row r="184">
      <c r="A184" s="57" t="s">
        <v>2223</v>
      </c>
      <c r="B184" s="60" t="s">
        <v>2224</v>
      </c>
      <c r="C184" s="59" t="s">
        <v>2225</v>
      </c>
      <c r="D184" s="60" t="s">
        <v>2226</v>
      </c>
      <c r="E184" s="59" t="s">
        <v>2227</v>
      </c>
      <c r="F184" s="59" t="s">
        <v>2228</v>
      </c>
      <c r="G184" s="66" t="s">
        <v>1944</v>
      </c>
    </row>
    <row r="185">
      <c r="A185" s="102" t="s">
        <v>2229</v>
      </c>
      <c r="B185" s="98" t="s">
        <v>2230</v>
      </c>
      <c r="C185" s="99" t="s">
        <v>2231</v>
      </c>
      <c r="D185" s="98" t="s">
        <v>2232</v>
      </c>
      <c r="E185" s="99" t="s">
        <v>2233</v>
      </c>
      <c r="F185" s="99" t="s">
        <v>843</v>
      </c>
      <c r="G185" s="100" t="s">
        <v>1944</v>
      </c>
    </row>
    <row r="186">
      <c r="A186" s="57" t="s">
        <v>2234</v>
      </c>
      <c r="B186" s="60" t="s">
        <v>2235</v>
      </c>
      <c r="C186" s="59" t="s">
        <v>2236</v>
      </c>
      <c r="D186" s="60" t="s">
        <v>2237</v>
      </c>
      <c r="E186" s="59" t="s">
        <v>2238</v>
      </c>
      <c r="F186" s="59" t="s">
        <v>2239</v>
      </c>
      <c r="G186" s="66" t="s">
        <v>1944</v>
      </c>
    </row>
    <row r="187">
      <c r="A187" s="102" t="s">
        <v>2240</v>
      </c>
      <c r="B187" s="98" t="s">
        <v>2241</v>
      </c>
      <c r="C187" s="99" t="s">
        <v>2242</v>
      </c>
      <c r="D187" s="98" t="s">
        <v>2243</v>
      </c>
      <c r="E187" s="99" t="s">
        <v>2244</v>
      </c>
      <c r="F187" s="99" t="s">
        <v>2245</v>
      </c>
      <c r="G187" s="100" t="s">
        <v>1944</v>
      </c>
    </row>
    <row r="188">
      <c r="A188" s="57" t="s">
        <v>2246</v>
      </c>
      <c r="B188" s="60" t="s">
        <v>2247</v>
      </c>
      <c r="C188" s="59" t="s">
        <v>2248</v>
      </c>
      <c r="D188" s="60" t="s">
        <v>2249</v>
      </c>
      <c r="E188" s="59" t="s">
        <v>2250</v>
      </c>
      <c r="F188" s="59" t="s">
        <v>2251</v>
      </c>
      <c r="G188" s="66" t="s">
        <v>1944</v>
      </c>
    </row>
    <row r="189">
      <c r="A189" s="102" t="s">
        <v>2252</v>
      </c>
      <c r="B189" s="98" t="s">
        <v>2253</v>
      </c>
      <c r="C189" s="99" t="s">
        <v>2254</v>
      </c>
      <c r="D189" s="98" t="s">
        <v>2255</v>
      </c>
      <c r="E189" s="99" t="s">
        <v>2256</v>
      </c>
      <c r="F189" s="99" t="s">
        <v>2251</v>
      </c>
      <c r="G189" s="100" t="s">
        <v>1944</v>
      </c>
    </row>
    <row r="190">
      <c r="A190" s="57" t="s">
        <v>2257</v>
      </c>
      <c r="B190" s="60" t="s">
        <v>2258</v>
      </c>
      <c r="C190" s="59" t="s">
        <v>2259</v>
      </c>
      <c r="D190" s="59" t="s">
        <v>2260</v>
      </c>
      <c r="E190" s="59" t="s">
        <v>2261</v>
      </c>
      <c r="F190" s="59" t="s">
        <v>2262</v>
      </c>
      <c r="G190" s="66" t="s">
        <v>2004</v>
      </c>
    </row>
    <row r="191">
      <c r="A191" s="102" t="s">
        <v>2263</v>
      </c>
      <c r="B191" s="98" t="s">
        <v>2264</v>
      </c>
      <c r="C191" s="99" t="s">
        <v>2265</v>
      </c>
      <c r="D191" s="99" t="s">
        <v>2266</v>
      </c>
      <c r="E191" s="99" t="s">
        <v>2267</v>
      </c>
      <c r="F191" s="99" t="s">
        <v>2268</v>
      </c>
      <c r="G191" s="100" t="s">
        <v>1944</v>
      </c>
    </row>
    <row r="192">
      <c r="A192" s="57" t="s">
        <v>2269</v>
      </c>
      <c r="B192" s="60" t="s">
        <v>2270</v>
      </c>
      <c r="C192" s="59" t="s">
        <v>2271</v>
      </c>
      <c r="D192" s="60" t="s">
        <v>2272</v>
      </c>
      <c r="E192" s="59" t="s">
        <v>2273</v>
      </c>
      <c r="F192" s="59" t="s">
        <v>554</v>
      </c>
      <c r="G192" s="66" t="s">
        <v>1944</v>
      </c>
    </row>
    <row r="193">
      <c r="A193" s="102" t="s">
        <v>2274</v>
      </c>
      <c r="B193" s="98" t="s">
        <v>2275</v>
      </c>
      <c r="C193" s="99" t="s">
        <v>2276</v>
      </c>
      <c r="D193" s="98" t="s">
        <v>2277</v>
      </c>
      <c r="E193" s="99" t="s">
        <v>2278</v>
      </c>
      <c r="F193" s="99" t="s">
        <v>554</v>
      </c>
      <c r="G193" s="100" t="s">
        <v>1944</v>
      </c>
    </row>
    <row r="194">
      <c r="A194" s="57" t="s">
        <v>2279</v>
      </c>
      <c r="B194" s="60" t="s">
        <v>2280</v>
      </c>
      <c r="C194" s="59" t="s">
        <v>2281</v>
      </c>
      <c r="D194" s="60" t="s">
        <v>2282</v>
      </c>
      <c r="E194" s="59" t="s">
        <v>2283</v>
      </c>
      <c r="F194" s="59" t="s">
        <v>2284</v>
      </c>
      <c r="G194" s="66" t="s">
        <v>2004</v>
      </c>
    </row>
    <row r="195">
      <c r="A195" s="102" t="s">
        <v>2285</v>
      </c>
      <c r="B195" s="98" t="s">
        <v>2286</v>
      </c>
      <c r="C195" s="99" t="s">
        <v>2287</v>
      </c>
      <c r="D195" s="98" t="s">
        <v>2288</v>
      </c>
      <c r="E195" s="99" t="s">
        <v>2289</v>
      </c>
      <c r="F195" s="99" t="s">
        <v>2290</v>
      </c>
      <c r="G195" s="100" t="s">
        <v>1944</v>
      </c>
    </row>
    <row r="196">
      <c r="A196" s="57" t="s">
        <v>2291</v>
      </c>
      <c r="B196" s="60" t="s">
        <v>2292</v>
      </c>
      <c r="C196" s="59" t="s">
        <v>2293</v>
      </c>
      <c r="D196" s="60" t="s">
        <v>2294</v>
      </c>
      <c r="E196" s="59" t="s">
        <v>2295</v>
      </c>
      <c r="F196" s="59" t="s">
        <v>385</v>
      </c>
      <c r="G196" s="66" t="s">
        <v>1944</v>
      </c>
    </row>
    <row r="197">
      <c r="A197" s="102" t="s">
        <v>2296</v>
      </c>
      <c r="B197" s="98" t="s">
        <v>2297</v>
      </c>
      <c r="C197" s="99" t="s">
        <v>2298</v>
      </c>
      <c r="D197" s="98" t="s">
        <v>2299</v>
      </c>
      <c r="E197" s="99" t="s">
        <v>2300</v>
      </c>
      <c r="F197" s="99" t="s">
        <v>2301</v>
      </c>
      <c r="G197" s="100" t="s">
        <v>1944</v>
      </c>
    </row>
    <row r="198">
      <c r="A198" s="57" t="s">
        <v>2302</v>
      </c>
      <c r="B198" s="60" t="s">
        <v>2303</v>
      </c>
      <c r="C198" s="59" t="s">
        <v>2304</v>
      </c>
      <c r="D198" s="60" t="s">
        <v>2305</v>
      </c>
      <c r="E198" s="59" t="s">
        <v>2306</v>
      </c>
      <c r="F198" s="59" t="s">
        <v>2307</v>
      </c>
      <c r="G198" s="66" t="s">
        <v>2004</v>
      </c>
    </row>
    <row r="199">
      <c r="A199" s="102" t="s">
        <v>2308</v>
      </c>
      <c r="B199" s="98" t="s">
        <v>2309</v>
      </c>
      <c r="C199" s="99" t="s">
        <v>2310</v>
      </c>
      <c r="D199" s="98" t="s">
        <v>2311</v>
      </c>
      <c r="E199" s="99" t="s">
        <v>2312</v>
      </c>
      <c r="F199" s="99" t="s">
        <v>246</v>
      </c>
      <c r="G199" s="100" t="s">
        <v>1944</v>
      </c>
    </row>
    <row r="200">
      <c r="A200" s="57" t="s">
        <v>2313</v>
      </c>
      <c r="B200" s="60" t="s">
        <v>2314</v>
      </c>
      <c r="C200" s="59" t="s">
        <v>2315</v>
      </c>
      <c r="D200" s="60" t="s">
        <v>2316</v>
      </c>
      <c r="E200" s="59" t="s">
        <v>2317</v>
      </c>
      <c r="F200" s="59" t="s">
        <v>2318</v>
      </c>
      <c r="G200" s="66" t="s">
        <v>1944</v>
      </c>
    </row>
    <row r="201">
      <c r="A201" s="102" t="s">
        <v>2319</v>
      </c>
      <c r="B201" s="98" t="s">
        <v>2320</v>
      </c>
      <c r="C201" s="99" t="s">
        <v>2321</v>
      </c>
      <c r="D201" s="98" t="s">
        <v>2322</v>
      </c>
      <c r="E201" s="99" t="s">
        <v>2323</v>
      </c>
      <c r="F201" s="99" t="s">
        <v>2324</v>
      </c>
      <c r="G201" s="100" t="s">
        <v>2004</v>
      </c>
    </row>
    <row r="202">
      <c r="A202" s="57" t="s">
        <v>2325</v>
      </c>
      <c r="B202" s="60" t="s">
        <v>2326</v>
      </c>
      <c r="C202" s="59" t="s">
        <v>2327</v>
      </c>
      <c r="D202" s="60" t="s">
        <v>2328</v>
      </c>
      <c r="E202" s="59" t="s">
        <v>2329</v>
      </c>
      <c r="F202" s="59" t="s">
        <v>788</v>
      </c>
      <c r="G202" s="66" t="s">
        <v>1944</v>
      </c>
    </row>
    <row r="203">
      <c r="A203" s="102" t="s">
        <v>2330</v>
      </c>
      <c r="B203" s="98" t="s">
        <v>2331</v>
      </c>
      <c r="C203" s="99" t="s">
        <v>2332</v>
      </c>
      <c r="D203" s="98" t="s">
        <v>2194</v>
      </c>
      <c r="E203" s="99" t="s">
        <v>2195</v>
      </c>
      <c r="F203" s="99" t="s">
        <v>43</v>
      </c>
      <c r="G203" s="100" t="s">
        <v>2004</v>
      </c>
    </row>
    <row r="204">
      <c r="A204" s="57" t="s">
        <v>2333</v>
      </c>
      <c r="B204" s="60" t="s">
        <v>2334</v>
      </c>
      <c r="C204" s="59" t="s">
        <v>2335</v>
      </c>
      <c r="D204" s="60" t="s">
        <v>2336</v>
      </c>
      <c r="E204" s="59" t="s">
        <v>2337</v>
      </c>
      <c r="F204" s="59" t="s">
        <v>2338</v>
      </c>
      <c r="G204" s="66" t="s">
        <v>1944</v>
      </c>
    </row>
    <row r="205">
      <c r="A205" s="102" t="s">
        <v>2339</v>
      </c>
      <c r="B205" s="98" t="s">
        <v>2340</v>
      </c>
      <c r="C205" s="99" t="s">
        <v>2341</v>
      </c>
      <c r="D205" s="98" t="s">
        <v>2342</v>
      </c>
      <c r="E205" s="99" t="s">
        <v>2343</v>
      </c>
      <c r="F205" s="99" t="s">
        <v>1775</v>
      </c>
      <c r="G205" s="100" t="s">
        <v>1944</v>
      </c>
    </row>
    <row r="206">
      <c r="A206" s="57" t="s">
        <v>2344</v>
      </c>
      <c r="B206" s="60" t="s">
        <v>2345</v>
      </c>
      <c r="C206" s="59" t="s">
        <v>2346</v>
      </c>
      <c r="D206" s="60" t="s">
        <v>2347</v>
      </c>
      <c r="E206" s="59" t="s">
        <v>2348</v>
      </c>
      <c r="F206" s="59" t="s">
        <v>2349</v>
      </c>
      <c r="G206" s="66" t="s">
        <v>2004</v>
      </c>
    </row>
    <row r="207">
      <c r="A207" s="102" t="s">
        <v>2350</v>
      </c>
      <c r="B207" s="98" t="s">
        <v>2351</v>
      </c>
      <c r="C207" s="99" t="s">
        <v>2352</v>
      </c>
      <c r="D207" s="98" t="s">
        <v>2353</v>
      </c>
      <c r="E207" s="99" t="s">
        <v>2354</v>
      </c>
      <c r="F207" s="99" t="s">
        <v>246</v>
      </c>
      <c r="G207" s="100" t="s">
        <v>2004</v>
      </c>
    </row>
    <row r="208">
      <c r="A208" s="57" t="s">
        <v>2355</v>
      </c>
      <c r="B208" s="60" t="s">
        <v>2356</v>
      </c>
      <c r="C208" s="59" t="s">
        <v>2357</v>
      </c>
      <c r="D208" s="60" t="s">
        <v>2358</v>
      </c>
      <c r="E208" s="59" t="s">
        <v>2359</v>
      </c>
      <c r="F208" s="59" t="s">
        <v>246</v>
      </c>
      <c r="G208" s="66" t="s">
        <v>1944</v>
      </c>
    </row>
    <row r="209">
      <c r="A209" s="102" t="s">
        <v>2360</v>
      </c>
      <c r="B209" s="98" t="s">
        <v>2361</v>
      </c>
      <c r="C209" s="99" t="s">
        <v>2362</v>
      </c>
      <c r="D209" s="98" t="s">
        <v>2363</v>
      </c>
      <c r="E209" s="99"/>
      <c r="F209" s="99" t="s">
        <v>2364</v>
      </c>
      <c r="G209" s="100" t="s">
        <v>2004</v>
      </c>
    </row>
    <row r="210">
      <c r="A210" s="57" t="s">
        <v>2365</v>
      </c>
      <c r="B210" s="60" t="s">
        <v>2366</v>
      </c>
      <c r="C210" s="59" t="s">
        <v>2367</v>
      </c>
      <c r="D210" s="60" t="s">
        <v>2368</v>
      </c>
      <c r="E210" s="59" t="s">
        <v>2369</v>
      </c>
      <c r="F210" s="59" t="s">
        <v>2370</v>
      </c>
      <c r="G210" s="66" t="s">
        <v>2004</v>
      </c>
    </row>
    <row r="211">
      <c r="A211" s="102" t="s">
        <v>2371</v>
      </c>
      <c r="B211" s="98" t="s">
        <v>2372</v>
      </c>
      <c r="C211" s="99" t="s">
        <v>2373</v>
      </c>
      <c r="D211" s="98" t="s">
        <v>2374</v>
      </c>
      <c r="E211" s="99"/>
      <c r="F211" s="99" t="s">
        <v>290</v>
      </c>
      <c r="G211" s="100" t="s">
        <v>1944</v>
      </c>
    </row>
    <row r="212">
      <c r="A212" s="57" t="s">
        <v>2375</v>
      </c>
      <c r="B212" s="60" t="s">
        <v>2376</v>
      </c>
      <c r="C212" s="59" t="s">
        <v>2377</v>
      </c>
      <c r="D212" s="60" t="s">
        <v>2378</v>
      </c>
      <c r="E212" s="59" t="s">
        <v>2379</v>
      </c>
      <c r="F212" s="59" t="s">
        <v>2380</v>
      </c>
      <c r="G212" s="66" t="s">
        <v>2004</v>
      </c>
    </row>
    <row r="213">
      <c r="A213" s="102" t="s">
        <v>2381</v>
      </c>
      <c r="B213" s="98" t="s">
        <v>2382</v>
      </c>
      <c r="C213" s="99" t="s">
        <v>2383</v>
      </c>
      <c r="D213" s="98" t="s">
        <v>2384</v>
      </c>
      <c r="E213" s="99" t="s">
        <v>2385</v>
      </c>
      <c r="F213" s="99" t="s">
        <v>2386</v>
      </c>
      <c r="G213" s="100" t="s">
        <v>2004</v>
      </c>
    </row>
    <row r="214">
      <c r="A214" s="57" t="s">
        <v>2387</v>
      </c>
      <c r="B214" s="60" t="s">
        <v>2388</v>
      </c>
      <c r="C214" s="59" t="s">
        <v>2389</v>
      </c>
      <c r="D214" s="60" t="s">
        <v>2390</v>
      </c>
      <c r="E214" s="59" t="s">
        <v>2391</v>
      </c>
      <c r="F214" s="59" t="s">
        <v>2392</v>
      </c>
      <c r="G214" s="66" t="s">
        <v>2004</v>
      </c>
    </row>
    <row r="215">
      <c r="A215" s="102" t="s">
        <v>2393</v>
      </c>
      <c r="B215" s="98" t="s">
        <v>2394</v>
      </c>
      <c r="C215" s="99" t="s">
        <v>2395</v>
      </c>
      <c r="D215" s="98" t="s">
        <v>2396</v>
      </c>
      <c r="E215" s="99" t="s">
        <v>2397</v>
      </c>
      <c r="F215" s="99" t="s">
        <v>2398</v>
      </c>
      <c r="G215" s="100" t="s">
        <v>2004</v>
      </c>
    </row>
    <row r="216">
      <c r="A216" s="57" t="s">
        <v>2399</v>
      </c>
      <c r="B216" s="60" t="s">
        <v>2400</v>
      </c>
      <c r="C216" s="59" t="s">
        <v>2401</v>
      </c>
      <c r="D216" s="60" t="s">
        <v>2402</v>
      </c>
      <c r="E216" s="59"/>
      <c r="F216" s="59" t="s">
        <v>2403</v>
      </c>
      <c r="G216" s="66" t="s">
        <v>2004</v>
      </c>
    </row>
    <row r="217">
      <c r="A217" s="102" t="s">
        <v>2404</v>
      </c>
      <c r="B217" s="98" t="s">
        <v>2405</v>
      </c>
      <c r="C217" s="99" t="s">
        <v>2406</v>
      </c>
      <c r="D217" s="98" t="s">
        <v>2407</v>
      </c>
      <c r="E217" s="99"/>
      <c r="F217" s="99" t="s">
        <v>2403</v>
      </c>
      <c r="G217" s="100" t="s">
        <v>1944</v>
      </c>
    </row>
    <row r="218">
      <c r="A218" s="57" t="s">
        <v>2408</v>
      </c>
      <c r="B218" s="60" t="s">
        <v>2409</v>
      </c>
      <c r="C218" s="59" t="s">
        <v>2410</v>
      </c>
      <c r="D218" s="60" t="s">
        <v>2411</v>
      </c>
      <c r="E218" s="59"/>
      <c r="F218" s="59" t="s">
        <v>2403</v>
      </c>
      <c r="G218" s="66" t="s">
        <v>1944</v>
      </c>
    </row>
    <row r="219">
      <c r="A219" s="102" t="s">
        <v>2412</v>
      </c>
      <c r="B219" s="98" t="s">
        <v>2413</v>
      </c>
      <c r="C219" s="99" t="s">
        <v>2414</v>
      </c>
      <c r="D219" s="98" t="s">
        <v>2415</v>
      </c>
      <c r="E219" s="99"/>
      <c r="F219" s="99" t="s">
        <v>2403</v>
      </c>
      <c r="G219" s="100" t="s">
        <v>2004</v>
      </c>
    </row>
    <row r="220">
      <c r="A220" s="57" t="s">
        <v>2416</v>
      </c>
      <c r="B220" s="60" t="s">
        <v>2417</v>
      </c>
      <c r="C220" s="59" t="s">
        <v>2418</v>
      </c>
      <c r="D220" s="60" t="s">
        <v>2419</v>
      </c>
      <c r="E220" s="59"/>
      <c r="F220" s="59" t="s">
        <v>2403</v>
      </c>
      <c r="G220" s="66" t="s">
        <v>2004</v>
      </c>
    </row>
    <row r="221">
      <c r="A221" s="102" t="s">
        <v>2420</v>
      </c>
      <c r="B221" s="98" t="s">
        <v>2421</v>
      </c>
      <c r="C221" s="99" t="s">
        <v>2422</v>
      </c>
      <c r="D221" s="98" t="s">
        <v>2423</v>
      </c>
      <c r="E221" s="99"/>
      <c r="F221" s="99" t="s">
        <v>2424</v>
      </c>
      <c r="G221" s="100" t="s">
        <v>1944</v>
      </c>
    </row>
    <row r="222">
      <c r="A222" s="57" t="s">
        <v>2425</v>
      </c>
      <c r="B222" s="60" t="s">
        <v>2426</v>
      </c>
      <c r="C222" s="59" t="s">
        <v>2427</v>
      </c>
      <c r="D222" s="60" t="s">
        <v>2428</v>
      </c>
      <c r="E222" s="59"/>
      <c r="F222" s="59" t="s">
        <v>20</v>
      </c>
      <c r="G222" s="66" t="s">
        <v>2004</v>
      </c>
    </row>
    <row r="223">
      <c r="A223" s="102" t="s">
        <v>2429</v>
      </c>
      <c r="B223" s="98" t="s">
        <v>2430</v>
      </c>
      <c r="C223" s="99" t="s">
        <v>2431</v>
      </c>
      <c r="D223" s="98" t="s">
        <v>2432</v>
      </c>
      <c r="E223" s="99"/>
      <c r="F223" s="99" t="s">
        <v>2433</v>
      </c>
      <c r="G223" s="100" t="s">
        <v>2004</v>
      </c>
    </row>
    <row r="224">
      <c r="A224" s="57" t="s">
        <v>2434</v>
      </c>
      <c r="B224" s="60" t="s">
        <v>2435</v>
      </c>
      <c r="C224" s="59" t="s">
        <v>2436</v>
      </c>
      <c r="D224" s="60" t="s">
        <v>2437</v>
      </c>
      <c r="E224" s="59"/>
      <c r="F224" s="59" t="s">
        <v>2438</v>
      </c>
      <c r="G224" s="66" t="s">
        <v>2004</v>
      </c>
    </row>
    <row r="225">
      <c r="A225" s="102" t="s">
        <v>2439</v>
      </c>
      <c r="B225" s="98" t="s">
        <v>2440</v>
      </c>
      <c r="C225" s="99" t="s">
        <v>2441</v>
      </c>
      <c r="D225" s="98" t="s">
        <v>2442</v>
      </c>
      <c r="E225" s="99"/>
      <c r="F225" s="99" t="s">
        <v>253</v>
      </c>
      <c r="G225" s="100" t="s">
        <v>2004</v>
      </c>
    </row>
    <row r="226">
      <c r="A226" s="57" t="s">
        <v>2443</v>
      </c>
      <c r="B226" s="60" t="s">
        <v>2444</v>
      </c>
      <c r="C226" s="59" t="s">
        <v>2445</v>
      </c>
      <c r="D226" s="60" t="s">
        <v>2446</v>
      </c>
      <c r="E226" s="59"/>
      <c r="F226" s="59" t="s">
        <v>2447</v>
      </c>
      <c r="G226" s="66" t="s">
        <v>2004</v>
      </c>
    </row>
    <row r="227">
      <c r="A227" s="102" t="s">
        <v>2448</v>
      </c>
      <c r="B227" s="98" t="s">
        <v>2449</v>
      </c>
      <c r="C227" s="99" t="s">
        <v>2450</v>
      </c>
      <c r="D227" s="98" t="s">
        <v>2451</v>
      </c>
      <c r="E227" s="99"/>
      <c r="F227" s="99" t="s">
        <v>2452</v>
      </c>
      <c r="G227" s="100" t="s">
        <v>1944</v>
      </c>
    </row>
    <row r="228">
      <c r="A228" s="57" t="s">
        <v>2453</v>
      </c>
      <c r="B228" s="60" t="s">
        <v>2454</v>
      </c>
      <c r="C228" s="59" t="s">
        <v>2455</v>
      </c>
      <c r="D228" s="60" t="s">
        <v>2456</v>
      </c>
      <c r="E228" s="59" t="s">
        <v>2457</v>
      </c>
      <c r="F228" s="59" t="s">
        <v>332</v>
      </c>
      <c r="G228" s="66" t="s">
        <v>2004</v>
      </c>
    </row>
    <row r="229">
      <c r="A229" s="102" t="s">
        <v>2458</v>
      </c>
      <c r="B229" s="98" t="s">
        <v>2459</v>
      </c>
      <c r="C229" s="99" t="s">
        <v>2460</v>
      </c>
      <c r="D229" s="98" t="s">
        <v>2461</v>
      </c>
      <c r="E229" s="99"/>
      <c r="F229" s="99" t="s">
        <v>43</v>
      </c>
      <c r="G229" s="100" t="s">
        <v>2004</v>
      </c>
    </row>
    <row r="230">
      <c r="A230" s="57" t="s">
        <v>2462</v>
      </c>
      <c r="B230" s="60" t="s">
        <v>2463</v>
      </c>
      <c r="C230" s="59" t="s">
        <v>2464</v>
      </c>
      <c r="D230" s="60" t="s">
        <v>2465</v>
      </c>
      <c r="E230" s="59" t="s">
        <v>2466</v>
      </c>
      <c r="F230" s="59" t="s">
        <v>43</v>
      </c>
      <c r="G230" s="66" t="s">
        <v>1944</v>
      </c>
    </row>
    <row r="231">
      <c r="A231" s="102" t="s">
        <v>2467</v>
      </c>
      <c r="B231" s="98" t="s">
        <v>2468</v>
      </c>
      <c r="C231" s="99" t="s">
        <v>2469</v>
      </c>
      <c r="D231" s="98" t="s">
        <v>2470</v>
      </c>
      <c r="E231" s="99" t="s">
        <v>2471</v>
      </c>
      <c r="F231" s="99" t="s">
        <v>43</v>
      </c>
      <c r="G231" s="100" t="s">
        <v>1944</v>
      </c>
    </row>
    <row r="232">
      <c r="A232" s="57" t="s">
        <v>2472</v>
      </c>
      <c r="B232" s="60" t="s">
        <v>2473</v>
      </c>
      <c r="C232" s="59" t="s">
        <v>2474</v>
      </c>
      <c r="D232" s="60" t="s">
        <v>2475</v>
      </c>
      <c r="E232" s="59" t="s">
        <v>2476</v>
      </c>
      <c r="F232" s="59" t="s">
        <v>43</v>
      </c>
      <c r="G232" s="66" t="s">
        <v>1944</v>
      </c>
    </row>
    <row r="233">
      <c r="A233" s="102" t="s">
        <v>2477</v>
      </c>
      <c r="B233" s="98" t="s">
        <v>2478</v>
      </c>
      <c r="C233" s="99" t="s">
        <v>2479</v>
      </c>
      <c r="D233" s="98" t="s">
        <v>2480</v>
      </c>
      <c r="E233" s="99"/>
      <c r="F233" s="99" t="s">
        <v>174</v>
      </c>
      <c r="G233" s="100" t="s">
        <v>1944</v>
      </c>
    </row>
    <row r="234">
      <c r="A234" s="57" t="s">
        <v>2481</v>
      </c>
      <c r="B234" s="60" t="s">
        <v>2482</v>
      </c>
      <c r="C234" s="59" t="s">
        <v>2483</v>
      </c>
      <c r="D234" s="60" t="s">
        <v>2484</v>
      </c>
      <c r="E234" s="59" t="s">
        <v>2485</v>
      </c>
      <c r="F234" s="59" t="s">
        <v>43</v>
      </c>
      <c r="G234" s="66" t="s">
        <v>1944</v>
      </c>
    </row>
    <row r="235">
      <c r="A235" s="102" t="s">
        <v>2486</v>
      </c>
      <c r="B235" s="98" t="s">
        <v>2487</v>
      </c>
      <c r="C235" s="99" t="s">
        <v>2488</v>
      </c>
      <c r="D235" s="98" t="s">
        <v>2489</v>
      </c>
      <c r="E235" s="99" t="s">
        <v>2490</v>
      </c>
      <c r="F235" s="99" t="s">
        <v>2491</v>
      </c>
      <c r="G235" s="100" t="s">
        <v>1944</v>
      </c>
    </row>
    <row r="236">
      <c r="A236" s="57" t="s">
        <v>2492</v>
      </c>
      <c r="B236" s="60" t="s">
        <v>2493</v>
      </c>
      <c r="C236" s="59" t="s">
        <v>2494</v>
      </c>
      <c r="D236" s="60" t="s">
        <v>2495</v>
      </c>
      <c r="E236" s="59" t="s">
        <v>2496</v>
      </c>
      <c r="F236" s="59" t="s">
        <v>2491</v>
      </c>
      <c r="G236" s="66" t="s">
        <v>1944</v>
      </c>
    </row>
    <row r="237">
      <c r="A237" s="102" t="s">
        <v>2497</v>
      </c>
      <c r="B237" s="98" t="s">
        <v>2498</v>
      </c>
      <c r="C237" s="99" t="s">
        <v>2499</v>
      </c>
      <c r="D237" s="98" t="s">
        <v>2500</v>
      </c>
      <c r="E237" s="99"/>
      <c r="F237" s="99" t="s">
        <v>2501</v>
      </c>
      <c r="G237" s="100" t="s">
        <v>1944</v>
      </c>
    </row>
    <row r="238">
      <c r="A238" s="57" t="s">
        <v>2502</v>
      </c>
      <c r="B238" s="60" t="s">
        <v>2503</v>
      </c>
      <c r="C238" s="59" t="s">
        <v>2504</v>
      </c>
      <c r="D238" s="60" t="s">
        <v>2505</v>
      </c>
      <c r="E238" s="59"/>
      <c r="F238" s="59" t="s">
        <v>2501</v>
      </c>
      <c r="G238" s="66" t="s">
        <v>1944</v>
      </c>
    </row>
    <row r="239">
      <c r="A239" s="102" t="s">
        <v>2506</v>
      </c>
      <c r="B239" s="98" t="s">
        <v>2507</v>
      </c>
      <c r="C239" s="99" t="s">
        <v>2508</v>
      </c>
      <c r="D239" s="98" t="s">
        <v>2509</v>
      </c>
      <c r="E239" s="99"/>
      <c r="F239" s="99" t="s">
        <v>2491</v>
      </c>
      <c r="G239" s="100" t="s">
        <v>1944</v>
      </c>
    </row>
    <row r="240">
      <c r="A240" s="57" t="s">
        <v>2510</v>
      </c>
      <c r="B240" s="60" t="s">
        <v>2511</v>
      </c>
      <c r="C240" s="59" t="s">
        <v>2512</v>
      </c>
      <c r="D240" s="60" t="s">
        <v>2513</v>
      </c>
      <c r="E240" s="59"/>
      <c r="F240" s="59" t="s">
        <v>2514</v>
      </c>
      <c r="G240" s="66" t="s">
        <v>1944</v>
      </c>
    </row>
    <row r="241">
      <c r="A241" s="102" t="s">
        <v>2515</v>
      </c>
      <c r="B241" s="98" t="s">
        <v>2516</v>
      </c>
      <c r="C241" s="99" t="s">
        <v>2517</v>
      </c>
      <c r="D241" s="98" t="s">
        <v>2518</v>
      </c>
      <c r="E241" s="99"/>
      <c r="F241" s="99" t="s">
        <v>2519</v>
      </c>
      <c r="G241" s="100" t="s">
        <v>1944</v>
      </c>
    </row>
    <row r="242">
      <c r="A242" s="57" t="s">
        <v>2520</v>
      </c>
      <c r="B242" s="60" t="s">
        <v>2521</v>
      </c>
      <c r="C242" s="59" t="s">
        <v>2522</v>
      </c>
      <c r="D242" s="60" t="s">
        <v>2523</v>
      </c>
      <c r="E242" s="59"/>
      <c r="F242" s="59" t="s">
        <v>246</v>
      </c>
      <c r="G242" s="66" t="s">
        <v>2004</v>
      </c>
    </row>
    <row r="243">
      <c r="A243" s="102"/>
      <c r="B243" s="99"/>
      <c r="C243" s="99"/>
      <c r="D243" s="99"/>
      <c r="E243" s="99"/>
      <c r="F243" s="99"/>
      <c r="G243" s="100"/>
    </row>
    <row r="244">
      <c r="A244" s="57" t="s">
        <v>2524</v>
      </c>
      <c r="B244" s="60" t="s">
        <v>2525</v>
      </c>
      <c r="C244" s="59" t="s">
        <v>2526</v>
      </c>
      <c r="D244" s="60" t="s">
        <v>2527</v>
      </c>
      <c r="E244" s="59" t="s">
        <v>2528</v>
      </c>
      <c r="F244" s="59" t="s">
        <v>246</v>
      </c>
      <c r="G244" s="66" t="s">
        <v>1944</v>
      </c>
    </row>
    <row r="245">
      <c r="A245" s="102" t="s">
        <v>2529</v>
      </c>
      <c r="B245" s="98" t="s">
        <v>2530</v>
      </c>
      <c r="C245" s="99" t="s">
        <v>2531</v>
      </c>
      <c r="D245" s="98" t="s">
        <v>2532</v>
      </c>
      <c r="E245" s="99" t="s">
        <v>2533</v>
      </c>
      <c r="F245" s="99" t="s">
        <v>2534</v>
      </c>
      <c r="G245" s="100" t="s">
        <v>1944</v>
      </c>
    </row>
    <row r="246">
      <c r="A246" s="57" t="s">
        <v>2535</v>
      </c>
      <c r="B246" s="60" t="s">
        <v>2536</v>
      </c>
      <c r="C246" s="59" t="s">
        <v>2537</v>
      </c>
      <c r="D246" s="60" t="s">
        <v>2538</v>
      </c>
      <c r="E246" s="59"/>
      <c r="F246" s="59" t="s">
        <v>1947</v>
      </c>
      <c r="G246" s="66" t="s">
        <v>2004</v>
      </c>
    </row>
    <row r="247">
      <c r="A247" s="102" t="s">
        <v>2539</v>
      </c>
      <c r="B247" s="98" t="s">
        <v>2540</v>
      </c>
      <c r="C247" s="99" t="s">
        <v>2541</v>
      </c>
      <c r="D247" s="98" t="s">
        <v>2542</v>
      </c>
      <c r="E247" s="99"/>
      <c r="F247" s="99" t="s">
        <v>43</v>
      </c>
      <c r="G247" s="100" t="s">
        <v>1944</v>
      </c>
    </row>
    <row r="248">
      <c r="A248" s="57" t="s">
        <v>2543</v>
      </c>
      <c r="B248" s="60" t="s">
        <v>2544</v>
      </c>
      <c r="C248" s="59" t="s">
        <v>2545</v>
      </c>
      <c r="D248" s="60" t="s">
        <v>2546</v>
      </c>
      <c r="E248" s="59" t="s">
        <v>2547</v>
      </c>
      <c r="F248" s="59" t="s">
        <v>2548</v>
      </c>
      <c r="G248" s="66" t="s">
        <v>1944</v>
      </c>
    </row>
    <row r="249">
      <c r="A249" s="102" t="s">
        <v>2549</v>
      </c>
      <c r="B249" s="98" t="s">
        <v>2550</v>
      </c>
      <c r="C249" s="99" t="s">
        <v>2551</v>
      </c>
      <c r="D249" s="98" t="s">
        <v>2552</v>
      </c>
      <c r="E249" s="99" t="s">
        <v>2553</v>
      </c>
      <c r="F249" s="99" t="s">
        <v>2554</v>
      </c>
      <c r="G249" s="100" t="s">
        <v>1944</v>
      </c>
    </row>
    <row r="250">
      <c r="A250" s="57" t="s">
        <v>2555</v>
      </c>
      <c r="B250" s="60" t="s">
        <v>2556</v>
      </c>
      <c r="C250" s="59" t="s">
        <v>2557</v>
      </c>
      <c r="D250" s="60" t="s">
        <v>2558</v>
      </c>
      <c r="E250" s="59"/>
      <c r="F250" s="59" t="s">
        <v>990</v>
      </c>
      <c r="G250" s="66" t="s">
        <v>1944</v>
      </c>
    </row>
    <row r="251">
      <c r="A251" s="102" t="s">
        <v>2559</v>
      </c>
      <c r="B251" s="98" t="s">
        <v>2560</v>
      </c>
      <c r="C251" s="99" t="s">
        <v>2561</v>
      </c>
      <c r="D251" s="98" t="s">
        <v>2562</v>
      </c>
      <c r="E251" s="99"/>
      <c r="F251" s="99" t="s">
        <v>2563</v>
      </c>
      <c r="G251" s="100" t="s">
        <v>2004</v>
      </c>
    </row>
    <row r="252">
      <c r="A252" s="57" t="s">
        <v>2564</v>
      </c>
      <c r="B252" s="60" t="s">
        <v>2565</v>
      </c>
      <c r="C252" s="59" t="s">
        <v>2566</v>
      </c>
      <c r="D252" s="60" t="s">
        <v>2567</v>
      </c>
      <c r="E252" s="59"/>
      <c r="F252" s="59" t="s">
        <v>2568</v>
      </c>
      <c r="G252" s="66" t="s">
        <v>2004</v>
      </c>
    </row>
    <row r="253">
      <c r="A253" s="102" t="s">
        <v>2569</v>
      </c>
      <c r="B253" s="98" t="s">
        <v>2570</v>
      </c>
      <c r="C253" s="99" t="s">
        <v>2571</v>
      </c>
      <c r="D253" s="98" t="s">
        <v>2572</v>
      </c>
      <c r="E253" s="99" t="s">
        <v>2573</v>
      </c>
      <c r="F253" s="99" t="s">
        <v>731</v>
      </c>
      <c r="G253" s="100" t="s">
        <v>2004</v>
      </c>
    </row>
    <row r="254">
      <c r="A254" s="103" t="s">
        <v>2574</v>
      </c>
      <c r="B254" s="104" t="s">
        <v>2575</v>
      </c>
      <c r="C254" s="105" t="s">
        <v>2576</v>
      </c>
      <c r="D254" s="104" t="s">
        <v>2577</v>
      </c>
      <c r="E254" s="105"/>
      <c r="F254" s="105" t="s">
        <v>2578</v>
      </c>
      <c r="G254" s="106" t="s">
        <v>2004</v>
      </c>
    </row>
  </sheetData>
  <dataValidations>
    <dataValidation type="custom" allowBlank="1" showDropDown="1" sqref="A2:A254">
      <formula1>OR(NOT(ISERROR(DATEVALUE(A2))), AND(ISNUMBER(A2), LEFT(CELL("format", A2))="D"))</formula1>
    </dataValidation>
    <dataValidation allowBlank="1" showDropDown="1" sqref="C2:F254"/>
  </dataValidations>
  <drawing r:id="rId1"/>
  <tableParts count="1">
    <tablePart r:id="rId3"/>
  </tableParts>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25"/>
  </cols>
  <sheetData>
    <row r="1">
      <c r="A1" s="4" t="s">
        <v>2579</v>
      </c>
      <c r="B1" s="4" t="s">
        <v>2580</v>
      </c>
      <c r="C1" s="4" t="s">
        <v>2581</v>
      </c>
    </row>
    <row r="2">
      <c r="A2" s="4">
        <v>1.0</v>
      </c>
      <c r="B2" s="4" t="s">
        <v>2582</v>
      </c>
      <c r="C2" s="4" t="s">
        <v>2583</v>
      </c>
    </row>
    <row r="3">
      <c r="A3" s="4">
        <v>2.0</v>
      </c>
      <c r="B3" s="4" t="s">
        <v>2584</v>
      </c>
      <c r="C3" s="4" t="s">
        <v>2585</v>
      </c>
    </row>
    <row r="4">
      <c r="A4" s="4">
        <v>3.0</v>
      </c>
      <c r="B4" s="4" t="s">
        <v>2586</v>
      </c>
      <c r="C4" s="4" t="s">
        <v>2587</v>
      </c>
    </row>
    <row r="5">
      <c r="A5" s="4">
        <v>4.0</v>
      </c>
      <c r="B5" s="4" t="s">
        <v>2588</v>
      </c>
      <c r="C5" s="4" t="s">
        <v>2589</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8"/>
    <col customWidth="1" min="2" max="2" width="17.75"/>
    <col customWidth="1" min="3" max="3" width="7.38"/>
    <col customWidth="1" min="4" max="4" width="24.88"/>
    <col customWidth="1" min="5" max="5" width="31.63"/>
    <col customWidth="1" min="6" max="6" width="27.13"/>
  </cols>
  <sheetData>
    <row r="1">
      <c r="A1" s="4" t="s">
        <v>2590</v>
      </c>
      <c r="B1" s="4" t="s">
        <v>1899</v>
      </c>
      <c r="C1" s="4" t="s">
        <v>2591</v>
      </c>
      <c r="D1" s="107" t="s">
        <v>2592</v>
      </c>
      <c r="E1" s="4" t="s">
        <v>2593</v>
      </c>
      <c r="F1" s="108" t="s">
        <v>2594</v>
      </c>
      <c r="G1" s="109" t="s">
        <v>1912</v>
      </c>
      <c r="H1" s="109" t="s">
        <v>2595</v>
      </c>
      <c r="I1" s="109" t="s">
        <v>2596</v>
      </c>
    </row>
    <row r="2">
      <c r="A2" s="13" t="s">
        <v>2597</v>
      </c>
      <c r="B2" s="110">
        <v>45797.0</v>
      </c>
      <c r="C2" s="4">
        <v>1.0</v>
      </c>
      <c r="D2" s="111" t="s">
        <v>2598</v>
      </c>
      <c r="E2" s="112" t="str">
        <f>VLOOKUP(D2,Table2[[ID Petugas]:[Nama]],2,false)</f>
        <v>Sangaptua Deo Datus Sagala, S.Tr.Stat.</v>
      </c>
      <c r="F2" s="108"/>
      <c r="G2" s="113"/>
      <c r="H2" s="113"/>
      <c r="I2" s="113"/>
    </row>
    <row r="3">
      <c r="A3" s="13" t="s">
        <v>2599</v>
      </c>
      <c r="B3" s="110">
        <v>45797.0</v>
      </c>
      <c r="C3" s="4">
        <v>2.0</v>
      </c>
      <c r="D3" s="111" t="s">
        <v>2600</v>
      </c>
      <c r="E3" s="112" t="str">
        <f>VLOOKUP(D3,Table2[[ID Petugas]:[Nama]],2,false)</f>
        <v>Emmi Manurung, S.E.</v>
      </c>
      <c r="F3" s="114"/>
      <c r="G3" s="113"/>
      <c r="H3" s="113"/>
      <c r="I3" s="113"/>
    </row>
    <row r="4">
      <c r="A4" s="13" t="s">
        <v>2601</v>
      </c>
      <c r="B4" s="110">
        <v>45798.0</v>
      </c>
      <c r="C4" s="4">
        <v>1.0</v>
      </c>
      <c r="D4" s="111" t="s">
        <v>2602</v>
      </c>
      <c r="E4" s="112" t="str">
        <f>VLOOKUP(D4,Table2[[ID Petugas]:[Nama]],2,false)</f>
        <v>Sahnas Aisyiah Maha, S.Tr.Stat.</v>
      </c>
      <c r="F4" s="114"/>
      <c r="G4" s="113"/>
      <c r="H4" s="113"/>
      <c r="I4" s="113"/>
    </row>
    <row r="5">
      <c r="A5" s="13" t="s">
        <v>2603</v>
      </c>
      <c r="B5" s="110">
        <v>45798.0</v>
      </c>
      <c r="C5" s="4">
        <v>2.0</v>
      </c>
      <c r="D5" s="111" t="s">
        <v>2604</v>
      </c>
      <c r="E5" s="112" t="str">
        <f>VLOOKUP(D5,Table2[[ID Petugas]:[Nama]],2,false)</f>
        <v>Frisca Ulina Br Munthe,S.Tr.Stat.</v>
      </c>
      <c r="F5" s="114"/>
      <c r="G5" s="113"/>
      <c r="H5" s="113"/>
      <c r="I5" s="113"/>
    </row>
    <row r="6">
      <c r="A6" s="13" t="s">
        <v>2605</v>
      </c>
      <c r="B6" s="110">
        <v>45799.0</v>
      </c>
      <c r="C6" s="4">
        <v>1.0</v>
      </c>
      <c r="D6" s="111" t="s">
        <v>2606</v>
      </c>
      <c r="E6" s="112" t="str">
        <f>VLOOKUP(D6,Table2[[ID Petugas]:[Nama]],2,false)</f>
        <v>Rivaldi, S.Tr.Stat.</v>
      </c>
      <c r="F6" s="114"/>
      <c r="G6" s="113"/>
      <c r="H6" s="113"/>
      <c r="I6" s="113"/>
    </row>
    <row r="7">
      <c r="A7" s="13" t="s">
        <v>2607</v>
      </c>
      <c r="B7" s="110">
        <v>45799.0</v>
      </c>
      <c r="C7" s="4">
        <v>2.0</v>
      </c>
      <c r="D7" s="111" t="s">
        <v>2608</v>
      </c>
      <c r="E7" s="112" t="str">
        <f>VLOOKUP(D7,Table2[[ID Petugas]:[Nama]],2,false)</f>
        <v>Jaksen Ferry Judo Lingga S.Si</v>
      </c>
      <c r="F7" s="114"/>
      <c r="G7" s="113"/>
      <c r="H7" s="113"/>
      <c r="I7" s="113"/>
    </row>
    <row r="8">
      <c r="A8" s="13" t="s">
        <v>2609</v>
      </c>
      <c r="B8" s="110">
        <v>45800.0</v>
      </c>
      <c r="C8" s="4">
        <v>1.0</v>
      </c>
      <c r="D8" s="111" t="s">
        <v>2610</v>
      </c>
      <c r="E8" s="112" t="str">
        <f>VLOOKUP(D8,Table2[[ID Petugas]:[Nama]],2,false)</f>
        <v>#N/A</v>
      </c>
      <c r="F8" s="114"/>
      <c r="G8" s="113"/>
      <c r="H8" s="113"/>
      <c r="I8" s="113"/>
    </row>
    <row r="9">
      <c r="A9" s="13" t="s">
        <v>2611</v>
      </c>
      <c r="B9" s="110">
        <v>45800.0</v>
      </c>
      <c r="C9" s="4">
        <v>2.0</v>
      </c>
      <c r="D9" s="111" t="s">
        <v>2612</v>
      </c>
      <c r="E9" s="112" t="str">
        <f>VLOOKUP(D9,Table2[[ID Petugas]:[Nama]],2,false)</f>
        <v>Jesica Kristiyani Butar Butar</v>
      </c>
      <c r="F9" s="114"/>
      <c r="G9" s="113"/>
      <c r="H9" s="113"/>
      <c r="I9" s="113"/>
    </row>
    <row r="10">
      <c r="A10" s="13" t="s">
        <v>2613</v>
      </c>
      <c r="B10" s="110">
        <v>45803.0</v>
      </c>
      <c r="C10" s="4">
        <v>1.0</v>
      </c>
      <c r="D10" s="111" t="s">
        <v>2614</v>
      </c>
      <c r="E10" s="112" t="str">
        <f>VLOOKUP(D10,Table2[[ID Petugas]:[Nama]],2,false)</f>
        <v>Ribka Anggina Tarigan, SST</v>
      </c>
      <c r="F10" s="114"/>
      <c r="G10" s="113"/>
      <c r="H10" s="113"/>
      <c r="I10" s="113"/>
    </row>
    <row r="11">
      <c r="A11" s="13" t="s">
        <v>2615</v>
      </c>
      <c r="B11" s="110">
        <v>45803.0</v>
      </c>
      <c r="C11" s="4">
        <v>2.0</v>
      </c>
      <c r="D11" s="115" t="s">
        <v>2616</v>
      </c>
      <c r="E11" s="112" t="str">
        <f>VLOOKUP(D11,Table2[[ID Petugas]:[Nama]],2,false)</f>
        <v>Mike Ervans Purba, A.Md.Stat.</v>
      </c>
      <c r="F11" s="114"/>
      <c r="G11" s="113"/>
      <c r="H11" s="113"/>
      <c r="I11" s="113"/>
    </row>
    <row r="12">
      <c r="A12" s="13" t="s">
        <v>2617</v>
      </c>
      <c r="B12" s="110">
        <v>45804.0</v>
      </c>
      <c r="C12" s="4">
        <v>1.0</v>
      </c>
      <c r="D12" s="111" t="s">
        <v>2618</v>
      </c>
      <c r="E12" s="112" t="str">
        <f>VLOOKUP(D12,Table2[[ID Petugas]:[Nama]],2,false)</f>
        <v>Ratih Kurniawati, S.E.</v>
      </c>
      <c r="F12" s="114"/>
      <c r="G12" s="113"/>
      <c r="H12" s="113"/>
      <c r="I12" s="113"/>
    </row>
    <row r="13">
      <c r="A13" s="13" t="s">
        <v>2619</v>
      </c>
      <c r="B13" s="110">
        <v>45804.0</v>
      </c>
      <c r="C13" s="4">
        <v>2.0</v>
      </c>
      <c r="D13" s="111" t="s">
        <v>2620</v>
      </c>
      <c r="E13" s="112" t="str">
        <f>VLOOKUP(D13,Table2[[ID Petugas]:[Nama]],2,false)</f>
        <v>Junjun Wijaya, S.Stat.</v>
      </c>
      <c r="F13" s="114"/>
      <c r="G13" s="113"/>
      <c r="H13" s="113"/>
      <c r="I13" s="113"/>
    </row>
    <row r="14">
      <c r="A14" s="13" t="s">
        <v>2621</v>
      </c>
      <c r="B14" s="110">
        <v>45805.0</v>
      </c>
      <c r="C14" s="4">
        <v>1.0</v>
      </c>
      <c r="D14" s="111" t="s">
        <v>2622</v>
      </c>
      <c r="E14" s="112" t="str">
        <f>VLOOKUP(D14,Table2[[ID Petugas]:[Nama]],2,false)</f>
        <v>Monika Yuniati Tampubolon, A.Md.</v>
      </c>
      <c r="F14" s="114"/>
      <c r="G14" s="113"/>
      <c r="H14" s="113"/>
      <c r="I14" s="113"/>
    </row>
    <row r="15">
      <c r="A15" s="13" t="s">
        <v>2623</v>
      </c>
      <c r="B15" s="110">
        <v>45805.0</v>
      </c>
      <c r="C15" s="4">
        <v>2.0</v>
      </c>
      <c r="D15" s="111" t="s">
        <v>2624</v>
      </c>
      <c r="E15" s="112" t="str">
        <f>VLOOKUP(D15,Table2[[ID Petugas]:[Nama]],2,false)</f>
        <v>Marudut Silaban, SE, MM</v>
      </c>
      <c r="F15" s="114"/>
      <c r="G15" s="113"/>
      <c r="H15" s="113"/>
      <c r="I15" s="113"/>
    </row>
    <row r="16">
      <c r="A16" s="13" t="s">
        <v>2625</v>
      </c>
      <c r="B16" s="110">
        <v>45810.0</v>
      </c>
      <c r="C16" s="4">
        <v>1.0</v>
      </c>
      <c r="D16" s="115" t="s">
        <v>2626</v>
      </c>
      <c r="E16" s="112" t="str">
        <f>VLOOKUP(D16,Table2[[ID Petugas]:[Nama]],2,false)</f>
        <v>Binara Tua Simanjuntak</v>
      </c>
      <c r="F16" s="114"/>
      <c r="G16" s="113"/>
      <c r="H16" s="113"/>
      <c r="I16" s="113"/>
    </row>
    <row r="17">
      <c r="A17" s="13" t="s">
        <v>2627</v>
      </c>
      <c r="B17" s="110">
        <v>45810.0</v>
      </c>
      <c r="C17" s="4">
        <v>2.0</v>
      </c>
      <c r="D17" s="115" t="s">
        <v>2628</v>
      </c>
      <c r="E17" s="112" t="str">
        <f>VLOOKUP(D17,Table2[[ID Petugas]:[Nama]],2,false)</f>
        <v>Juando Siallagan, S.Tr.Stat.</v>
      </c>
      <c r="F17" s="114"/>
      <c r="G17" s="113"/>
      <c r="H17" s="113"/>
      <c r="I17" s="113"/>
    </row>
    <row r="18">
      <c r="A18" s="13" t="s">
        <v>2629</v>
      </c>
      <c r="B18" s="110">
        <v>45811.0</v>
      </c>
      <c r="C18" s="4">
        <v>1.0</v>
      </c>
      <c r="D18" s="111" t="s">
        <v>2630</v>
      </c>
      <c r="E18" s="112" t="str">
        <f>VLOOKUP(D18,Table2[[ID Petugas]:[Nama]],2,false)</f>
        <v>Anwar Sinaga, A.Md.</v>
      </c>
      <c r="F18" s="114"/>
      <c r="G18" s="113"/>
      <c r="H18" s="113"/>
      <c r="I18" s="113"/>
    </row>
    <row r="19">
      <c r="A19" s="13" t="s">
        <v>2631</v>
      </c>
      <c r="B19" s="110">
        <v>45811.0</v>
      </c>
      <c r="C19" s="4">
        <v>2.0</v>
      </c>
      <c r="D19" s="111" t="s">
        <v>2632</v>
      </c>
      <c r="E19" s="112" t="str">
        <f>VLOOKUP(D19,Table2[[ID Petugas]:[Nama]],2,false)</f>
        <v>Zunkifli Haryanto Yoko Ningrat Siahaan</v>
      </c>
      <c r="F19" s="114"/>
      <c r="G19" s="113"/>
      <c r="H19" s="113"/>
      <c r="I19" s="113"/>
    </row>
    <row r="20">
      <c r="A20" s="13" t="s">
        <v>2633</v>
      </c>
      <c r="B20" s="110">
        <v>45812.0</v>
      </c>
      <c r="C20" s="4">
        <v>1.0</v>
      </c>
      <c r="D20" s="115" t="s">
        <v>2634</v>
      </c>
      <c r="E20" s="112" t="str">
        <f>VLOOKUP(D20,Table2[[ID Petugas]:[Nama]],2,false)</f>
        <v>Monika Stevany Manurung, S.Tr.Stat.</v>
      </c>
      <c r="F20" s="114"/>
      <c r="G20" s="113"/>
      <c r="H20" s="113"/>
      <c r="I20" s="113"/>
    </row>
    <row r="21">
      <c r="A21" s="13" t="s">
        <v>2635</v>
      </c>
      <c r="B21" s="110">
        <v>45812.0</v>
      </c>
      <c r="C21" s="4">
        <v>2.0</v>
      </c>
      <c r="D21" s="111" t="s">
        <v>2636</v>
      </c>
      <c r="E21" s="112" t="str">
        <f>VLOOKUP(D21,Table2[[ID Petugas]:[Nama]],2,false)</f>
        <v>Wiwik Rahayuni Lumban Gaol, A.Md</v>
      </c>
      <c r="F21" s="114"/>
      <c r="G21" s="113"/>
      <c r="H21" s="113"/>
      <c r="I21" s="113"/>
    </row>
    <row r="22">
      <c r="A22" s="13" t="s">
        <v>2637</v>
      </c>
      <c r="B22" s="110">
        <v>45813.0</v>
      </c>
      <c r="C22" s="4">
        <v>1.0</v>
      </c>
      <c r="D22" s="111" t="s">
        <v>2638</v>
      </c>
      <c r="E22" s="112" t="str">
        <f>VLOOKUP(D22,Table2[[ID Petugas]:[Nama]],2,false)</f>
        <v>Efendy Girsang, SP</v>
      </c>
      <c r="F22" s="114"/>
      <c r="G22" s="113"/>
      <c r="H22" s="113"/>
      <c r="I22" s="113"/>
    </row>
    <row r="23">
      <c r="A23" s="13" t="s">
        <v>2639</v>
      </c>
      <c r="B23" s="110">
        <v>45813.0</v>
      </c>
      <c r="C23" s="4">
        <v>2.0</v>
      </c>
      <c r="D23" s="111" t="s">
        <v>2640</v>
      </c>
      <c r="E23" s="112" t="str">
        <f>VLOOKUP(D23,Table2[[ID Petugas]:[Nama]],2,false)</f>
        <v>Tetty Saorma Hasiholan, S.Si</v>
      </c>
      <c r="F23" s="114"/>
      <c r="G23" s="113"/>
      <c r="H23" s="113"/>
      <c r="I23" s="113"/>
    </row>
    <row r="24">
      <c r="A24" s="13" t="s">
        <v>2641</v>
      </c>
      <c r="B24" s="110">
        <v>45814.0</v>
      </c>
      <c r="C24" s="4">
        <v>1.0</v>
      </c>
      <c r="D24" s="111" t="s">
        <v>2600</v>
      </c>
      <c r="E24" s="112" t="str">
        <f>VLOOKUP(D24,Table2[[ID Petugas]:[Nama]],2,false)</f>
        <v>Emmi Manurung, S.E.</v>
      </c>
      <c r="F24" s="114"/>
      <c r="G24" s="113"/>
      <c r="H24" s="113"/>
      <c r="I24" s="113"/>
    </row>
    <row r="25">
      <c r="A25" s="13" t="s">
        <v>2642</v>
      </c>
      <c r="B25" s="110">
        <v>45814.0</v>
      </c>
      <c r="C25" s="4">
        <v>2.0</v>
      </c>
      <c r="D25" s="111" t="s">
        <v>2598</v>
      </c>
      <c r="E25" s="112" t="str">
        <f>VLOOKUP(D25,Table2[[ID Petugas]:[Nama]],2,false)</f>
        <v>Sangaptua Deo Datus Sagala, S.Tr.Stat.</v>
      </c>
      <c r="F25" s="114"/>
      <c r="G25" s="113"/>
      <c r="H25" s="113"/>
      <c r="I25" s="113"/>
    </row>
    <row r="26">
      <c r="A26" s="13" t="s">
        <v>2643</v>
      </c>
      <c r="B26" s="110">
        <v>45818.0</v>
      </c>
      <c r="C26" s="4">
        <v>1.0</v>
      </c>
      <c r="D26" s="107" t="s">
        <v>2600</v>
      </c>
      <c r="E26" s="112" t="str">
        <f>VLOOKUP(D26,Table2[[ID Petugas]:[Nama]],2,false)</f>
        <v>Emmi Manurung, S.E.</v>
      </c>
      <c r="F26" s="114"/>
      <c r="G26" s="113"/>
      <c r="H26" s="113"/>
      <c r="I26" s="113"/>
    </row>
    <row r="27">
      <c r="A27" s="13" t="s">
        <v>2644</v>
      </c>
      <c r="B27" s="110">
        <v>45818.0</v>
      </c>
      <c r="C27" s="4">
        <v>2.0</v>
      </c>
      <c r="D27" s="115" t="s">
        <v>2610</v>
      </c>
      <c r="E27" s="112" t="str">
        <f>VLOOKUP(D27,Table2[[ID Petugas]:[Nama]],2,false)</f>
        <v>#N/A</v>
      </c>
      <c r="F27" s="114"/>
      <c r="G27" s="113"/>
      <c r="H27" s="113"/>
      <c r="I27" s="113"/>
    </row>
    <row r="28">
      <c r="A28" s="13" t="s">
        <v>2645</v>
      </c>
      <c r="B28" s="110">
        <v>45819.0</v>
      </c>
      <c r="C28" s="4">
        <v>1.0</v>
      </c>
      <c r="D28" s="111" t="s">
        <v>2604</v>
      </c>
      <c r="E28" s="112" t="str">
        <f>VLOOKUP(D28,Table2[[ID Petugas]:[Nama]],2,false)</f>
        <v>Frisca Ulina Br Munthe,S.Tr.Stat.</v>
      </c>
      <c r="F28" s="114"/>
      <c r="G28" s="113"/>
      <c r="H28" s="113"/>
      <c r="I28" s="113"/>
    </row>
    <row r="29">
      <c r="A29" s="13" t="s">
        <v>2646</v>
      </c>
      <c r="B29" s="110">
        <v>45819.0</v>
      </c>
      <c r="C29" s="4">
        <v>2.0</v>
      </c>
      <c r="D29" s="111" t="s">
        <v>2602</v>
      </c>
      <c r="E29" s="112" t="str">
        <f>VLOOKUP(D29,Table2[[ID Petugas]:[Nama]],2,false)</f>
        <v>Sahnas Aisyiah Maha, S.Tr.Stat.</v>
      </c>
      <c r="F29" s="114"/>
      <c r="G29" s="113"/>
      <c r="H29" s="113"/>
      <c r="I29" s="113"/>
    </row>
    <row r="30">
      <c r="A30" s="13" t="s">
        <v>2647</v>
      </c>
      <c r="B30" s="110">
        <v>45820.0</v>
      </c>
      <c r="C30" s="4">
        <v>1.0</v>
      </c>
      <c r="D30" s="111" t="s">
        <v>2608</v>
      </c>
      <c r="E30" s="112" t="str">
        <f>VLOOKUP(D30,Table2[[ID Petugas]:[Nama]],2,false)</f>
        <v>Jaksen Ferry Judo Lingga S.Si</v>
      </c>
      <c r="F30" s="114"/>
      <c r="G30" s="113"/>
      <c r="H30" s="113"/>
      <c r="I30" s="113"/>
    </row>
    <row r="31">
      <c r="A31" s="13" t="s">
        <v>2648</v>
      </c>
      <c r="B31" s="110">
        <v>45820.0</v>
      </c>
      <c r="C31" s="4">
        <v>2.0</v>
      </c>
      <c r="D31" s="111" t="s">
        <v>2606</v>
      </c>
      <c r="E31" s="112" t="str">
        <f>VLOOKUP(D31,Table2[[ID Petugas]:[Nama]],2,false)</f>
        <v>Rivaldi, S.Tr.Stat.</v>
      </c>
      <c r="F31" s="114"/>
      <c r="G31" s="113"/>
      <c r="H31" s="113"/>
      <c r="I31" s="113"/>
    </row>
    <row r="32">
      <c r="A32" s="13" t="s">
        <v>2649</v>
      </c>
      <c r="B32" s="110">
        <v>45821.0</v>
      </c>
      <c r="C32" s="4">
        <v>1.0</v>
      </c>
      <c r="D32" s="111" t="s">
        <v>2612</v>
      </c>
      <c r="E32" s="112" t="str">
        <f>VLOOKUP(D32,Table2[[ID Petugas]:[Nama]],2,false)</f>
        <v>Jesica Kristiyani Butar Butar</v>
      </c>
      <c r="F32" s="114"/>
      <c r="G32" s="113"/>
      <c r="H32" s="113"/>
      <c r="I32" s="113"/>
    </row>
    <row r="33">
      <c r="A33" s="13" t="s">
        <v>2650</v>
      </c>
      <c r="B33" s="110">
        <v>45821.0</v>
      </c>
      <c r="C33" s="4">
        <v>2.0</v>
      </c>
      <c r="D33" s="115" t="s">
        <v>2598</v>
      </c>
      <c r="E33" s="112" t="str">
        <f>VLOOKUP(D33,Table2[[ID Petugas]:[Nama]],2,false)</f>
        <v>Sangaptua Deo Datus Sagala, S.Tr.Stat.</v>
      </c>
      <c r="F33" s="108" t="s">
        <v>2651</v>
      </c>
      <c r="G33" s="109" t="s">
        <v>2652</v>
      </c>
      <c r="H33" s="109"/>
      <c r="I33" s="109"/>
    </row>
    <row r="34">
      <c r="A34" s="13" t="s">
        <v>2653</v>
      </c>
      <c r="B34" s="110">
        <v>45824.0</v>
      </c>
      <c r="C34" s="4">
        <v>1.0</v>
      </c>
      <c r="D34" s="115" t="s">
        <v>2628</v>
      </c>
      <c r="E34" s="112" t="str">
        <f>VLOOKUP(D34,Table2[[ID Petugas]:[Nama]],2,false)</f>
        <v>Juando Siallagan, S.Tr.Stat.</v>
      </c>
      <c r="F34" s="114"/>
      <c r="G34" s="113"/>
      <c r="H34" s="113"/>
      <c r="I34" s="113"/>
    </row>
    <row r="35">
      <c r="A35" s="13" t="s">
        <v>2654</v>
      </c>
      <c r="B35" s="110">
        <v>45824.0</v>
      </c>
      <c r="C35" s="4">
        <v>2.0</v>
      </c>
      <c r="D35" s="111" t="s">
        <v>2622</v>
      </c>
      <c r="E35" s="112" t="str">
        <f>VLOOKUP(D35,Table2[[ID Petugas]:[Nama]],2,false)</f>
        <v>Monika Yuniati Tampubolon, A.Md.</v>
      </c>
      <c r="F35" s="114"/>
      <c r="G35" s="113"/>
      <c r="H35" s="113"/>
      <c r="I35" s="113"/>
    </row>
    <row r="36">
      <c r="A36" s="13" t="s">
        <v>2655</v>
      </c>
      <c r="B36" s="110">
        <v>45825.0</v>
      </c>
      <c r="C36" s="4">
        <v>1.0</v>
      </c>
      <c r="D36" s="111" t="s">
        <v>2620</v>
      </c>
      <c r="E36" s="112" t="str">
        <f>VLOOKUP(D36,Table2[[ID Petugas]:[Nama]],2,false)</f>
        <v>Junjun Wijaya, S.Stat.</v>
      </c>
      <c r="F36" s="114"/>
      <c r="G36" s="113"/>
      <c r="H36" s="113"/>
      <c r="I36" s="113"/>
    </row>
    <row r="37">
      <c r="A37" s="13" t="s">
        <v>2656</v>
      </c>
      <c r="B37" s="110">
        <v>45825.0</v>
      </c>
      <c r="C37" s="4">
        <v>2.0</v>
      </c>
      <c r="D37" s="111" t="s">
        <v>2618</v>
      </c>
      <c r="E37" s="112" t="str">
        <f>VLOOKUP(D37,Table2[[ID Petugas]:[Nama]],2,false)</f>
        <v>Ratih Kurniawati, S.E.</v>
      </c>
      <c r="F37" s="114"/>
      <c r="G37" s="113"/>
      <c r="H37" s="113"/>
      <c r="I37" s="113"/>
    </row>
    <row r="38">
      <c r="A38" s="13" t="s">
        <v>2657</v>
      </c>
      <c r="B38" s="110">
        <v>45826.0</v>
      </c>
      <c r="C38" s="4">
        <v>1.0</v>
      </c>
      <c r="D38" s="111" t="s">
        <v>2624</v>
      </c>
      <c r="E38" s="112" t="str">
        <f>VLOOKUP(D38,Table2[[ID Petugas]:[Nama]],2,false)</f>
        <v>Marudut Silaban, SE, MM</v>
      </c>
      <c r="F38" s="114"/>
      <c r="G38" s="113"/>
      <c r="H38" s="113"/>
      <c r="I38" s="113"/>
    </row>
    <row r="39">
      <c r="A39" s="13" t="s">
        <v>2658</v>
      </c>
      <c r="B39" s="110">
        <v>45826.0</v>
      </c>
      <c r="C39" s="4">
        <v>2.0</v>
      </c>
      <c r="D39" s="111" t="s">
        <v>2622</v>
      </c>
      <c r="E39" s="112" t="str">
        <f>VLOOKUP(D39,Table2[[ID Petugas]:[Nama]],2,false)</f>
        <v>Monika Yuniati Tampubolon, A.Md.</v>
      </c>
      <c r="F39" s="114"/>
      <c r="G39" s="113"/>
      <c r="H39" s="113"/>
      <c r="I39" s="113"/>
    </row>
    <row r="40">
      <c r="A40" s="13" t="s">
        <v>2659</v>
      </c>
      <c r="B40" s="110">
        <v>45827.0</v>
      </c>
      <c r="C40" s="4">
        <v>1.0</v>
      </c>
      <c r="D40" s="115" t="s">
        <v>2634</v>
      </c>
      <c r="E40" s="112" t="str">
        <f>VLOOKUP(D40,Table2[[ID Petugas]:[Nama]],2,false)</f>
        <v>Monika Stevany Manurung, S.Tr.Stat.</v>
      </c>
      <c r="F40" s="114"/>
      <c r="G40" s="113"/>
      <c r="H40" s="113"/>
      <c r="I40" s="113"/>
    </row>
    <row r="41">
      <c r="A41" s="13" t="s">
        <v>2660</v>
      </c>
      <c r="B41" s="110">
        <v>45827.0</v>
      </c>
      <c r="C41" s="4">
        <v>2.0</v>
      </c>
      <c r="D41" s="115" t="s">
        <v>2616</v>
      </c>
      <c r="E41" s="112" t="str">
        <f>VLOOKUP(D41,Table2[[ID Petugas]:[Nama]],2,false)</f>
        <v>Mike Ervans Purba, A.Md.Stat.</v>
      </c>
      <c r="F41" s="114"/>
      <c r="G41" s="113"/>
      <c r="H41" s="113"/>
      <c r="I41" s="113"/>
    </row>
    <row r="42">
      <c r="A42" s="13" t="s">
        <v>2661</v>
      </c>
      <c r="B42" s="110">
        <v>45828.0</v>
      </c>
      <c r="C42" s="4">
        <v>1.0</v>
      </c>
      <c r="D42" s="115" t="s">
        <v>2602</v>
      </c>
      <c r="E42" s="112" t="str">
        <f>VLOOKUP(D42,Table2[[ID Petugas]:[Nama]],2,false)</f>
        <v>Sahnas Aisyiah Maha, S.Tr.Stat.</v>
      </c>
      <c r="F42" s="114"/>
      <c r="G42" s="113"/>
      <c r="H42" s="113"/>
      <c r="I42" s="113"/>
    </row>
    <row r="43">
      <c r="A43" s="13" t="s">
        <v>2662</v>
      </c>
      <c r="B43" s="110">
        <v>45828.0</v>
      </c>
      <c r="C43" s="4">
        <v>2.0</v>
      </c>
      <c r="D43" s="111" t="s">
        <v>2630</v>
      </c>
      <c r="E43" s="112" t="str">
        <f>VLOOKUP(D43,Table2[[ID Petugas]:[Nama]],2,false)</f>
        <v>Anwar Sinaga, A.Md.</v>
      </c>
      <c r="F43" s="114"/>
      <c r="G43" s="113"/>
      <c r="H43" s="113"/>
      <c r="I43" s="113"/>
    </row>
    <row r="44">
      <c r="A44" s="13" t="s">
        <v>2663</v>
      </c>
      <c r="B44" s="110">
        <v>45831.0</v>
      </c>
      <c r="C44" s="4">
        <v>1.0</v>
      </c>
      <c r="D44" s="111" t="s">
        <v>2636</v>
      </c>
      <c r="E44" s="112" t="str">
        <f>VLOOKUP(D44,Table2[[ID Petugas]:[Nama]],2,false)</f>
        <v>Wiwik Rahayuni Lumban Gaol, A.Md</v>
      </c>
      <c r="F44" s="114"/>
      <c r="G44" s="113"/>
      <c r="H44" s="113"/>
      <c r="I44" s="113"/>
    </row>
    <row r="45">
      <c r="A45" s="13" t="s">
        <v>2664</v>
      </c>
      <c r="B45" s="110">
        <v>45831.0</v>
      </c>
      <c r="C45" s="4">
        <v>2.0</v>
      </c>
      <c r="D45" s="115" t="s">
        <v>2626</v>
      </c>
      <c r="E45" s="112" t="str">
        <f>VLOOKUP(D45,Table2[[ID Petugas]:[Nama]],2,false)</f>
        <v>Binara Tua Simanjuntak</v>
      </c>
      <c r="F45" s="114"/>
      <c r="G45" s="113"/>
      <c r="H45" s="113"/>
      <c r="I45" s="113"/>
    </row>
    <row r="46">
      <c r="A46" s="13" t="s">
        <v>2665</v>
      </c>
      <c r="B46" s="110">
        <v>45832.0</v>
      </c>
      <c r="C46" s="4">
        <v>1.0</v>
      </c>
      <c r="D46" s="111" t="s">
        <v>2640</v>
      </c>
      <c r="E46" s="112" t="str">
        <f>VLOOKUP(D46,Table2[[ID Petugas]:[Nama]],2,false)</f>
        <v>Tetty Saorma Hasiholan, S.Si</v>
      </c>
      <c r="F46" s="114"/>
      <c r="G46" s="113"/>
      <c r="H46" s="113"/>
      <c r="I46" s="113"/>
    </row>
    <row r="47">
      <c r="A47" s="13" t="s">
        <v>2666</v>
      </c>
      <c r="B47" s="110">
        <v>45832.0</v>
      </c>
      <c r="C47" s="4">
        <v>2.0</v>
      </c>
      <c r="D47" s="111" t="s">
        <v>2638</v>
      </c>
      <c r="E47" s="112" t="str">
        <f>VLOOKUP(D47,Table2[[ID Petugas]:[Nama]],2,false)</f>
        <v>Efendy Girsang, SP</v>
      </c>
      <c r="F47" s="114"/>
      <c r="G47" s="113"/>
      <c r="H47" s="113"/>
      <c r="I47" s="113"/>
    </row>
    <row r="48">
      <c r="A48" s="13" t="s">
        <v>2667</v>
      </c>
      <c r="B48" s="110">
        <v>45833.0</v>
      </c>
      <c r="C48" s="4">
        <v>1.0</v>
      </c>
      <c r="D48" s="111" t="s">
        <v>2598</v>
      </c>
      <c r="E48" s="112" t="str">
        <f>VLOOKUP(D48,Table2[[ID Petugas]:[Nama]],2,false)</f>
        <v>Sangaptua Deo Datus Sagala, S.Tr.Stat.</v>
      </c>
      <c r="F48" s="108" t="s">
        <v>2668</v>
      </c>
      <c r="G48" s="109" t="s">
        <v>2669</v>
      </c>
      <c r="H48" s="109"/>
      <c r="I48" s="109"/>
    </row>
    <row r="49">
      <c r="A49" s="13" t="s">
        <v>2670</v>
      </c>
      <c r="B49" s="110">
        <v>45833.0</v>
      </c>
      <c r="C49" s="4">
        <v>2.0</v>
      </c>
      <c r="D49" s="111" t="s">
        <v>2600</v>
      </c>
      <c r="E49" s="112" t="str">
        <f>VLOOKUP(D49,Table2[[ID Petugas]:[Nama]],2,false)</f>
        <v>Emmi Manurung, S.E.</v>
      </c>
      <c r="F49" s="114"/>
      <c r="G49" s="113"/>
      <c r="H49" s="113"/>
      <c r="I49" s="113"/>
    </row>
    <row r="50">
      <c r="A50" s="13" t="s">
        <v>2671</v>
      </c>
      <c r="B50" s="110">
        <v>45834.0</v>
      </c>
      <c r="C50" s="4">
        <v>1.0</v>
      </c>
      <c r="D50" s="115" t="s">
        <v>2632</v>
      </c>
      <c r="E50" s="112" t="str">
        <f>VLOOKUP(D50,Table2[[ID Petugas]:[Nama]],2,false)</f>
        <v>Zunkifli Haryanto Yoko Ningrat Siahaan</v>
      </c>
      <c r="F50" s="114"/>
      <c r="G50" s="113"/>
      <c r="H50" s="113"/>
      <c r="I50" s="113"/>
    </row>
    <row r="51">
      <c r="A51" s="13" t="s">
        <v>2672</v>
      </c>
      <c r="B51" s="110">
        <v>45834.0</v>
      </c>
      <c r="C51" s="4">
        <v>2.0</v>
      </c>
      <c r="D51" s="111" t="s">
        <v>2604</v>
      </c>
      <c r="E51" s="112" t="str">
        <f>VLOOKUP(D51,Table2[[ID Petugas]:[Nama]],2,false)</f>
        <v>Frisca Ulina Br Munthe,S.Tr.Stat.</v>
      </c>
      <c r="F51" s="114"/>
      <c r="G51" s="113"/>
      <c r="H51" s="113"/>
      <c r="I51" s="113"/>
    </row>
    <row r="52">
      <c r="A52" s="13" t="s">
        <v>2673</v>
      </c>
      <c r="B52" s="110">
        <v>45838.0</v>
      </c>
      <c r="C52" s="4">
        <v>1.0</v>
      </c>
      <c r="D52" s="111" t="s">
        <v>2606</v>
      </c>
      <c r="E52" s="112" t="str">
        <f>VLOOKUP(D52,Table2[[ID Petugas]:[Nama]],2,false)</f>
        <v>Rivaldi, S.Tr.Stat.</v>
      </c>
      <c r="F52" s="114"/>
      <c r="G52" s="113"/>
      <c r="H52" s="113"/>
      <c r="I52" s="113"/>
    </row>
    <row r="53">
      <c r="A53" s="13" t="s">
        <v>2674</v>
      </c>
      <c r="B53" s="110">
        <v>45838.0</v>
      </c>
      <c r="C53" s="4">
        <v>2.0</v>
      </c>
      <c r="D53" s="115" t="s">
        <v>2616</v>
      </c>
      <c r="E53" s="112" t="str">
        <f>VLOOKUP(D53,Table2[[ID Petugas]:[Nama]],2,false)</f>
        <v>Mike Ervans Purba, A.Md.Stat.</v>
      </c>
      <c r="F53" s="114"/>
      <c r="G53" s="113"/>
      <c r="H53" s="113"/>
      <c r="I53" s="113"/>
    </row>
    <row r="54">
      <c r="A54" s="13" t="s">
        <v>2675</v>
      </c>
      <c r="B54" s="110">
        <v>45839.0</v>
      </c>
      <c r="C54" s="4">
        <v>1.0</v>
      </c>
      <c r="D54" s="111" t="s">
        <v>2610</v>
      </c>
      <c r="E54" s="112" t="str">
        <f>VLOOKUP(D54,Table2[[ID Petugas]:[Nama]],2,false)</f>
        <v>#N/A</v>
      </c>
      <c r="F54" s="114"/>
      <c r="G54" s="113"/>
      <c r="H54" s="113"/>
      <c r="I54" s="113"/>
    </row>
    <row r="55">
      <c r="A55" s="13" t="s">
        <v>2676</v>
      </c>
      <c r="B55" s="110">
        <v>45839.0</v>
      </c>
      <c r="C55" s="4">
        <v>2.0</v>
      </c>
      <c r="D55" s="111" t="s">
        <v>2612</v>
      </c>
      <c r="E55" s="112" t="str">
        <f>VLOOKUP(D55,Table2[[ID Petugas]:[Nama]],2,false)</f>
        <v>Jesica Kristiyani Butar Butar</v>
      </c>
      <c r="F55" s="114"/>
      <c r="G55" s="113"/>
      <c r="H55" s="113"/>
      <c r="I55" s="113"/>
    </row>
    <row r="56">
      <c r="A56" s="13" t="s">
        <v>2677</v>
      </c>
      <c r="B56" s="110">
        <v>45840.0</v>
      </c>
      <c r="C56" s="4">
        <v>1.0</v>
      </c>
      <c r="D56" s="111" t="s">
        <v>2614</v>
      </c>
      <c r="E56" s="112" t="str">
        <f>VLOOKUP(D56,Table2[[ID Petugas]:[Nama]],2,false)</f>
        <v>Ribka Anggina Tarigan, SST</v>
      </c>
      <c r="F56" s="114"/>
      <c r="G56" s="113"/>
      <c r="H56" s="113"/>
      <c r="I56" s="113"/>
    </row>
    <row r="57">
      <c r="A57" s="13" t="s">
        <v>2678</v>
      </c>
      <c r="B57" s="110">
        <v>45840.0</v>
      </c>
      <c r="C57" s="4">
        <v>2.0</v>
      </c>
      <c r="D57" s="115" t="s">
        <v>2622</v>
      </c>
      <c r="E57" s="112" t="str">
        <f>VLOOKUP(D57,Table2[[ID Petugas]:[Nama]],2,false)</f>
        <v>Monika Yuniati Tampubolon, A.Md.</v>
      </c>
      <c r="F57" s="114"/>
      <c r="G57" s="113"/>
      <c r="H57" s="113"/>
      <c r="I57" s="113"/>
    </row>
    <row r="58">
      <c r="A58" s="13" t="s">
        <v>2679</v>
      </c>
      <c r="B58" s="110">
        <v>45841.0</v>
      </c>
      <c r="C58" s="4">
        <v>1.0</v>
      </c>
      <c r="D58" s="111" t="s">
        <v>2618</v>
      </c>
      <c r="E58" s="112" t="str">
        <f>VLOOKUP(D58,Table2[[ID Petugas]:[Nama]],2,false)</f>
        <v>Ratih Kurniawati, S.E.</v>
      </c>
      <c r="F58" s="114"/>
      <c r="G58" s="113"/>
      <c r="H58" s="113"/>
      <c r="I58" s="113"/>
    </row>
    <row r="59">
      <c r="A59" s="13" t="s">
        <v>2680</v>
      </c>
      <c r="B59" s="110">
        <v>45841.0</v>
      </c>
      <c r="C59" s="4">
        <v>2.0</v>
      </c>
      <c r="D59" s="111" t="s">
        <v>2620</v>
      </c>
      <c r="E59" s="112" t="str">
        <f>VLOOKUP(D59,Table2[[ID Petugas]:[Nama]],2,false)</f>
        <v>Junjun Wijaya, S.Stat.</v>
      </c>
      <c r="F59" s="114"/>
      <c r="G59" s="113"/>
      <c r="H59" s="113"/>
      <c r="I59" s="113"/>
    </row>
    <row r="60">
      <c r="A60" s="13" t="s">
        <v>2681</v>
      </c>
      <c r="B60" s="110">
        <v>45842.0</v>
      </c>
      <c r="C60" s="4">
        <v>1.0</v>
      </c>
      <c r="D60" s="115" t="s">
        <v>2628</v>
      </c>
      <c r="E60" s="112" t="str">
        <f>VLOOKUP(D60,Table2[[ID Petugas]:[Nama]],2,false)</f>
        <v>Juando Siallagan, S.Tr.Stat.</v>
      </c>
      <c r="F60" s="114"/>
      <c r="G60" s="113"/>
      <c r="H60" s="113"/>
      <c r="I60" s="113"/>
    </row>
    <row r="61">
      <c r="A61" s="13" t="s">
        <v>2682</v>
      </c>
      <c r="B61" s="110">
        <v>45842.0</v>
      </c>
      <c r="C61" s="4">
        <v>2.0</v>
      </c>
      <c r="D61" s="111" t="s">
        <v>2624</v>
      </c>
      <c r="E61" s="112" t="str">
        <f>VLOOKUP(D61,Table2[[ID Petugas]:[Nama]],2,false)</f>
        <v>Marudut Silaban, SE, MM</v>
      </c>
      <c r="F61" s="114"/>
      <c r="G61" s="113"/>
      <c r="H61" s="113"/>
      <c r="I61" s="113"/>
    </row>
    <row r="62">
      <c r="A62" s="13" t="s">
        <v>2683</v>
      </c>
      <c r="B62" s="110">
        <v>45845.0</v>
      </c>
      <c r="C62" s="4">
        <v>1.0</v>
      </c>
      <c r="D62" s="115" t="s">
        <v>2634</v>
      </c>
      <c r="E62" s="112" t="str">
        <f>VLOOKUP(D62,Table2[[ID Petugas]:[Nama]],2,false)</f>
        <v>Monika Stevany Manurung, S.Tr.Stat.</v>
      </c>
      <c r="F62" s="114"/>
      <c r="G62" s="113"/>
      <c r="H62" s="113"/>
      <c r="I62" s="113"/>
    </row>
    <row r="63">
      <c r="A63" s="13" t="s">
        <v>2684</v>
      </c>
      <c r="B63" s="110">
        <v>45845.0</v>
      </c>
      <c r="C63" s="4">
        <v>2.0</v>
      </c>
      <c r="D63" s="115" t="s">
        <v>2636</v>
      </c>
      <c r="E63" s="112" t="str">
        <f>VLOOKUP(D63,Table2[[ID Petugas]:[Nama]],2,false)</f>
        <v>Wiwik Rahayuni Lumban Gaol, A.Md</v>
      </c>
      <c r="F63" s="114"/>
      <c r="G63" s="113"/>
      <c r="H63" s="113"/>
      <c r="I63" s="113"/>
    </row>
    <row r="64">
      <c r="A64" s="13" t="s">
        <v>2685</v>
      </c>
      <c r="B64" s="110">
        <v>45846.0</v>
      </c>
      <c r="C64" s="4">
        <v>1.0</v>
      </c>
      <c r="D64" s="111" t="s">
        <v>2630</v>
      </c>
      <c r="E64" s="112" t="str">
        <f>VLOOKUP(D64,Table2[[ID Petugas]:[Nama]],2,false)</f>
        <v>Anwar Sinaga, A.Md.</v>
      </c>
      <c r="F64" s="114"/>
      <c r="G64" s="113"/>
      <c r="H64" s="113"/>
      <c r="I64" s="113"/>
    </row>
    <row r="65">
      <c r="A65" s="13" t="s">
        <v>2686</v>
      </c>
      <c r="B65" s="110">
        <v>45846.0</v>
      </c>
      <c r="C65" s="4">
        <v>2.0</v>
      </c>
      <c r="D65" s="111" t="s">
        <v>2632</v>
      </c>
      <c r="E65" s="112" t="str">
        <f>VLOOKUP(D65,Table2[[ID Petugas]:[Nama]],2,false)</f>
        <v>Zunkifli Haryanto Yoko Ningrat Siahaan</v>
      </c>
      <c r="F65" s="114"/>
      <c r="G65" s="113"/>
      <c r="H65" s="113"/>
      <c r="I65" s="113"/>
    </row>
    <row r="66">
      <c r="A66" s="13" t="s">
        <v>2687</v>
      </c>
      <c r="B66" s="110">
        <v>45847.0</v>
      </c>
      <c r="C66" s="4">
        <v>1.0</v>
      </c>
      <c r="D66" s="115" t="s">
        <v>2626</v>
      </c>
      <c r="E66" s="112" t="str">
        <f>VLOOKUP(D66,Table2[[ID Petugas]:[Nama]],2,false)</f>
        <v>Binara Tua Simanjuntak</v>
      </c>
      <c r="F66" s="114"/>
      <c r="G66" s="113"/>
      <c r="H66" s="113"/>
      <c r="I66" s="113"/>
    </row>
    <row r="67">
      <c r="A67" s="13" t="s">
        <v>2688</v>
      </c>
      <c r="B67" s="110">
        <v>45847.0</v>
      </c>
      <c r="C67" s="4">
        <v>2.0</v>
      </c>
      <c r="D67" s="115" t="s">
        <v>2616</v>
      </c>
      <c r="E67" s="112" t="str">
        <f>VLOOKUP(D67,Table2[[ID Petugas]:[Nama]],2,false)</f>
        <v>Mike Ervans Purba, A.Md.Stat.</v>
      </c>
      <c r="F67" s="114"/>
      <c r="G67" s="113"/>
      <c r="H67" s="113"/>
      <c r="I67" s="113"/>
    </row>
    <row r="68">
      <c r="A68" s="13" t="s">
        <v>2689</v>
      </c>
      <c r="B68" s="110">
        <v>45848.0</v>
      </c>
      <c r="C68" s="4">
        <v>1.0</v>
      </c>
      <c r="D68" s="111" t="s">
        <v>2638</v>
      </c>
      <c r="E68" s="112" t="str">
        <f>VLOOKUP(D68,Table2[[ID Petugas]:[Nama]],2,false)</f>
        <v>Efendy Girsang, SP</v>
      </c>
      <c r="F68" s="114"/>
      <c r="G68" s="113"/>
      <c r="H68" s="113"/>
      <c r="I68" s="113"/>
    </row>
    <row r="69">
      <c r="A69" s="13" t="s">
        <v>2690</v>
      </c>
      <c r="B69" s="110">
        <v>45848.0</v>
      </c>
      <c r="C69" s="4">
        <v>2.0</v>
      </c>
      <c r="D69" s="111" t="s">
        <v>2640</v>
      </c>
      <c r="E69" s="112" t="str">
        <f>VLOOKUP(D69,Table2[[ID Petugas]:[Nama]],2,false)</f>
        <v>Tetty Saorma Hasiholan, S.Si</v>
      </c>
      <c r="F69" s="114"/>
      <c r="G69" s="113"/>
      <c r="H69" s="113"/>
      <c r="I69" s="113"/>
    </row>
    <row r="70">
      <c r="A70" s="13" t="s">
        <v>2691</v>
      </c>
      <c r="B70" s="110">
        <v>45849.0</v>
      </c>
      <c r="C70" s="4">
        <v>1.0</v>
      </c>
      <c r="D70" s="111" t="s">
        <v>2600</v>
      </c>
      <c r="E70" s="112" t="str">
        <f>VLOOKUP(D70,Table2[[ID Petugas]:[Nama]],2,false)</f>
        <v>Emmi Manurung, S.E.</v>
      </c>
      <c r="F70" s="114"/>
      <c r="G70" s="113"/>
      <c r="H70" s="113"/>
      <c r="I70" s="113"/>
    </row>
    <row r="71">
      <c r="A71" s="13" t="s">
        <v>2692</v>
      </c>
      <c r="B71" s="110">
        <v>45849.0</v>
      </c>
      <c r="C71" s="4">
        <v>2.0</v>
      </c>
      <c r="D71" s="111" t="s">
        <v>2598</v>
      </c>
      <c r="E71" s="112" t="str">
        <f>VLOOKUP(D71,Table2[[ID Petugas]:[Nama]],2,false)</f>
        <v>Sangaptua Deo Datus Sagala, S.Tr.Stat.</v>
      </c>
      <c r="F71" s="114"/>
      <c r="G71" s="113"/>
      <c r="H71" s="113"/>
      <c r="I71" s="113"/>
    </row>
    <row r="72">
      <c r="A72" s="13" t="s">
        <v>2693</v>
      </c>
      <c r="B72" s="110">
        <v>45852.0</v>
      </c>
      <c r="C72" s="4">
        <v>1.0</v>
      </c>
      <c r="D72" s="115" t="s">
        <v>2614</v>
      </c>
      <c r="E72" s="112" t="str">
        <f>VLOOKUP(D72,Table2[[ID Petugas]:[Nama]],2,false)</f>
        <v>Ribka Anggina Tarigan, SST</v>
      </c>
      <c r="F72" s="114"/>
      <c r="G72" s="113"/>
      <c r="H72" s="113"/>
      <c r="I72" s="113"/>
    </row>
    <row r="73">
      <c r="A73" s="13" t="s">
        <v>2694</v>
      </c>
      <c r="B73" s="110">
        <v>45852.0</v>
      </c>
      <c r="C73" s="4">
        <v>2.0</v>
      </c>
      <c r="D73" s="111" t="s">
        <v>2602</v>
      </c>
      <c r="E73" s="112" t="str">
        <f>VLOOKUP(D73,Table2[[ID Petugas]:[Nama]],2,false)</f>
        <v>Sahnas Aisyiah Maha, S.Tr.Stat.</v>
      </c>
      <c r="F73" s="114"/>
      <c r="G73" s="113"/>
      <c r="H73" s="113"/>
      <c r="I73" s="113"/>
    </row>
    <row r="74">
      <c r="A74" s="13" t="s">
        <v>2695</v>
      </c>
      <c r="B74" s="110">
        <v>45853.0</v>
      </c>
      <c r="C74" s="4">
        <v>1.0</v>
      </c>
      <c r="D74" s="111" t="s">
        <v>2608</v>
      </c>
      <c r="E74" s="112" t="str">
        <f>VLOOKUP(D74,Table2[[ID Petugas]:[Nama]],2,false)</f>
        <v>Jaksen Ferry Judo Lingga S.Si</v>
      </c>
      <c r="F74" s="114"/>
      <c r="G74" s="113"/>
      <c r="H74" s="113"/>
      <c r="I74" s="113"/>
    </row>
    <row r="75">
      <c r="A75" s="13" t="s">
        <v>2696</v>
      </c>
      <c r="B75" s="110">
        <v>45853.0</v>
      </c>
      <c r="C75" s="4">
        <v>2.0</v>
      </c>
      <c r="D75" s="111" t="s">
        <v>2606</v>
      </c>
      <c r="E75" s="112" t="str">
        <f>VLOOKUP(D75,Table2[[ID Petugas]:[Nama]],2,false)</f>
        <v>Rivaldi, S.Tr.Stat.</v>
      </c>
      <c r="F75" s="114"/>
      <c r="G75" s="113"/>
      <c r="H75" s="113"/>
      <c r="I75" s="113"/>
    </row>
    <row r="76">
      <c r="A76" s="13" t="s">
        <v>2697</v>
      </c>
      <c r="B76" s="110">
        <v>45854.0</v>
      </c>
      <c r="C76" s="4">
        <v>1.0</v>
      </c>
      <c r="D76" s="111" t="s">
        <v>2612</v>
      </c>
      <c r="E76" s="112" t="str">
        <f>VLOOKUP(D76,Table2[[ID Petugas]:[Nama]],2,false)</f>
        <v>Jesica Kristiyani Butar Butar</v>
      </c>
      <c r="F76" s="114"/>
      <c r="G76" s="113"/>
      <c r="H76" s="113"/>
      <c r="I76" s="113"/>
    </row>
    <row r="77">
      <c r="A77" s="13" t="s">
        <v>2698</v>
      </c>
      <c r="B77" s="110">
        <v>45854.0</v>
      </c>
      <c r="C77" s="4">
        <v>2.0</v>
      </c>
      <c r="D77" s="111" t="s">
        <v>2610</v>
      </c>
      <c r="E77" s="112" t="str">
        <f>VLOOKUP(D77,Table2[[ID Petugas]:[Nama]],2,false)</f>
        <v>#N/A</v>
      </c>
      <c r="F77" s="114"/>
      <c r="G77" s="113"/>
      <c r="H77" s="113"/>
      <c r="I77" s="113"/>
    </row>
    <row r="78">
      <c r="A78" s="13" t="s">
        <v>2699</v>
      </c>
      <c r="B78" s="110">
        <v>45855.0</v>
      </c>
      <c r="C78" s="4">
        <v>1.0</v>
      </c>
      <c r="D78" s="115" t="s">
        <v>2628</v>
      </c>
      <c r="E78" s="112" t="str">
        <f>VLOOKUP(D78,Table2[[ID Petugas]:[Nama]],2,false)</f>
        <v>Juando Siallagan, S.Tr.Stat.</v>
      </c>
      <c r="F78" s="114"/>
      <c r="G78" s="113"/>
      <c r="H78" s="113"/>
      <c r="I78" s="113"/>
    </row>
    <row r="79">
      <c r="A79" s="13" t="s">
        <v>2700</v>
      </c>
      <c r="B79" s="110">
        <v>45855.0</v>
      </c>
      <c r="C79" s="4">
        <v>2.0</v>
      </c>
      <c r="D79" s="115" t="s">
        <v>2604</v>
      </c>
      <c r="E79" s="112" t="str">
        <f>VLOOKUP(D79,Table2[[ID Petugas]:[Nama]],2,false)</f>
        <v>Frisca Ulina Br Munthe,S.Tr.Stat.</v>
      </c>
      <c r="F79" s="114"/>
      <c r="G79" s="113"/>
      <c r="H79" s="113"/>
      <c r="I79" s="113"/>
    </row>
    <row r="80">
      <c r="A80" s="13" t="s">
        <v>2701</v>
      </c>
      <c r="B80" s="110">
        <v>45856.0</v>
      </c>
      <c r="C80" s="4">
        <v>1.0</v>
      </c>
      <c r="D80" s="111" t="s">
        <v>2620</v>
      </c>
      <c r="E80" s="112" t="str">
        <f>VLOOKUP(D80,Table2[[ID Petugas]:[Nama]],2,false)</f>
        <v>Junjun Wijaya, S.Stat.</v>
      </c>
      <c r="F80" s="114"/>
      <c r="G80" s="113"/>
      <c r="H80" s="113"/>
      <c r="I80" s="113"/>
    </row>
    <row r="81">
      <c r="A81" s="13" t="s">
        <v>2702</v>
      </c>
      <c r="B81" s="110">
        <v>45856.0</v>
      </c>
      <c r="C81" s="4">
        <v>2.0</v>
      </c>
      <c r="D81" s="111" t="s">
        <v>2618</v>
      </c>
      <c r="E81" s="112" t="str">
        <f>VLOOKUP(D81,Table2[[ID Petugas]:[Nama]],2,false)</f>
        <v>Ratih Kurniawati, S.E.</v>
      </c>
      <c r="F81" s="114"/>
      <c r="G81" s="113"/>
      <c r="H81" s="113"/>
      <c r="I81" s="113"/>
    </row>
    <row r="82">
      <c r="A82" s="13" t="s">
        <v>2703</v>
      </c>
      <c r="B82" s="110">
        <v>45859.0</v>
      </c>
      <c r="C82" s="4">
        <v>1.0</v>
      </c>
      <c r="D82" s="115" t="s">
        <v>2598</v>
      </c>
      <c r="E82" s="112" t="str">
        <f>VLOOKUP(D82,Table2[[ID Petugas]:[Nama]],2,false)</f>
        <v>Sangaptua Deo Datus Sagala, S.Tr.Stat.</v>
      </c>
      <c r="F82" s="114"/>
      <c r="G82" s="113"/>
      <c r="H82" s="113"/>
      <c r="I82" s="113"/>
    </row>
    <row r="83">
      <c r="A83" s="13" t="s">
        <v>2704</v>
      </c>
      <c r="B83" s="110">
        <v>45859.0</v>
      </c>
      <c r="C83" s="4">
        <v>2.0</v>
      </c>
      <c r="D83" s="115" t="s">
        <v>2598</v>
      </c>
      <c r="E83" s="112" t="str">
        <f>VLOOKUP(D83,Table2[[ID Petugas]:[Nama]],2,false)</f>
        <v>Sangaptua Deo Datus Sagala, S.Tr.Stat.</v>
      </c>
      <c r="F83" s="114"/>
      <c r="G83" s="113"/>
      <c r="H83" s="113"/>
      <c r="I83" s="113"/>
    </row>
    <row r="84">
      <c r="A84" s="13" t="s">
        <v>2705</v>
      </c>
      <c r="B84" s="110">
        <v>45860.0</v>
      </c>
      <c r="C84" s="4">
        <v>1.0</v>
      </c>
      <c r="D84" s="115" t="s">
        <v>2636</v>
      </c>
      <c r="E84" s="112" t="str">
        <f>VLOOKUP(D84,Table2[[ID Petugas]:[Nama]],2,false)</f>
        <v>Wiwik Rahayuni Lumban Gaol, A.Md</v>
      </c>
      <c r="F84" s="114"/>
      <c r="G84" s="113"/>
      <c r="H84" s="113"/>
      <c r="I84" s="113"/>
    </row>
    <row r="85">
      <c r="A85" s="13" t="s">
        <v>2706</v>
      </c>
      <c r="B85" s="110">
        <v>45860.0</v>
      </c>
      <c r="C85" s="4">
        <v>2.0</v>
      </c>
      <c r="D85" s="115" t="s">
        <v>2634</v>
      </c>
      <c r="E85" s="112" t="str">
        <f>VLOOKUP(D85,Table2[[ID Petugas]:[Nama]],2,false)</f>
        <v>Monika Stevany Manurung, S.Tr.Stat.</v>
      </c>
      <c r="F85" s="114"/>
      <c r="G85" s="113"/>
      <c r="H85" s="113"/>
      <c r="I85" s="113"/>
    </row>
    <row r="86">
      <c r="A86" s="13" t="s">
        <v>2707</v>
      </c>
      <c r="B86" s="110">
        <v>45861.0</v>
      </c>
      <c r="C86" s="4">
        <v>1.0</v>
      </c>
      <c r="D86" s="111" t="s">
        <v>2632</v>
      </c>
      <c r="E86" s="112" t="str">
        <f>VLOOKUP(D86,Table2[[ID Petugas]:[Nama]],2,false)</f>
        <v>Zunkifli Haryanto Yoko Ningrat Siahaan</v>
      </c>
      <c r="F86" s="114"/>
      <c r="G86" s="113"/>
      <c r="H86" s="113"/>
      <c r="I86" s="113"/>
    </row>
    <row r="87">
      <c r="A87" s="13" t="s">
        <v>2708</v>
      </c>
      <c r="B87" s="110">
        <v>45861.0</v>
      </c>
      <c r="C87" s="4">
        <v>2.0</v>
      </c>
      <c r="D87" s="111" t="s">
        <v>2630</v>
      </c>
      <c r="E87" s="112" t="str">
        <f>VLOOKUP(D87,Table2[[ID Petugas]:[Nama]],2,false)</f>
        <v>Anwar Sinaga, A.Md.</v>
      </c>
      <c r="F87" s="114"/>
      <c r="G87" s="113"/>
      <c r="H87" s="113"/>
      <c r="I87" s="113"/>
    </row>
    <row r="88">
      <c r="A88" s="13" t="s">
        <v>2709</v>
      </c>
      <c r="B88" s="110">
        <v>45862.0</v>
      </c>
      <c r="C88" s="4">
        <v>1.0</v>
      </c>
      <c r="D88" s="115" t="s">
        <v>2608</v>
      </c>
      <c r="E88" s="112" t="str">
        <f>VLOOKUP(D88,Table2[[ID Petugas]:[Nama]],2,false)</f>
        <v>Jaksen Ferry Judo Lingga S.Si</v>
      </c>
      <c r="F88" s="114"/>
      <c r="G88" s="113"/>
      <c r="H88" s="113"/>
      <c r="I88" s="113"/>
    </row>
    <row r="89">
      <c r="A89" s="13" t="s">
        <v>2710</v>
      </c>
      <c r="B89" s="110">
        <v>45862.0</v>
      </c>
      <c r="C89" s="4">
        <v>2.0</v>
      </c>
      <c r="D89" s="115" t="s">
        <v>2626</v>
      </c>
      <c r="E89" s="112" t="str">
        <f>VLOOKUP(D89,Table2[[ID Petugas]:[Nama]],2,false)</f>
        <v>Binara Tua Simanjuntak</v>
      </c>
      <c r="F89" s="114"/>
      <c r="G89" s="113"/>
      <c r="H89" s="113"/>
      <c r="I89" s="113"/>
    </row>
    <row r="90">
      <c r="A90" s="13" t="s">
        <v>2711</v>
      </c>
      <c r="B90" s="110">
        <v>45863.0</v>
      </c>
      <c r="C90" s="4">
        <v>1.0</v>
      </c>
      <c r="D90" s="115" t="s">
        <v>2598</v>
      </c>
      <c r="E90" s="112" t="str">
        <f>VLOOKUP(D90,Table2[[ID Petugas]:[Nama]],2,false)</f>
        <v>Sangaptua Deo Datus Sagala, S.Tr.Stat.</v>
      </c>
      <c r="F90" s="114"/>
      <c r="G90" s="113"/>
      <c r="H90" s="113"/>
      <c r="I90" s="113"/>
    </row>
    <row r="91">
      <c r="A91" s="13" t="s">
        <v>2712</v>
      </c>
      <c r="B91" s="110">
        <v>45863.0</v>
      </c>
      <c r="C91" s="4">
        <v>2.0</v>
      </c>
      <c r="D91" s="115" t="s">
        <v>2614</v>
      </c>
      <c r="E91" s="112" t="str">
        <f>VLOOKUP(D91,Table2[[ID Petugas]:[Nama]],2,false)</f>
        <v>Ribka Anggina Tarigan, SST</v>
      </c>
      <c r="F91" s="114"/>
      <c r="G91" s="113"/>
      <c r="H91" s="113"/>
      <c r="I91" s="113"/>
    </row>
    <row r="92">
      <c r="A92" s="13" t="s">
        <v>2713</v>
      </c>
      <c r="B92" s="110">
        <v>45866.0</v>
      </c>
      <c r="C92" s="4">
        <v>1.0</v>
      </c>
      <c r="D92" s="115" t="s">
        <v>2624</v>
      </c>
      <c r="E92" s="112" t="str">
        <f>VLOOKUP(D92,Table2[[ID Petugas]:[Nama]],2,false)</f>
        <v>Marudut Silaban, SE, MM</v>
      </c>
      <c r="F92" s="114"/>
      <c r="G92" s="113"/>
      <c r="H92" s="113"/>
      <c r="I92" s="113"/>
    </row>
    <row r="93">
      <c r="A93" s="13" t="s">
        <v>2714</v>
      </c>
      <c r="B93" s="110">
        <v>45866.0</v>
      </c>
      <c r="C93" s="4">
        <v>2.0</v>
      </c>
      <c r="D93" s="115" t="s">
        <v>2598</v>
      </c>
      <c r="E93" s="112" t="str">
        <f>VLOOKUP(D93,Table2[[ID Petugas]:[Nama]],2,false)</f>
        <v>Sangaptua Deo Datus Sagala, S.Tr.Stat.</v>
      </c>
      <c r="F93" s="114"/>
      <c r="G93" s="113"/>
      <c r="H93" s="113"/>
      <c r="I93" s="113"/>
    </row>
    <row r="94">
      <c r="A94" s="13" t="s">
        <v>2715</v>
      </c>
      <c r="B94" s="110">
        <v>45867.0</v>
      </c>
      <c r="C94" s="4">
        <v>1.0</v>
      </c>
      <c r="D94" s="111" t="s">
        <v>2602</v>
      </c>
      <c r="E94" s="112" t="str">
        <f>VLOOKUP(D94,Table2[[ID Petugas]:[Nama]],2,false)</f>
        <v>Sahnas Aisyiah Maha, S.Tr.Stat.</v>
      </c>
      <c r="F94" s="114"/>
      <c r="G94" s="113"/>
      <c r="H94" s="113"/>
      <c r="I94" s="113"/>
    </row>
    <row r="95">
      <c r="A95" s="13" t="s">
        <v>2716</v>
      </c>
      <c r="B95" s="110">
        <v>45867.0</v>
      </c>
      <c r="C95" s="4">
        <v>2.0</v>
      </c>
      <c r="D95" s="111" t="s">
        <v>2604</v>
      </c>
      <c r="E95" s="112" t="str">
        <f>VLOOKUP(D95,Table2[[ID Petugas]:[Nama]],2,false)</f>
        <v>Frisca Ulina Br Munthe,S.Tr.Stat.</v>
      </c>
      <c r="F95" s="114"/>
      <c r="G95" s="113"/>
      <c r="H95" s="113"/>
      <c r="I95" s="113"/>
    </row>
    <row r="96">
      <c r="A96" s="13" t="s">
        <v>2717</v>
      </c>
      <c r="B96" s="110">
        <v>45868.0</v>
      </c>
      <c r="C96" s="4">
        <v>1.0</v>
      </c>
      <c r="D96" s="111" t="s">
        <v>2606</v>
      </c>
      <c r="E96" s="112" t="str">
        <f>VLOOKUP(D96,Table2[[ID Petugas]:[Nama]],2,false)</f>
        <v>Rivaldi, S.Tr.Stat.</v>
      </c>
      <c r="F96" s="114"/>
      <c r="G96" s="113"/>
      <c r="H96" s="113"/>
      <c r="I96" s="113"/>
    </row>
    <row r="97">
      <c r="A97" s="13" t="s">
        <v>2718</v>
      </c>
      <c r="B97" s="110">
        <v>45868.0</v>
      </c>
      <c r="C97" s="4">
        <v>2.0</v>
      </c>
      <c r="D97" s="111" t="s">
        <v>2608</v>
      </c>
      <c r="E97" s="112" t="str">
        <f>VLOOKUP(D97,Table2[[ID Petugas]:[Nama]],2,false)</f>
        <v>Jaksen Ferry Judo Lingga S.Si</v>
      </c>
      <c r="F97" s="114"/>
      <c r="G97" s="113"/>
      <c r="H97" s="113"/>
      <c r="I97" s="113"/>
    </row>
    <row r="98">
      <c r="A98" s="13" t="s">
        <v>2719</v>
      </c>
      <c r="B98" s="110">
        <v>45869.0</v>
      </c>
      <c r="C98" s="4">
        <v>1.0</v>
      </c>
      <c r="D98" s="116" t="s">
        <v>2638</v>
      </c>
      <c r="E98" s="112" t="str">
        <f>VLOOKUP(D98,Table2[[ID Petugas]:[Nama]],2,false)</f>
        <v>Efendy Girsang, SP</v>
      </c>
      <c r="F98" s="114"/>
      <c r="G98" s="113"/>
      <c r="H98" s="113"/>
      <c r="I98" s="113"/>
    </row>
    <row r="99">
      <c r="A99" s="13" t="s">
        <v>2720</v>
      </c>
      <c r="B99" s="110">
        <v>45869.0</v>
      </c>
      <c r="C99" s="4">
        <v>2.0</v>
      </c>
      <c r="D99" s="116" t="s">
        <v>2636</v>
      </c>
      <c r="E99" s="112" t="str">
        <f>VLOOKUP(D99,Table2[[ID Petugas]:[Nama]],2,false)</f>
        <v>Wiwik Rahayuni Lumban Gaol, A.Md</v>
      </c>
      <c r="F99" s="114"/>
      <c r="G99" s="113"/>
      <c r="H99" s="113"/>
      <c r="I99" s="113"/>
    </row>
    <row r="100">
      <c r="A100" s="13" t="s">
        <v>2721</v>
      </c>
      <c r="B100" s="110">
        <v>45870.0</v>
      </c>
      <c r="C100" s="4">
        <v>1.0</v>
      </c>
      <c r="D100" s="111" t="s">
        <v>2610</v>
      </c>
      <c r="E100" s="112" t="str">
        <f>VLOOKUP(D100,Table2[[ID Petugas]:[Nama]],2,false)</f>
        <v>#N/A</v>
      </c>
      <c r="F100" s="114"/>
      <c r="G100" s="113"/>
      <c r="H100" s="109" t="s">
        <v>2722</v>
      </c>
      <c r="I100" s="109" t="s">
        <v>2723</v>
      </c>
    </row>
    <row r="101">
      <c r="A101" s="13" t="s">
        <v>2724</v>
      </c>
      <c r="B101" s="110">
        <v>45870.0</v>
      </c>
      <c r="C101" s="4">
        <v>2.0</v>
      </c>
      <c r="D101" s="111" t="s">
        <v>2612</v>
      </c>
      <c r="E101" s="112" t="str">
        <f>VLOOKUP(D101,Table2[[ID Petugas]:[Nama]],2,false)</f>
        <v>Jesica Kristiyani Butar Butar</v>
      </c>
      <c r="F101" s="114"/>
      <c r="G101" s="113"/>
      <c r="H101" s="109" t="s">
        <v>2725</v>
      </c>
      <c r="I101" s="109" t="s">
        <v>2726</v>
      </c>
    </row>
    <row r="102">
      <c r="A102" s="13" t="s">
        <v>2727</v>
      </c>
      <c r="B102" s="110">
        <v>45873.0</v>
      </c>
      <c r="C102" s="4">
        <v>1.0</v>
      </c>
      <c r="D102" s="115" t="s">
        <v>2638</v>
      </c>
      <c r="E102" s="112" t="str">
        <f>VLOOKUP(D102,Table2[[ID Petugas]:[Nama]],2,false)</f>
        <v>Efendy Girsang, SP</v>
      </c>
      <c r="F102" s="114"/>
      <c r="G102" s="113"/>
      <c r="H102" s="109" t="s">
        <v>2728</v>
      </c>
      <c r="I102" s="109" t="s">
        <v>2729</v>
      </c>
    </row>
    <row r="103">
      <c r="A103" s="13" t="s">
        <v>2730</v>
      </c>
      <c r="B103" s="110">
        <v>45873.0</v>
      </c>
      <c r="C103" s="4">
        <v>2.0</v>
      </c>
      <c r="D103" s="115" t="s">
        <v>2628</v>
      </c>
      <c r="E103" s="112" t="str">
        <f>VLOOKUP(D103,Table2[[ID Petugas]:[Nama]],2,false)</f>
        <v>Juando Siallagan, S.Tr.Stat.</v>
      </c>
      <c r="F103" s="114"/>
      <c r="G103" s="113"/>
      <c r="H103" s="109" t="s">
        <v>2731</v>
      </c>
      <c r="I103" s="109" t="s">
        <v>2732</v>
      </c>
    </row>
    <row r="104">
      <c r="A104" s="13" t="s">
        <v>2733</v>
      </c>
      <c r="B104" s="110">
        <v>45874.0</v>
      </c>
      <c r="C104" s="4">
        <v>1.0</v>
      </c>
      <c r="D104" s="115" t="s">
        <v>2618</v>
      </c>
      <c r="E104" s="112" t="str">
        <f>VLOOKUP(D104,Table2[[ID Petugas]:[Nama]],2,false)</f>
        <v>Ratih Kurniawati, S.E.</v>
      </c>
      <c r="F104" s="114"/>
      <c r="G104" s="113"/>
      <c r="H104" s="109" t="s">
        <v>2734</v>
      </c>
      <c r="I104" s="109" t="s">
        <v>2735</v>
      </c>
    </row>
    <row r="105">
      <c r="A105" s="13" t="s">
        <v>2736</v>
      </c>
      <c r="B105" s="110">
        <v>45874.0</v>
      </c>
      <c r="C105" s="4">
        <v>2.0</v>
      </c>
      <c r="D105" s="111" t="s">
        <v>2630</v>
      </c>
      <c r="E105" s="112" t="str">
        <f>VLOOKUP(D105,Table2[[ID Petugas]:[Nama]],2,false)</f>
        <v>Anwar Sinaga, A.Md.</v>
      </c>
      <c r="F105" s="114"/>
      <c r="G105" s="113"/>
      <c r="H105" s="109" t="s">
        <v>2737</v>
      </c>
      <c r="I105" s="109" t="s">
        <v>2738</v>
      </c>
    </row>
    <row r="106">
      <c r="A106" s="13" t="s">
        <v>2739</v>
      </c>
      <c r="B106" s="110">
        <v>45875.0</v>
      </c>
      <c r="C106" s="4">
        <v>1.0</v>
      </c>
      <c r="D106" s="115" t="s">
        <v>2618</v>
      </c>
      <c r="E106" s="112" t="str">
        <f>VLOOKUP(D106,Table2[[ID Petugas]:[Nama]],2,false)</f>
        <v>Ratih Kurniawati, S.E.</v>
      </c>
      <c r="F106" s="108" t="s">
        <v>2740</v>
      </c>
      <c r="G106" s="109" t="s">
        <v>2741</v>
      </c>
      <c r="H106" s="109" t="s">
        <v>2742</v>
      </c>
      <c r="I106" s="109" t="s">
        <v>2743</v>
      </c>
    </row>
    <row r="107">
      <c r="A107" s="13" t="s">
        <v>2744</v>
      </c>
      <c r="B107" s="110">
        <v>45875.0</v>
      </c>
      <c r="C107" s="4">
        <v>2.0</v>
      </c>
      <c r="D107" s="111" t="s">
        <v>2624</v>
      </c>
      <c r="E107" s="112" t="str">
        <f>VLOOKUP(D107,Table2[[ID Petugas]:[Nama]],2,false)</f>
        <v>Marudut Silaban, SE, MM</v>
      </c>
      <c r="F107" s="114"/>
      <c r="G107" s="113"/>
      <c r="H107" s="109" t="s">
        <v>2745</v>
      </c>
      <c r="I107" s="109" t="s">
        <v>2746</v>
      </c>
    </row>
    <row r="108">
      <c r="A108" s="13" t="s">
        <v>2747</v>
      </c>
      <c r="B108" s="110">
        <v>45876.0</v>
      </c>
      <c r="C108" s="4">
        <v>1.0</v>
      </c>
      <c r="D108" s="115" t="s">
        <v>2634</v>
      </c>
      <c r="E108" s="112" t="str">
        <f>VLOOKUP(D108,Table2[[ID Petugas]:[Nama]],2,false)</f>
        <v>Monika Stevany Manurung, S.Tr.Stat.</v>
      </c>
      <c r="F108" s="108" t="s">
        <v>2740</v>
      </c>
      <c r="G108" s="109" t="s">
        <v>2748</v>
      </c>
      <c r="H108" s="109" t="s">
        <v>2749</v>
      </c>
      <c r="I108" s="109" t="s">
        <v>2750</v>
      </c>
    </row>
    <row r="109">
      <c r="A109" s="13" t="s">
        <v>2751</v>
      </c>
      <c r="B109" s="110">
        <v>45876.0</v>
      </c>
      <c r="C109" s="4">
        <v>2.0</v>
      </c>
      <c r="D109" s="115" t="s">
        <v>2616</v>
      </c>
      <c r="E109" s="112" t="str">
        <f>VLOOKUP(D109,Table2[[ID Petugas]:[Nama]],2,false)</f>
        <v>Mike Ervans Purba, A.Md.Stat.</v>
      </c>
      <c r="F109" s="108" t="s">
        <v>2752</v>
      </c>
      <c r="G109" s="109" t="s">
        <v>2753</v>
      </c>
      <c r="H109" s="109" t="s">
        <v>2754</v>
      </c>
      <c r="I109" s="109" t="s">
        <v>2755</v>
      </c>
    </row>
    <row r="110">
      <c r="A110" s="13" t="s">
        <v>2756</v>
      </c>
      <c r="B110" s="110">
        <v>45877.0</v>
      </c>
      <c r="C110" s="4">
        <v>1.0</v>
      </c>
      <c r="D110" s="115" t="s">
        <v>2620</v>
      </c>
      <c r="E110" s="112" t="str">
        <f>VLOOKUP(D110,Table2[[ID Petugas]:[Nama]],2,false)</f>
        <v>Junjun Wijaya, S.Stat.</v>
      </c>
      <c r="F110" s="108" t="s">
        <v>2757</v>
      </c>
      <c r="G110" s="109" t="s">
        <v>2758</v>
      </c>
      <c r="H110" s="109" t="s">
        <v>2759</v>
      </c>
      <c r="I110" s="109" t="s">
        <v>2760</v>
      </c>
    </row>
    <row r="111">
      <c r="A111" s="13" t="s">
        <v>2761</v>
      </c>
      <c r="B111" s="110">
        <v>45877.0</v>
      </c>
      <c r="C111" s="4">
        <v>2.0</v>
      </c>
      <c r="D111" s="115" t="s">
        <v>2626</v>
      </c>
      <c r="E111" s="112" t="str">
        <f>VLOOKUP(D111,Table2[[ID Petugas]:[Nama]],2,false)</f>
        <v>Binara Tua Simanjuntak</v>
      </c>
      <c r="F111" s="108" t="s">
        <v>2762</v>
      </c>
      <c r="G111" s="109" t="s">
        <v>2763</v>
      </c>
      <c r="H111" s="109" t="s">
        <v>2764</v>
      </c>
      <c r="I111" s="109" t="s">
        <v>2765</v>
      </c>
    </row>
    <row r="112">
      <c r="A112" s="13" t="s">
        <v>2766</v>
      </c>
      <c r="B112" s="110">
        <v>45880.0</v>
      </c>
      <c r="C112" s="4">
        <v>1.0</v>
      </c>
      <c r="D112" s="115" t="s">
        <v>2632</v>
      </c>
      <c r="E112" s="112" t="str">
        <f>VLOOKUP(D112,Table2[[ID Petugas]:[Nama]],2,false)</f>
        <v>Zunkifli Haryanto Yoko Ningrat Siahaan</v>
      </c>
      <c r="F112" s="108" t="s">
        <v>2767</v>
      </c>
      <c r="G112" s="109" t="s">
        <v>2768</v>
      </c>
      <c r="H112" s="109" t="s">
        <v>2769</v>
      </c>
      <c r="I112" s="109" t="s">
        <v>2770</v>
      </c>
    </row>
    <row r="113">
      <c r="A113" s="13" t="s">
        <v>2771</v>
      </c>
      <c r="B113" s="110">
        <v>45880.0</v>
      </c>
      <c r="C113" s="4">
        <v>2.0</v>
      </c>
      <c r="D113" s="111" t="s">
        <v>2636</v>
      </c>
      <c r="E113" s="112" t="str">
        <f>VLOOKUP(D113,Table2[[ID Petugas]:[Nama]],2,false)</f>
        <v>Wiwik Rahayuni Lumban Gaol, A.Md</v>
      </c>
      <c r="F113" s="114"/>
      <c r="G113" s="113"/>
      <c r="H113" s="113"/>
      <c r="I113" s="113"/>
    </row>
    <row r="114">
      <c r="A114" s="13" t="s">
        <v>2772</v>
      </c>
      <c r="B114" s="110">
        <v>45881.0</v>
      </c>
      <c r="C114" s="4">
        <v>1.0</v>
      </c>
      <c r="D114" s="115" t="s">
        <v>2640</v>
      </c>
      <c r="E114" s="112" t="str">
        <f>VLOOKUP(D114,Table2[[ID Petugas]:[Nama]],2,false)</f>
        <v>Tetty Saorma Hasiholan, S.Si</v>
      </c>
      <c r="F114" s="108" t="s">
        <v>2773</v>
      </c>
      <c r="G114" s="109" t="s">
        <v>2774</v>
      </c>
      <c r="H114" s="109" t="s">
        <v>2775</v>
      </c>
      <c r="I114" s="109" t="s">
        <v>2776</v>
      </c>
    </row>
    <row r="115">
      <c r="A115" s="13" t="s">
        <v>2777</v>
      </c>
      <c r="B115" s="110">
        <v>45881.0</v>
      </c>
      <c r="C115" s="4">
        <v>2.0</v>
      </c>
      <c r="D115" s="115" t="s">
        <v>2638</v>
      </c>
      <c r="E115" s="112" t="str">
        <f>VLOOKUP(D115,Table2[[ID Petugas]:[Nama]],2,false)</f>
        <v>Efendy Girsang, SP</v>
      </c>
      <c r="F115" s="108" t="s">
        <v>2767</v>
      </c>
      <c r="G115" s="109" t="s">
        <v>2778</v>
      </c>
      <c r="H115" s="109" t="s">
        <v>2779</v>
      </c>
      <c r="I115" s="109" t="s">
        <v>2780</v>
      </c>
    </row>
    <row r="116">
      <c r="A116" s="13" t="s">
        <v>2781</v>
      </c>
      <c r="B116" s="110">
        <v>45882.0</v>
      </c>
      <c r="C116" s="4">
        <v>1.0</v>
      </c>
      <c r="D116" s="115" t="s">
        <v>2602</v>
      </c>
      <c r="E116" s="112" t="str">
        <f>VLOOKUP(D116,Table2[[ID Petugas]:[Nama]],2,false)</f>
        <v>Sahnas Aisyiah Maha, S.Tr.Stat.</v>
      </c>
      <c r="F116" s="108" t="s">
        <v>2782</v>
      </c>
      <c r="G116" s="109" t="s">
        <v>2783</v>
      </c>
      <c r="H116" s="109" t="s">
        <v>2784</v>
      </c>
      <c r="I116" s="109" t="s">
        <v>2785</v>
      </c>
    </row>
    <row r="117">
      <c r="A117" s="13" t="s">
        <v>2786</v>
      </c>
      <c r="B117" s="110">
        <v>45882.0</v>
      </c>
      <c r="C117" s="4">
        <v>2.0</v>
      </c>
      <c r="D117" s="115" t="s">
        <v>2628</v>
      </c>
      <c r="E117" s="112" t="str">
        <f>VLOOKUP(D117,Table2[[ID Petugas]:[Nama]],2,false)</f>
        <v>Juando Siallagan, S.Tr.Stat.</v>
      </c>
      <c r="F117" s="108" t="s">
        <v>2787</v>
      </c>
      <c r="G117" s="109" t="s">
        <v>2788</v>
      </c>
      <c r="H117" s="109" t="s">
        <v>2789</v>
      </c>
      <c r="I117" s="109" t="s">
        <v>2790</v>
      </c>
    </row>
    <row r="118">
      <c r="A118" s="13" t="s">
        <v>2791</v>
      </c>
      <c r="B118" s="110">
        <v>45883.0</v>
      </c>
      <c r="C118" s="4">
        <v>1.0</v>
      </c>
      <c r="D118" s="111" t="s">
        <v>2604</v>
      </c>
      <c r="E118" s="112" t="str">
        <f>VLOOKUP(D118,Table2[[ID Petugas]:[Nama]],2,false)</f>
        <v>Frisca Ulina Br Munthe,S.Tr.Stat.</v>
      </c>
      <c r="F118" s="114"/>
      <c r="G118" s="113"/>
      <c r="H118" s="113"/>
      <c r="I118" s="113"/>
    </row>
    <row r="119">
      <c r="A119" s="13" t="s">
        <v>2792</v>
      </c>
      <c r="B119" s="110">
        <v>45883.0</v>
      </c>
      <c r="C119" s="4">
        <v>2.0</v>
      </c>
      <c r="D119" s="115" t="s">
        <v>2600</v>
      </c>
      <c r="E119" s="112" t="str">
        <f>VLOOKUP(D119,Table2[[ID Petugas]:[Nama]],2,false)</f>
        <v>Emmi Manurung, S.E.</v>
      </c>
      <c r="F119" s="108" t="s">
        <v>2793</v>
      </c>
      <c r="G119" s="109" t="s">
        <v>2794</v>
      </c>
      <c r="H119" s="109" t="s">
        <v>2795</v>
      </c>
      <c r="I119" s="109" t="s">
        <v>2796</v>
      </c>
    </row>
    <row r="120">
      <c r="A120" s="13" t="s">
        <v>2797</v>
      </c>
      <c r="B120" s="110">
        <v>45884.0</v>
      </c>
      <c r="C120" s="4">
        <v>1.0</v>
      </c>
      <c r="D120" s="111" t="s">
        <v>2608</v>
      </c>
      <c r="E120" s="112" t="str">
        <f>VLOOKUP(D120,Table2[[ID Petugas]:[Nama]],2,false)</f>
        <v>Jaksen Ferry Judo Lingga S.Si</v>
      </c>
      <c r="F120" s="108" t="s">
        <v>2798</v>
      </c>
      <c r="G120" s="109" t="s">
        <v>2799</v>
      </c>
      <c r="H120" s="109" t="s">
        <v>2800</v>
      </c>
      <c r="I120" s="109" t="s">
        <v>2801</v>
      </c>
    </row>
    <row r="121">
      <c r="A121" s="13" t="s">
        <v>2802</v>
      </c>
      <c r="B121" s="110">
        <v>45884.0</v>
      </c>
      <c r="C121" s="4">
        <v>2.0</v>
      </c>
      <c r="D121" s="111" t="s">
        <v>2606</v>
      </c>
      <c r="E121" s="112" t="str">
        <f>VLOOKUP(D121,Table2[[ID Petugas]:[Nama]],2,false)</f>
        <v>Rivaldi, S.Tr.Stat.</v>
      </c>
      <c r="F121" s="108" t="s">
        <v>2767</v>
      </c>
      <c r="G121" s="109" t="s">
        <v>2803</v>
      </c>
      <c r="H121" s="109" t="s">
        <v>2804</v>
      </c>
      <c r="I121" s="109" t="s">
        <v>2805</v>
      </c>
    </row>
    <row r="122">
      <c r="A122" s="13" t="s">
        <v>2806</v>
      </c>
      <c r="B122" s="110">
        <v>45887.0</v>
      </c>
      <c r="C122" s="4">
        <v>1.0</v>
      </c>
      <c r="D122" s="111" t="s">
        <v>2612</v>
      </c>
      <c r="E122" s="112" t="str">
        <f>VLOOKUP(D122,Table2[[ID Petugas]:[Nama]],2,false)</f>
        <v>Jesica Kristiyani Butar Butar</v>
      </c>
      <c r="F122" s="114"/>
      <c r="G122" s="113"/>
      <c r="H122" s="113"/>
      <c r="I122" s="113"/>
    </row>
    <row r="123">
      <c r="A123" s="13" t="s">
        <v>2807</v>
      </c>
      <c r="B123" s="110">
        <v>45887.0</v>
      </c>
      <c r="C123" s="4">
        <v>2.0</v>
      </c>
      <c r="D123" s="111" t="s">
        <v>2610</v>
      </c>
      <c r="E123" s="112" t="str">
        <f>VLOOKUP(D123,Table2[[ID Petugas]:[Nama]],2,false)</f>
        <v>#N/A</v>
      </c>
      <c r="F123" s="114"/>
      <c r="G123" s="113"/>
      <c r="H123" s="113"/>
      <c r="I123" s="113"/>
    </row>
    <row r="124">
      <c r="A124" s="13" t="s">
        <v>2808</v>
      </c>
      <c r="B124" s="110">
        <v>45888.0</v>
      </c>
      <c r="C124" s="4">
        <v>1.0</v>
      </c>
      <c r="D124" s="112" t="s">
        <v>2630</v>
      </c>
      <c r="E124" s="112" t="str">
        <f>VLOOKUP(D124,Table2[[ID Petugas]:[Nama]],2,false)</f>
        <v>Anwar Sinaga, A.Md.</v>
      </c>
      <c r="F124" s="108" t="s">
        <v>2793</v>
      </c>
      <c r="G124" s="109" t="s">
        <v>2809</v>
      </c>
      <c r="H124" s="109" t="s">
        <v>2810</v>
      </c>
      <c r="I124" s="109" t="s">
        <v>2811</v>
      </c>
    </row>
    <row r="125">
      <c r="A125" s="13" t="s">
        <v>2812</v>
      </c>
      <c r="B125" s="110">
        <v>45888.0</v>
      </c>
      <c r="C125" s="4">
        <v>2.0</v>
      </c>
      <c r="D125" s="107" t="s">
        <v>2632</v>
      </c>
      <c r="E125" s="112" t="str">
        <f>VLOOKUP(D125,Table2[[ID Petugas]:[Nama]],2,false)</f>
        <v>Zunkifli Haryanto Yoko Ningrat Siahaan</v>
      </c>
      <c r="F125" s="108" t="s">
        <v>2767</v>
      </c>
      <c r="G125" s="109" t="s">
        <v>2813</v>
      </c>
      <c r="H125" s="109" t="s">
        <v>2814</v>
      </c>
      <c r="I125" s="109" t="s">
        <v>2815</v>
      </c>
    </row>
    <row r="126">
      <c r="A126" s="13" t="s">
        <v>2816</v>
      </c>
      <c r="B126" s="110">
        <v>45889.0</v>
      </c>
      <c r="C126" s="4">
        <v>1.0</v>
      </c>
      <c r="D126" s="107" t="s">
        <v>2638</v>
      </c>
      <c r="E126" s="112" t="str">
        <f>VLOOKUP(D126,Table2[[ID Petugas]:[Nama]],2,false)</f>
        <v>Efendy Girsang, SP</v>
      </c>
      <c r="F126" s="108" t="s">
        <v>2782</v>
      </c>
      <c r="G126" s="109" t="s">
        <v>2817</v>
      </c>
      <c r="H126" s="109" t="s">
        <v>2818</v>
      </c>
      <c r="I126" s="109" t="s">
        <v>2819</v>
      </c>
    </row>
    <row r="127">
      <c r="A127" s="13" t="s">
        <v>2820</v>
      </c>
      <c r="B127" s="110">
        <v>45889.0</v>
      </c>
      <c r="C127" s="4">
        <v>2.0</v>
      </c>
      <c r="D127" s="115" t="s">
        <v>2634</v>
      </c>
      <c r="E127" s="112" t="str">
        <f>VLOOKUP(D127,Table2[[ID Petugas]:[Nama]],2,false)</f>
        <v>Monika Stevany Manurung, S.Tr.Stat.</v>
      </c>
      <c r="F127" s="117" t="s">
        <v>256</v>
      </c>
      <c r="G127" s="109" t="s">
        <v>2821</v>
      </c>
      <c r="H127" s="109" t="s">
        <v>2822</v>
      </c>
      <c r="I127" s="109" t="s">
        <v>2823</v>
      </c>
    </row>
    <row r="128">
      <c r="A128" s="13" t="s">
        <v>2824</v>
      </c>
      <c r="B128" s="110">
        <v>45890.0</v>
      </c>
      <c r="C128" s="4">
        <v>1.0</v>
      </c>
      <c r="D128" s="107" t="s">
        <v>2600</v>
      </c>
      <c r="E128" s="112" t="str">
        <f>VLOOKUP(D128,Table2[[ID Petugas]:[Nama]],2,false)</f>
        <v>Emmi Manurung, S.E.</v>
      </c>
      <c r="F128" s="108" t="s">
        <v>2793</v>
      </c>
      <c r="G128" s="109" t="s">
        <v>2825</v>
      </c>
      <c r="H128" s="109" t="s">
        <v>2826</v>
      </c>
      <c r="I128" s="109" t="s">
        <v>2827</v>
      </c>
    </row>
    <row r="129">
      <c r="A129" s="13" t="s">
        <v>2828</v>
      </c>
      <c r="B129" s="110">
        <v>45890.0</v>
      </c>
      <c r="C129" s="4">
        <v>2.0</v>
      </c>
      <c r="D129" s="111" t="s">
        <v>2640</v>
      </c>
      <c r="E129" s="112" t="str">
        <f>VLOOKUP(D129,Table2[[ID Petugas]:[Nama]],2,false)</f>
        <v>Tetty Saorma Hasiholan, S.Si</v>
      </c>
      <c r="F129" s="108" t="s">
        <v>2793</v>
      </c>
      <c r="G129" s="109" t="s">
        <v>2829</v>
      </c>
      <c r="H129" s="109" t="s">
        <v>2830</v>
      </c>
      <c r="I129" s="109" t="s">
        <v>2831</v>
      </c>
    </row>
    <row r="130">
      <c r="A130" s="13" t="s">
        <v>2832</v>
      </c>
      <c r="B130" s="110">
        <v>45891.0</v>
      </c>
      <c r="C130" s="4">
        <v>1.0</v>
      </c>
      <c r="D130" s="118" t="s">
        <v>2604</v>
      </c>
      <c r="E130" s="112" t="str">
        <f>VLOOKUP(D130,Table2[[ID Petugas]:[Nama]],2,false)</f>
        <v>Frisca Ulina Br Munthe,S.Tr.Stat.</v>
      </c>
      <c r="F130" s="108" t="s">
        <v>2833</v>
      </c>
      <c r="G130" s="109" t="s">
        <v>2834</v>
      </c>
      <c r="H130" s="109" t="s">
        <v>2835</v>
      </c>
      <c r="I130" s="109" t="s">
        <v>2836</v>
      </c>
    </row>
    <row r="131">
      <c r="A131" s="13" t="s">
        <v>2837</v>
      </c>
      <c r="B131" s="110">
        <v>45891.0</v>
      </c>
      <c r="C131" s="4">
        <v>2.0</v>
      </c>
      <c r="D131" s="118" t="s">
        <v>2598</v>
      </c>
      <c r="E131" s="112" t="str">
        <f>VLOOKUP(D131,Table2[[ID Petugas]:[Nama]],2,false)</f>
        <v>Sangaptua Deo Datus Sagala, S.Tr.Stat.</v>
      </c>
      <c r="F131" s="108" t="s">
        <v>2838</v>
      </c>
      <c r="G131" s="109" t="s">
        <v>2839</v>
      </c>
      <c r="H131" s="109" t="s">
        <v>2840</v>
      </c>
      <c r="I131" s="109" t="s">
        <v>2841</v>
      </c>
    </row>
    <row r="132">
      <c r="A132" s="13" t="s">
        <v>2842</v>
      </c>
      <c r="B132" s="110">
        <v>45894.0</v>
      </c>
      <c r="C132" s="4">
        <v>1.0</v>
      </c>
      <c r="D132" s="118" t="s">
        <v>2608</v>
      </c>
      <c r="E132" s="112" t="str">
        <f>VLOOKUP(D132,Table2[[ID Petugas]:[Nama]],2,false)</f>
        <v>Jaksen Ferry Judo Lingga S.Si</v>
      </c>
      <c r="F132" s="108" t="s">
        <v>2843</v>
      </c>
      <c r="G132" s="109" t="s">
        <v>2844</v>
      </c>
      <c r="H132" s="109" t="s">
        <v>2845</v>
      </c>
      <c r="I132" s="109" t="s">
        <v>2846</v>
      </c>
    </row>
    <row r="133">
      <c r="A133" s="13" t="s">
        <v>2847</v>
      </c>
      <c r="B133" s="110">
        <v>45894.0</v>
      </c>
      <c r="C133" s="4">
        <v>2.0</v>
      </c>
      <c r="D133" s="119" t="s">
        <v>2614</v>
      </c>
      <c r="E133" s="112" t="str">
        <f>VLOOKUP(D133,Table2[[ID Petugas]:[Nama]],2,false)</f>
        <v>Ribka Anggina Tarigan, SST</v>
      </c>
      <c r="F133" s="108" t="s">
        <v>2848</v>
      </c>
      <c r="G133" s="109" t="s">
        <v>2849</v>
      </c>
      <c r="H133" s="109" t="s">
        <v>2850</v>
      </c>
      <c r="I133" s="109" t="s">
        <v>2851</v>
      </c>
    </row>
    <row r="134">
      <c r="A134" s="13" t="s">
        <v>2852</v>
      </c>
      <c r="B134" s="110">
        <v>45895.0</v>
      </c>
      <c r="C134" s="4">
        <v>1.0</v>
      </c>
      <c r="D134" s="115" t="s">
        <v>2628</v>
      </c>
      <c r="E134" s="112" t="str">
        <f>VLOOKUP(D134,Table2[[ID Petugas]:[Nama]],2,false)</f>
        <v>Juando Siallagan, S.Tr.Stat.</v>
      </c>
      <c r="F134" s="108" t="s">
        <v>2853</v>
      </c>
      <c r="G134" s="109" t="s">
        <v>2854</v>
      </c>
      <c r="H134" s="109" t="s">
        <v>2855</v>
      </c>
      <c r="I134" s="109" t="s">
        <v>2856</v>
      </c>
    </row>
    <row r="135">
      <c r="A135" s="13" t="s">
        <v>2857</v>
      </c>
      <c r="B135" s="110">
        <v>45895.0</v>
      </c>
      <c r="C135" s="4">
        <v>2.0</v>
      </c>
      <c r="D135" s="115" t="s">
        <v>2630</v>
      </c>
      <c r="E135" s="112" t="str">
        <f>VLOOKUP(D135,Table2[[ID Petugas]:[Nama]],2,false)</f>
        <v>Anwar Sinaga, A.Md.</v>
      </c>
      <c r="F135" s="108" t="s">
        <v>2793</v>
      </c>
      <c r="G135" s="109" t="s">
        <v>2858</v>
      </c>
      <c r="H135" s="109" t="s">
        <v>2859</v>
      </c>
      <c r="I135" s="109" t="s">
        <v>2860</v>
      </c>
    </row>
    <row r="136">
      <c r="A136" s="13" t="s">
        <v>2861</v>
      </c>
      <c r="B136" s="110">
        <v>45896.0</v>
      </c>
      <c r="C136" s="4">
        <v>1.0</v>
      </c>
      <c r="D136" s="118" t="s">
        <v>2624</v>
      </c>
      <c r="E136" s="112" t="str">
        <f>VLOOKUP(D136,Table2[[ID Petugas]:[Nama]],2,false)</f>
        <v>Marudut Silaban, SE, MM</v>
      </c>
      <c r="F136" s="117" t="s">
        <v>256</v>
      </c>
      <c r="G136" s="109" t="s">
        <v>2862</v>
      </c>
      <c r="H136" s="109" t="s">
        <v>2863</v>
      </c>
      <c r="I136" s="109" t="s">
        <v>2864</v>
      </c>
    </row>
    <row r="137">
      <c r="A137" s="13" t="s">
        <v>2865</v>
      </c>
      <c r="B137" s="110">
        <v>45896.0</v>
      </c>
      <c r="C137" s="4">
        <v>2.0</v>
      </c>
      <c r="D137" s="118" t="s">
        <v>2610</v>
      </c>
      <c r="E137" s="112" t="str">
        <f>VLOOKUP(D137,Table2[[ID Petugas]:[Nama]],2,false)</f>
        <v>#N/A</v>
      </c>
      <c r="F137" s="108" t="s">
        <v>2866</v>
      </c>
      <c r="G137" s="109" t="s">
        <v>2867</v>
      </c>
      <c r="H137" s="109" t="s">
        <v>2868</v>
      </c>
      <c r="I137" s="109" t="s">
        <v>2869</v>
      </c>
    </row>
    <row r="138">
      <c r="A138" s="13" t="s">
        <v>2870</v>
      </c>
      <c r="B138" s="110">
        <v>45897.0</v>
      </c>
      <c r="C138" s="4">
        <v>1.0</v>
      </c>
      <c r="D138" s="115" t="s">
        <v>2616</v>
      </c>
      <c r="E138" s="112" t="str">
        <f>VLOOKUP(D138,Table2[[ID Petugas]:[Nama]],2,false)</f>
        <v>Mike Ervans Purba, A.Md.Stat.</v>
      </c>
      <c r="F138" s="108" t="s">
        <v>2866</v>
      </c>
      <c r="G138" s="107" t="s">
        <v>2871</v>
      </c>
      <c r="H138" s="112" t="s">
        <v>2872</v>
      </c>
      <c r="I138" s="109" t="s">
        <v>2873</v>
      </c>
    </row>
    <row r="139">
      <c r="A139" s="13" t="s">
        <v>2874</v>
      </c>
      <c r="B139" s="110">
        <v>45897.0</v>
      </c>
      <c r="C139" s="4">
        <v>2.0</v>
      </c>
      <c r="D139" s="115" t="s">
        <v>2602</v>
      </c>
      <c r="E139" s="112" t="str">
        <f>VLOOKUP(D139,Table2[[ID Petugas]:[Nama]],2,false)</f>
        <v>Sahnas Aisyiah Maha, S.Tr.Stat.</v>
      </c>
      <c r="F139" s="108" t="s">
        <v>2875</v>
      </c>
      <c r="G139" s="109" t="s">
        <v>2876</v>
      </c>
      <c r="H139" s="109" t="s">
        <v>2877</v>
      </c>
      <c r="I139" s="109" t="s">
        <v>2878</v>
      </c>
    </row>
    <row r="140">
      <c r="A140" s="13" t="s">
        <v>2879</v>
      </c>
      <c r="B140" s="110">
        <v>45898.0</v>
      </c>
      <c r="C140" s="4">
        <v>1.0</v>
      </c>
      <c r="D140" s="107" t="s">
        <v>2632</v>
      </c>
      <c r="E140" s="112" t="str">
        <f>VLOOKUP(D140,Table2[[ID Petugas]:[Nama]],2,false)</f>
        <v>Zunkifli Haryanto Yoko Ningrat Siahaan</v>
      </c>
      <c r="F140" s="108" t="s">
        <v>2866</v>
      </c>
      <c r="G140" s="109" t="s">
        <v>2880</v>
      </c>
      <c r="H140" s="109" t="s">
        <v>2881</v>
      </c>
      <c r="I140" s="109" t="s">
        <v>2882</v>
      </c>
    </row>
    <row r="141">
      <c r="A141" s="13" t="s">
        <v>2883</v>
      </c>
      <c r="B141" s="110">
        <v>45898.0</v>
      </c>
      <c r="C141" s="4">
        <v>2.0</v>
      </c>
      <c r="D141" s="115" t="s">
        <v>2606</v>
      </c>
      <c r="E141" s="112" t="str">
        <f>VLOOKUP(D141,Table2[[ID Petugas]:[Nama]],2,false)</f>
        <v>Rivaldi, S.Tr.Stat.</v>
      </c>
      <c r="F141" s="108" t="s">
        <v>2793</v>
      </c>
      <c r="G141" s="109" t="s">
        <v>2884</v>
      </c>
      <c r="H141" s="109" t="s">
        <v>2885</v>
      </c>
      <c r="I141" s="109" t="s">
        <v>2886</v>
      </c>
    </row>
    <row r="142">
      <c r="A142" s="13" t="s">
        <v>2887</v>
      </c>
      <c r="B142" s="110">
        <v>45901.0</v>
      </c>
      <c r="C142" s="4">
        <v>1.0</v>
      </c>
      <c r="D142" s="115" t="s">
        <v>2636</v>
      </c>
      <c r="E142" s="112" t="str">
        <f>VLOOKUP(D142,Table2[[ID Petugas]:[Nama]],2,false)</f>
        <v>Wiwik Rahayuni Lumban Gaol, A.Md</v>
      </c>
      <c r="F142" s="108" t="s">
        <v>2888</v>
      </c>
      <c r="G142" s="109" t="s">
        <v>2889</v>
      </c>
      <c r="H142" s="109" t="s">
        <v>2890</v>
      </c>
      <c r="I142" s="109" t="s">
        <v>2891</v>
      </c>
    </row>
    <row r="143">
      <c r="A143" s="13" t="s">
        <v>2892</v>
      </c>
      <c r="B143" s="110">
        <v>45901.0</v>
      </c>
      <c r="C143" s="4">
        <v>2.0</v>
      </c>
      <c r="D143" s="120" t="s">
        <v>2618</v>
      </c>
      <c r="E143" s="112" t="str">
        <f>VLOOKUP(D143,Table2[[ID Petugas]:[Nama]],2,false)</f>
        <v>Ratih Kurniawati, S.E.</v>
      </c>
      <c r="F143" s="108" t="s">
        <v>2893</v>
      </c>
      <c r="G143" s="109" t="s">
        <v>2894</v>
      </c>
      <c r="H143" s="109" t="s">
        <v>2895</v>
      </c>
      <c r="I143" s="109" t="s">
        <v>2896</v>
      </c>
    </row>
    <row r="144">
      <c r="A144" s="13" t="s">
        <v>2897</v>
      </c>
      <c r="B144" s="110">
        <v>45902.0</v>
      </c>
      <c r="C144" s="4">
        <v>1.0</v>
      </c>
      <c r="D144" s="107" t="s">
        <v>2636</v>
      </c>
      <c r="E144" s="112" t="str">
        <f>VLOOKUP(D144,Table2[[ID Petugas]:[Nama]],2,false)</f>
        <v>Wiwik Rahayuni Lumban Gaol, A.Md</v>
      </c>
      <c r="F144" s="108" t="s">
        <v>2898</v>
      </c>
      <c r="G144" s="109" t="s">
        <v>2899</v>
      </c>
      <c r="H144" s="109" t="s">
        <v>2900</v>
      </c>
      <c r="I144" s="109" t="s">
        <v>2901</v>
      </c>
    </row>
    <row r="145">
      <c r="A145" s="13" t="s">
        <v>2902</v>
      </c>
      <c r="B145" s="110">
        <v>45902.0</v>
      </c>
      <c r="C145" s="4">
        <v>2.0</v>
      </c>
      <c r="D145" s="107" t="s">
        <v>2638</v>
      </c>
      <c r="E145" s="112" t="str">
        <f>VLOOKUP(D145,Table2[[ID Petugas]:[Nama]],2,false)</f>
        <v>Efendy Girsang, SP</v>
      </c>
      <c r="F145" s="108" t="s">
        <v>2903</v>
      </c>
      <c r="G145" s="109" t="s">
        <v>2904</v>
      </c>
      <c r="H145" s="109" t="s">
        <v>2905</v>
      </c>
      <c r="I145" s="109" t="s">
        <v>2906</v>
      </c>
    </row>
    <row r="146">
      <c r="A146" s="13" t="s">
        <v>2907</v>
      </c>
      <c r="B146" s="110">
        <v>45903.0</v>
      </c>
      <c r="C146" s="4">
        <v>1.0</v>
      </c>
      <c r="D146" s="111" t="s">
        <v>2640</v>
      </c>
      <c r="E146" s="112" t="str">
        <f>VLOOKUP(D146,Table2[[ID Petugas]:[Nama]],2,false)</f>
        <v>Tetty Saorma Hasiholan, S.Si</v>
      </c>
      <c r="F146" s="108" t="s">
        <v>2793</v>
      </c>
      <c r="G146" s="109" t="s">
        <v>2908</v>
      </c>
      <c r="H146" s="109" t="s">
        <v>2909</v>
      </c>
      <c r="I146" s="109" t="s">
        <v>2910</v>
      </c>
    </row>
    <row r="147">
      <c r="A147" s="13" t="s">
        <v>2911</v>
      </c>
      <c r="B147" s="110">
        <v>45903.0</v>
      </c>
      <c r="C147" s="4">
        <v>2.0</v>
      </c>
      <c r="D147" s="115" t="s">
        <v>2616</v>
      </c>
      <c r="E147" s="112" t="str">
        <f>VLOOKUP(D147,Table2[[ID Petugas]:[Nama]],2,false)</f>
        <v>Mike Ervans Purba, A.Md.Stat.</v>
      </c>
      <c r="F147" s="108" t="s">
        <v>2866</v>
      </c>
      <c r="G147" s="109" t="s">
        <v>2912</v>
      </c>
      <c r="H147" s="109" t="s">
        <v>2913</v>
      </c>
      <c r="I147" s="109" t="s">
        <v>2914</v>
      </c>
    </row>
    <row r="148">
      <c r="A148" s="13" t="s">
        <v>2915</v>
      </c>
      <c r="B148" s="110">
        <v>45904.0</v>
      </c>
      <c r="C148" s="4">
        <v>1.0</v>
      </c>
      <c r="D148" s="118" t="s">
        <v>2598</v>
      </c>
      <c r="E148" s="112" t="str">
        <f>VLOOKUP(D148,Table2[[ID Petugas]:[Nama]],2,false)</f>
        <v>Sangaptua Deo Datus Sagala, S.Tr.Stat.</v>
      </c>
      <c r="F148" s="108" t="s">
        <v>2916</v>
      </c>
      <c r="G148" s="109" t="s">
        <v>2917</v>
      </c>
      <c r="H148" s="109" t="s">
        <v>2918</v>
      </c>
      <c r="I148" s="109" t="s">
        <v>2919</v>
      </c>
    </row>
    <row r="149">
      <c r="A149" s="13" t="s">
        <v>2920</v>
      </c>
      <c r="B149" s="110">
        <v>45904.0</v>
      </c>
      <c r="C149" s="4">
        <v>2.0</v>
      </c>
      <c r="D149" s="119" t="s">
        <v>2636</v>
      </c>
      <c r="E149" s="112" t="str">
        <f>VLOOKUP(D149,Table2[[ID Petugas]:[Nama]],2,false)</f>
        <v>Wiwik Rahayuni Lumban Gaol, A.Md</v>
      </c>
      <c r="F149" s="108" t="s">
        <v>2921</v>
      </c>
      <c r="G149" s="109" t="s">
        <v>2922</v>
      </c>
      <c r="H149" s="109" t="s">
        <v>2923</v>
      </c>
      <c r="I149" s="109" t="s">
        <v>2924</v>
      </c>
    </row>
    <row r="150">
      <c r="A150" s="13" t="s">
        <v>2925</v>
      </c>
      <c r="B150" s="110">
        <v>45908.0</v>
      </c>
      <c r="C150" s="4">
        <v>1.0</v>
      </c>
      <c r="D150" s="118" t="s">
        <v>2602</v>
      </c>
      <c r="E150" s="112" t="str">
        <f>VLOOKUP(D150,Table2[[ID Petugas]:[Nama]],2,false)</f>
        <v>Sahnas Aisyiah Maha, S.Tr.Stat.</v>
      </c>
      <c r="F150" s="108" t="s">
        <v>2926</v>
      </c>
      <c r="G150" s="109" t="s">
        <v>2927</v>
      </c>
      <c r="H150" s="109" t="s">
        <v>2928</v>
      </c>
      <c r="I150" s="109" t="s">
        <v>2929</v>
      </c>
    </row>
    <row r="151">
      <c r="A151" s="13" t="s">
        <v>2930</v>
      </c>
      <c r="B151" s="110">
        <v>45908.0</v>
      </c>
      <c r="C151" s="4">
        <v>2.0</v>
      </c>
      <c r="D151" s="119" t="s">
        <v>2624</v>
      </c>
      <c r="E151" s="112" t="str">
        <f>VLOOKUP(D151,Table2[[ID Petugas]:[Nama]],2,false)</f>
        <v>Marudut Silaban, SE, MM</v>
      </c>
      <c r="F151" s="108" t="s">
        <v>2752</v>
      </c>
      <c r="G151" s="109" t="s">
        <v>2931</v>
      </c>
      <c r="H151" s="109" t="s">
        <v>2932</v>
      </c>
      <c r="I151" s="109" t="s">
        <v>2933</v>
      </c>
    </row>
    <row r="152">
      <c r="A152" s="13" t="s">
        <v>2934</v>
      </c>
      <c r="B152" s="110">
        <v>45909.0</v>
      </c>
      <c r="C152" s="4">
        <v>1.0</v>
      </c>
      <c r="D152" s="111" t="s">
        <v>2606</v>
      </c>
      <c r="E152" s="112" t="str">
        <f>VLOOKUP(D152,Table2[[ID Petugas]:[Nama]],2,false)</f>
        <v>Rivaldi, S.Tr.Stat.</v>
      </c>
      <c r="F152" s="108" t="s">
        <v>2793</v>
      </c>
      <c r="G152" s="109" t="s">
        <v>2935</v>
      </c>
      <c r="H152" s="109" t="s">
        <v>2936</v>
      </c>
      <c r="I152" s="109" t="s">
        <v>2937</v>
      </c>
    </row>
    <row r="153">
      <c r="A153" s="13" t="s">
        <v>2938</v>
      </c>
      <c r="B153" s="110">
        <v>45909.0</v>
      </c>
      <c r="C153" s="4">
        <v>2.0</v>
      </c>
      <c r="D153" s="115" t="s">
        <v>2598</v>
      </c>
      <c r="E153" s="112" t="str">
        <f>VLOOKUP(D153,Table2[[ID Petugas]:[Nama]],2,false)</f>
        <v>Sangaptua Deo Datus Sagala, S.Tr.Stat.</v>
      </c>
      <c r="F153" s="108" t="s">
        <v>2767</v>
      </c>
      <c r="G153" s="109" t="s">
        <v>2939</v>
      </c>
      <c r="H153" s="109" t="s">
        <v>2940</v>
      </c>
      <c r="I153" s="109" t="s">
        <v>2941</v>
      </c>
    </row>
    <row r="154">
      <c r="A154" s="13" t="s">
        <v>2942</v>
      </c>
      <c r="B154" s="110">
        <v>45910.0</v>
      </c>
      <c r="C154" s="4">
        <v>1.0</v>
      </c>
      <c r="D154" s="118" t="s">
        <v>2943</v>
      </c>
      <c r="E154" s="112" t="str">
        <f>VLOOKUP(D154,Table2[[ID Petugas]:[Nama]],2,false)</f>
        <v>Richardo Tober Sihombing, S.Si</v>
      </c>
      <c r="F154" s="108" t="s">
        <v>2866</v>
      </c>
      <c r="G154" s="109" t="s">
        <v>2944</v>
      </c>
      <c r="H154" s="109" t="s">
        <v>2945</v>
      </c>
      <c r="I154" s="109" t="s">
        <v>2946</v>
      </c>
    </row>
    <row r="155">
      <c r="A155" s="13" t="s">
        <v>2947</v>
      </c>
      <c r="B155" s="110">
        <v>45910.0</v>
      </c>
      <c r="C155" s="4">
        <v>2.0</v>
      </c>
      <c r="D155" s="119" t="s">
        <v>2634</v>
      </c>
      <c r="E155" s="112" t="str">
        <f>VLOOKUP(D155,Table2[[ID Petugas]:[Nama]],2,false)</f>
        <v>Monika Stevany Manurung, S.Tr.Stat.</v>
      </c>
      <c r="F155" s="108" t="s">
        <v>2948</v>
      </c>
      <c r="G155" s="109" t="s">
        <v>2949</v>
      </c>
      <c r="H155" s="109" t="s">
        <v>2950</v>
      </c>
      <c r="I155" s="109" t="s">
        <v>2951</v>
      </c>
    </row>
    <row r="156">
      <c r="A156" s="13" t="s">
        <v>2952</v>
      </c>
      <c r="B156" s="110">
        <v>45911.0</v>
      </c>
      <c r="C156" s="4">
        <v>1.0</v>
      </c>
      <c r="D156" s="111" t="s">
        <v>2614</v>
      </c>
      <c r="E156" s="112" t="str">
        <f>VLOOKUP(D156,Table2[[ID Petugas]:[Nama]],2,false)</f>
        <v>Ribka Anggina Tarigan, SST</v>
      </c>
      <c r="F156" s="117" t="s">
        <v>256</v>
      </c>
      <c r="G156" s="109" t="s">
        <v>2953</v>
      </c>
      <c r="H156" s="109" t="s">
        <v>2954</v>
      </c>
      <c r="I156" s="109" t="s">
        <v>2955</v>
      </c>
    </row>
    <row r="157">
      <c r="A157" s="13" t="s">
        <v>2956</v>
      </c>
      <c r="B157" s="110">
        <v>45911.0</v>
      </c>
      <c r="C157" s="4">
        <v>2.0</v>
      </c>
      <c r="D157" s="115" t="s">
        <v>2600</v>
      </c>
      <c r="E157" s="112" t="str">
        <f>VLOOKUP(D157,Table2[[ID Petugas]:[Nama]],2,false)</f>
        <v>Emmi Manurung, S.E.</v>
      </c>
      <c r="F157" s="117" t="s">
        <v>256</v>
      </c>
      <c r="G157" s="109" t="s">
        <v>2957</v>
      </c>
      <c r="H157" s="109" t="s">
        <v>2958</v>
      </c>
      <c r="I157" s="109" t="s">
        <v>2959</v>
      </c>
    </row>
    <row r="158">
      <c r="A158" s="13" t="s">
        <v>2960</v>
      </c>
      <c r="B158" s="110">
        <v>45912.0</v>
      </c>
      <c r="C158" s="4">
        <v>1.0</v>
      </c>
      <c r="D158" s="111" t="s">
        <v>2618</v>
      </c>
      <c r="E158" s="112" t="str">
        <f>VLOOKUP(D158,Table2[[ID Petugas]:[Nama]],2,false)</f>
        <v>Ratih Kurniawati, S.E.</v>
      </c>
      <c r="F158" s="108" t="s">
        <v>2866</v>
      </c>
      <c r="G158" s="109" t="s">
        <v>2961</v>
      </c>
      <c r="H158" s="109" t="s">
        <v>2962</v>
      </c>
      <c r="I158" s="109" t="s">
        <v>2963</v>
      </c>
    </row>
    <row r="159">
      <c r="A159" s="13" t="s">
        <v>2964</v>
      </c>
      <c r="B159" s="110">
        <v>45912.0</v>
      </c>
      <c r="C159" s="4">
        <v>2.0</v>
      </c>
      <c r="D159" s="115" t="s">
        <v>2634</v>
      </c>
      <c r="E159" s="112" t="str">
        <f>VLOOKUP(D159,Table2[[ID Petugas]:[Nama]],2,false)</f>
        <v>Monika Stevany Manurung, S.Tr.Stat.</v>
      </c>
      <c r="F159" s="108" t="s">
        <v>2740</v>
      </c>
      <c r="G159" s="109" t="s">
        <v>2965</v>
      </c>
      <c r="H159" s="109" t="s">
        <v>2966</v>
      </c>
      <c r="I159" s="109" t="s">
        <v>2967</v>
      </c>
    </row>
    <row r="160">
      <c r="A160" s="13" t="s">
        <v>2968</v>
      </c>
      <c r="B160" s="110">
        <v>45915.0</v>
      </c>
      <c r="C160" s="4">
        <v>1.0</v>
      </c>
      <c r="D160" s="112" t="s">
        <v>2630</v>
      </c>
      <c r="E160" s="112" t="str">
        <f>VLOOKUP(D160,Table2[[ID Petugas]:[Nama]],2,false)</f>
        <v>Anwar Sinaga, A.Md.</v>
      </c>
      <c r="F160" s="108" t="s">
        <v>2969</v>
      </c>
      <c r="G160" s="109" t="s">
        <v>2970</v>
      </c>
      <c r="H160" s="109" t="s">
        <v>2971</v>
      </c>
      <c r="I160" s="109" t="s">
        <v>2972</v>
      </c>
    </row>
    <row r="161">
      <c r="A161" s="13" t="s">
        <v>2973</v>
      </c>
      <c r="B161" s="110">
        <v>45915.0</v>
      </c>
      <c r="C161" s="4">
        <v>2.0</v>
      </c>
      <c r="D161" s="107" t="s">
        <v>2632</v>
      </c>
      <c r="E161" s="112" t="str">
        <f>VLOOKUP(D161,Table2[[ID Petugas]:[Nama]],2,false)</f>
        <v>Zunkifli Haryanto Yoko Ningrat Siahaan</v>
      </c>
      <c r="F161" s="108" t="s">
        <v>2767</v>
      </c>
      <c r="G161" s="109" t="s">
        <v>2974</v>
      </c>
      <c r="H161" s="109" t="s">
        <v>2975</v>
      </c>
      <c r="I161" s="109" t="s">
        <v>2976</v>
      </c>
    </row>
    <row r="162">
      <c r="A162" s="13" t="s">
        <v>2977</v>
      </c>
      <c r="B162" s="110">
        <v>45916.0</v>
      </c>
      <c r="C162" s="4">
        <v>1.0</v>
      </c>
      <c r="D162" s="107" t="s">
        <v>2638</v>
      </c>
      <c r="E162" s="112" t="str">
        <f>VLOOKUP(D162,Table2[[ID Petugas]:[Nama]],2,false)</f>
        <v>Efendy Girsang, SP</v>
      </c>
      <c r="F162" s="108" t="s">
        <v>2926</v>
      </c>
      <c r="G162" s="109" t="s">
        <v>2978</v>
      </c>
      <c r="H162" s="109" t="s">
        <v>2979</v>
      </c>
      <c r="I162" s="109" t="s">
        <v>2980</v>
      </c>
    </row>
    <row r="163">
      <c r="A163" s="13" t="s">
        <v>2981</v>
      </c>
      <c r="B163" s="110">
        <v>45916.0</v>
      </c>
      <c r="C163" s="4">
        <v>2.0</v>
      </c>
      <c r="D163" s="115" t="s">
        <v>2604</v>
      </c>
      <c r="E163" s="112" t="str">
        <f>VLOOKUP(D163,Table2[[ID Petugas]:[Nama]],2,false)</f>
        <v>Frisca Ulina Br Munthe,S.Tr.Stat.</v>
      </c>
      <c r="F163" s="108" t="s">
        <v>2782</v>
      </c>
      <c r="G163" s="109" t="s">
        <v>2982</v>
      </c>
      <c r="H163" s="109" t="s">
        <v>2983</v>
      </c>
      <c r="I163" s="109" t="s">
        <v>2984</v>
      </c>
    </row>
    <row r="164">
      <c r="A164" s="13" t="s">
        <v>2985</v>
      </c>
      <c r="B164" s="110">
        <v>45917.0</v>
      </c>
      <c r="C164" s="4">
        <v>1.0</v>
      </c>
      <c r="D164" s="107" t="s">
        <v>2600</v>
      </c>
      <c r="E164" s="112" t="str">
        <f>VLOOKUP(D164,Table2[[ID Petugas]:[Nama]],2,false)</f>
        <v>Emmi Manurung, S.E.</v>
      </c>
      <c r="F164" s="117" t="s">
        <v>256</v>
      </c>
      <c r="G164" s="109" t="s">
        <v>2986</v>
      </c>
      <c r="H164" s="109" t="s">
        <v>2987</v>
      </c>
      <c r="I164" s="109" t="s">
        <v>2988</v>
      </c>
    </row>
    <row r="165">
      <c r="A165" s="13" t="s">
        <v>2989</v>
      </c>
      <c r="B165" s="110">
        <v>45917.0</v>
      </c>
      <c r="C165" s="4">
        <v>2.0</v>
      </c>
      <c r="D165" s="111" t="s">
        <v>2640</v>
      </c>
      <c r="E165" s="112" t="str">
        <f>VLOOKUP(D165,Table2[[ID Petugas]:[Nama]],2,false)</f>
        <v>Tetty Saorma Hasiholan, S.Si</v>
      </c>
      <c r="F165" s="108" t="s">
        <v>2926</v>
      </c>
      <c r="G165" s="109" t="s">
        <v>2990</v>
      </c>
      <c r="H165" s="109" t="s">
        <v>2991</v>
      </c>
      <c r="I165" s="109" t="s">
        <v>2992</v>
      </c>
    </row>
    <row r="166">
      <c r="A166" s="13" t="s">
        <v>2993</v>
      </c>
      <c r="B166" s="110">
        <v>45918.0</v>
      </c>
      <c r="C166" s="4">
        <v>1.0</v>
      </c>
      <c r="D166" s="118" t="s">
        <v>2604</v>
      </c>
      <c r="E166" s="112" t="str">
        <f>VLOOKUP(D166,Table2[[ID Petugas]:[Nama]],2,false)</f>
        <v>Frisca Ulina Br Munthe,S.Tr.Stat.</v>
      </c>
      <c r="F166" s="114"/>
      <c r="G166" s="113"/>
      <c r="H166" s="109" t="s">
        <v>2994</v>
      </c>
      <c r="I166" s="113"/>
    </row>
    <row r="167">
      <c r="A167" s="13" t="s">
        <v>2995</v>
      </c>
      <c r="B167" s="110">
        <v>45918.0</v>
      </c>
      <c r="C167" s="4">
        <v>2.0</v>
      </c>
      <c r="D167" s="119" t="s">
        <v>2628</v>
      </c>
      <c r="E167" s="112" t="str">
        <f>VLOOKUP(D167,Table2[[ID Petugas]:[Nama]],2,false)</f>
        <v>Juando Siallagan, S.Tr.Stat.</v>
      </c>
      <c r="F167" s="114"/>
      <c r="G167" s="113"/>
      <c r="H167" s="113"/>
      <c r="I167" s="113"/>
    </row>
    <row r="168">
      <c r="A168" s="13" t="s">
        <v>2996</v>
      </c>
      <c r="B168" s="110">
        <v>45919.0</v>
      </c>
      <c r="C168" s="4">
        <v>1.0</v>
      </c>
      <c r="D168" s="118" t="s">
        <v>2608</v>
      </c>
      <c r="E168" s="112" t="str">
        <f>VLOOKUP(D168,Table2[[ID Petugas]:[Nama]],2,false)</f>
        <v>Jaksen Ferry Judo Lingga S.Si</v>
      </c>
      <c r="F168" s="114"/>
      <c r="G168" s="113"/>
      <c r="H168" s="113"/>
      <c r="I168" s="113"/>
    </row>
    <row r="169">
      <c r="A169" s="13" t="s">
        <v>2997</v>
      </c>
      <c r="B169" s="110">
        <v>45919.0</v>
      </c>
      <c r="C169" s="4">
        <v>2.0</v>
      </c>
      <c r="D169" s="118" t="s">
        <v>2602</v>
      </c>
      <c r="E169" s="112" t="str">
        <f>VLOOKUP(D169,Table2[[ID Petugas]:[Nama]],2,false)</f>
        <v>Sahnas Aisyiah Maha, S.Tr.Stat.</v>
      </c>
      <c r="F169" s="114"/>
      <c r="G169" s="113"/>
      <c r="H169" s="113"/>
      <c r="I169" s="113"/>
    </row>
    <row r="170">
      <c r="A170" s="13" t="s">
        <v>2998</v>
      </c>
      <c r="B170" s="110">
        <v>45922.0</v>
      </c>
      <c r="C170" s="4">
        <v>1.0</v>
      </c>
      <c r="D170" s="115" t="s">
        <v>2628</v>
      </c>
      <c r="E170" s="112" t="str">
        <f>VLOOKUP(D170,Table2[[ID Petugas]:[Nama]],2,false)</f>
        <v>Juando Siallagan, S.Tr.Stat.</v>
      </c>
      <c r="F170" s="114"/>
      <c r="G170" s="113"/>
      <c r="H170" s="113"/>
      <c r="I170" s="113"/>
    </row>
    <row r="171">
      <c r="A171" s="13" t="s">
        <v>2999</v>
      </c>
      <c r="B171" s="110">
        <v>45922.0</v>
      </c>
      <c r="C171" s="4">
        <v>2.0</v>
      </c>
      <c r="D171" s="111" t="s">
        <v>2606</v>
      </c>
      <c r="E171" s="112" t="str">
        <f>VLOOKUP(D171,Table2[[ID Petugas]:[Nama]],2,false)</f>
        <v>Rivaldi, S.Tr.Stat.</v>
      </c>
      <c r="F171" s="114"/>
      <c r="G171" s="113"/>
      <c r="H171" s="113"/>
      <c r="I171" s="113"/>
    </row>
    <row r="172">
      <c r="A172" s="13" t="s">
        <v>3000</v>
      </c>
      <c r="B172" s="110">
        <v>45923.0</v>
      </c>
      <c r="C172" s="4">
        <v>1.0</v>
      </c>
      <c r="D172" s="118" t="s">
        <v>2624</v>
      </c>
      <c r="E172" s="112" t="str">
        <f>VLOOKUP(D172,Table2[[ID Petugas]:[Nama]],2,false)</f>
        <v>Marudut Silaban, SE, MM</v>
      </c>
      <c r="F172" s="114"/>
      <c r="G172" s="113"/>
      <c r="H172" s="113"/>
      <c r="I172" s="113"/>
    </row>
    <row r="173">
      <c r="A173" s="13" t="s">
        <v>3001</v>
      </c>
      <c r="B173" s="110">
        <v>45923.0</v>
      </c>
      <c r="C173" s="4">
        <v>2.0</v>
      </c>
      <c r="D173" s="118" t="s">
        <v>2943</v>
      </c>
      <c r="E173" s="112" t="str">
        <f>VLOOKUP(D173,Table2[[ID Petugas]:[Nama]],2,false)</f>
        <v>Richardo Tober Sihombing, S.Si</v>
      </c>
      <c r="F173" s="114"/>
      <c r="G173" s="113"/>
      <c r="H173" s="113"/>
      <c r="I173" s="113"/>
    </row>
    <row r="174">
      <c r="A174" s="13" t="s">
        <v>3002</v>
      </c>
      <c r="B174" s="110">
        <v>45924.0</v>
      </c>
      <c r="C174" s="4">
        <v>1.0</v>
      </c>
      <c r="D174" s="115" t="s">
        <v>2616</v>
      </c>
      <c r="E174" s="112" t="str">
        <f>VLOOKUP(D174,Table2[[ID Petugas]:[Nama]],2,false)</f>
        <v>Mike Ervans Purba, A.Md.Stat.</v>
      </c>
      <c r="F174" s="114"/>
      <c r="G174" s="113"/>
      <c r="H174" s="113"/>
      <c r="I174" s="113"/>
    </row>
    <row r="175">
      <c r="A175" s="13" t="s">
        <v>3003</v>
      </c>
      <c r="B175" s="110">
        <v>45924.0</v>
      </c>
      <c r="C175" s="4">
        <v>2.0</v>
      </c>
      <c r="D175" s="111" t="s">
        <v>2614</v>
      </c>
      <c r="E175" s="112" t="str">
        <f>VLOOKUP(D175,Table2[[ID Petugas]:[Nama]],2,false)</f>
        <v>Ribka Anggina Tarigan, SST</v>
      </c>
      <c r="F175" s="114"/>
      <c r="G175" s="113"/>
      <c r="H175" s="113"/>
      <c r="I175" s="113"/>
    </row>
    <row r="176">
      <c r="A176" s="13" t="s">
        <v>3004</v>
      </c>
      <c r="B176" s="110">
        <v>45925.0</v>
      </c>
      <c r="C176" s="4">
        <v>1.0</v>
      </c>
      <c r="D176" s="115" t="s">
        <v>2608</v>
      </c>
      <c r="E176" s="112" t="str">
        <f>VLOOKUP(D176,Table2[[ID Petugas]:[Nama]],2,false)</f>
        <v>Jaksen Ferry Judo Lingga S.Si</v>
      </c>
      <c r="F176" s="114"/>
      <c r="G176" s="113"/>
      <c r="H176" s="113"/>
      <c r="I176" s="113"/>
    </row>
    <row r="177">
      <c r="A177" s="13" t="s">
        <v>3005</v>
      </c>
      <c r="B177" s="110">
        <v>45925.0</v>
      </c>
      <c r="C177" s="4">
        <v>2.0</v>
      </c>
      <c r="D177" s="111" t="s">
        <v>2618</v>
      </c>
      <c r="E177" s="112" t="str">
        <f>VLOOKUP(D177,Table2[[ID Petugas]:[Nama]],2,false)</f>
        <v>Ratih Kurniawati, S.E.</v>
      </c>
      <c r="F177" s="114"/>
      <c r="G177" s="113"/>
      <c r="H177" s="113"/>
      <c r="I177" s="113"/>
    </row>
    <row r="178">
      <c r="A178" s="13" t="s">
        <v>3006</v>
      </c>
      <c r="B178" s="110">
        <v>45926.0</v>
      </c>
      <c r="C178" s="4">
        <v>1.0</v>
      </c>
      <c r="D178" s="107" t="s">
        <v>2632</v>
      </c>
      <c r="E178" s="112" t="str">
        <f>VLOOKUP(D178,Table2[[ID Petugas]:[Nama]],2,false)</f>
        <v>Zunkifli Haryanto Yoko Ningrat Siahaan</v>
      </c>
      <c r="F178" s="114"/>
      <c r="G178" s="113"/>
      <c r="H178" s="113"/>
      <c r="I178" s="113"/>
    </row>
    <row r="179">
      <c r="A179" s="13" t="s">
        <v>3007</v>
      </c>
      <c r="B179" s="110">
        <v>45926.0</v>
      </c>
      <c r="C179" s="4">
        <v>2.0</v>
      </c>
      <c r="D179" s="112" t="s">
        <v>2630</v>
      </c>
      <c r="E179" s="112" t="str">
        <f>VLOOKUP(D179,Table2[[ID Petugas]:[Nama]],2,false)</f>
        <v>Anwar Sinaga, A.Md.</v>
      </c>
      <c r="F179" s="114"/>
      <c r="G179" s="113"/>
      <c r="H179" s="113"/>
      <c r="I179" s="113"/>
    </row>
    <row r="180">
      <c r="A180" s="13" t="s">
        <v>3008</v>
      </c>
      <c r="B180" s="110">
        <v>45929.0</v>
      </c>
      <c r="C180" s="4">
        <v>1.0</v>
      </c>
      <c r="D180" s="115" t="s">
        <v>2632</v>
      </c>
      <c r="E180" s="112" t="str">
        <f>VLOOKUP(D180,Table2[[ID Petugas]:[Nama]],2,false)</f>
        <v>Zunkifli Haryanto Yoko Ningrat Siahaan</v>
      </c>
      <c r="F180" s="114"/>
      <c r="G180" s="113"/>
      <c r="H180" s="113"/>
      <c r="I180" s="113"/>
    </row>
    <row r="181">
      <c r="A181" s="13" t="s">
        <v>3009</v>
      </c>
      <c r="B181" s="110">
        <v>45929.0</v>
      </c>
      <c r="C181" s="4">
        <v>2.0</v>
      </c>
      <c r="D181" s="107" t="s">
        <v>2638</v>
      </c>
      <c r="E181" s="112" t="str">
        <f>VLOOKUP(D181,Table2[[ID Petugas]:[Nama]],2,false)</f>
        <v>Efendy Girsang, SP</v>
      </c>
      <c r="F181" s="114"/>
      <c r="G181" s="113"/>
      <c r="H181" s="113"/>
      <c r="I181" s="113"/>
    </row>
    <row r="182">
      <c r="A182" s="13" t="s">
        <v>3010</v>
      </c>
      <c r="B182" s="110">
        <v>45930.0</v>
      </c>
      <c r="C182" s="4">
        <v>1.0</v>
      </c>
      <c r="D182" s="111" t="s">
        <v>2640</v>
      </c>
      <c r="E182" s="112" t="str">
        <f>VLOOKUP(D182,Table2[[ID Petugas]:[Nama]],2,false)</f>
        <v>Tetty Saorma Hasiholan, S.Si</v>
      </c>
      <c r="F182" s="114"/>
      <c r="G182" s="113"/>
      <c r="H182" s="113"/>
      <c r="I182" s="113"/>
    </row>
    <row r="183">
      <c r="A183" s="13" t="s">
        <v>3011</v>
      </c>
      <c r="B183" s="110">
        <v>45930.0</v>
      </c>
      <c r="C183" s="4">
        <v>2.0</v>
      </c>
      <c r="D183" s="107" t="s">
        <v>2600</v>
      </c>
      <c r="E183" s="112" t="str">
        <f>VLOOKUP(D183,Table2[[ID Petugas]:[Nama]],2,false)</f>
        <v>Emmi Manurung, S.E.</v>
      </c>
      <c r="F183" s="114"/>
      <c r="G183" s="113"/>
      <c r="H183" s="113"/>
      <c r="I183" s="113"/>
    </row>
    <row r="184">
      <c r="A184" s="13" t="s">
        <v>3012</v>
      </c>
      <c r="B184" s="110">
        <v>45931.0</v>
      </c>
      <c r="C184" s="4">
        <v>1.0</v>
      </c>
      <c r="D184" s="118" t="s">
        <v>2598</v>
      </c>
      <c r="E184" s="112" t="str">
        <f>VLOOKUP(D184,Table2[[ID Petugas]:[Nama]],2,false)</f>
        <v>Sangaptua Deo Datus Sagala, S.Tr.Stat.</v>
      </c>
      <c r="F184" s="114"/>
      <c r="G184" s="113"/>
      <c r="H184" s="113"/>
      <c r="I184" s="113"/>
    </row>
    <row r="185">
      <c r="A185" s="13" t="s">
        <v>3013</v>
      </c>
      <c r="B185" s="110">
        <v>45931.0</v>
      </c>
      <c r="C185" s="4">
        <v>2.0</v>
      </c>
      <c r="D185" s="118" t="s">
        <v>2604</v>
      </c>
      <c r="E185" s="112" t="str">
        <f>VLOOKUP(D185,Table2[[ID Petugas]:[Nama]],2,false)</f>
        <v>Frisca Ulina Br Munthe,S.Tr.Stat.</v>
      </c>
      <c r="F185" s="114"/>
      <c r="G185" s="113"/>
      <c r="H185" s="113"/>
      <c r="I185" s="113"/>
    </row>
    <row r="186">
      <c r="A186" s="13" t="s">
        <v>3014</v>
      </c>
      <c r="B186" s="110">
        <v>45932.0</v>
      </c>
      <c r="C186" s="4">
        <v>1.0</v>
      </c>
      <c r="D186" s="118" t="s">
        <v>2602</v>
      </c>
      <c r="E186" s="112" t="str">
        <f>VLOOKUP(D186,Table2[[ID Petugas]:[Nama]],2,false)</f>
        <v>Sahnas Aisyiah Maha, S.Tr.Stat.</v>
      </c>
      <c r="F186" s="114"/>
      <c r="G186" s="113"/>
      <c r="H186" s="113"/>
      <c r="I186" s="113"/>
    </row>
    <row r="187">
      <c r="A187" s="13" t="s">
        <v>3015</v>
      </c>
      <c r="B187" s="110">
        <v>45932.0</v>
      </c>
      <c r="C187" s="4">
        <v>2.0</v>
      </c>
      <c r="D187" s="118" t="s">
        <v>2608</v>
      </c>
      <c r="E187" s="112" t="str">
        <f>VLOOKUP(D187,Table2[[ID Petugas]:[Nama]],2,false)</f>
        <v>Jaksen Ferry Judo Lingga S.Si</v>
      </c>
      <c r="F187" s="114"/>
      <c r="G187" s="113"/>
      <c r="H187" s="113"/>
      <c r="I187" s="113"/>
    </row>
    <row r="188">
      <c r="A188" s="13" t="s">
        <v>3016</v>
      </c>
      <c r="B188" s="110">
        <v>45933.0</v>
      </c>
      <c r="C188" s="4">
        <v>1.0</v>
      </c>
      <c r="D188" s="111" t="s">
        <v>2606</v>
      </c>
      <c r="E188" s="112" t="str">
        <f>VLOOKUP(D188,Table2[[ID Petugas]:[Nama]],2,false)</f>
        <v>Rivaldi, S.Tr.Stat.</v>
      </c>
      <c r="F188" s="114"/>
      <c r="G188" s="113"/>
      <c r="H188" s="113"/>
      <c r="I188" s="113"/>
    </row>
    <row r="189">
      <c r="A189" s="13" t="s">
        <v>3017</v>
      </c>
      <c r="B189" s="110">
        <v>45933.0</v>
      </c>
      <c r="C189" s="4">
        <v>2.0</v>
      </c>
      <c r="D189" s="115" t="s">
        <v>2628</v>
      </c>
      <c r="E189" s="112" t="str">
        <f>VLOOKUP(D189,Table2[[ID Petugas]:[Nama]],2,false)</f>
        <v>Juando Siallagan, S.Tr.Stat.</v>
      </c>
      <c r="F189" s="114"/>
      <c r="G189" s="113"/>
      <c r="H189" s="113"/>
      <c r="I189" s="113"/>
    </row>
    <row r="190">
      <c r="A190" s="13" t="s">
        <v>3018</v>
      </c>
      <c r="B190" s="110">
        <v>45936.0</v>
      </c>
      <c r="C190" s="4">
        <v>1.0</v>
      </c>
      <c r="D190" s="118" t="s">
        <v>2943</v>
      </c>
      <c r="E190" s="112" t="str">
        <f>VLOOKUP(D190,Table2[[ID Petugas]:[Nama]],2,false)</f>
        <v>Richardo Tober Sihombing, S.Si</v>
      </c>
      <c r="F190" s="114"/>
      <c r="G190" s="113"/>
      <c r="H190" s="113"/>
      <c r="I190" s="113"/>
    </row>
    <row r="191">
      <c r="A191" s="13" t="s">
        <v>3019</v>
      </c>
      <c r="B191" s="110">
        <v>45936.0</v>
      </c>
      <c r="C191" s="4">
        <v>2.0</v>
      </c>
      <c r="D191" s="118" t="s">
        <v>2624</v>
      </c>
      <c r="E191" s="112" t="str">
        <f>VLOOKUP(D191,Table2[[ID Petugas]:[Nama]],2,false)</f>
        <v>Marudut Silaban, SE, MM</v>
      </c>
      <c r="F191" s="114"/>
      <c r="G191" s="113"/>
      <c r="H191" s="113"/>
      <c r="I191" s="113"/>
    </row>
    <row r="192">
      <c r="A192" s="13" t="s">
        <v>3020</v>
      </c>
      <c r="B192" s="110">
        <v>45937.0</v>
      </c>
      <c r="C192" s="4">
        <v>1.0</v>
      </c>
      <c r="D192" s="111" t="s">
        <v>2614</v>
      </c>
      <c r="E192" s="112" t="str">
        <f>VLOOKUP(D192,Table2[[ID Petugas]:[Nama]],2,false)</f>
        <v>Ribka Anggina Tarigan, SST</v>
      </c>
      <c r="F192" s="114"/>
      <c r="G192" s="113"/>
      <c r="H192" s="113"/>
      <c r="I192" s="113"/>
    </row>
    <row r="193">
      <c r="A193" s="13" t="s">
        <v>3021</v>
      </c>
      <c r="B193" s="110">
        <v>45937.0</v>
      </c>
      <c r="C193" s="4">
        <v>2.0</v>
      </c>
      <c r="D193" s="115" t="s">
        <v>2616</v>
      </c>
      <c r="E193" s="112" t="str">
        <f>VLOOKUP(D193,Table2[[ID Petugas]:[Nama]],2,false)</f>
        <v>Mike Ervans Purba, A.Md.Stat.</v>
      </c>
      <c r="F193" s="114"/>
      <c r="G193" s="113"/>
      <c r="H193" s="113"/>
      <c r="I193" s="113"/>
    </row>
    <row r="194">
      <c r="A194" s="13" t="s">
        <v>3022</v>
      </c>
      <c r="B194" s="110">
        <v>45938.0</v>
      </c>
      <c r="C194" s="4">
        <v>1.0</v>
      </c>
      <c r="D194" s="111" t="s">
        <v>2618</v>
      </c>
      <c r="E194" s="112" t="str">
        <f>VLOOKUP(D194,Table2[[ID Petugas]:[Nama]],2,false)</f>
        <v>Ratih Kurniawati, S.E.</v>
      </c>
      <c r="F194" s="114"/>
      <c r="G194" s="113"/>
      <c r="H194" s="113"/>
      <c r="I194" s="113"/>
    </row>
    <row r="195">
      <c r="A195" s="13" t="s">
        <v>3023</v>
      </c>
      <c r="B195" s="110">
        <v>45938.0</v>
      </c>
      <c r="C195" s="4">
        <v>2.0</v>
      </c>
      <c r="D195" s="115" t="s">
        <v>2634</v>
      </c>
      <c r="E195" s="112" t="str">
        <f>VLOOKUP(D195,Table2[[ID Petugas]:[Nama]],2,false)</f>
        <v>Monika Stevany Manurung, S.Tr.Stat.</v>
      </c>
      <c r="F195" s="114"/>
      <c r="G195" s="113"/>
      <c r="H195" s="113"/>
      <c r="I195" s="113"/>
    </row>
    <row r="196">
      <c r="A196" s="13" t="s">
        <v>3024</v>
      </c>
      <c r="B196" s="110">
        <v>45939.0</v>
      </c>
      <c r="C196" s="4">
        <v>1.0</v>
      </c>
      <c r="D196" s="112" t="s">
        <v>2630</v>
      </c>
      <c r="E196" s="112" t="str">
        <f>VLOOKUP(D196,Table2[[ID Petugas]:[Nama]],2,false)</f>
        <v>Anwar Sinaga, A.Md.</v>
      </c>
      <c r="F196" s="114"/>
      <c r="G196" s="113"/>
      <c r="H196" s="113"/>
      <c r="I196" s="113"/>
    </row>
    <row r="197">
      <c r="A197" s="13" t="s">
        <v>3025</v>
      </c>
      <c r="B197" s="110">
        <v>45939.0</v>
      </c>
      <c r="C197" s="4">
        <v>2.0</v>
      </c>
      <c r="D197" s="107" t="s">
        <v>2632</v>
      </c>
      <c r="E197" s="112" t="str">
        <f>VLOOKUP(D197,Table2[[ID Petugas]:[Nama]],2,false)</f>
        <v>Zunkifli Haryanto Yoko Ningrat Siahaan</v>
      </c>
      <c r="F197" s="114"/>
      <c r="G197" s="113"/>
      <c r="H197" s="113"/>
      <c r="I197" s="113"/>
    </row>
    <row r="198">
      <c r="A198" s="13" t="s">
        <v>3026</v>
      </c>
      <c r="B198" s="110">
        <v>45940.0</v>
      </c>
      <c r="C198" s="4">
        <v>1.0</v>
      </c>
      <c r="D198" s="107" t="s">
        <v>2638</v>
      </c>
      <c r="E198" s="112" t="str">
        <f>VLOOKUP(D198,Table2[[ID Petugas]:[Nama]],2,false)</f>
        <v>Efendy Girsang, SP</v>
      </c>
      <c r="F198" s="114"/>
      <c r="G198" s="113"/>
      <c r="H198" s="113"/>
      <c r="I198" s="113"/>
    </row>
    <row r="199">
      <c r="A199" s="13" t="s">
        <v>3027</v>
      </c>
      <c r="B199" s="110">
        <v>45940.0</v>
      </c>
      <c r="C199" s="4">
        <v>2.0</v>
      </c>
      <c r="D199" s="107" t="s">
        <v>2636</v>
      </c>
      <c r="E199" s="112" t="str">
        <f>VLOOKUP(D199,Table2[[ID Petugas]:[Nama]],2,false)</f>
        <v>Wiwik Rahayuni Lumban Gaol, A.Md</v>
      </c>
      <c r="F199" s="114"/>
      <c r="G199" s="113"/>
      <c r="H199" s="113"/>
      <c r="I199" s="113"/>
    </row>
    <row r="200">
      <c r="A200" s="13" t="s">
        <v>3028</v>
      </c>
      <c r="B200" s="110">
        <v>45943.0</v>
      </c>
      <c r="C200" s="4">
        <v>1.0</v>
      </c>
      <c r="D200" s="107" t="s">
        <v>2600</v>
      </c>
      <c r="E200" s="112" t="str">
        <f>VLOOKUP(D200,Table2[[ID Petugas]:[Nama]],2,false)</f>
        <v>Emmi Manurung, S.E.</v>
      </c>
      <c r="F200" s="114"/>
      <c r="G200" s="113"/>
      <c r="H200" s="113"/>
      <c r="I200" s="113"/>
    </row>
    <row r="201">
      <c r="A201" s="13" t="s">
        <v>3029</v>
      </c>
      <c r="B201" s="110">
        <v>45943.0</v>
      </c>
      <c r="C201" s="4">
        <v>2.0</v>
      </c>
      <c r="D201" s="111" t="s">
        <v>2640</v>
      </c>
      <c r="E201" s="112" t="str">
        <f>VLOOKUP(D201,Table2[[ID Petugas]:[Nama]],2,false)</f>
        <v>Tetty Saorma Hasiholan, S.Si</v>
      </c>
      <c r="F201" s="114"/>
      <c r="G201" s="113"/>
      <c r="H201" s="113"/>
      <c r="I201" s="113"/>
    </row>
    <row r="202">
      <c r="A202" s="13" t="s">
        <v>3030</v>
      </c>
      <c r="B202" s="110">
        <v>45944.0</v>
      </c>
      <c r="C202" s="4">
        <v>1.0</v>
      </c>
      <c r="D202" s="118" t="s">
        <v>2604</v>
      </c>
      <c r="E202" s="112" t="str">
        <f>VLOOKUP(D202,Table2[[ID Petugas]:[Nama]],2,false)</f>
        <v>Frisca Ulina Br Munthe,S.Tr.Stat.</v>
      </c>
      <c r="F202" s="114"/>
      <c r="G202" s="113"/>
      <c r="H202" s="113"/>
      <c r="I202" s="113"/>
    </row>
    <row r="203">
      <c r="A203" s="13" t="s">
        <v>3031</v>
      </c>
      <c r="B203" s="110">
        <v>45944.0</v>
      </c>
      <c r="C203" s="4">
        <v>2.0</v>
      </c>
      <c r="D203" s="118" t="s">
        <v>2598</v>
      </c>
      <c r="E203" s="112" t="str">
        <f>VLOOKUP(D203,Table2[[ID Petugas]:[Nama]],2,false)</f>
        <v>Sangaptua Deo Datus Sagala, S.Tr.Stat.</v>
      </c>
      <c r="F203" s="114"/>
      <c r="G203" s="113"/>
      <c r="H203" s="113"/>
      <c r="I203" s="113"/>
    </row>
    <row r="204">
      <c r="A204" s="13" t="s">
        <v>3032</v>
      </c>
      <c r="B204" s="110">
        <v>45945.0</v>
      </c>
      <c r="C204" s="4">
        <v>1.0</v>
      </c>
      <c r="D204" s="118" t="s">
        <v>2608</v>
      </c>
      <c r="E204" s="112" t="str">
        <f>VLOOKUP(D204,Table2[[ID Petugas]:[Nama]],2,false)</f>
        <v>Jaksen Ferry Judo Lingga S.Si</v>
      </c>
      <c r="F204" s="114"/>
      <c r="G204" s="113"/>
      <c r="H204" s="113"/>
      <c r="I204" s="113"/>
    </row>
    <row r="205">
      <c r="A205" s="13" t="s">
        <v>3033</v>
      </c>
      <c r="B205" s="110">
        <v>45945.0</v>
      </c>
      <c r="C205" s="4">
        <v>2.0</v>
      </c>
      <c r="D205" s="118" t="s">
        <v>2602</v>
      </c>
      <c r="E205" s="112" t="str">
        <f>VLOOKUP(D205,Table2[[ID Petugas]:[Nama]],2,false)</f>
        <v>Sahnas Aisyiah Maha, S.Tr.Stat.</v>
      </c>
      <c r="F205" s="114"/>
      <c r="G205" s="113"/>
      <c r="H205" s="113"/>
      <c r="I205" s="113"/>
    </row>
    <row r="206">
      <c r="A206" s="13" t="s">
        <v>3034</v>
      </c>
      <c r="B206" s="110">
        <v>45946.0</v>
      </c>
      <c r="C206" s="4">
        <v>1.0</v>
      </c>
      <c r="D206" s="115" t="s">
        <v>2628</v>
      </c>
      <c r="E206" s="112" t="str">
        <f>VLOOKUP(D206,Table2[[ID Petugas]:[Nama]],2,false)</f>
        <v>Juando Siallagan, S.Tr.Stat.</v>
      </c>
      <c r="F206" s="114"/>
      <c r="G206" s="113"/>
      <c r="H206" s="113"/>
      <c r="I206" s="113"/>
    </row>
    <row r="207">
      <c r="A207" s="13" t="s">
        <v>3035</v>
      </c>
      <c r="B207" s="110">
        <v>45946.0</v>
      </c>
      <c r="C207" s="4">
        <v>2.0</v>
      </c>
      <c r="D207" s="111" t="s">
        <v>2606</v>
      </c>
      <c r="E207" s="112" t="str">
        <f>VLOOKUP(D207,Table2[[ID Petugas]:[Nama]],2,false)</f>
        <v>Rivaldi, S.Tr.Stat.</v>
      </c>
      <c r="F207" s="114"/>
      <c r="G207" s="113"/>
      <c r="H207" s="113"/>
      <c r="I207" s="113"/>
    </row>
    <row r="208">
      <c r="A208" s="13" t="s">
        <v>3036</v>
      </c>
      <c r="B208" s="110">
        <v>45947.0</v>
      </c>
      <c r="C208" s="4">
        <v>1.0</v>
      </c>
      <c r="D208" s="118" t="s">
        <v>2624</v>
      </c>
      <c r="E208" s="112" t="str">
        <f>VLOOKUP(D208,Table2[[ID Petugas]:[Nama]],2,false)</f>
        <v>Marudut Silaban, SE, MM</v>
      </c>
      <c r="F208" s="114"/>
      <c r="G208" s="113"/>
      <c r="H208" s="113"/>
      <c r="I208" s="113"/>
    </row>
    <row r="209">
      <c r="A209" s="13" t="s">
        <v>3037</v>
      </c>
      <c r="B209" s="110">
        <v>45947.0</v>
      </c>
      <c r="C209" s="4">
        <v>2.0</v>
      </c>
      <c r="D209" s="118" t="s">
        <v>2943</v>
      </c>
      <c r="E209" s="112" t="str">
        <f>VLOOKUP(D209,Table2[[ID Petugas]:[Nama]],2,false)</f>
        <v>Richardo Tober Sihombing, S.Si</v>
      </c>
      <c r="F209" s="114"/>
      <c r="G209" s="113"/>
      <c r="H209" s="113"/>
      <c r="I209" s="113"/>
    </row>
    <row r="210">
      <c r="A210" s="13" t="s">
        <v>3038</v>
      </c>
      <c r="B210" s="110">
        <v>45950.0</v>
      </c>
      <c r="C210" s="4">
        <v>1.0</v>
      </c>
      <c r="D210" s="115" t="s">
        <v>2616</v>
      </c>
      <c r="E210" s="112" t="str">
        <f>VLOOKUP(D210,Table2[[ID Petugas]:[Nama]],2,false)</f>
        <v>Mike Ervans Purba, A.Md.Stat.</v>
      </c>
      <c r="F210" s="114"/>
      <c r="G210" s="113"/>
      <c r="H210" s="113"/>
      <c r="I210" s="113"/>
    </row>
    <row r="211">
      <c r="A211" s="13" t="s">
        <v>3039</v>
      </c>
      <c r="B211" s="110">
        <v>45950.0</v>
      </c>
      <c r="C211" s="4">
        <v>2.0</v>
      </c>
      <c r="D211" s="111" t="s">
        <v>2614</v>
      </c>
      <c r="E211" s="112" t="str">
        <f>VLOOKUP(D211,Table2[[ID Petugas]:[Nama]],2,false)</f>
        <v>Ribka Anggina Tarigan, SST</v>
      </c>
      <c r="F211" s="114"/>
      <c r="G211" s="113"/>
      <c r="H211" s="113"/>
      <c r="I211" s="113"/>
    </row>
    <row r="212">
      <c r="A212" s="13" t="s">
        <v>3040</v>
      </c>
      <c r="B212" s="110">
        <v>45951.0</v>
      </c>
      <c r="C212" s="4">
        <v>1.0</v>
      </c>
      <c r="D212" s="115" t="s">
        <v>2634</v>
      </c>
      <c r="E212" s="112" t="str">
        <f>VLOOKUP(D212,Table2[[ID Petugas]:[Nama]],2,false)</f>
        <v>Monika Stevany Manurung, S.Tr.Stat.</v>
      </c>
      <c r="F212" s="114"/>
      <c r="G212" s="113"/>
      <c r="H212" s="113"/>
      <c r="I212" s="113"/>
    </row>
    <row r="213">
      <c r="A213" s="13" t="s">
        <v>3041</v>
      </c>
      <c r="B213" s="110">
        <v>45951.0</v>
      </c>
      <c r="C213" s="4">
        <v>2.0</v>
      </c>
      <c r="D213" s="111" t="s">
        <v>2618</v>
      </c>
      <c r="E213" s="112" t="str">
        <f>VLOOKUP(D213,Table2[[ID Petugas]:[Nama]],2,false)</f>
        <v>Ratih Kurniawati, S.E.</v>
      </c>
      <c r="F213" s="114"/>
      <c r="G213" s="113"/>
      <c r="H213" s="113"/>
      <c r="I213" s="113"/>
    </row>
    <row r="214">
      <c r="A214" s="13" t="s">
        <v>3042</v>
      </c>
      <c r="B214" s="110">
        <v>45952.0</v>
      </c>
      <c r="C214" s="4">
        <v>1.0</v>
      </c>
      <c r="D214" s="107" t="s">
        <v>2632</v>
      </c>
      <c r="E214" s="112" t="str">
        <f>VLOOKUP(D214,Table2[[ID Petugas]:[Nama]],2,false)</f>
        <v>Zunkifli Haryanto Yoko Ningrat Siahaan</v>
      </c>
      <c r="F214" s="114"/>
      <c r="G214" s="113"/>
      <c r="H214" s="113"/>
      <c r="I214" s="113"/>
    </row>
    <row r="215">
      <c r="A215" s="13" t="s">
        <v>3043</v>
      </c>
      <c r="B215" s="110">
        <v>45952.0</v>
      </c>
      <c r="C215" s="4">
        <v>2.0</v>
      </c>
      <c r="D215" s="112" t="s">
        <v>2630</v>
      </c>
      <c r="E215" s="112" t="str">
        <f>VLOOKUP(D215,Table2[[ID Petugas]:[Nama]],2,false)</f>
        <v>Anwar Sinaga, A.Md.</v>
      </c>
      <c r="F215" s="114"/>
      <c r="G215" s="113"/>
      <c r="H215" s="113"/>
      <c r="I215" s="113"/>
    </row>
    <row r="216">
      <c r="A216" s="13" t="s">
        <v>3044</v>
      </c>
      <c r="B216" s="110">
        <v>45953.0</v>
      </c>
      <c r="C216" s="4">
        <v>1.0</v>
      </c>
      <c r="D216" s="107" t="s">
        <v>2636</v>
      </c>
      <c r="E216" s="112" t="str">
        <f>VLOOKUP(D216,Table2[[ID Petugas]:[Nama]],2,false)</f>
        <v>Wiwik Rahayuni Lumban Gaol, A.Md</v>
      </c>
      <c r="F216" s="114"/>
      <c r="G216" s="113"/>
      <c r="H216" s="113"/>
      <c r="I216" s="113"/>
    </row>
    <row r="217">
      <c r="A217" s="13" t="s">
        <v>3045</v>
      </c>
      <c r="B217" s="110">
        <v>45953.0</v>
      </c>
      <c r="C217" s="4">
        <v>2.0</v>
      </c>
      <c r="D217" s="107" t="s">
        <v>2638</v>
      </c>
      <c r="E217" s="112" t="str">
        <f>VLOOKUP(D217,Table2[[ID Petugas]:[Nama]],2,false)</f>
        <v>Efendy Girsang, SP</v>
      </c>
      <c r="F217" s="114"/>
      <c r="G217" s="113"/>
      <c r="H217" s="113"/>
      <c r="I217" s="113"/>
    </row>
    <row r="218">
      <c r="A218" s="13" t="s">
        <v>3046</v>
      </c>
      <c r="B218" s="110">
        <v>45954.0</v>
      </c>
      <c r="C218" s="4">
        <v>1.0</v>
      </c>
      <c r="D218" s="111" t="s">
        <v>2640</v>
      </c>
      <c r="E218" s="112" t="str">
        <f>VLOOKUP(D218,Table2[[ID Petugas]:[Nama]],2,false)</f>
        <v>Tetty Saorma Hasiholan, S.Si</v>
      </c>
      <c r="F218" s="114"/>
      <c r="G218" s="113"/>
      <c r="H218" s="113"/>
      <c r="I218" s="113"/>
    </row>
    <row r="219">
      <c r="A219" s="13" t="s">
        <v>3047</v>
      </c>
      <c r="B219" s="110">
        <v>45954.0</v>
      </c>
      <c r="C219" s="4">
        <v>2.0</v>
      </c>
      <c r="D219" s="107" t="s">
        <v>2600</v>
      </c>
      <c r="E219" s="112" t="str">
        <f>VLOOKUP(D219,Table2[[ID Petugas]:[Nama]],2,false)</f>
        <v>Emmi Manurung, S.E.</v>
      </c>
      <c r="F219" s="114"/>
      <c r="G219" s="113"/>
      <c r="H219" s="113"/>
      <c r="I219" s="113"/>
    </row>
    <row r="220">
      <c r="A220" s="13" t="s">
        <v>3048</v>
      </c>
      <c r="B220" s="110">
        <v>45957.0</v>
      </c>
      <c r="C220" s="4">
        <v>1.0</v>
      </c>
      <c r="D220" s="118" t="s">
        <v>2598</v>
      </c>
      <c r="E220" s="112" t="str">
        <f>VLOOKUP(D220,Table2[[ID Petugas]:[Nama]],2,false)</f>
        <v>Sangaptua Deo Datus Sagala, S.Tr.Stat.</v>
      </c>
      <c r="F220" s="114"/>
      <c r="G220" s="113"/>
      <c r="H220" s="113"/>
      <c r="I220" s="113"/>
    </row>
    <row r="221">
      <c r="A221" s="13" t="s">
        <v>3049</v>
      </c>
      <c r="B221" s="110">
        <v>45957.0</v>
      </c>
      <c r="C221" s="4">
        <v>2.0</v>
      </c>
      <c r="D221" s="118" t="s">
        <v>2604</v>
      </c>
      <c r="E221" s="112" t="str">
        <f>VLOOKUP(D221,Table2[[ID Petugas]:[Nama]],2,false)</f>
        <v>Frisca Ulina Br Munthe,S.Tr.Stat.</v>
      </c>
      <c r="F221" s="114"/>
      <c r="G221" s="113"/>
      <c r="H221" s="113"/>
      <c r="I221" s="113"/>
    </row>
    <row r="222">
      <c r="A222" s="13" t="s">
        <v>3050</v>
      </c>
      <c r="B222" s="110">
        <v>45958.0</v>
      </c>
      <c r="C222" s="4">
        <v>1.0</v>
      </c>
      <c r="D222" s="118" t="s">
        <v>2602</v>
      </c>
      <c r="E222" s="112" t="str">
        <f>VLOOKUP(D222,Table2[[ID Petugas]:[Nama]],2,false)</f>
        <v>Sahnas Aisyiah Maha, S.Tr.Stat.</v>
      </c>
      <c r="F222" s="114"/>
      <c r="G222" s="113"/>
      <c r="H222" s="113"/>
      <c r="I222" s="113"/>
    </row>
    <row r="223">
      <c r="A223" s="13" t="s">
        <v>3051</v>
      </c>
      <c r="B223" s="110">
        <v>45958.0</v>
      </c>
      <c r="C223" s="4">
        <v>2.0</v>
      </c>
      <c r="D223" s="118" t="s">
        <v>2608</v>
      </c>
      <c r="E223" s="112" t="str">
        <f>VLOOKUP(D223,Table2[[ID Petugas]:[Nama]],2,false)</f>
        <v>Jaksen Ferry Judo Lingga S.Si</v>
      </c>
      <c r="F223" s="114"/>
      <c r="G223" s="113"/>
      <c r="H223" s="113"/>
      <c r="I223" s="113"/>
    </row>
    <row r="224">
      <c r="A224" s="13" t="s">
        <v>3052</v>
      </c>
      <c r="B224" s="110">
        <v>45959.0</v>
      </c>
      <c r="C224" s="4">
        <v>1.0</v>
      </c>
      <c r="D224" s="111" t="s">
        <v>2606</v>
      </c>
      <c r="E224" s="112" t="str">
        <f>VLOOKUP(D224,Table2[[ID Petugas]:[Nama]],2,false)</f>
        <v>Rivaldi, S.Tr.Stat.</v>
      </c>
      <c r="F224" s="114"/>
      <c r="G224" s="113"/>
      <c r="H224" s="113"/>
      <c r="I224" s="113"/>
    </row>
    <row r="225">
      <c r="A225" s="13" t="s">
        <v>3053</v>
      </c>
      <c r="B225" s="110">
        <v>45959.0</v>
      </c>
      <c r="C225" s="4">
        <v>2.0</v>
      </c>
      <c r="D225" s="115" t="s">
        <v>2628</v>
      </c>
      <c r="E225" s="112" t="str">
        <f>VLOOKUP(D225,Table2[[ID Petugas]:[Nama]],2,false)</f>
        <v>Juando Siallagan, S.Tr.Stat.</v>
      </c>
      <c r="F225" s="114"/>
      <c r="G225" s="113"/>
      <c r="H225" s="113"/>
      <c r="I225" s="113"/>
    </row>
    <row r="226">
      <c r="A226" s="13" t="s">
        <v>3054</v>
      </c>
      <c r="B226" s="110">
        <v>45960.0</v>
      </c>
      <c r="C226" s="4">
        <v>1.0</v>
      </c>
      <c r="D226" s="118" t="s">
        <v>2943</v>
      </c>
      <c r="E226" s="112" t="str">
        <f>VLOOKUP(D226,Table2[[ID Petugas]:[Nama]],2,false)</f>
        <v>Richardo Tober Sihombing, S.Si</v>
      </c>
      <c r="F226" s="114"/>
      <c r="G226" s="113"/>
      <c r="H226" s="113"/>
      <c r="I226" s="113"/>
    </row>
    <row r="227">
      <c r="A227" s="13" t="s">
        <v>3055</v>
      </c>
      <c r="B227" s="110">
        <v>45960.0</v>
      </c>
      <c r="C227" s="4">
        <v>2.0</v>
      </c>
      <c r="D227" s="118" t="s">
        <v>2624</v>
      </c>
      <c r="E227" s="112" t="str">
        <f>VLOOKUP(D227,Table2[[ID Petugas]:[Nama]],2,false)</f>
        <v>Marudut Silaban, SE, MM</v>
      </c>
      <c r="F227" s="114"/>
      <c r="G227" s="113"/>
      <c r="H227" s="113"/>
      <c r="I227" s="113"/>
    </row>
    <row r="228">
      <c r="A228" s="13" t="s">
        <v>3056</v>
      </c>
      <c r="B228" s="110">
        <v>45961.0</v>
      </c>
      <c r="C228" s="4">
        <v>1.0</v>
      </c>
      <c r="D228" s="111" t="s">
        <v>2614</v>
      </c>
      <c r="E228" s="112" t="str">
        <f>VLOOKUP(D228,Table2[[ID Petugas]:[Nama]],2,false)</f>
        <v>Ribka Anggina Tarigan, SST</v>
      </c>
      <c r="F228" s="114"/>
      <c r="G228" s="113"/>
      <c r="H228" s="113"/>
      <c r="I228" s="113"/>
    </row>
    <row r="229">
      <c r="A229" s="13" t="s">
        <v>3057</v>
      </c>
      <c r="B229" s="110">
        <v>45961.0</v>
      </c>
      <c r="C229" s="4">
        <v>2.0</v>
      </c>
      <c r="D229" s="115" t="s">
        <v>2616</v>
      </c>
      <c r="E229" s="112" t="str">
        <f>VLOOKUP(D229,Table2[[ID Petugas]:[Nama]],2,false)</f>
        <v>Mike Ervans Purba, A.Md.Stat.</v>
      </c>
      <c r="F229" s="114"/>
      <c r="G229" s="113"/>
      <c r="H229" s="113"/>
      <c r="I229" s="113"/>
    </row>
    <row r="230">
      <c r="A230" s="13" t="s">
        <v>3058</v>
      </c>
      <c r="B230" s="110">
        <v>45964.0</v>
      </c>
      <c r="C230" s="4">
        <v>1.0</v>
      </c>
      <c r="D230" s="111" t="s">
        <v>2618</v>
      </c>
      <c r="E230" s="112" t="str">
        <f>VLOOKUP(D230,Table2[[ID Petugas]:[Nama]],2,false)</f>
        <v>Ratih Kurniawati, S.E.</v>
      </c>
      <c r="F230" s="114"/>
      <c r="G230" s="113"/>
      <c r="H230" s="113"/>
      <c r="I230" s="113"/>
    </row>
    <row r="231">
      <c r="A231" s="13" t="s">
        <v>3059</v>
      </c>
      <c r="B231" s="110">
        <v>45964.0</v>
      </c>
      <c r="C231" s="4">
        <v>2.0</v>
      </c>
      <c r="D231" s="115" t="s">
        <v>2634</v>
      </c>
      <c r="E231" s="112" t="str">
        <f>VLOOKUP(D231,Table2[[ID Petugas]:[Nama]],2,false)</f>
        <v>Monika Stevany Manurung, S.Tr.Stat.</v>
      </c>
      <c r="F231" s="114"/>
      <c r="G231" s="113"/>
      <c r="H231" s="113"/>
      <c r="I231" s="113"/>
    </row>
    <row r="232">
      <c r="A232" s="13" t="s">
        <v>3060</v>
      </c>
      <c r="B232" s="110">
        <v>45965.0</v>
      </c>
      <c r="C232" s="4">
        <v>1.0</v>
      </c>
      <c r="D232" s="112" t="s">
        <v>2630</v>
      </c>
      <c r="E232" s="112" t="str">
        <f>VLOOKUP(D232,Table2[[ID Petugas]:[Nama]],2,false)</f>
        <v>Anwar Sinaga, A.Md.</v>
      </c>
      <c r="F232" s="114"/>
      <c r="G232" s="113"/>
      <c r="H232" s="113"/>
      <c r="I232" s="113"/>
    </row>
    <row r="233">
      <c r="A233" s="13" t="s">
        <v>3061</v>
      </c>
      <c r="B233" s="110">
        <v>45965.0</v>
      </c>
      <c r="C233" s="4">
        <v>2.0</v>
      </c>
      <c r="D233" s="107" t="s">
        <v>2632</v>
      </c>
      <c r="E233" s="112" t="str">
        <f>VLOOKUP(D233,Table2[[ID Petugas]:[Nama]],2,false)</f>
        <v>Zunkifli Haryanto Yoko Ningrat Siahaan</v>
      </c>
      <c r="F233" s="114"/>
      <c r="G233" s="113"/>
      <c r="H233" s="113"/>
      <c r="I233" s="113"/>
    </row>
    <row r="234">
      <c r="A234" s="13" t="s">
        <v>3062</v>
      </c>
      <c r="B234" s="110">
        <v>45966.0</v>
      </c>
      <c r="C234" s="4">
        <v>1.0</v>
      </c>
      <c r="D234" s="107" t="s">
        <v>2638</v>
      </c>
      <c r="E234" s="112" t="str">
        <f>VLOOKUP(D234,Table2[[ID Petugas]:[Nama]],2,false)</f>
        <v>Efendy Girsang, SP</v>
      </c>
      <c r="F234" s="114"/>
      <c r="G234" s="113"/>
      <c r="H234" s="113"/>
      <c r="I234" s="113"/>
    </row>
    <row r="235">
      <c r="A235" s="13" t="s">
        <v>3063</v>
      </c>
      <c r="B235" s="110">
        <v>45966.0</v>
      </c>
      <c r="C235" s="4">
        <v>2.0</v>
      </c>
      <c r="D235" s="107" t="s">
        <v>2636</v>
      </c>
      <c r="E235" s="112" t="str">
        <f>VLOOKUP(D235,Table2[[ID Petugas]:[Nama]],2,false)</f>
        <v>Wiwik Rahayuni Lumban Gaol, A.Md</v>
      </c>
      <c r="F235" s="114"/>
      <c r="G235" s="113"/>
      <c r="H235" s="113"/>
      <c r="I235" s="113"/>
    </row>
    <row r="236">
      <c r="A236" s="13" t="s">
        <v>3064</v>
      </c>
      <c r="B236" s="110">
        <v>45967.0</v>
      </c>
      <c r="C236" s="4">
        <v>1.0</v>
      </c>
      <c r="D236" s="107" t="s">
        <v>2600</v>
      </c>
      <c r="E236" s="112" t="str">
        <f>VLOOKUP(D236,Table2[[ID Petugas]:[Nama]],2,false)</f>
        <v>Emmi Manurung, S.E.</v>
      </c>
      <c r="F236" s="114"/>
      <c r="G236" s="113"/>
      <c r="H236" s="113"/>
      <c r="I236" s="113"/>
    </row>
    <row r="237">
      <c r="A237" s="13" t="s">
        <v>3065</v>
      </c>
      <c r="B237" s="110">
        <v>45967.0</v>
      </c>
      <c r="C237" s="4">
        <v>2.0</v>
      </c>
      <c r="D237" s="111" t="s">
        <v>2640</v>
      </c>
      <c r="E237" s="112" t="str">
        <f>VLOOKUP(D237,Table2[[ID Petugas]:[Nama]],2,false)</f>
        <v>Tetty Saorma Hasiholan, S.Si</v>
      </c>
      <c r="F237" s="114"/>
      <c r="G237" s="113"/>
      <c r="H237" s="113"/>
      <c r="I237" s="113"/>
    </row>
    <row r="238">
      <c r="A238" s="13" t="s">
        <v>3066</v>
      </c>
      <c r="B238" s="110">
        <v>45968.0</v>
      </c>
      <c r="C238" s="4">
        <v>1.0</v>
      </c>
      <c r="D238" s="118" t="s">
        <v>2604</v>
      </c>
      <c r="E238" s="112" t="str">
        <f>VLOOKUP(D238,Table2[[ID Petugas]:[Nama]],2,false)</f>
        <v>Frisca Ulina Br Munthe,S.Tr.Stat.</v>
      </c>
      <c r="F238" s="114"/>
      <c r="G238" s="113"/>
      <c r="H238" s="113"/>
      <c r="I238" s="113"/>
    </row>
    <row r="239">
      <c r="A239" s="13" t="s">
        <v>3067</v>
      </c>
      <c r="B239" s="110">
        <v>45968.0</v>
      </c>
      <c r="C239" s="4">
        <v>2.0</v>
      </c>
      <c r="D239" s="118" t="s">
        <v>2598</v>
      </c>
      <c r="E239" s="112" t="str">
        <f>VLOOKUP(D239,Table2[[ID Petugas]:[Nama]],2,false)</f>
        <v>Sangaptua Deo Datus Sagala, S.Tr.Stat.</v>
      </c>
      <c r="F239" s="114"/>
      <c r="G239" s="113"/>
      <c r="H239" s="113"/>
      <c r="I239" s="113"/>
    </row>
    <row r="240">
      <c r="A240" s="13" t="s">
        <v>3068</v>
      </c>
      <c r="B240" s="110">
        <v>45971.0</v>
      </c>
      <c r="C240" s="4">
        <v>1.0</v>
      </c>
      <c r="D240" s="118" t="s">
        <v>2608</v>
      </c>
      <c r="E240" s="112" t="str">
        <f>VLOOKUP(D240,Table2[[ID Petugas]:[Nama]],2,false)</f>
        <v>Jaksen Ferry Judo Lingga S.Si</v>
      </c>
      <c r="F240" s="114"/>
      <c r="G240" s="113"/>
      <c r="H240" s="113"/>
      <c r="I240" s="113"/>
    </row>
    <row r="241">
      <c r="A241" s="13" t="s">
        <v>3069</v>
      </c>
      <c r="B241" s="110">
        <v>45971.0</v>
      </c>
      <c r="C241" s="4">
        <v>2.0</v>
      </c>
      <c r="D241" s="118" t="s">
        <v>2602</v>
      </c>
      <c r="E241" s="112" t="str">
        <f>VLOOKUP(D241,Table2[[ID Petugas]:[Nama]],2,false)</f>
        <v>Sahnas Aisyiah Maha, S.Tr.Stat.</v>
      </c>
      <c r="F241" s="114"/>
      <c r="G241" s="113"/>
      <c r="H241" s="113"/>
      <c r="I241" s="113"/>
    </row>
    <row r="242">
      <c r="A242" s="13" t="s">
        <v>3070</v>
      </c>
      <c r="B242" s="110">
        <v>45972.0</v>
      </c>
      <c r="C242" s="4">
        <v>1.0</v>
      </c>
      <c r="D242" s="115" t="s">
        <v>2628</v>
      </c>
      <c r="E242" s="112" t="str">
        <f>VLOOKUP(D242,Table2[[ID Petugas]:[Nama]],2,false)</f>
        <v>Juando Siallagan, S.Tr.Stat.</v>
      </c>
      <c r="F242" s="114"/>
      <c r="G242" s="113"/>
      <c r="H242" s="113"/>
      <c r="I242" s="113"/>
    </row>
    <row r="243">
      <c r="A243" s="13" t="s">
        <v>3071</v>
      </c>
      <c r="B243" s="110">
        <v>45972.0</v>
      </c>
      <c r="C243" s="4">
        <v>2.0</v>
      </c>
      <c r="D243" s="111" t="s">
        <v>2606</v>
      </c>
      <c r="E243" s="112" t="str">
        <f>VLOOKUP(D243,Table2[[ID Petugas]:[Nama]],2,false)</f>
        <v>Rivaldi, S.Tr.Stat.</v>
      </c>
      <c r="F243" s="114"/>
      <c r="G243" s="113"/>
      <c r="H243" s="113"/>
      <c r="I243" s="113"/>
    </row>
    <row r="244">
      <c r="A244" s="13" t="s">
        <v>3072</v>
      </c>
      <c r="B244" s="110">
        <v>45973.0</v>
      </c>
      <c r="C244" s="4">
        <v>1.0</v>
      </c>
      <c r="D244" s="118" t="s">
        <v>2624</v>
      </c>
      <c r="E244" s="112" t="str">
        <f>VLOOKUP(D244,Table2[[ID Petugas]:[Nama]],2,false)</f>
        <v>Marudut Silaban, SE, MM</v>
      </c>
      <c r="F244" s="114"/>
      <c r="G244" s="113"/>
      <c r="H244" s="113"/>
      <c r="I244" s="113"/>
    </row>
    <row r="245">
      <c r="A245" s="13" t="s">
        <v>3073</v>
      </c>
      <c r="B245" s="110">
        <v>45973.0</v>
      </c>
      <c r="C245" s="4">
        <v>2.0</v>
      </c>
      <c r="D245" s="118" t="s">
        <v>2943</v>
      </c>
      <c r="E245" s="112" t="str">
        <f>VLOOKUP(D245,Table2[[ID Petugas]:[Nama]],2,false)</f>
        <v>Richardo Tober Sihombing, S.Si</v>
      </c>
      <c r="F245" s="114"/>
      <c r="G245" s="113"/>
      <c r="H245" s="113"/>
      <c r="I245" s="113"/>
    </row>
    <row r="246">
      <c r="A246" s="13" t="s">
        <v>3074</v>
      </c>
      <c r="B246" s="110">
        <v>45974.0</v>
      </c>
      <c r="C246" s="4">
        <v>1.0</v>
      </c>
      <c r="D246" s="115" t="s">
        <v>2616</v>
      </c>
      <c r="E246" s="112" t="str">
        <f>VLOOKUP(D246,Table2[[ID Petugas]:[Nama]],2,false)</f>
        <v>Mike Ervans Purba, A.Md.Stat.</v>
      </c>
      <c r="F246" s="114"/>
      <c r="G246" s="113"/>
      <c r="H246" s="113"/>
      <c r="I246" s="113"/>
    </row>
    <row r="247">
      <c r="A247" s="13" t="s">
        <v>3075</v>
      </c>
      <c r="B247" s="110">
        <v>45974.0</v>
      </c>
      <c r="C247" s="4">
        <v>2.0</v>
      </c>
      <c r="D247" s="111" t="s">
        <v>2614</v>
      </c>
      <c r="E247" s="112" t="str">
        <f>VLOOKUP(D247,Table2[[ID Petugas]:[Nama]],2,false)</f>
        <v>Ribka Anggina Tarigan, SST</v>
      </c>
      <c r="F247" s="114"/>
      <c r="G247" s="113"/>
      <c r="H247" s="113"/>
      <c r="I247" s="113"/>
    </row>
    <row r="248">
      <c r="A248" s="13" t="s">
        <v>3076</v>
      </c>
      <c r="B248" s="110">
        <v>45975.0</v>
      </c>
      <c r="C248" s="4">
        <v>1.0</v>
      </c>
      <c r="D248" s="115" t="s">
        <v>2634</v>
      </c>
      <c r="E248" s="112" t="str">
        <f>VLOOKUP(D248,Table2[[ID Petugas]:[Nama]],2,false)</f>
        <v>Monika Stevany Manurung, S.Tr.Stat.</v>
      </c>
      <c r="F248" s="114"/>
      <c r="G248" s="113"/>
      <c r="H248" s="113"/>
      <c r="I248" s="113"/>
    </row>
    <row r="249">
      <c r="A249" s="13" t="s">
        <v>3077</v>
      </c>
      <c r="B249" s="110">
        <v>45975.0</v>
      </c>
      <c r="C249" s="4">
        <v>2.0</v>
      </c>
      <c r="D249" s="111" t="s">
        <v>2618</v>
      </c>
      <c r="E249" s="112" t="str">
        <f>VLOOKUP(D249,Table2[[ID Petugas]:[Nama]],2,false)</f>
        <v>Ratih Kurniawati, S.E.</v>
      </c>
      <c r="F249" s="114"/>
      <c r="G249" s="113"/>
      <c r="H249" s="113"/>
      <c r="I249" s="113"/>
    </row>
    <row r="250">
      <c r="A250" s="13" t="s">
        <v>3078</v>
      </c>
      <c r="B250" s="110">
        <v>45978.0</v>
      </c>
      <c r="C250" s="4">
        <v>1.0</v>
      </c>
      <c r="D250" s="107" t="s">
        <v>2632</v>
      </c>
      <c r="E250" s="112" t="str">
        <f>VLOOKUP(D250,Table2[[ID Petugas]:[Nama]],2,false)</f>
        <v>Zunkifli Haryanto Yoko Ningrat Siahaan</v>
      </c>
      <c r="F250" s="114"/>
      <c r="G250" s="113"/>
      <c r="H250" s="113"/>
      <c r="I250" s="113"/>
    </row>
    <row r="251">
      <c r="A251" s="13" t="s">
        <v>3079</v>
      </c>
      <c r="B251" s="110">
        <v>45978.0</v>
      </c>
      <c r="C251" s="4">
        <v>2.0</v>
      </c>
      <c r="D251" s="112" t="s">
        <v>2630</v>
      </c>
      <c r="E251" s="112" t="str">
        <f>VLOOKUP(D251,Table2[[ID Petugas]:[Nama]],2,false)</f>
        <v>Anwar Sinaga, A.Md.</v>
      </c>
      <c r="F251" s="114"/>
      <c r="G251" s="113"/>
      <c r="H251" s="113"/>
      <c r="I251" s="113"/>
    </row>
    <row r="252">
      <c r="A252" s="13" t="s">
        <v>3080</v>
      </c>
      <c r="B252" s="110">
        <v>45979.0</v>
      </c>
      <c r="C252" s="4">
        <v>1.0</v>
      </c>
      <c r="D252" s="107" t="s">
        <v>2636</v>
      </c>
      <c r="E252" s="112" t="str">
        <f>VLOOKUP(D252,Table2[[ID Petugas]:[Nama]],2,false)</f>
        <v>Wiwik Rahayuni Lumban Gaol, A.Md</v>
      </c>
      <c r="F252" s="114"/>
      <c r="G252" s="113"/>
      <c r="H252" s="113"/>
      <c r="I252" s="113"/>
    </row>
    <row r="253">
      <c r="A253" s="13" t="s">
        <v>3081</v>
      </c>
      <c r="B253" s="110">
        <v>45979.0</v>
      </c>
      <c r="C253" s="4">
        <v>2.0</v>
      </c>
      <c r="D253" s="107" t="s">
        <v>2638</v>
      </c>
      <c r="E253" s="112" t="str">
        <f>VLOOKUP(D253,Table2[[ID Petugas]:[Nama]],2,false)</f>
        <v>Efendy Girsang, SP</v>
      </c>
      <c r="F253" s="114"/>
      <c r="G253" s="113"/>
      <c r="H253" s="113"/>
      <c r="I253" s="113"/>
    </row>
    <row r="254">
      <c r="A254" s="13" t="s">
        <v>3082</v>
      </c>
      <c r="B254" s="110">
        <v>45980.0</v>
      </c>
      <c r="C254" s="4">
        <v>1.0</v>
      </c>
      <c r="D254" s="111" t="s">
        <v>2640</v>
      </c>
      <c r="E254" s="112" t="str">
        <f>VLOOKUP(D254,Table2[[ID Petugas]:[Nama]],2,false)</f>
        <v>Tetty Saorma Hasiholan, S.Si</v>
      </c>
      <c r="F254" s="114"/>
      <c r="G254" s="113"/>
      <c r="H254" s="113"/>
      <c r="I254" s="113"/>
    </row>
    <row r="255">
      <c r="A255" s="13" t="s">
        <v>3083</v>
      </c>
      <c r="B255" s="110">
        <v>45980.0</v>
      </c>
      <c r="C255" s="4">
        <v>2.0</v>
      </c>
      <c r="D255" s="107" t="s">
        <v>2600</v>
      </c>
      <c r="E255" s="112" t="str">
        <f>VLOOKUP(D255,Table2[[ID Petugas]:[Nama]],2,false)</f>
        <v>Emmi Manurung, S.E.</v>
      </c>
      <c r="F255" s="114"/>
      <c r="G255" s="113"/>
      <c r="H255" s="113"/>
      <c r="I255" s="113"/>
    </row>
    <row r="256">
      <c r="A256" s="13" t="s">
        <v>3084</v>
      </c>
      <c r="B256" s="110">
        <v>45981.0</v>
      </c>
      <c r="C256" s="4">
        <v>1.0</v>
      </c>
      <c r="D256" s="118" t="s">
        <v>2598</v>
      </c>
      <c r="E256" s="112" t="str">
        <f>VLOOKUP(D256,Table2[[ID Petugas]:[Nama]],2,false)</f>
        <v>Sangaptua Deo Datus Sagala, S.Tr.Stat.</v>
      </c>
      <c r="F256" s="114"/>
      <c r="G256" s="113"/>
      <c r="H256" s="113"/>
      <c r="I256" s="113"/>
    </row>
    <row r="257">
      <c r="A257" s="13" t="s">
        <v>3085</v>
      </c>
      <c r="B257" s="110">
        <v>45981.0</v>
      </c>
      <c r="C257" s="4">
        <v>2.0</v>
      </c>
      <c r="D257" s="118" t="s">
        <v>2604</v>
      </c>
      <c r="E257" s="112" t="str">
        <f>VLOOKUP(D257,Table2[[ID Petugas]:[Nama]],2,false)</f>
        <v>Frisca Ulina Br Munthe,S.Tr.Stat.</v>
      </c>
      <c r="F257" s="114"/>
      <c r="G257" s="113"/>
      <c r="H257" s="113"/>
      <c r="I257" s="113"/>
    </row>
    <row r="258">
      <c r="A258" s="13" t="s">
        <v>3086</v>
      </c>
      <c r="B258" s="110">
        <v>45982.0</v>
      </c>
      <c r="C258" s="4">
        <v>1.0</v>
      </c>
      <c r="D258" s="118" t="s">
        <v>2602</v>
      </c>
      <c r="E258" s="112" t="str">
        <f>VLOOKUP(D258,Table2[[ID Petugas]:[Nama]],2,false)</f>
        <v>Sahnas Aisyiah Maha, S.Tr.Stat.</v>
      </c>
      <c r="F258" s="114"/>
      <c r="G258" s="113"/>
      <c r="H258" s="113"/>
      <c r="I258" s="113"/>
    </row>
    <row r="259">
      <c r="A259" s="13" t="s">
        <v>3087</v>
      </c>
      <c r="B259" s="110">
        <v>45982.0</v>
      </c>
      <c r="C259" s="4">
        <v>2.0</v>
      </c>
      <c r="D259" s="118" t="s">
        <v>2608</v>
      </c>
      <c r="E259" s="112" t="str">
        <f>VLOOKUP(D259,Table2[[ID Petugas]:[Nama]],2,false)</f>
        <v>Jaksen Ferry Judo Lingga S.Si</v>
      </c>
      <c r="F259" s="114"/>
      <c r="G259" s="113"/>
      <c r="H259" s="113"/>
      <c r="I259" s="113"/>
    </row>
    <row r="260">
      <c r="A260" s="13" t="s">
        <v>3088</v>
      </c>
      <c r="B260" s="110">
        <v>45985.0</v>
      </c>
      <c r="C260" s="4">
        <v>1.0</v>
      </c>
      <c r="D260" s="111" t="s">
        <v>2606</v>
      </c>
      <c r="E260" s="112" t="str">
        <f>VLOOKUP(D260,Table2[[ID Petugas]:[Nama]],2,false)</f>
        <v>Rivaldi, S.Tr.Stat.</v>
      </c>
      <c r="F260" s="114"/>
      <c r="G260" s="113"/>
      <c r="H260" s="113"/>
      <c r="I260" s="113"/>
    </row>
    <row r="261">
      <c r="A261" s="13" t="s">
        <v>3089</v>
      </c>
      <c r="B261" s="110">
        <v>45985.0</v>
      </c>
      <c r="C261" s="4">
        <v>2.0</v>
      </c>
      <c r="D261" s="115" t="s">
        <v>2628</v>
      </c>
      <c r="E261" s="112" t="str">
        <f>VLOOKUP(D261,Table2[[ID Petugas]:[Nama]],2,false)</f>
        <v>Juando Siallagan, S.Tr.Stat.</v>
      </c>
      <c r="F261" s="114"/>
      <c r="G261" s="113"/>
      <c r="H261" s="113"/>
      <c r="I261" s="113"/>
    </row>
    <row r="262">
      <c r="A262" s="13" t="s">
        <v>3090</v>
      </c>
      <c r="B262" s="110">
        <v>45986.0</v>
      </c>
      <c r="C262" s="4">
        <v>1.0</v>
      </c>
      <c r="D262" s="118" t="s">
        <v>2943</v>
      </c>
      <c r="E262" s="112" t="str">
        <f>VLOOKUP(D262,Table2[[ID Petugas]:[Nama]],2,false)</f>
        <v>Richardo Tober Sihombing, S.Si</v>
      </c>
      <c r="F262" s="114"/>
      <c r="G262" s="113"/>
      <c r="H262" s="113"/>
      <c r="I262" s="113"/>
    </row>
    <row r="263">
      <c r="A263" s="13" t="s">
        <v>3091</v>
      </c>
      <c r="B263" s="110">
        <v>45986.0</v>
      </c>
      <c r="C263" s="4">
        <v>2.0</v>
      </c>
      <c r="D263" s="118" t="s">
        <v>2624</v>
      </c>
      <c r="E263" s="112" t="str">
        <f>VLOOKUP(D263,Table2[[ID Petugas]:[Nama]],2,false)</f>
        <v>Marudut Silaban, SE, MM</v>
      </c>
      <c r="F263" s="114"/>
      <c r="G263" s="113"/>
      <c r="H263" s="113"/>
      <c r="I263" s="113"/>
    </row>
    <row r="264">
      <c r="A264" s="13" t="s">
        <v>3092</v>
      </c>
      <c r="B264" s="110">
        <v>45987.0</v>
      </c>
      <c r="C264" s="4">
        <v>1.0</v>
      </c>
      <c r="D264" s="111" t="s">
        <v>2614</v>
      </c>
      <c r="E264" s="112" t="str">
        <f>VLOOKUP(D264,Table2[[ID Petugas]:[Nama]],2,false)</f>
        <v>Ribka Anggina Tarigan, SST</v>
      </c>
      <c r="F264" s="114"/>
      <c r="G264" s="113"/>
      <c r="H264" s="113"/>
      <c r="I264" s="113"/>
    </row>
    <row r="265">
      <c r="A265" s="13" t="s">
        <v>3093</v>
      </c>
      <c r="B265" s="110">
        <v>45987.0</v>
      </c>
      <c r="C265" s="4">
        <v>2.0</v>
      </c>
      <c r="D265" s="115" t="s">
        <v>2616</v>
      </c>
      <c r="E265" s="112" t="str">
        <f>VLOOKUP(D265,Table2[[ID Petugas]:[Nama]],2,false)</f>
        <v>Mike Ervans Purba, A.Md.Stat.</v>
      </c>
      <c r="F265" s="114"/>
      <c r="G265" s="113"/>
      <c r="H265" s="113"/>
      <c r="I265" s="113"/>
    </row>
    <row r="266">
      <c r="A266" s="13" t="s">
        <v>3094</v>
      </c>
      <c r="B266" s="110">
        <v>45988.0</v>
      </c>
      <c r="C266" s="4">
        <v>1.0</v>
      </c>
      <c r="D266" s="111" t="s">
        <v>2618</v>
      </c>
      <c r="E266" s="112" t="str">
        <f>VLOOKUP(D266,Table2[[ID Petugas]:[Nama]],2,false)</f>
        <v>Ratih Kurniawati, S.E.</v>
      </c>
      <c r="F266" s="114"/>
      <c r="G266" s="113"/>
      <c r="H266" s="113"/>
      <c r="I266" s="113"/>
    </row>
    <row r="267">
      <c r="A267" s="13" t="s">
        <v>3095</v>
      </c>
      <c r="B267" s="110">
        <v>45988.0</v>
      </c>
      <c r="C267" s="4">
        <v>2.0</v>
      </c>
      <c r="D267" s="115" t="s">
        <v>2634</v>
      </c>
      <c r="E267" s="112" t="str">
        <f>VLOOKUP(D267,Table2[[ID Petugas]:[Nama]],2,false)</f>
        <v>Monika Stevany Manurung, S.Tr.Stat.</v>
      </c>
      <c r="F267" s="114"/>
      <c r="G267" s="113"/>
      <c r="H267" s="113"/>
      <c r="I267" s="113"/>
    </row>
    <row r="268">
      <c r="A268" s="13" t="s">
        <v>3096</v>
      </c>
      <c r="B268" s="110">
        <v>45989.0</v>
      </c>
      <c r="C268" s="4">
        <v>1.0</v>
      </c>
      <c r="D268" s="112" t="s">
        <v>2630</v>
      </c>
      <c r="E268" s="112" t="str">
        <f>VLOOKUP(D268,Table2[[ID Petugas]:[Nama]],2,false)</f>
        <v>Anwar Sinaga, A.Md.</v>
      </c>
      <c r="F268" s="114"/>
      <c r="G268" s="113"/>
      <c r="H268" s="113"/>
      <c r="I268" s="113"/>
    </row>
    <row r="269">
      <c r="A269" s="13" t="s">
        <v>3097</v>
      </c>
      <c r="B269" s="110">
        <v>45989.0</v>
      </c>
      <c r="C269" s="4">
        <v>2.0</v>
      </c>
      <c r="D269" s="107" t="s">
        <v>2632</v>
      </c>
      <c r="E269" s="112" t="str">
        <f>VLOOKUP(D269,Table2[[ID Petugas]:[Nama]],2,false)</f>
        <v>Zunkifli Haryanto Yoko Ningrat Siahaan</v>
      </c>
      <c r="F269" s="114"/>
      <c r="G269" s="113"/>
      <c r="H269" s="113"/>
      <c r="I269" s="113"/>
    </row>
    <row r="270">
      <c r="A270" s="13" t="s">
        <v>3098</v>
      </c>
      <c r="B270" s="110">
        <v>45992.0</v>
      </c>
      <c r="C270" s="4">
        <v>1.0</v>
      </c>
      <c r="D270" s="107" t="s">
        <v>2638</v>
      </c>
      <c r="E270" s="112" t="str">
        <f>VLOOKUP(D270,Table2[[ID Petugas]:[Nama]],2,false)</f>
        <v>Efendy Girsang, SP</v>
      </c>
      <c r="F270" s="114"/>
      <c r="G270" s="113"/>
      <c r="H270" s="113"/>
      <c r="I270" s="113"/>
    </row>
    <row r="271">
      <c r="A271" s="13" t="s">
        <v>3099</v>
      </c>
      <c r="B271" s="110">
        <v>45992.0</v>
      </c>
      <c r="C271" s="4">
        <v>2.0</v>
      </c>
      <c r="D271" s="107" t="s">
        <v>2636</v>
      </c>
      <c r="E271" s="112" t="str">
        <f>VLOOKUP(D271,Table2[[ID Petugas]:[Nama]],2,false)</f>
        <v>Wiwik Rahayuni Lumban Gaol, A.Md</v>
      </c>
      <c r="F271" s="114"/>
      <c r="G271" s="113"/>
      <c r="H271" s="113"/>
      <c r="I271" s="113"/>
    </row>
    <row r="272">
      <c r="A272" s="13" t="s">
        <v>3100</v>
      </c>
      <c r="B272" s="110">
        <v>45993.0</v>
      </c>
      <c r="C272" s="4">
        <v>1.0</v>
      </c>
      <c r="D272" s="107" t="s">
        <v>2600</v>
      </c>
      <c r="E272" s="112" t="str">
        <f>VLOOKUP(D272,Table2[[ID Petugas]:[Nama]],2,false)</f>
        <v>Emmi Manurung, S.E.</v>
      </c>
      <c r="F272" s="114"/>
      <c r="G272" s="113"/>
      <c r="H272" s="113"/>
      <c r="I272" s="113"/>
    </row>
    <row r="273">
      <c r="A273" s="13" t="s">
        <v>3101</v>
      </c>
      <c r="B273" s="110">
        <v>45993.0</v>
      </c>
      <c r="C273" s="4">
        <v>2.0</v>
      </c>
      <c r="D273" s="111" t="s">
        <v>2640</v>
      </c>
      <c r="E273" s="112" t="str">
        <f>VLOOKUP(D273,Table2[[ID Petugas]:[Nama]],2,false)</f>
        <v>Tetty Saorma Hasiholan, S.Si</v>
      </c>
      <c r="F273" s="114"/>
      <c r="G273" s="113"/>
      <c r="H273" s="113"/>
      <c r="I273" s="113"/>
    </row>
    <row r="274">
      <c r="A274" s="13" t="s">
        <v>3102</v>
      </c>
      <c r="B274" s="110">
        <v>45994.0</v>
      </c>
      <c r="C274" s="4">
        <v>1.0</v>
      </c>
      <c r="D274" s="118" t="s">
        <v>2604</v>
      </c>
      <c r="E274" s="112" t="str">
        <f>VLOOKUP(D274,Table2[[ID Petugas]:[Nama]],2,false)</f>
        <v>Frisca Ulina Br Munthe,S.Tr.Stat.</v>
      </c>
      <c r="F274" s="114"/>
      <c r="G274" s="113"/>
      <c r="H274" s="113"/>
      <c r="I274" s="113"/>
    </row>
    <row r="275">
      <c r="A275" s="13" t="s">
        <v>3103</v>
      </c>
      <c r="B275" s="110">
        <v>45994.0</v>
      </c>
      <c r="C275" s="4">
        <v>2.0</v>
      </c>
      <c r="D275" s="118" t="s">
        <v>2598</v>
      </c>
      <c r="E275" s="112" t="str">
        <f>VLOOKUP(D275,Table2[[ID Petugas]:[Nama]],2,false)</f>
        <v>Sangaptua Deo Datus Sagala, S.Tr.Stat.</v>
      </c>
      <c r="F275" s="114"/>
      <c r="G275" s="113"/>
      <c r="H275" s="113"/>
      <c r="I275" s="113"/>
    </row>
    <row r="276">
      <c r="A276" s="13" t="s">
        <v>3104</v>
      </c>
      <c r="B276" s="110">
        <v>45995.0</v>
      </c>
      <c r="C276" s="4">
        <v>1.0</v>
      </c>
      <c r="D276" s="118" t="s">
        <v>2608</v>
      </c>
      <c r="E276" s="112" t="str">
        <f>VLOOKUP(D276,Table2[[ID Petugas]:[Nama]],2,false)</f>
        <v>Jaksen Ferry Judo Lingga S.Si</v>
      </c>
      <c r="F276" s="114"/>
      <c r="G276" s="113"/>
      <c r="H276" s="113"/>
      <c r="I276" s="113"/>
    </row>
    <row r="277">
      <c r="A277" s="13" t="s">
        <v>3105</v>
      </c>
      <c r="B277" s="110">
        <v>45995.0</v>
      </c>
      <c r="C277" s="4">
        <v>2.0</v>
      </c>
      <c r="D277" s="118" t="s">
        <v>2602</v>
      </c>
      <c r="E277" s="112" t="str">
        <f>VLOOKUP(D277,Table2[[ID Petugas]:[Nama]],2,false)</f>
        <v>Sahnas Aisyiah Maha, S.Tr.Stat.</v>
      </c>
      <c r="F277" s="114"/>
      <c r="G277" s="113"/>
      <c r="H277" s="113"/>
      <c r="I277" s="113"/>
    </row>
    <row r="278">
      <c r="A278" s="13" t="s">
        <v>3106</v>
      </c>
      <c r="B278" s="110">
        <v>45996.0</v>
      </c>
      <c r="C278" s="4">
        <v>1.0</v>
      </c>
      <c r="D278" s="115" t="s">
        <v>2628</v>
      </c>
      <c r="E278" s="112" t="str">
        <f>VLOOKUP(D278,Table2[[ID Petugas]:[Nama]],2,false)</f>
        <v>Juando Siallagan, S.Tr.Stat.</v>
      </c>
      <c r="F278" s="114"/>
      <c r="G278" s="113"/>
      <c r="H278" s="113"/>
      <c r="I278" s="113"/>
    </row>
    <row r="279">
      <c r="A279" s="13" t="s">
        <v>3107</v>
      </c>
      <c r="B279" s="110">
        <v>45996.0</v>
      </c>
      <c r="C279" s="4">
        <v>2.0</v>
      </c>
      <c r="D279" s="111" t="s">
        <v>2606</v>
      </c>
      <c r="E279" s="112" t="str">
        <f>VLOOKUP(D279,Table2[[ID Petugas]:[Nama]],2,false)</f>
        <v>Rivaldi, S.Tr.Stat.</v>
      </c>
      <c r="F279" s="114"/>
      <c r="G279" s="113"/>
      <c r="H279" s="113"/>
      <c r="I279" s="113"/>
    </row>
    <row r="280">
      <c r="A280" s="13" t="s">
        <v>3108</v>
      </c>
      <c r="B280" s="110">
        <v>45999.0</v>
      </c>
      <c r="C280" s="4">
        <v>1.0</v>
      </c>
      <c r="D280" s="118" t="s">
        <v>2624</v>
      </c>
      <c r="E280" s="112" t="str">
        <f>VLOOKUP(D280,Table2[[ID Petugas]:[Nama]],2,false)</f>
        <v>Marudut Silaban, SE, MM</v>
      </c>
      <c r="F280" s="114"/>
      <c r="G280" s="113"/>
      <c r="H280" s="113"/>
      <c r="I280" s="113"/>
    </row>
    <row r="281">
      <c r="A281" s="13" t="s">
        <v>3109</v>
      </c>
      <c r="B281" s="110">
        <v>45999.0</v>
      </c>
      <c r="C281" s="4">
        <v>2.0</v>
      </c>
      <c r="D281" s="118" t="s">
        <v>2943</v>
      </c>
      <c r="E281" s="112" t="str">
        <f>VLOOKUP(D281,Table2[[ID Petugas]:[Nama]],2,false)</f>
        <v>Richardo Tober Sihombing, S.Si</v>
      </c>
      <c r="F281" s="114"/>
      <c r="G281" s="113"/>
      <c r="H281" s="113"/>
      <c r="I281" s="113"/>
    </row>
    <row r="282">
      <c r="A282" s="13" t="s">
        <v>3110</v>
      </c>
      <c r="B282" s="110">
        <v>46000.0</v>
      </c>
      <c r="C282" s="4">
        <v>1.0</v>
      </c>
      <c r="D282" s="115" t="s">
        <v>2616</v>
      </c>
      <c r="E282" s="112" t="str">
        <f>VLOOKUP(D282,Table2[[ID Petugas]:[Nama]],2,false)</f>
        <v>Mike Ervans Purba, A.Md.Stat.</v>
      </c>
      <c r="F282" s="114"/>
      <c r="G282" s="113"/>
      <c r="H282" s="113"/>
      <c r="I282" s="113"/>
    </row>
    <row r="283">
      <c r="A283" s="13" t="s">
        <v>3111</v>
      </c>
      <c r="B283" s="110">
        <v>46000.0</v>
      </c>
      <c r="C283" s="4">
        <v>2.0</v>
      </c>
      <c r="D283" s="111" t="s">
        <v>2614</v>
      </c>
      <c r="E283" s="112" t="str">
        <f>VLOOKUP(D283,Table2[[ID Petugas]:[Nama]],2,false)</f>
        <v>Ribka Anggina Tarigan, SST</v>
      </c>
      <c r="F283" s="114"/>
      <c r="G283" s="113"/>
      <c r="H283" s="113"/>
      <c r="I283" s="113"/>
    </row>
    <row r="284">
      <c r="A284" s="13" t="s">
        <v>3112</v>
      </c>
      <c r="B284" s="110">
        <v>46001.0</v>
      </c>
      <c r="C284" s="4">
        <v>1.0</v>
      </c>
      <c r="D284" s="115" t="s">
        <v>2634</v>
      </c>
      <c r="E284" s="112" t="str">
        <f>VLOOKUP(D284,Table2[[ID Petugas]:[Nama]],2,false)</f>
        <v>Monika Stevany Manurung, S.Tr.Stat.</v>
      </c>
      <c r="F284" s="114"/>
      <c r="G284" s="113"/>
      <c r="H284" s="113"/>
      <c r="I284" s="113"/>
    </row>
    <row r="285">
      <c r="A285" s="13" t="s">
        <v>3113</v>
      </c>
      <c r="B285" s="110">
        <v>46001.0</v>
      </c>
      <c r="C285" s="4">
        <v>2.0</v>
      </c>
      <c r="D285" s="111" t="s">
        <v>2618</v>
      </c>
      <c r="E285" s="112" t="str">
        <f>VLOOKUP(D285,Table2[[ID Petugas]:[Nama]],2,false)</f>
        <v>Ratih Kurniawati, S.E.</v>
      </c>
      <c r="F285" s="114"/>
      <c r="G285" s="113"/>
      <c r="H285" s="113"/>
      <c r="I285" s="113"/>
    </row>
    <row r="286">
      <c r="A286" s="13" t="s">
        <v>3114</v>
      </c>
      <c r="B286" s="110">
        <v>46002.0</v>
      </c>
      <c r="C286" s="4">
        <v>1.0</v>
      </c>
      <c r="D286" s="107" t="s">
        <v>2632</v>
      </c>
      <c r="E286" s="112" t="str">
        <f>VLOOKUP(D286,Table2[[ID Petugas]:[Nama]],2,false)</f>
        <v>Zunkifli Haryanto Yoko Ningrat Siahaan</v>
      </c>
      <c r="F286" s="114"/>
      <c r="G286" s="113"/>
      <c r="H286" s="113"/>
      <c r="I286" s="113"/>
    </row>
    <row r="287">
      <c r="A287" s="13" t="s">
        <v>3115</v>
      </c>
      <c r="B287" s="110">
        <v>46002.0</v>
      </c>
      <c r="C287" s="4">
        <v>2.0</v>
      </c>
      <c r="D287" s="112" t="s">
        <v>2630</v>
      </c>
      <c r="E287" s="112" t="str">
        <f>VLOOKUP(D287,Table2[[ID Petugas]:[Nama]],2,false)</f>
        <v>Anwar Sinaga, A.Md.</v>
      </c>
      <c r="F287" s="114"/>
      <c r="G287" s="113"/>
      <c r="H287" s="113"/>
      <c r="I287" s="113"/>
    </row>
    <row r="288">
      <c r="A288" s="13" t="s">
        <v>3116</v>
      </c>
      <c r="B288" s="110">
        <v>46003.0</v>
      </c>
      <c r="C288" s="4">
        <v>1.0</v>
      </c>
      <c r="D288" s="107" t="s">
        <v>2636</v>
      </c>
      <c r="E288" s="112" t="str">
        <f>VLOOKUP(D288,Table2[[ID Petugas]:[Nama]],2,false)</f>
        <v>Wiwik Rahayuni Lumban Gaol, A.Md</v>
      </c>
      <c r="F288" s="114"/>
      <c r="G288" s="113"/>
      <c r="H288" s="113"/>
      <c r="I288" s="113"/>
    </row>
    <row r="289">
      <c r="A289" s="13" t="s">
        <v>3117</v>
      </c>
      <c r="B289" s="110">
        <v>46003.0</v>
      </c>
      <c r="C289" s="4">
        <v>2.0</v>
      </c>
      <c r="D289" s="107" t="s">
        <v>2638</v>
      </c>
      <c r="E289" s="112" t="str">
        <f>VLOOKUP(D289,Table2[[ID Petugas]:[Nama]],2,false)</f>
        <v>Efendy Girsang, SP</v>
      </c>
      <c r="F289" s="114"/>
      <c r="G289" s="113"/>
      <c r="H289" s="113"/>
      <c r="I289" s="113"/>
    </row>
    <row r="290">
      <c r="A290" s="13" t="s">
        <v>3118</v>
      </c>
      <c r="B290" s="110">
        <v>46006.0</v>
      </c>
      <c r="C290" s="4">
        <v>1.0</v>
      </c>
      <c r="D290" s="111" t="s">
        <v>2640</v>
      </c>
      <c r="E290" s="112" t="str">
        <f>VLOOKUP(D290,Table2[[ID Petugas]:[Nama]],2,false)</f>
        <v>Tetty Saorma Hasiholan, S.Si</v>
      </c>
      <c r="F290" s="114"/>
      <c r="G290" s="113"/>
      <c r="H290" s="113"/>
      <c r="I290" s="113"/>
    </row>
    <row r="291">
      <c r="A291" s="13" t="s">
        <v>3119</v>
      </c>
      <c r="B291" s="110">
        <v>46006.0</v>
      </c>
      <c r="C291" s="4">
        <v>2.0</v>
      </c>
      <c r="D291" s="107" t="s">
        <v>2600</v>
      </c>
      <c r="E291" s="112" t="str">
        <f>VLOOKUP(D291,Table2[[ID Petugas]:[Nama]],2,false)</f>
        <v>Emmi Manurung, S.E.</v>
      </c>
      <c r="F291" s="114"/>
      <c r="G291" s="113"/>
      <c r="H291" s="113"/>
      <c r="I291" s="113"/>
    </row>
    <row r="292">
      <c r="A292" s="13" t="s">
        <v>3120</v>
      </c>
      <c r="B292" s="110">
        <v>46007.0</v>
      </c>
      <c r="C292" s="4">
        <v>1.0</v>
      </c>
      <c r="D292" s="118" t="s">
        <v>2598</v>
      </c>
      <c r="E292" s="112" t="str">
        <f>VLOOKUP(D292,Table2[[ID Petugas]:[Nama]],2,false)</f>
        <v>Sangaptua Deo Datus Sagala, S.Tr.Stat.</v>
      </c>
      <c r="F292" s="114"/>
      <c r="G292" s="113"/>
      <c r="H292" s="113"/>
      <c r="I292" s="113"/>
    </row>
    <row r="293">
      <c r="A293" s="13" t="s">
        <v>3121</v>
      </c>
      <c r="B293" s="110">
        <v>46007.0</v>
      </c>
      <c r="C293" s="4">
        <v>2.0</v>
      </c>
      <c r="D293" s="118" t="s">
        <v>2604</v>
      </c>
      <c r="E293" s="112" t="str">
        <f>VLOOKUP(D293,Table2[[ID Petugas]:[Nama]],2,false)</f>
        <v>Frisca Ulina Br Munthe,S.Tr.Stat.</v>
      </c>
      <c r="F293" s="114"/>
      <c r="G293" s="113"/>
      <c r="H293" s="113"/>
      <c r="I293" s="113"/>
    </row>
    <row r="294">
      <c r="A294" s="13" t="s">
        <v>3122</v>
      </c>
      <c r="B294" s="110">
        <v>46008.0</v>
      </c>
      <c r="C294" s="4">
        <v>1.0</v>
      </c>
      <c r="D294" s="118" t="s">
        <v>2602</v>
      </c>
      <c r="E294" s="112" t="str">
        <f>VLOOKUP(D294,Table2[[ID Petugas]:[Nama]],2,false)</f>
        <v>Sahnas Aisyiah Maha, S.Tr.Stat.</v>
      </c>
      <c r="F294" s="114"/>
      <c r="G294" s="113"/>
      <c r="H294" s="113"/>
      <c r="I294" s="113"/>
    </row>
    <row r="295">
      <c r="A295" s="13" t="s">
        <v>3123</v>
      </c>
      <c r="B295" s="110">
        <v>46008.0</v>
      </c>
      <c r="C295" s="4">
        <v>2.0</v>
      </c>
      <c r="D295" s="118" t="s">
        <v>2608</v>
      </c>
      <c r="E295" s="112" t="str">
        <f>VLOOKUP(D295,Table2[[ID Petugas]:[Nama]],2,false)</f>
        <v>Jaksen Ferry Judo Lingga S.Si</v>
      </c>
      <c r="F295" s="114"/>
      <c r="G295" s="113"/>
      <c r="H295" s="113"/>
      <c r="I295" s="113"/>
    </row>
    <row r="296">
      <c r="A296" s="13" t="s">
        <v>3124</v>
      </c>
      <c r="B296" s="110">
        <v>46009.0</v>
      </c>
      <c r="C296" s="4">
        <v>1.0</v>
      </c>
      <c r="D296" s="111" t="s">
        <v>2606</v>
      </c>
      <c r="E296" s="112" t="str">
        <f>VLOOKUP(D296,Table2[[ID Petugas]:[Nama]],2,false)</f>
        <v>Rivaldi, S.Tr.Stat.</v>
      </c>
      <c r="F296" s="114"/>
      <c r="G296" s="113"/>
      <c r="H296" s="113"/>
      <c r="I296" s="113"/>
    </row>
    <row r="297">
      <c r="A297" s="13" t="s">
        <v>3125</v>
      </c>
      <c r="B297" s="110">
        <v>46009.0</v>
      </c>
      <c r="C297" s="4">
        <v>2.0</v>
      </c>
      <c r="D297" s="115" t="s">
        <v>2628</v>
      </c>
      <c r="E297" s="112" t="str">
        <f>VLOOKUP(D297,Table2[[ID Petugas]:[Nama]],2,false)</f>
        <v>Juando Siallagan, S.Tr.Stat.</v>
      </c>
      <c r="F297" s="114"/>
      <c r="G297" s="113"/>
      <c r="H297" s="113"/>
      <c r="I297" s="113"/>
    </row>
    <row r="298">
      <c r="A298" s="13" t="s">
        <v>3126</v>
      </c>
      <c r="B298" s="110">
        <v>46010.0</v>
      </c>
      <c r="C298" s="4">
        <v>1.0</v>
      </c>
      <c r="D298" s="118" t="s">
        <v>2943</v>
      </c>
      <c r="E298" s="112" t="str">
        <f>VLOOKUP(D298,Table2[[ID Petugas]:[Nama]],2,false)</f>
        <v>Richardo Tober Sihombing, S.Si</v>
      </c>
      <c r="F298" s="114"/>
      <c r="G298" s="113"/>
      <c r="H298" s="113"/>
      <c r="I298" s="113"/>
    </row>
    <row r="299">
      <c r="A299" s="13" t="s">
        <v>3127</v>
      </c>
      <c r="B299" s="110">
        <v>46010.0</v>
      </c>
      <c r="C299" s="4">
        <v>2.0</v>
      </c>
      <c r="D299" s="118" t="s">
        <v>2624</v>
      </c>
      <c r="E299" s="112" t="str">
        <f>VLOOKUP(D299,Table2[[ID Petugas]:[Nama]],2,false)</f>
        <v>Marudut Silaban, SE, MM</v>
      </c>
      <c r="F299" s="114"/>
      <c r="G299" s="113"/>
      <c r="H299" s="113"/>
      <c r="I299" s="113"/>
    </row>
    <row r="300">
      <c r="A300" s="13" t="s">
        <v>3128</v>
      </c>
      <c r="B300" s="110">
        <v>46013.0</v>
      </c>
      <c r="C300" s="4">
        <v>1.0</v>
      </c>
      <c r="D300" s="111" t="s">
        <v>2614</v>
      </c>
      <c r="E300" s="112" t="str">
        <f>VLOOKUP(D300,Table2[[ID Petugas]:[Nama]],2,false)</f>
        <v>Ribka Anggina Tarigan, SST</v>
      </c>
      <c r="F300" s="114"/>
      <c r="G300" s="113"/>
      <c r="H300" s="113"/>
      <c r="I300" s="113"/>
    </row>
    <row r="301">
      <c r="A301" s="13" t="s">
        <v>3129</v>
      </c>
      <c r="B301" s="110">
        <v>46013.0</v>
      </c>
      <c r="C301" s="4">
        <v>2.0</v>
      </c>
      <c r="D301" s="115" t="s">
        <v>2616</v>
      </c>
      <c r="E301" s="112" t="str">
        <f>VLOOKUP(D301,Table2[[ID Petugas]:[Nama]],2,false)</f>
        <v>Mike Ervans Purba, A.Md.Stat.</v>
      </c>
      <c r="F301" s="114"/>
      <c r="G301" s="113"/>
      <c r="H301" s="113"/>
      <c r="I301" s="113"/>
    </row>
    <row r="302">
      <c r="A302" s="13" t="s">
        <v>3130</v>
      </c>
      <c r="B302" s="110">
        <v>46014.0</v>
      </c>
      <c r="C302" s="4">
        <v>1.0</v>
      </c>
      <c r="D302" s="111" t="s">
        <v>2618</v>
      </c>
      <c r="E302" s="112" t="str">
        <f>VLOOKUP(D302,Table2[[ID Petugas]:[Nama]],2,false)</f>
        <v>Ratih Kurniawati, S.E.</v>
      </c>
      <c r="F302" s="114"/>
      <c r="G302" s="113"/>
      <c r="H302" s="113"/>
      <c r="I302" s="113"/>
    </row>
    <row r="303">
      <c r="A303" s="13" t="s">
        <v>3131</v>
      </c>
      <c r="B303" s="110">
        <v>46014.0</v>
      </c>
      <c r="C303" s="4">
        <v>2.0</v>
      </c>
      <c r="D303" s="115" t="s">
        <v>2634</v>
      </c>
      <c r="E303" s="112" t="str">
        <f>VLOOKUP(D303,Table2[[ID Petugas]:[Nama]],2,false)</f>
        <v>Monika Stevany Manurung, S.Tr.Stat.</v>
      </c>
      <c r="F303" s="114"/>
      <c r="G303" s="113"/>
      <c r="H303" s="113"/>
      <c r="I303" s="113"/>
    </row>
    <row r="304">
      <c r="A304" s="13" t="s">
        <v>3132</v>
      </c>
      <c r="B304" s="110">
        <v>46015.0</v>
      </c>
      <c r="C304" s="4">
        <v>1.0</v>
      </c>
      <c r="D304" s="112" t="s">
        <v>2630</v>
      </c>
      <c r="E304" s="112" t="str">
        <f>VLOOKUP(D304,Table2[[ID Petugas]:[Nama]],2,false)</f>
        <v>Anwar Sinaga, A.Md.</v>
      </c>
      <c r="F304" s="114"/>
      <c r="G304" s="113"/>
      <c r="H304" s="113"/>
      <c r="I304" s="113"/>
    </row>
    <row r="305">
      <c r="A305" s="13" t="s">
        <v>3133</v>
      </c>
      <c r="B305" s="110">
        <v>46015.0</v>
      </c>
      <c r="C305" s="4">
        <v>2.0</v>
      </c>
      <c r="D305" s="107" t="s">
        <v>2632</v>
      </c>
      <c r="E305" s="112" t="str">
        <f>VLOOKUP(D305,Table2[[ID Petugas]:[Nama]],2,false)</f>
        <v>Zunkifli Haryanto Yoko Ningrat Siahaan</v>
      </c>
      <c r="F305" s="114"/>
      <c r="G305" s="113"/>
      <c r="H305" s="113"/>
      <c r="I305" s="113"/>
    </row>
    <row r="306">
      <c r="A306" s="13" t="s">
        <v>3134</v>
      </c>
      <c r="B306" s="110">
        <v>46020.0</v>
      </c>
      <c r="C306" s="4">
        <v>1.0</v>
      </c>
      <c r="D306" s="107" t="s">
        <v>2638</v>
      </c>
      <c r="E306" s="112" t="str">
        <f>VLOOKUP(D306,Table2[[ID Petugas]:[Nama]],2,false)</f>
        <v>Efendy Girsang, SP</v>
      </c>
      <c r="F306" s="114"/>
      <c r="G306" s="113"/>
      <c r="H306" s="113"/>
      <c r="I306" s="113"/>
    </row>
    <row r="307">
      <c r="A307" s="13" t="s">
        <v>3135</v>
      </c>
      <c r="B307" s="110">
        <v>46020.0</v>
      </c>
      <c r="C307" s="4">
        <v>2.0</v>
      </c>
      <c r="D307" s="107" t="s">
        <v>2636</v>
      </c>
      <c r="E307" s="112" t="str">
        <f>VLOOKUP(D307,Table2[[ID Petugas]:[Nama]],2,false)</f>
        <v>Wiwik Rahayuni Lumban Gaol, A.Md</v>
      </c>
      <c r="F307" s="114"/>
      <c r="G307" s="113"/>
      <c r="H307" s="113"/>
      <c r="I307" s="113"/>
    </row>
    <row r="308">
      <c r="A308" s="13" t="s">
        <v>3136</v>
      </c>
      <c r="B308" s="110">
        <v>46021.0</v>
      </c>
      <c r="C308" s="4">
        <v>1.0</v>
      </c>
      <c r="D308" s="107" t="s">
        <v>2600</v>
      </c>
      <c r="E308" s="112" t="str">
        <f>VLOOKUP(D308,Table2[[ID Petugas]:[Nama]],2,false)</f>
        <v>Emmi Manurung, S.E.</v>
      </c>
      <c r="F308" s="114"/>
      <c r="G308" s="113"/>
      <c r="H308" s="113"/>
      <c r="I308" s="113"/>
    </row>
    <row r="309">
      <c r="A309" s="13" t="s">
        <v>3137</v>
      </c>
      <c r="B309" s="110">
        <v>46021.0</v>
      </c>
      <c r="C309" s="4">
        <v>2.0</v>
      </c>
      <c r="D309" s="111" t="s">
        <v>2640</v>
      </c>
      <c r="E309" s="112" t="str">
        <f>VLOOKUP(D309,Table2[[ID Petugas]:[Nama]],2,false)</f>
        <v>Tetty Saorma Hasiholan, S.Si</v>
      </c>
      <c r="F309" s="114"/>
      <c r="G309" s="113"/>
      <c r="H309" s="113"/>
      <c r="I309" s="113"/>
    </row>
    <row r="310">
      <c r="A310" s="13" t="s">
        <v>3138</v>
      </c>
      <c r="B310" s="110">
        <v>46022.0</v>
      </c>
      <c r="C310" s="4">
        <v>1.0</v>
      </c>
      <c r="D310" s="118" t="s">
        <v>2604</v>
      </c>
      <c r="E310" s="112" t="str">
        <f>VLOOKUP(D310,Table2[[ID Petugas]:[Nama]],2,false)</f>
        <v>Frisca Ulina Br Munthe,S.Tr.Stat.</v>
      </c>
      <c r="F310" s="114"/>
      <c r="G310" s="113"/>
      <c r="H310" s="113"/>
      <c r="I310" s="113"/>
    </row>
    <row r="311">
      <c r="A311" s="13" t="s">
        <v>3139</v>
      </c>
      <c r="B311" s="110">
        <v>46022.0</v>
      </c>
      <c r="C311" s="4">
        <v>2.0</v>
      </c>
      <c r="D311" s="118" t="s">
        <v>2598</v>
      </c>
      <c r="E311" s="112" t="str">
        <f>VLOOKUP(D311,Table2[[ID Petugas]:[Nama]],2,false)</f>
        <v>Sangaptua Deo Datus Sagala, S.Tr.Stat.</v>
      </c>
      <c r="F311" s="114"/>
      <c r="G311" s="113"/>
      <c r="H311" s="113"/>
      <c r="I311" s="113"/>
    </row>
    <row r="312">
      <c r="A312" s="13" t="s">
        <v>3140</v>
      </c>
      <c r="B312" s="110">
        <v>46024.0</v>
      </c>
      <c r="C312" s="4">
        <v>1.0</v>
      </c>
      <c r="D312" s="118" t="s">
        <v>2608</v>
      </c>
      <c r="E312" s="112" t="str">
        <f>VLOOKUP(D312,Table2[[ID Petugas]:[Nama]],2,false)</f>
        <v>Jaksen Ferry Judo Lingga S.Si</v>
      </c>
      <c r="F312" s="114"/>
      <c r="G312" s="113"/>
      <c r="H312" s="113"/>
      <c r="I312" s="113"/>
    </row>
    <row r="313">
      <c r="A313" s="13" t="s">
        <v>3141</v>
      </c>
      <c r="B313" s="110">
        <v>46024.0</v>
      </c>
      <c r="C313" s="4">
        <v>2.0</v>
      </c>
      <c r="D313" s="118" t="s">
        <v>2602</v>
      </c>
      <c r="E313" s="112" t="str">
        <f>VLOOKUP(D313,Table2[[ID Petugas]:[Nama]],2,false)</f>
        <v>Sahnas Aisyiah Maha, S.Tr.Stat.</v>
      </c>
      <c r="F313" s="114"/>
      <c r="G313" s="113"/>
      <c r="H313" s="113"/>
      <c r="I313" s="113"/>
    </row>
    <row r="314">
      <c r="A314" s="13" t="s">
        <v>3142</v>
      </c>
      <c r="B314" s="110">
        <v>46027.0</v>
      </c>
      <c r="C314" s="4">
        <v>1.0</v>
      </c>
      <c r="D314" s="115" t="s">
        <v>2628</v>
      </c>
      <c r="E314" s="112" t="str">
        <f>VLOOKUP(D314,Table2[[ID Petugas]:[Nama]],2,false)</f>
        <v>Juando Siallagan, S.Tr.Stat.</v>
      </c>
      <c r="F314" s="114"/>
      <c r="G314" s="113"/>
      <c r="H314" s="113"/>
      <c r="I314" s="113"/>
    </row>
    <row r="315">
      <c r="A315" s="13" t="s">
        <v>3143</v>
      </c>
      <c r="B315" s="110">
        <v>46027.0</v>
      </c>
      <c r="C315" s="4">
        <v>2.0</v>
      </c>
      <c r="D315" s="111" t="s">
        <v>2606</v>
      </c>
      <c r="E315" s="112" t="str">
        <f>VLOOKUP(D315,Table2[[ID Petugas]:[Nama]],2,false)</f>
        <v>Rivaldi, S.Tr.Stat.</v>
      </c>
      <c r="F315" s="114"/>
      <c r="G315" s="113"/>
      <c r="H315" s="113"/>
      <c r="I315" s="113"/>
    </row>
    <row r="316">
      <c r="A316" s="13" t="s">
        <v>3144</v>
      </c>
      <c r="B316" s="110">
        <v>46028.0</v>
      </c>
      <c r="C316" s="4">
        <v>1.0</v>
      </c>
      <c r="D316" s="118" t="s">
        <v>2624</v>
      </c>
      <c r="E316" s="112" t="str">
        <f>VLOOKUP(D316,Table2[[ID Petugas]:[Nama]],2,false)</f>
        <v>Marudut Silaban, SE, MM</v>
      </c>
      <c r="F316" s="114"/>
      <c r="G316" s="113"/>
      <c r="H316" s="113"/>
      <c r="I316" s="113"/>
    </row>
    <row r="317">
      <c r="A317" s="13" t="s">
        <v>3145</v>
      </c>
      <c r="B317" s="110">
        <v>46028.0</v>
      </c>
      <c r="C317" s="4">
        <v>2.0</v>
      </c>
      <c r="D317" s="118" t="s">
        <v>2943</v>
      </c>
      <c r="E317" s="112" t="str">
        <f>VLOOKUP(D317,Table2[[ID Petugas]:[Nama]],2,false)</f>
        <v>Richardo Tober Sihombing, S.Si</v>
      </c>
      <c r="F317" s="114"/>
      <c r="G317" s="113"/>
      <c r="H317" s="113"/>
      <c r="I317" s="113"/>
    </row>
    <row r="318">
      <c r="A318" s="13" t="s">
        <v>3146</v>
      </c>
      <c r="B318" s="110">
        <v>46029.0</v>
      </c>
      <c r="C318" s="4">
        <v>1.0</v>
      </c>
      <c r="D318" s="115" t="s">
        <v>2616</v>
      </c>
      <c r="E318" s="112" t="str">
        <f>VLOOKUP(D318,Table2[[ID Petugas]:[Nama]],2,false)</f>
        <v>Mike Ervans Purba, A.Md.Stat.</v>
      </c>
      <c r="F318" s="114"/>
      <c r="G318" s="113"/>
      <c r="H318" s="113"/>
      <c r="I318" s="113"/>
    </row>
    <row r="319">
      <c r="A319" s="13" t="s">
        <v>3147</v>
      </c>
      <c r="B319" s="110">
        <v>46029.0</v>
      </c>
      <c r="C319" s="4">
        <v>2.0</v>
      </c>
      <c r="D319" s="111" t="s">
        <v>2614</v>
      </c>
      <c r="E319" s="112" t="str">
        <f>VLOOKUP(D319,Table2[[ID Petugas]:[Nama]],2,false)</f>
        <v>Ribka Anggina Tarigan, SST</v>
      </c>
      <c r="F319" s="114"/>
      <c r="G319" s="113"/>
      <c r="H319" s="113"/>
      <c r="I319" s="113"/>
    </row>
    <row r="320">
      <c r="A320" s="13" t="s">
        <v>3148</v>
      </c>
      <c r="B320" s="110">
        <v>46030.0</v>
      </c>
      <c r="C320" s="4">
        <v>1.0</v>
      </c>
      <c r="D320" s="115" t="s">
        <v>2634</v>
      </c>
      <c r="E320" s="112" t="str">
        <f>VLOOKUP(D320,Table2[[ID Petugas]:[Nama]],2,false)</f>
        <v>Monika Stevany Manurung, S.Tr.Stat.</v>
      </c>
      <c r="F320" s="114"/>
      <c r="G320" s="113"/>
      <c r="H320" s="113"/>
      <c r="I320" s="113"/>
    </row>
    <row r="321">
      <c r="A321" s="13" t="s">
        <v>3149</v>
      </c>
      <c r="B321" s="110">
        <v>46030.0</v>
      </c>
      <c r="C321" s="4">
        <v>2.0</v>
      </c>
      <c r="D321" s="111" t="s">
        <v>2618</v>
      </c>
      <c r="E321" s="112" t="str">
        <f>VLOOKUP(D321,Table2[[ID Petugas]:[Nama]],2,false)</f>
        <v>Ratih Kurniawati, S.E.</v>
      </c>
      <c r="F321" s="114"/>
      <c r="G321" s="113"/>
      <c r="H321" s="113"/>
      <c r="I321" s="113"/>
    </row>
    <row r="322">
      <c r="A322" s="13" t="s">
        <v>3150</v>
      </c>
      <c r="B322" s="110">
        <v>46031.0</v>
      </c>
      <c r="C322" s="4">
        <v>1.0</v>
      </c>
      <c r="D322" s="107" t="s">
        <v>2632</v>
      </c>
      <c r="E322" s="112" t="str">
        <f>VLOOKUP(D322,Table2[[ID Petugas]:[Nama]],2,false)</f>
        <v>Zunkifli Haryanto Yoko Ningrat Siahaan</v>
      </c>
      <c r="F322" s="114"/>
      <c r="G322" s="113"/>
      <c r="H322" s="113"/>
      <c r="I322" s="113"/>
    </row>
    <row r="323">
      <c r="A323" s="13" t="s">
        <v>3151</v>
      </c>
      <c r="B323" s="110">
        <v>46031.0</v>
      </c>
      <c r="C323" s="4">
        <v>2.0</v>
      </c>
      <c r="D323" s="112" t="s">
        <v>2630</v>
      </c>
      <c r="E323" s="112" t="str">
        <f>VLOOKUP(D323,Table2[[ID Petugas]:[Nama]],2,false)</f>
        <v>Anwar Sinaga, A.Md.</v>
      </c>
      <c r="F323" s="114"/>
      <c r="G323" s="113"/>
      <c r="H323" s="113"/>
      <c r="I323" s="113"/>
    </row>
    <row r="324">
      <c r="A324" s="13" t="s">
        <v>3152</v>
      </c>
      <c r="B324" s="110">
        <v>46034.0</v>
      </c>
      <c r="C324" s="4">
        <v>1.0</v>
      </c>
      <c r="D324" s="107" t="s">
        <v>2636</v>
      </c>
      <c r="E324" s="112" t="str">
        <f>VLOOKUP(D324,Table2[[ID Petugas]:[Nama]],2,false)</f>
        <v>Wiwik Rahayuni Lumban Gaol, A.Md</v>
      </c>
      <c r="F324" s="114"/>
      <c r="G324" s="113"/>
      <c r="H324" s="113"/>
      <c r="I324" s="113"/>
    </row>
    <row r="325">
      <c r="A325" s="13" t="s">
        <v>3153</v>
      </c>
      <c r="B325" s="110">
        <v>46034.0</v>
      </c>
      <c r="C325" s="4">
        <v>2.0</v>
      </c>
      <c r="D325" s="107" t="s">
        <v>2638</v>
      </c>
      <c r="E325" s="112" t="str">
        <f>VLOOKUP(D325,Table2[[ID Petugas]:[Nama]],2,false)</f>
        <v>Efendy Girsang, SP</v>
      </c>
      <c r="F325" s="114"/>
      <c r="G325" s="113"/>
      <c r="H325" s="113"/>
      <c r="I325" s="113"/>
    </row>
    <row r="326">
      <c r="A326" s="13" t="s">
        <v>3154</v>
      </c>
      <c r="B326" s="110">
        <v>46035.0</v>
      </c>
      <c r="C326" s="4">
        <v>1.0</v>
      </c>
      <c r="D326" s="111" t="s">
        <v>2640</v>
      </c>
      <c r="E326" s="112" t="str">
        <f>VLOOKUP(D326,Table2[[ID Petugas]:[Nama]],2,false)</f>
        <v>Tetty Saorma Hasiholan, S.Si</v>
      </c>
      <c r="F326" s="114"/>
      <c r="G326" s="113"/>
      <c r="H326" s="113"/>
      <c r="I326" s="113"/>
    </row>
    <row r="327">
      <c r="A327" s="13" t="s">
        <v>3155</v>
      </c>
      <c r="B327" s="110">
        <v>46035.0</v>
      </c>
      <c r="C327" s="4">
        <v>2.0</v>
      </c>
      <c r="D327" s="107" t="s">
        <v>2600</v>
      </c>
      <c r="E327" s="112" t="str">
        <f>VLOOKUP(D327,Table2[[ID Petugas]:[Nama]],2,false)</f>
        <v>Emmi Manurung, S.E.</v>
      </c>
      <c r="F327" s="114"/>
      <c r="G327" s="113"/>
      <c r="H327" s="113"/>
      <c r="I327" s="113"/>
    </row>
    <row r="328">
      <c r="A328" s="13" t="s">
        <v>3156</v>
      </c>
      <c r="B328" s="110">
        <v>46036.0</v>
      </c>
      <c r="C328" s="4">
        <v>1.0</v>
      </c>
      <c r="D328" s="118" t="s">
        <v>2598</v>
      </c>
      <c r="E328" s="112" t="str">
        <f>VLOOKUP(D328,Table2[[ID Petugas]:[Nama]],2,false)</f>
        <v>Sangaptua Deo Datus Sagala, S.Tr.Stat.</v>
      </c>
      <c r="F328" s="114"/>
      <c r="G328" s="113"/>
      <c r="H328" s="113"/>
      <c r="I328" s="113"/>
    </row>
    <row r="329">
      <c r="A329" s="13" t="s">
        <v>3157</v>
      </c>
      <c r="B329" s="110">
        <v>46036.0</v>
      </c>
      <c r="C329" s="4">
        <v>2.0</v>
      </c>
      <c r="D329" s="118" t="s">
        <v>2604</v>
      </c>
      <c r="E329" s="112" t="str">
        <f>VLOOKUP(D329,Table2[[ID Petugas]:[Nama]],2,false)</f>
        <v>Frisca Ulina Br Munthe,S.Tr.Stat.</v>
      </c>
      <c r="F329" s="114"/>
      <c r="G329" s="113"/>
      <c r="H329" s="113"/>
      <c r="I329" s="113"/>
    </row>
    <row r="330">
      <c r="A330" s="13" t="s">
        <v>3158</v>
      </c>
      <c r="B330" s="110">
        <v>46037.0</v>
      </c>
      <c r="C330" s="4">
        <v>1.0</v>
      </c>
      <c r="D330" s="118" t="s">
        <v>2602</v>
      </c>
      <c r="E330" s="112" t="str">
        <f>VLOOKUP(D330,Table2[[ID Petugas]:[Nama]],2,false)</f>
        <v>Sahnas Aisyiah Maha, S.Tr.Stat.</v>
      </c>
      <c r="F330" s="114"/>
      <c r="G330" s="113"/>
      <c r="H330" s="113"/>
      <c r="I330" s="113"/>
    </row>
    <row r="331">
      <c r="A331" s="13" t="s">
        <v>3159</v>
      </c>
      <c r="B331" s="110">
        <v>46037.0</v>
      </c>
      <c r="C331" s="4">
        <v>2.0</v>
      </c>
      <c r="D331" s="118" t="s">
        <v>2608</v>
      </c>
      <c r="E331" s="112" t="str">
        <f>VLOOKUP(D331,Table2[[ID Petugas]:[Nama]],2,false)</f>
        <v>Jaksen Ferry Judo Lingga S.Si</v>
      </c>
      <c r="F331" s="114"/>
      <c r="G331" s="113"/>
      <c r="H331" s="113"/>
      <c r="I331" s="113"/>
    </row>
    <row r="332">
      <c r="A332" s="13" t="s">
        <v>3160</v>
      </c>
      <c r="B332" s="110">
        <v>46038.0</v>
      </c>
      <c r="C332" s="4">
        <v>1.0</v>
      </c>
      <c r="D332" s="111" t="s">
        <v>2606</v>
      </c>
      <c r="E332" s="112" t="str">
        <f>VLOOKUP(D332,Table2[[ID Petugas]:[Nama]],2,false)</f>
        <v>Rivaldi, S.Tr.Stat.</v>
      </c>
      <c r="F332" s="114"/>
      <c r="G332" s="113"/>
      <c r="H332" s="113"/>
      <c r="I332" s="113"/>
    </row>
    <row r="333">
      <c r="A333" s="13" t="s">
        <v>3161</v>
      </c>
      <c r="B333" s="110">
        <v>46038.0</v>
      </c>
      <c r="C333" s="4">
        <v>2.0</v>
      </c>
      <c r="D333" s="115" t="s">
        <v>2628</v>
      </c>
      <c r="E333" s="112" t="str">
        <f>VLOOKUP(D333,Table2[[ID Petugas]:[Nama]],2,false)</f>
        <v>Juando Siallagan, S.Tr.Stat.</v>
      </c>
      <c r="F333" s="114"/>
      <c r="G333" s="113"/>
      <c r="H333" s="113"/>
      <c r="I333" s="113"/>
    </row>
    <row r="334">
      <c r="A334" s="13" t="s">
        <v>3162</v>
      </c>
      <c r="B334" s="110">
        <v>46041.0</v>
      </c>
      <c r="C334" s="4">
        <v>1.0</v>
      </c>
      <c r="D334" s="118" t="s">
        <v>2943</v>
      </c>
      <c r="E334" s="112" t="str">
        <f>VLOOKUP(D334,Table2[[ID Petugas]:[Nama]],2,false)</f>
        <v>Richardo Tober Sihombing, S.Si</v>
      </c>
      <c r="F334" s="114"/>
      <c r="G334" s="113"/>
      <c r="H334" s="113"/>
      <c r="I334" s="113"/>
    </row>
    <row r="335">
      <c r="A335" s="13" t="s">
        <v>3163</v>
      </c>
      <c r="B335" s="110">
        <v>46041.0</v>
      </c>
      <c r="C335" s="4">
        <v>2.0</v>
      </c>
      <c r="D335" s="118" t="s">
        <v>2624</v>
      </c>
      <c r="E335" s="112" t="str">
        <f>VLOOKUP(D335,Table2[[ID Petugas]:[Nama]],2,false)</f>
        <v>Marudut Silaban, SE, MM</v>
      </c>
      <c r="F335" s="114"/>
      <c r="G335" s="113"/>
      <c r="H335" s="113"/>
      <c r="I335" s="113"/>
    </row>
    <row r="336">
      <c r="A336" s="13" t="s">
        <v>3164</v>
      </c>
      <c r="B336" s="110">
        <v>46042.0</v>
      </c>
      <c r="C336" s="4">
        <v>1.0</v>
      </c>
      <c r="D336" s="111" t="s">
        <v>2614</v>
      </c>
      <c r="E336" s="112" t="str">
        <f>VLOOKUP(D336,Table2[[ID Petugas]:[Nama]],2,false)</f>
        <v>Ribka Anggina Tarigan, SST</v>
      </c>
      <c r="F336" s="114"/>
      <c r="G336" s="113"/>
      <c r="H336" s="113"/>
      <c r="I336" s="113"/>
    </row>
    <row r="337">
      <c r="A337" s="13" t="s">
        <v>3165</v>
      </c>
      <c r="B337" s="110">
        <v>46042.0</v>
      </c>
      <c r="C337" s="4">
        <v>2.0</v>
      </c>
      <c r="D337" s="115" t="s">
        <v>2616</v>
      </c>
      <c r="E337" s="112" t="str">
        <f>VLOOKUP(D337,Table2[[ID Petugas]:[Nama]],2,false)</f>
        <v>Mike Ervans Purba, A.Md.Stat.</v>
      </c>
      <c r="F337" s="114"/>
      <c r="G337" s="113"/>
      <c r="H337" s="113"/>
      <c r="I337" s="113"/>
    </row>
    <row r="338">
      <c r="A338" s="13" t="s">
        <v>3166</v>
      </c>
      <c r="B338" s="110">
        <v>46043.0</v>
      </c>
      <c r="C338" s="4">
        <v>1.0</v>
      </c>
      <c r="D338" s="111" t="s">
        <v>2618</v>
      </c>
      <c r="E338" s="112" t="str">
        <f>VLOOKUP(D338,Table2[[ID Petugas]:[Nama]],2,false)</f>
        <v>Ratih Kurniawati, S.E.</v>
      </c>
      <c r="F338" s="114"/>
      <c r="G338" s="113"/>
      <c r="H338" s="113"/>
      <c r="I338" s="113"/>
    </row>
    <row r="339">
      <c r="A339" s="13" t="s">
        <v>3167</v>
      </c>
      <c r="B339" s="110">
        <v>46043.0</v>
      </c>
      <c r="C339" s="4">
        <v>2.0</v>
      </c>
      <c r="D339" s="115" t="s">
        <v>2634</v>
      </c>
      <c r="E339" s="112" t="str">
        <f>VLOOKUP(D339,Table2[[ID Petugas]:[Nama]],2,false)</f>
        <v>Monika Stevany Manurung, S.Tr.Stat.</v>
      </c>
      <c r="F339" s="114"/>
      <c r="G339" s="113"/>
      <c r="H339" s="113"/>
      <c r="I339" s="113"/>
    </row>
    <row r="340">
      <c r="A340" s="13" t="s">
        <v>3168</v>
      </c>
      <c r="B340" s="110">
        <v>46044.0</v>
      </c>
      <c r="C340" s="4">
        <v>1.0</v>
      </c>
      <c r="D340" s="112" t="s">
        <v>2630</v>
      </c>
      <c r="E340" s="112" t="str">
        <f>VLOOKUP(D340,Table2[[ID Petugas]:[Nama]],2,false)</f>
        <v>Anwar Sinaga, A.Md.</v>
      </c>
      <c r="F340" s="114"/>
      <c r="G340" s="113"/>
      <c r="H340" s="113"/>
      <c r="I340" s="113"/>
    </row>
    <row r="341">
      <c r="A341" s="13" t="s">
        <v>3169</v>
      </c>
      <c r="B341" s="110">
        <v>46044.0</v>
      </c>
      <c r="C341" s="4">
        <v>2.0</v>
      </c>
      <c r="D341" s="107" t="s">
        <v>2632</v>
      </c>
      <c r="E341" s="112" t="str">
        <f>VLOOKUP(D341,Table2[[ID Petugas]:[Nama]],2,false)</f>
        <v>Zunkifli Haryanto Yoko Ningrat Siahaan</v>
      </c>
      <c r="F341" s="114"/>
      <c r="G341" s="113"/>
      <c r="H341" s="113"/>
      <c r="I341" s="113"/>
    </row>
    <row r="342">
      <c r="A342" s="13" t="s">
        <v>3170</v>
      </c>
      <c r="B342" s="110">
        <v>46045.0</v>
      </c>
      <c r="C342" s="4">
        <v>1.0</v>
      </c>
      <c r="D342" s="107" t="s">
        <v>2638</v>
      </c>
      <c r="E342" s="112" t="str">
        <f>VLOOKUP(D342,Table2[[ID Petugas]:[Nama]],2,false)</f>
        <v>Efendy Girsang, SP</v>
      </c>
      <c r="F342" s="114"/>
      <c r="G342" s="113"/>
      <c r="H342" s="113"/>
      <c r="I342" s="113"/>
    </row>
    <row r="343">
      <c r="A343" s="13" t="s">
        <v>3171</v>
      </c>
      <c r="B343" s="110">
        <v>46045.0</v>
      </c>
      <c r="C343" s="4">
        <v>1.0</v>
      </c>
      <c r="D343" s="107" t="s">
        <v>2636</v>
      </c>
      <c r="E343" s="112" t="str">
        <f>VLOOKUP(D343,Table2[[ID Petugas]:[Nama]],2,false)</f>
        <v>Wiwik Rahayuni Lumban Gaol, A.Md</v>
      </c>
      <c r="F343" s="114"/>
      <c r="G343" s="113"/>
      <c r="H343" s="113"/>
      <c r="I343" s="113"/>
    </row>
    <row r="344">
      <c r="A344" s="13" t="s">
        <v>3172</v>
      </c>
      <c r="B344" s="110">
        <v>46048.0</v>
      </c>
      <c r="C344" s="4">
        <v>2.0</v>
      </c>
      <c r="D344" s="107" t="s">
        <v>2600</v>
      </c>
      <c r="E344" s="112" t="str">
        <f>VLOOKUP(D344,Table2[[ID Petugas]:[Nama]],2,false)</f>
        <v>Emmi Manurung, S.E.</v>
      </c>
      <c r="F344" s="114"/>
      <c r="G344" s="113"/>
      <c r="H344" s="113"/>
      <c r="I344" s="113"/>
    </row>
    <row r="345">
      <c r="A345" s="13" t="s">
        <v>3173</v>
      </c>
      <c r="B345" s="110">
        <v>46048.0</v>
      </c>
      <c r="C345" s="4">
        <v>1.0</v>
      </c>
      <c r="D345" s="111" t="s">
        <v>2640</v>
      </c>
      <c r="E345" s="112" t="str">
        <f>VLOOKUP(D345,Table2[[ID Petugas]:[Nama]],2,false)</f>
        <v>Tetty Saorma Hasiholan, S.Si</v>
      </c>
      <c r="F345" s="114"/>
      <c r="G345" s="113"/>
      <c r="H345" s="113"/>
      <c r="I345" s="113"/>
    </row>
    <row r="346">
      <c r="A346" s="13" t="s">
        <v>3174</v>
      </c>
      <c r="B346" s="110">
        <v>46049.0</v>
      </c>
      <c r="C346" s="4">
        <v>2.0</v>
      </c>
      <c r="D346" s="118" t="s">
        <v>2604</v>
      </c>
      <c r="E346" s="112" t="str">
        <f>VLOOKUP(D346,Table2[[ID Petugas]:[Nama]],2,false)</f>
        <v>Frisca Ulina Br Munthe,S.Tr.Stat.</v>
      </c>
      <c r="F346" s="114"/>
      <c r="G346" s="113"/>
      <c r="H346" s="113"/>
      <c r="I346" s="113"/>
    </row>
    <row r="347">
      <c r="A347" s="13" t="s">
        <v>3175</v>
      </c>
      <c r="B347" s="110">
        <v>46049.0</v>
      </c>
      <c r="C347" s="4">
        <v>2.0</v>
      </c>
      <c r="D347" s="118" t="s">
        <v>2598</v>
      </c>
      <c r="E347" s="112" t="str">
        <f>VLOOKUP(D347,Table2[[ID Petugas]:[Nama]],2,false)</f>
        <v>Sangaptua Deo Datus Sagala, S.Tr.Stat.</v>
      </c>
      <c r="F347" s="114"/>
      <c r="G347" s="113"/>
      <c r="H347" s="113"/>
      <c r="I347" s="113"/>
    </row>
    <row r="348">
      <c r="A348" s="13" t="s">
        <v>3176</v>
      </c>
      <c r="B348" s="110">
        <v>46050.0</v>
      </c>
      <c r="C348" s="4">
        <v>1.0</v>
      </c>
      <c r="D348" s="118" t="s">
        <v>2608</v>
      </c>
      <c r="E348" s="112" t="str">
        <f>VLOOKUP(D348,Table2[[ID Petugas]:[Nama]],2,false)</f>
        <v>Jaksen Ferry Judo Lingga S.Si</v>
      </c>
      <c r="F348" s="114"/>
      <c r="G348" s="113"/>
      <c r="H348" s="113"/>
      <c r="I348" s="113"/>
    </row>
    <row r="349">
      <c r="A349" s="13" t="s">
        <v>3177</v>
      </c>
      <c r="B349" s="110">
        <v>46050.0</v>
      </c>
      <c r="C349" s="4">
        <v>2.0</v>
      </c>
      <c r="D349" s="118" t="s">
        <v>2602</v>
      </c>
      <c r="E349" s="112" t="str">
        <f>VLOOKUP(D349,Table2[[ID Petugas]:[Nama]],2,false)</f>
        <v>Sahnas Aisyiah Maha, S.Tr.Stat.</v>
      </c>
      <c r="F349" s="114"/>
      <c r="G349" s="113"/>
      <c r="H349" s="113"/>
      <c r="I349" s="113"/>
    </row>
    <row r="350">
      <c r="A350" s="13" t="s">
        <v>3178</v>
      </c>
      <c r="B350" s="110">
        <v>46051.0</v>
      </c>
      <c r="C350" s="4">
        <v>1.0</v>
      </c>
      <c r="D350" s="115" t="s">
        <v>2628</v>
      </c>
      <c r="E350" s="112" t="str">
        <f>VLOOKUP(D350,Table2[[ID Petugas]:[Nama]],2,false)</f>
        <v>Juando Siallagan, S.Tr.Stat.</v>
      </c>
      <c r="F350" s="114"/>
      <c r="G350" s="113"/>
      <c r="H350" s="113"/>
      <c r="I350" s="113"/>
    </row>
    <row r="351">
      <c r="A351" s="13" t="s">
        <v>3179</v>
      </c>
      <c r="B351" s="110">
        <v>46051.0</v>
      </c>
      <c r="C351" s="4">
        <v>2.0</v>
      </c>
      <c r="D351" s="111" t="s">
        <v>2606</v>
      </c>
      <c r="E351" s="112" t="str">
        <f>VLOOKUP(D351,Table2[[ID Petugas]:[Nama]],2,false)</f>
        <v>Rivaldi, S.Tr.Stat.</v>
      </c>
      <c r="F351" s="114"/>
      <c r="G351" s="113"/>
      <c r="H351" s="113"/>
      <c r="I351" s="113"/>
    </row>
    <row r="352">
      <c r="A352" s="13" t="s">
        <v>3180</v>
      </c>
      <c r="B352" s="110">
        <v>46052.0</v>
      </c>
      <c r="C352" s="4">
        <v>1.0</v>
      </c>
      <c r="D352" s="118" t="s">
        <v>2624</v>
      </c>
      <c r="E352" s="112" t="str">
        <f>VLOOKUP(D352,Table2[[ID Petugas]:[Nama]],2,false)</f>
        <v>Marudut Silaban, SE, MM</v>
      </c>
      <c r="F352" s="114"/>
      <c r="G352" s="113"/>
      <c r="H352" s="113"/>
      <c r="I352" s="113"/>
    </row>
    <row r="353">
      <c r="A353" s="13" t="s">
        <v>3181</v>
      </c>
      <c r="B353" s="110">
        <v>46052.0</v>
      </c>
      <c r="C353" s="4">
        <v>2.0</v>
      </c>
      <c r="D353" s="118" t="s">
        <v>2943</v>
      </c>
      <c r="E353" s="112" t="str">
        <f>VLOOKUP(D353,Table2[[ID Petugas]:[Nama]],2,false)</f>
        <v>Richardo Tober Sihombing, S.Si</v>
      </c>
      <c r="F353" s="114"/>
      <c r="G353" s="113"/>
      <c r="H353" s="113"/>
      <c r="I353" s="113"/>
    </row>
    <row r="354">
      <c r="A354" s="13" t="s">
        <v>3182</v>
      </c>
      <c r="B354" s="110">
        <v>46055.0</v>
      </c>
      <c r="C354" s="4">
        <v>1.0</v>
      </c>
      <c r="D354" s="115" t="s">
        <v>2616</v>
      </c>
      <c r="E354" s="112" t="str">
        <f>VLOOKUP(D354,Table2[[ID Petugas]:[Nama]],2,false)</f>
        <v>Mike Ervans Purba, A.Md.Stat.</v>
      </c>
      <c r="F354" s="114"/>
      <c r="G354" s="113"/>
      <c r="H354" s="113"/>
      <c r="I354" s="113"/>
    </row>
    <row r="355">
      <c r="A355" s="13" t="s">
        <v>3183</v>
      </c>
      <c r="B355" s="110">
        <v>46055.0</v>
      </c>
      <c r="C355" s="4">
        <v>2.0</v>
      </c>
      <c r="D355" s="111" t="s">
        <v>2614</v>
      </c>
      <c r="E355" s="112" t="str">
        <f>VLOOKUP(D355,Table2[[ID Petugas]:[Nama]],2,false)</f>
        <v>Ribka Anggina Tarigan, SST</v>
      </c>
      <c r="F355" s="114"/>
      <c r="G355" s="113"/>
      <c r="H355" s="113"/>
      <c r="I355" s="113"/>
    </row>
    <row r="356">
      <c r="A356" s="13" t="s">
        <v>3184</v>
      </c>
      <c r="B356" s="110">
        <v>46056.0</v>
      </c>
      <c r="C356" s="4">
        <v>1.0</v>
      </c>
      <c r="D356" s="115" t="s">
        <v>2634</v>
      </c>
      <c r="E356" s="112" t="str">
        <f>VLOOKUP(D356,Table2[[ID Petugas]:[Nama]],2,false)</f>
        <v>Monika Stevany Manurung, S.Tr.Stat.</v>
      </c>
      <c r="F356" s="114"/>
      <c r="G356" s="113"/>
      <c r="H356" s="113"/>
      <c r="I356" s="113"/>
    </row>
    <row r="357">
      <c r="A357" s="13" t="s">
        <v>3185</v>
      </c>
      <c r="B357" s="110">
        <v>46056.0</v>
      </c>
      <c r="C357" s="4">
        <v>2.0</v>
      </c>
      <c r="D357" s="111" t="s">
        <v>2618</v>
      </c>
      <c r="E357" s="112" t="str">
        <f>VLOOKUP(D357,Table2[[ID Petugas]:[Nama]],2,false)</f>
        <v>Ratih Kurniawati, S.E.</v>
      </c>
      <c r="F357" s="114"/>
      <c r="G357" s="113"/>
      <c r="H357" s="113"/>
      <c r="I357" s="113"/>
    </row>
    <row r="358">
      <c r="A358" s="13" t="s">
        <v>3186</v>
      </c>
      <c r="B358" s="110">
        <v>46057.0</v>
      </c>
      <c r="C358" s="4">
        <v>2.0</v>
      </c>
      <c r="D358" s="112" t="s">
        <v>2630</v>
      </c>
      <c r="E358" s="112" t="str">
        <f>VLOOKUP(D358,Table2[[ID Petugas]:[Nama]],2,false)</f>
        <v>Anwar Sinaga, A.Md.</v>
      </c>
      <c r="F358" s="114"/>
      <c r="G358" s="113"/>
      <c r="H358" s="113"/>
      <c r="I358" s="113"/>
    </row>
    <row r="359">
      <c r="A359" s="13" t="s">
        <v>3187</v>
      </c>
      <c r="B359" s="110">
        <v>46057.0</v>
      </c>
      <c r="C359" s="4">
        <v>1.0</v>
      </c>
      <c r="D359" s="107" t="s">
        <v>2632</v>
      </c>
      <c r="E359" s="112" t="str">
        <f>VLOOKUP(D359,Table2[[ID Petugas]:[Nama]],2,false)</f>
        <v>Zunkifli Haryanto Yoko Ningrat Siahaan</v>
      </c>
      <c r="F359" s="114"/>
      <c r="G359" s="113"/>
      <c r="H359" s="113"/>
      <c r="I359" s="113"/>
    </row>
    <row r="360">
      <c r="A360" s="13" t="s">
        <v>3188</v>
      </c>
      <c r="B360" s="110">
        <v>46058.0</v>
      </c>
      <c r="C360" s="4">
        <v>2.0</v>
      </c>
      <c r="D360" s="107" t="s">
        <v>2638</v>
      </c>
      <c r="E360" s="112" t="str">
        <f>VLOOKUP(D360,Table2[[ID Petugas]:[Nama]],2,false)</f>
        <v>Efendy Girsang, SP</v>
      </c>
      <c r="F360" s="114"/>
      <c r="G360" s="113"/>
      <c r="H360" s="113"/>
      <c r="I360" s="113"/>
    </row>
    <row r="361">
      <c r="A361" s="13" t="s">
        <v>3189</v>
      </c>
      <c r="B361" s="110">
        <v>46058.0</v>
      </c>
      <c r="C361" s="4">
        <v>1.0</v>
      </c>
      <c r="D361" s="107" t="s">
        <v>2636</v>
      </c>
      <c r="E361" s="112" t="str">
        <f>VLOOKUP(D361,Table2[[ID Petugas]:[Nama]],2,false)</f>
        <v>Wiwik Rahayuni Lumban Gaol, A.Md</v>
      </c>
      <c r="F361" s="114"/>
      <c r="G361" s="113"/>
      <c r="H361" s="113"/>
      <c r="I361" s="113"/>
    </row>
    <row r="362">
      <c r="A362" s="13" t="s">
        <v>3190</v>
      </c>
      <c r="B362" s="110">
        <v>46059.0</v>
      </c>
      <c r="C362" s="4">
        <v>2.0</v>
      </c>
      <c r="D362" s="107" t="s">
        <v>2600</v>
      </c>
      <c r="E362" s="112" t="str">
        <f>VLOOKUP(D362,Table2[[ID Petugas]:[Nama]],2,false)</f>
        <v>Emmi Manurung, S.E.</v>
      </c>
      <c r="F362" s="114"/>
      <c r="G362" s="113"/>
      <c r="H362" s="113"/>
      <c r="I362" s="113"/>
    </row>
    <row r="363">
      <c r="A363" s="13" t="s">
        <v>3191</v>
      </c>
      <c r="B363" s="110">
        <v>46059.0</v>
      </c>
      <c r="C363" s="4">
        <v>1.0</v>
      </c>
      <c r="D363" s="111" t="s">
        <v>2640</v>
      </c>
      <c r="E363" s="112" t="str">
        <f>VLOOKUP(D363,Table2[[ID Petugas]:[Nama]],2,false)</f>
        <v>Tetty Saorma Hasiholan, S.Si</v>
      </c>
      <c r="F363" s="114"/>
      <c r="G363" s="113"/>
      <c r="H363" s="113"/>
      <c r="I363" s="113"/>
    </row>
    <row r="364">
      <c r="A364" s="13" t="s">
        <v>3192</v>
      </c>
      <c r="B364" s="110">
        <v>46062.0</v>
      </c>
      <c r="C364" s="4">
        <v>2.0</v>
      </c>
      <c r="D364" s="118" t="s">
        <v>2604</v>
      </c>
      <c r="E364" s="112" t="str">
        <f>VLOOKUP(D364,Table2[[ID Petugas]:[Nama]],2,false)</f>
        <v>Frisca Ulina Br Munthe,S.Tr.Stat.</v>
      </c>
      <c r="F364" s="114"/>
      <c r="G364" s="113"/>
      <c r="H364" s="113"/>
      <c r="I364" s="113"/>
    </row>
    <row r="365">
      <c r="A365" s="13" t="s">
        <v>3193</v>
      </c>
      <c r="B365" s="110">
        <v>46062.0</v>
      </c>
      <c r="C365" s="4">
        <v>1.0</v>
      </c>
      <c r="D365" s="118" t="s">
        <v>2598</v>
      </c>
      <c r="E365" s="112" t="str">
        <f>VLOOKUP(D365,Table2[[ID Petugas]:[Nama]],2,false)</f>
        <v>Sangaptua Deo Datus Sagala, S.Tr.Stat.</v>
      </c>
      <c r="F365" s="114"/>
      <c r="G365" s="113"/>
      <c r="H365" s="113"/>
      <c r="I365" s="113"/>
    </row>
    <row r="366">
      <c r="A366" s="13" t="s">
        <v>3194</v>
      </c>
      <c r="B366" s="110">
        <v>46063.0</v>
      </c>
      <c r="C366" s="4">
        <v>2.0</v>
      </c>
      <c r="D366" s="118" t="s">
        <v>2608</v>
      </c>
      <c r="E366" s="112" t="str">
        <f>VLOOKUP(D366,Table2[[ID Petugas]:[Nama]],2,false)</f>
        <v>Jaksen Ferry Judo Lingga S.Si</v>
      </c>
      <c r="F366" s="114"/>
      <c r="G366" s="113"/>
      <c r="H366" s="113"/>
      <c r="I366" s="113"/>
    </row>
    <row r="367">
      <c r="A367" s="13" t="s">
        <v>3195</v>
      </c>
      <c r="B367" s="110">
        <v>46063.0</v>
      </c>
      <c r="C367" s="4">
        <v>1.0</v>
      </c>
      <c r="D367" s="118" t="s">
        <v>2602</v>
      </c>
      <c r="E367" s="112" t="str">
        <f>VLOOKUP(D367,Table2[[ID Petugas]:[Nama]],2,false)</f>
        <v>Sahnas Aisyiah Maha, S.Tr.Stat.</v>
      </c>
      <c r="F367" s="114"/>
      <c r="G367" s="113"/>
      <c r="H367" s="113"/>
      <c r="I367" s="113"/>
    </row>
    <row r="368">
      <c r="A368" s="13" t="s">
        <v>3196</v>
      </c>
      <c r="B368" s="110">
        <v>46064.0</v>
      </c>
      <c r="C368" s="4">
        <v>2.0</v>
      </c>
      <c r="D368" s="115" t="s">
        <v>2628</v>
      </c>
      <c r="E368" s="112" t="str">
        <f>VLOOKUP(D368,Table2[[ID Petugas]:[Nama]],2,false)</f>
        <v>Juando Siallagan, S.Tr.Stat.</v>
      </c>
      <c r="F368" s="114"/>
      <c r="G368" s="113"/>
      <c r="H368" s="113"/>
      <c r="I368" s="113"/>
    </row>
    <row r="369">
      <c r="A369" s="13" t="s">
        <v>3197</v>
      </c>
      <c r="B369" s="110">
        <v>46064.0</v>
      </c>
      <c r="C369" s="4">
        <v>1.0</v>
      </c>
      <c r="D369" s="111" t="s">
        <v>2606</v>
      </c>
      <c r="E369" s="112" t="str">
        <f>VLOOKUP(D369,Table2[[ID Petugas]:[Nama]],2,false)</f>
        <v>Rivaldi, S.Tr.Stat.</v>
      </c>
      <c r="F369" s="114"/>
      <c r="G369" s="113"/>
      <c r="H369" s="113"/>
      <c r="I369" s="113"/>
    </row>
    <row r="370">
      <c r="A370" s="13" t="s">
        <v>3198</v>
      </c>
      <c r="B370" s="110">
        <v>46065.0</v>
      </c>
      <c r="C370" s="4">
        <v>2.0</v>
      </c>
      <c r="D370" s="118" t="s">
        <v>2624</v>
      </c>
      <c r="E370" s="112" t="str">
        <f>VLOOKUP(D370,Table2[[ID Petugas]:[Nama]],2,false)</f>
        <v>Marudut Silaban, SE, MM</v>
      </c>
      <c r="F370" s="114"/>
      <c r="G370" s="113"/>
      <c r="H370" s="113"/>
      <c r="I370" s="113"/>
    </row>
    <row r="371">
      <c r="A371" s="13" t="s">
        <v>3199</v>
      </c>
      <c r="B371" s="110">
        <v>46065.0</v>
      </c>
      <c r="C371" s="4">
        <v>1.0</v>
      </c>
      <c r="D371" s="118" t="s">
        <v>2943</v>
      </c>
      <c r="E371" s="112" t="str">
        <f>VLOOKUP(D371,Table2[[ID Petugas]:[Nama]],2,false)</f>
        <v>Richardo Tober Sihombing, S.Si</v>
      </c>
      <c r="F371" s="114"/>
      <c r="G371" s="113"/>
      <c r="H371" s="113"/>
      <c r="I371" s="113"/>
    </row>
    <row r="372">
      <c r="A372" s="13" t="s">
        <v>3200</v>
      </c>
      <c r="B372" s="110">
        <v>46066.0</v>
      </c>
      <c r="C372" s="4">
        <v>2.0</v>
      </c>
      <c r="D372" s="115" t="s">
        <v>2616</v>
      </c>
      <c r="E372" s="112" t="str">
        <f>VLOOKUP(D372,Table2[[ID Petugas]:[Nama]],2,false)</f>
        <v>Mike Ervans Purba, A.Md.Stat.</v>
      </c>
      <c r="F372" s="114"/>
      <c r="G372" s="113"/>
      <c r="H372" s="113"/>
      <c r="I372" s="113"/>
    </row>
    <row r="373">
      <c r="A373" s="13" t="s">
        <v>3201</v>
      </c>
      <c r="B373" s="110">
        <v>46066.0</v>
      </c>
      <c r="C373" s="4">
        <v>1.0</v>
      </c>
      <c r="D373" s="111" t="s">
        <v>2614</v>
      </c>
      <c r="E373" s="112" t="str">
        <f>VLOOKUP(D373,Table2[[ID Petugas]:[Nama]],2,false)</f>
        <v>Ribka Anggina Tarigan, SST</v>
      </c>
      <c r="F373" s="114"/>
      <c r="G373" s="113"/>
      <c r="H373" s="113"/>
      <c r="I373" s="113"/>
    </row>
    <row r="374">
      <c r="A374" s="13" t="s">
        <v>3202</v>
      </c>
      <c r="B374" s="110">
        <v>46069.0</v>
      </c>
      <c r="C374" s="4">
        <v>2.0</v>
      </c>
      <c r="D374" s="115" t="s">
        <v>2634</v>
      </c>
      <c r="E374" s="112" t="str">
        <f>VLOOKUP(D374,Table2[[ID Petugas]:[Nama]],2,false)</f>
        <v>Monika Stevany Manurung, S.Tr.Stat.</v>
      </c>
      <c r="F374" s="114"/>
      <c r="G374" s="113"/>
      <c r="H374" s="113"/>
      <c r="I374" s="113"/>
    </row>
    <row r="375">
      <c r="A375" s="13" t="s">
        <v>3203</v>
      </c>
      <c r="B375" s="110">
        <v>46069.0</v>
      </c>
      <c r="C375" s="4">
        <v>1.0</v>
      </c>
      <c r="D375" s="111" t="s">
        <v>2618</v>
      </c>
      <c r="E375" s="112" t="str">
        <f>VLOOKUP(D375,Table2[[ID Petugas]:[Nama]],2,false)</f>
        <v>Ratih Kurniawati, S.E.</v>
      </c>
      <c r="F375" s="114"/>
      <c r="G375" s="113"/>
      <c r="H375" s="113"/>
      <c r="I375" s="113"/>
    </row>
    <row r="376">
      <c r="A376" s="13" t="s">
        <v>3204</v>
      </c>
      <c r="B376" s="110">
        <v>46070.0</v>
      </c>
      <c r="C376" s="4">
        <v>2.0</v>
      </c>
      <c r="D376" s="107" t="s">
        <v>2632</v>
      </c>
      <c r="E376" s="112" t="str">
        <f>VLOOKUP(D376,Table2[[ID Petugas]:[Nama]],2,false)</f>
        <v>Zunkifli Haryanto Yoko Ningrat Siahaan</v>
      </c>
      <c r="F376" s="114"/>
      <c r="G376" s="113"/>
      <c r="H376" s="113"/>
      <c r="I376" s="113"/>
    </row>
    <row r="377">
      <c r="A377" s="13" t="s">
        <v>3205</v>
      </c>
      <c r="B377" s="110">
        <v>46070.0</v>
      </c>
      <c r="C377" s="4">
        <v>1.0</v>
      </c>
      <c r="D377" s="112" t="s">
        <v>2630</v>
      </c>
      <c r="E377" s="112" t="str">
        <f>VLOOKUP(D377,Table2[[ID Petugas]:[Nama]],2,false)</f>
        <v>Anwar Sinaga, A.Md.</v>
      </c>
      <c r="F377" s="114"/>
      <c r="G377" s="113"/>
      <c r="H377" s="113"/>
      <c r="I377" s="113"/>
    </row>
    <row r="378">
      <c r="A378" s="13" t="s">
        <v>3206</v>
      </c>
      <c r="B378" s="110">
        <v>46071.0</v>
      </c>
      <c r="C378" s="4">
        <v>2.0</v>
      </c>
      <c r="D378" s="107" t="s">
        <v>2636</v>
      </c>
      <c r="E378" s="112" t="str">
        <f>VLOOKUP(D378,Table2[[ID Petugas]:[Nama]],2,false)</f>
        <v>Wiwik Rahayuni Lumban Gaol, A.Md</v>
      </c>
      <c r="F378" s="114"/>
      <c r="G378" s="113"/>
      <c r="H378" s="113"/>
      <c r="I378" s="113"/>
    </row>
    <row r="379">
      <c r="A379" s="13" t="s">
        <v>3207</v>
      </c>
      <c r="B379" s="110">
        <v>46071.0</v>
      </c>
      <c r="C379" s="4">
        <v>1.0</v>
      </c>
      <c r="D379" s="107" t="s">
        <v>2638</v>
      </c>
      <c r="E379" s="112" t="str">
        <f>VLOOKUP(D379,Table2[[ID Petugas]:[Nama]],2,false)</f>
        <v>Efendy Girsang, SP</v>
      </c>
      <c r="F379" s="114"/>
      <c r="G379" s="113"/>
      <c r="H379" s="113"/>
      <c r="I379" s="113"/>
    </row>
    <row r="380">
      <c r="A380" s="13" t="s">
        <v>3208</v>
      </c>
      <c r="B380" s="110">
        <v>46072.0</v>
      </c>
      <c r="C380" s="4">
        <v>2.0</v>
      </c>
      <c r="D380" s="111" t="s">
        <v>2640</v>
      </c>
      <c r="E380" s="112" t="str">
        <f>VLOOKUP(D380,Table2[[ID Petugas]:[Nama]],2,false)</f>
        <v>Tetty Saorma Hasiholan, S.Si</v>
      </c>
      <c r="F380" s="114"/>
      <c r="G380" s="113"/>
      <c r="H380" s="113"/>
      <c r="I380" s="113"/>
    </row>
    <row r="381">
      <c r="A381" s="13" t="s">
        <v>3209</v>
      </c>
      <c r="B381" s="110">
        <v>46072.0</v>
      </c>
      <c r="C381" s="4">
        <v>1.0</v>
      </c>
      <c r="D381" s="107" t="s">
        <v>2600</v>
      </c>
      <c r="E381" s="112" t="str">
        <f>VLOOKUP(D381,Table2[[ID Petugas]:[Nama]],2,false)</f>
        <v>Emmi Manurung, S.E.</v>
      </c>
      <c r="F381" s="114"/>
      <c r="G381" s="113"/>
      <c r="H381" s="113"/>
      <c r="I381" s="113"/>
    </row>
    <row r="382">
      <c r="A382" s="13" t="s">
        <v>3210</v>
      </c>
      <c r="B382" s="110">
        <v>46073.0</v>
      </c>
      <c r="C382" s="4">
        <v>2.0</v>
      </c>
      <c r="D382" s="118" t="s">
        <v>2598</v>
      </c>
      <c r="E382" s="112" t="str">
        <f>VLOOKUP(D382,Table2[[ID Petugas]:[Nama]],2,false)</f>
        <v>Sangaptua Deo Datus Sagala, S.Tr.Stat.</v>
      </c>
      <c r="F382" s="114"/>
      <c r="G382" s="113"/>
      <c r="H382" s="113"/>
      <c r="I382" s="113"/>
    </row>
    <row r="383">
      <c r="A383" s="13" t="s">
        <v>3211</v>
      </c>
      <c r="B383" s="110">
        <v>46073.0</v>
      </c>
      <c r="C383" s="4">
        <v>1.0</v>
      </c>
      <c r="D383" s="118" t="s">
        <v>2604</v>
      </c>
      <c r="E383" s="112" t="str">
        <f>VLOOKUP(D383,Table2[[ID Petugas]:[Nama]],2,false)</f>
        <v>Frisca Ulina Br Munthe,S.Tr.Stat.</v>
      </c>
      <c r="F383" s="114"/>
      <c r="G383" s="113"/>
      <c r="H383" s="113"/>
      <c r="I383" s="113"/>
    </row>
    <row r="384">
      <c r="A384" s="13" t="s">
        <v>3212</v>
      </c>
      <c r="B384" s="110">
        <v>46076.0</v>
      </c>
      <c r="C384" s="4">
        <v>2.0</v>
      </c>
      <c r="D384" s="118" t="s">
        <v>2602</v>
      </c>
      <c r="E384" s="112" t="str">
        <f>VLOOKUP(D384,Table2[[ID Petugas]:[Nama]],2,false)</f>
        <v>Sahnas Aisyiah Maha, S.Tr.Stat.</v>
      </c>
      <c r="F384" s="114"/>
      <c r="G384" s="113"/>
      <c r="H384" s="113"/>
      <c r="I384" s="113"/>
    </row>
    <row r="385">
      <c r="A385" s="13" t="s">
        <v>3213</v>
      </c>
      <c r="B385" s="110">
        <v>46076.0</v>
      </c>
      <c r="C385" s="4">
        <v>1.0</v>
      </c>
      <c r="D385" s="118" t="s">
        <v>2608</v>
      </c>
      <c r="E385" s="112" t="str">
        <f>VLOOKUP(D385,Table2[[ID Petugas]:[Nama]],2,false)</f>
        <v>Jaksen Ferry Judo Lingga S.Si</v>
      </c>
      <c r="F385" s="114"/>
      <c r="G385" s="113"/>
      <c r="H385" s="113"/>
      <c r="I385" s="113"/>
    </row>
    <row r="386">
      <c r="A386" s="13" t="s">
        <v>3214</v>
      </c>
      <c r="B386" s="110">
        <v>46077.0</v>
      </c>
      <c r="C386" s="4">
        <v>2.0</v>
      </c>
      <c r="D386" s="111" t="s">
        <v>2606</v>
      </c>
      <c r="E386" s="112" t="str">
        <f>VLOOKUP(D386,Table2[[ID Petugas]:[Nama]],2,false)</f>
        <v>Rivaldi, S.Tr.Stat.</v>
      </c>
      <c r="F386" s="114"/>
      <c r="G386" s="113"/>
      <c r="H386" s="113"/>
      <c r="I386" s="113"/>
    </row>
    <row r="387">
      <c r="A387" s="13" t="s">
        <v>3215</v>
      </c>
      <c r="B387" s="110">
        <v>46077.0</v>
      </c>
      <c r="C387" s="4">
        <v>1.0</v>
      </c>
      <c r="D387" s="115" t="s">
        <v>2628</v>
      </c>
      <c r="E387" s="112" t="str">
        <f>VLOOKUP(D387,Table2[[ID Petugas]:[Nama]],2,false)</f>
        <v>Juando Siallagan, S.Tr.Stat.</v>
      </c>
      <c r="F387" s="114"/>
      <c r="G387" s="113"/>
      <c r="H387" s="113"/>
      <c r="I387" s="113"/>
    </row>
    <row r="388">
      <c r="A388" s="13" t="s">
        <v>3216</v>
      </c>
      <c r="B388" s="110">
        <v>46078.0</v>
      </c>
      <c r="C388" s="4">
        <v>1.0</v>
      </c>
      <c r="D388" s="118" t="s">
        <v>2943</v>
      </c>
      <c r="E388" s="112" t="str">
        <f>VLOOKUP(D388,Table2[[ID Petugas]:[Nama]],2,false)</f>
        <v>Richardo Tober Sihombing, S.Si</v>
      </c>
      <c r="F388" s="114"/>
      <c r="G388" s="113"/>
      <c r="H388" s="113"/>
      <c r="I388" s="113"/>
    </row>
    <row r="389">
      <c r="A389" s="13" t="s">
        <v>3217</v>
      </c>
      <c r="B389" s="110">
        <v>46078.0</v>
      </c>
      <c r="C389" s="4">
        <v>2.0</v>
      </c>
      <c r="D389" s="118" t="s">
        <v>2624</v>
      </c>
      <c r="E389" s="112" t="str">
        <f>VLOOKUP(D389,Table2[[ID Petugas]:[Nama]],2,false)</f>
        <v>Marudut Silaban, SE, MM</v>
      </c>
      <c r="F389" s="114"/>
      <c r="G389" s="113"/>
      <c r="H389" s="113"/>
      <c r="I389" s="113"/>
    </row>
    <row r="390">
      <c r="A390" s="13" t="s">
        <v>3218</v>
      </c>
      <c r="B390" s="110">
        <v>46079.0</v>
      </c>
      <c r="C390" s="4">
        <v>1.0</v>
      </c>
      <c r="D390" s="111" t="s">
        <v>2614</v>
      </c>
      <c r="E390" s="112" t="str">
        <f>VLOOKUP(D390,Table2[[ID Petugas]:[Nama]],2,false)</f>
        <v>Ribka Anggina Tarigan, SST</v>
      </c>
      <c r="F390" s="114"/>
      <c r="G390" s="113"/>
      <c r="H390" s="113"/>
      <c r="I390" s="113"/>
    </row>
    <row r="391">
      <c r="A391" s="13" t="s">
        <v>3219</v>
      </c>
      <c r="B391" s="110">
        <v>46079.0</v>
      </c>
      <c r="C391" s="4">
        <v>2.0</v>
      </c>
      <c r="D391" s="115" t="s">
        <v>2616</v>
      </c>
      <c r="E391" s="112" t="str">
        <f>VLOOKUP(D391,Table2[[ID Petugas]:[Nama]],2,false)</f>
        <v>Mike Ervans Purba, A.Md.Stat.</v>
      </c>
      <c r="F391" s="114"/>
      <c r="G391" s="113"/>
      <c r="H391" s="113"/>
      <c r="I391" s="113"/>
    </row>
    <row r="392">
      <c r="A392" s="13" t="s">
        <v>3220</v>
      </c>
      <c r="B392" s="110">
        <v>46080.0</v>
      </c>
      <c r="C392" s="4">
        <v>1.0</v>
      </c>
      <c r="D392" s="111" t="s">
        <v>2618</v>
      </c>
      <c r="E392" s="112" t="str">
        <f>VLOOKUP(D392,Table2[[ID Petugas]:[Nama]],2,false)</f>
        <v>Ratih Kurniawati, S.E.</v>
      </c>
      <c r="F392" s="114"/>
      <c r="G392" s="113"/>
      <c r="H392" s="113"/>
      <c r="I392" s="113"/>
    </row>
    <row r="393">
      <c r="A393" s="13" t="s">
        <v>3221</v>
      </c>
      <c r="B393" s="110">
        <v>46080.0</v>
      </c>
      <c r="C393" s="4">
        <v>2.0</v>
      </c>
      <c r="D393" s="115" t="s">
        <v>2634</v>
      </c>
      <c r="E393" s="112" t="str">
        <f>VLOOKUP(D393,Table2[[ID Petugas]:[Nama]],2,false)</f>
        <v>Monika Stevany Manurung, S.Tr.Stat.</v>
      </c>
      <c r="F393" s="114"/>
      <c r="G393" s="113"/>
      <c r="H393" s="113"/>
      <c r="I393" s="113"/>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s>
  <sheetData>
    <row r="1">
      <c r="A1" s="4" t="s">
        <v>2579</v>
      </c>
      <c r="B1" s="4" t="s">
        <v>3222</v>
      </c>
      <c r="C1" s="4" t="s">
        <v>1890</v>
      </c>
    </row>
    <row r="2">
      <c r="A2" s="13" t="s">
        <v>3223</v>
      </c>
      <c r="B2" s="112" t="s">
        <v>2624</v>
      </c>
      <c r="C2" s="4">
        <v>202508.0</v>
      </c>
    </row>
    <row r="3">
      <c r="A3" s="13" t="s">
        <v>3224</v>
      </c>
      <c r="B3" s="112" t="s">
        <v>2638</v>
      </c>
      <c r="C3" s="4">
        <v>202508.0</v>
      </c>
    </row>
    <row r="4">
      <c r="A4" s="13" t="s">
        <v>3225</v>
      </c>
      <c r="B4" s="112" t="s">
        <v>2600</v>
      </c>
      <c r="C4" s="4">
        <v>202508.0</v>
      </c>
    </row>
    <row r="5">
      <c r="A5" s="13" t="s">
        <v>3226</v>
      </c>
      <c r="B5" s="112" t="s">
        <v>2640</v>
      </c>
      <c r="C5" s="4">
        <v>202508.0</v>
      </c>
    </row>
    <row r="6">
      <c r="A6" s="13" t="s">
        <v>3227</v>
      </c>
      <c r="B6" s="112" t="s">
        <v>3228</v>
      </c>
      <c r="C6" s="4">
        <v>202508.0</v>
      </c>
    </row>
    <row r="7">
      <c r="A7" s="13" t="s">
        <v>3229</v>
      </c>
      <c r="B7" s="112" t="s">
        <v>2632</v>
      </c>
      <c r="C7" s="4">
        <v>202508.0</v>
      </c>
    </row>
    <row r="8">
      <c r="A8" s="13" t="s">
        <v>3230</v>
      </c>
      <c r="B8" s="112" t="s">
        <v>2610</v>
      </c>
      <c r="C8" s="4">
        <v>202508.0</v>
      </c>
    </row>
    <row r="9">
      <c r="A9" s="13" t="s">
        <v>3231</v>
      </c>
      <c r="B9" s="112" t="s">
        <v>3232</v>
      </c>
      <c r="C9" s="4">
        <v>202508.0</v>
      </c>
    </row>
    <row r="10">
      <c r="A10" s="13" t="s">
        <v>3233</v>
      </c>
      <c r="B10" s="112" t="s">
        <v>2612</v>
      </c>
      <c r="C10" s="4">
        <v>202508.0</v>
      </c>
    </row>
    <row r="11">
      <c r="A11" s="13" t="s">
        <v>3234</v>
      </c>
      <c r="B11" s="112" t="s">
        <v>2618</v>
      </c>
      <c r="C11" s="4">
        <v>202508.0</v>
      </c>
    </row>
    <row r="12">
      <c r="A12" s="13" t="s">
        <v>3235</v>
      </c>
      <c r="B12" s="112" t="s">
        <v>2630</v>
      </c>
      <c r="C12" s="4">
        <v>202508.0</v>
      </c>
    </row>
    <row r="13">
      <c r="A13" s="13" t="s">
        <v>3236</v>
      </c>
      <c r="B13" s="112" t="s">
        <v>2614</v>
      </c>
      <c r="C13" s="4">
        <v>202508.0</v>
      </c>
    </row>
    <row r="14">
      <c r="A14" s="13" t="s">
        <v>3237</v>
      </c>
      <c r="B14" s="112" t="s">
        <v>2622</v>
      </c>
      <c r="C14" s="4">
        <v>202508.0</v>
      </c>
    </row>
    <row r="15">
      <c r="A15" s="13" t="s">
        <v>3238</v>
      </c>
      <c r="B15" s="112" t="s">
        <v>2620</v>
      </c>
      <c r="C15" s="4">
        <v>202508.0</v>
      </c>
    </row>
    <row r="16">
      <c r="A16" s="13" t="s">
        <v>3239</v>
      </c>
      <c r="B16" s="112" t="s">
        <v>2598</v>
      </c>
      <c r="C16" s="4">
        <v>202508.0</v>
      </c>
    </row>
    <row r="17">
      <c r="A17" s="13" t="s">
        <v>3240</v>
      </c>
      <c r="B17" s="112" t="s">
        <v>2628</v>
      </c>
      <c r="C17" s="4">
        <v>202508.0</v>
      </c>
    </row>
    <row r="18">
      <c r="A18" s="13" t="s">
        <v>3241</v>
      </c>
      <c r="B18" s="112" t="s">
        <v>2606</v>
      </c>
      <c r="C18" s="4">
        <v>202508.0</v>
      </c>
    </row>
    <row r="19">
      <c r="A19" s="13" t="s">
        <v>3242</v>
      </c>
      <c r="B19" s="112" t="s">
        <v>2634</v>
      </c>
      <c r="C19" s="4">
        <v>202508.0</v>
      </c>
    </row>
    <row r="20">
      <c r="A20" s="13" t="s">
        <v>3243</v>
      </c>
      <c r="B20" s="112" t="s">
        <v>2602</v>
      </c>
      <c r="C20" s="4">
        <v>202508.0</v>
      </c>
    </row>
    <row r="21">
      <c r="A21" s="13" t="s">
        <v>3244</v>
      </c>
      <c r="B21" s="112" t="s">
        <v>2616</v>
      </c>
      <c r="C21" s="4">
        <v>202508.0</v>
      </c>
    </row>
    <row r="22">
      <c r="A22" s="13" t="s">
        <v>3245</v>
      </c>
      <c r="B22" s="112" t="s">
        <v>2608</v>
      </c>
      <c r="C22" s="4">
        <v>202508.0</v>
      </c>
    </row>
    <row r="23">
      <c r="A23" s="13" t="s">
        <v>3246</v>
      </c>
      <c r="B23" s="112" t="s">
        <v>2604</v>
      </c>
      <c r="C23" s="4">
        <v>202508.0</v>
      </c>
    </row>
    <row r="24">
      <c r="A24" s="13" t="s">
        <v>3247</v>
      </c>
      <c r="B24" s="112" t="s">
        <v>2626</v>
      </c>
      <c r="C24" s="4">
        <v>202508.0</v>
      </c>
    </row>
    <row r="25">
      <c r="A25" s="13" t="s">
        <v>3248</v>
      </c>
      <c r="B25" s="112" t="s">
        <v>2636</v>
      </c>
      <c r="C25" s="4">
        <v>202508.0</v>
      </c>
    </row>
    <row r="26">
      <c r="A26" s="13" t="s">
        <v>3223</v>
      </c>
      <c r="B26" s="112" t="s">
        <v>2624</v>
      </c>
      <c r="C26" s="4">
        <v>202509.0</v>
      </c>
    </row>
    <row r="27">
      <c r="A27" s="13" t="s">
        <v>3224</v>
      </c>
      <c r="B27" s="112" t="s">
        <v>2638</v>
      </c>
      <c r="C27" s="4">
        <v>202509.0</v>
      </c>
    </row>
    <row r="28">
      <c r="A28" s="13" t="s">
        <v>3225</v>
      </c>
      <c r="B28" s="112" t="s">
        <v>2600</v>
      </c>
      <c r="C28" s="4">
        <v>202509.0</v>
      </c>
    </row>
    <row r="29">
      <c r="A29" s="13" t="s">
        <v>3226</v>
      </c>
      <c r="B29" s="112" t="s">
        <v>2640</v>
      </c>
      <c r="C29" s="4">
        <v>202509.0</v>
      </c>
    </row>
    <row r="30">
      <c r="A30" s="13" t="s">
        <v>3227</v>
      </c>
      <c r="B30" s="112" t="s">
        <v>3228</v>
      </c>
      <c r="C30" s="4">
        <v>202509.0</v>
      </c>
    </row>
    <row r="31">
      <c r="A31" s="13" t="s">
        <v>3229</v>
      </c>
      <c r="B31" s="112" t="s">
        <v>2632</v>
      </c>
      <c r="C31" s="4">
        <v>202509.0</v>
      </c>
    </row>
    <row r="32">
      <c r="A32" s="13" t="s">
        <v>3230</v>
      </c>
      <c r="B32" s="112" t="s">
        <v>2610</v>
      </c>
      <c r="C32" s="4">
        <v>202509.0</v>
      </c>
    </row>
    <row r="33">
      <c r="A33" s="13" t="s">
        <v>3231</v>
      </c>
      <c r="B33" s="112" t="s">
        <v>3232</v>
      </c>
      <c r="C33" s="4">
        <v>202509.0</v>
      </c>
    </row>
    <row r="34">
      <c r="A34" s="13" t="s">
        <v>3233</v>
      </c>
      <c r="B34" s="112" t="s">
        <v>2612</v>
      </c>
      <c r="C34" s="4">
        <v>202509.0</v>
      </c>
    </row>
    <row r="35">
      <c r="A35" s="13" t="s">
        <v>3234</v>
      </c>
      <c r="B35" s="112" t="s">
        <v>2618</v>
      </c>
      <c r="C35" s="4">
        <v>202509.0</v>
      </c>
    </row>
    <row r="36">
      <c r="A36" s="13" t="s">
        <v>3235</v>
      </c>
      <c r="B36" s="112" t="s">
        <v>2630</v>
      </c>
      <c r="C36" s="4">
        <v>202509.0</v>
      </c>
    </row>
    <row r="37">
      <c r="A37" s="13" t="s">
        <v>3236</v>
      </c>
      <c r="B37" s="112" t="s">
        <v>2614</v>
      </c>
      <c r="C37" s="4">
        <v>202509.0</v>
      </c>
    </row>
    <row r="38">
      <c r="A38" s="13" t="s">
        <v>3237</v>
      </c>
      <c r="B38" s="112" t="s">
        <v>2622</v>
      </c>
      <c r="C38" s="4">
        <v>202509.0</v>
      </c>
    </row>
    <row r="39">
      <c r="A39" s="13" t="s">
        <v>3238</v>
      </c>
      <c r="B39" s="112" t="s">
        <v>2620</v>
      </c>
      <c r="C39" s="4">
        <v>202509.0</v>
      </c>
    </row>
    <row r="40">
      <c r="A40" s="13" t="s">
        <v>3239</v>
      </c>
      <c r="B40" s="112" t="s">
        <v>2598</v>
      </c>
      <c r="C40" s="4">
        <v>202509.0</v>
      </c>
    </row>
    <row r="41">
      <c r="A41" s="13" t="s">
        <v>3240</v>
      </c>
      <c r="B41" s="112" t="s">
        <v>2628</v>
      </c>
      <c r="C41" s="4">
        <v>202509.0</v>
      </c>
    </row>
    <row r="42">
      <c r="A42" s="13" t="s">
        <v>3241</v>
      </c>
      <c r="B42" s="112" t="s">
        <v>2606</v>
      </c>
      <c r="C42" s="4">
        <v>202509.0</v>
      </c>
    </row>
    <row r="43">
      <c r="A43" s="13" t="s">
        <v>3242</v>
      </c>
      <c r="B43" s="112" t="s">
        <v>2634</v>
      </c>
      <c r="C43" s="4">
        <v>202509.0</v>
      </c>
    </row>
    <row r="44">
      <c r="A44" s="13" t="s">
        <v>3243</v>
      </c>
      <c r="B44" s="112" t="s">
        <v>2602</v>
      </c>
      <c r="C44" s="4">
        <v>202509.0</v>
      </c>
    </row>
    <row r="45">
      <c r="A45" s="13" t="s">
        <v>3244</v>
      </c>
      <c r="B45" s="112" t="s">
        <v>2616</v>
      </c>
      <c r="C45" s="4">
        <v>202509.0</v>
      </c>
    </row>
    <row r="46">
      <c r="A46" s="13" t="s">
        <v>3245</v>
      </c>
      <c r="B46" s="112" t="s">
        <v>2608</v>
      </c>
      <c r="C46" s="4">
        <v>202509.0</v>
      </c>
    </row>
    <row r="47">
      <c r="A47" s="13" t="s">
        <v>3246</v>
      </c>
      <c r="B47" s="112" t="s">
        <v>2604</v>
      </c>
      <c r="C47" s="4">
        <v>202509.0</v>
      </c>
    </row>
    <row r="48">
      <c r="A48" s="13" t="s">
        <v>3247</v>
      </c>
      <c r="B48" s="112" t="s">
        <v>2626</v>
      </c>
      <c r="C48" s="4">
        <v>202509.0</v>
      </c>
    </row>
    <row r="49">
      <c r="A49" s="13" t="s">
        <v>3248</v>
      </c>
      <c r="B49" s="112" t="s">
        <v>2636</v>
      </c>
      <c r="C49" s="4">
        <v>202509.0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2579</v>
      </c>
      <c r="B1" s="4" t="s">
        <v>1890</v>
      </c>
      <c r="C1" s="4" t="s">
        <v>3249</v>
      </c>
    </row>
    <row r="2">
      <c r="A2" s="6" t="s">
        <v>3250</v>
      </c>
      <c r="B2" s="4" t="s">
        <v>3251</v>
      </c>
      <c r="C2" s="4">
        <v>2025.0</v>
      </c>
    </row>
    <row r="3">
      <c r="A3" s="4" t="s">
        <v>3252</v>
      </c>
      <c r="B3" s="4" t="s">
        <v>3253</v>
      </c>
      <c r="C3" s="4">
        <v>2025.0</v>
      </c>
    </row>
    <row r="4">
      <c r="A4" s="4" t="s">
        <v>3254</v>
      </c>
      <c r="B4" s="4" t="s">
        <v>3255</v>
      </c>
      <c r="C4" s="4">
        <v>2025.0</v>
      </c>
    </row>
    <row r="5">
      <c r="A5" s="4" t="s">
        <v>3256</v>
      </c>
      <c r="B5" s="4" t="s">
        <v>3257</v>
      </c>
      <c r="C5" s="4">
        <v>2025.0</v>
      </c>
    </row>
    <row r="6">
      <c r="A6" s="4" t="s">
        <v>3258</v>
      </c>
      <c r="B6" s="4" t="s">
        <v>3259</v>
      </c>
      <c r="C6" s="4">
        <v>2025.0</v>
      </c>
    </row>
    <row r="7">
      <c r="A7" s="4" t="s">
        <v>3260</v>
      </c>
      <c r="B7" s="4" t="s">
        <v>3261</v>
      </c>
      <c r="C7" s="4">
        <v>2025.0</v>
      </c>
    </row>
    <row r="8">
      <c r="A8" s="4" t="s">
        <v>3262</v>
      </c>
      <c r="B8" s="4" t="s">
        <v>3263</v>
      </c>
      <c r="C8" s="4">
        <v>2025.0</v>
      </c>
    </row>
    <row r="9">
      <c r="A9" s="4" t="s">
        <v>3264</v>
      </c>
      <c r="B9" s="4" t="s">
        <v>3265</v>
      </c>
      <c r="C9" s="4">
        <v>2025.0</v>
      </c>
    </row>
    <row r="10">
      <c r="A10" s="4" t="s">
        <v>3266</v>
      </c>
      <c r="B10" s="4" t="s">
        <v>3267</v>
      </c>
      <c r="C10" s="4">
        <v>2025.0</v>
      </c>
    </row>
    <row r="11">
      <c r="A11" s="4" t="s">
        <v>3268</v>
      </c>
      <c r="B11" s="4" t="s">
        <v>3269</v>
      </c>
      <c r="C11" s="4">
        <v>2025.0</v>
      </c>
    </row>
    <row r="12">
      <c r="A12" s="4" t="s">
        <v>3270</v>
      </c>
      <c r="B12" s="4" t="s">
        <v>3271</v>
      </c>
      <c r="C12" s="4">
        <v>2025.0</v>
      </c>
    </row>
    <row r="13">
      <c r="A13" s="4" t="s">
        <v>3272</v>
      </c>
      <c r="B13" s="4" t="s">
        <v>3273</v>
      </c>
      <c r="C13" s="4">
        <v>2025.0</v>
      </c>
    </row>
    <row r="14">
      <c r="A14" s="6" t="s">
        <v>3274</v>
      </c>
      <c r="B14" s="4" t="s">
        <v>3251</v>
      </c>
      <c r="C14" s="4">
        <v>2026.0</v>
      </c>
    </row>
    <row r="15">
      <c r="A15" s="4" t="s">
        <v>3275</v>
      </c>
      <c r="B15" s="4" t="s">
        <v>3253</v>
      </c>
      <c r="C15" s="4">
        <v>2026.0</v>
      </c>
    </row>
    <row r="16">
      <c r="A16" s="4" t="s">
        <v>3276</v>
      </c>
      <c r="B16" s="4" t="s">
        <v>3255</v>
      </c>
      <c r="C16" s="4">
        <v>2026.0</v>
      </c>
    </row>
    <row r="17">
      <c r="A17" s="4" t="s">
        <v>3277</v>
      </c>
      <c r="B17" s="4" t="s">
        <v>3257</v>
      </c>
      <c r="C17" s="4">
        <v>2026.0</v>
      </c>
    </row>
    <row r="18">
      <c r="A18" s="4" t="s">
        <v>3278</v>
      </c>
      <c r="B18" s="4" t="s">
        <v>3259</v>
      </c>
      <c r="C18" s="4">
        <v>2026.0</v>
      </c>
    </row>
    <row r="19">
      <c r="A19" s="4" t="s">
        <v>3279</v>
      </c>
      <c r="B19" s="4" t="s">
        <v>3261</v>
      </c>
      <c r="C19" s="4">
        <v>2026.0</v>
      </c>
    </row>
    <row r="20">
      <c r="A20" s="4" t="s">
        <v>3280</v>
      </c>
      <c r="B20" s="4" t="s">
        <v>3263</v>
      </c>
      <c r="C20" s="4">
        <v>2026.0</v>
      </c>
    </row>
    <row r="21">
      <c r="A21" s="4" t="s">
        <v>3281</v>
      </c>
      <c r="B21" s="4" t="s">
        <v>3265</v>
      </c>
      <c r="C21" s="4">
        <v>2026.0</v>
      </c>
    </row>
    <row r="22">
      <c r="A22" s="4" t="s">
        <v>3282</v>
      </c>
      <c r="B22" s="4" t="s">
        <v>3267</v>
      </c>
      <c r="C22" s="4">
        <v>2026.0</v>
      </c>
    </row>
    <row r="23">
      <c r="A23" s="4" t="s">
        <v>3283</v>
      </c>
      <c r="B23" s="4" t="s">
        <v>3269</v>
      </c>
      <c r="C23" s="4">
        <v>2026.0</v>
      </c>
    </row>
    <row r="24">
      <c r="A24" s="4" t="s">
        <v>3284</v>
      </c>
      <c r="B24" s="4" t="s">
        <v>3271</v>
      </c>
      <c r="C24" s="4">
        <v>2026.0</v>
      </c>
    </row>
    <row r="25">
      <c r="A25" s="4" t="s">
        <v>3285</v>
      </c>
      <c r="B25" s="4" t="s">
        <v>3273</v>
      </c>
      <c r="C25" s="4">
        <v>2026.0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3286</v>
      </c>
      <c r="B1" s="4" t="s">
        <v>3287</v>
      </c>
      <c r="C1" s="4" t="s">
        <v>3288</v>
      </c>
      <c r="D1" s="4" t="s">
        <v>3289</v>
      </c>
      <c r="E1" s="4" t="s">
        <v>3290</v>
      </c>
      <c r="F1" s="4" t="s">
        <v>3291</v>
      </c>
    </row>
    <row r="2">
      <c r="A2" s="13" t="s">
        <v>2721</v>
      </c>
    </row>
    <row r="3">
      <c r="A3" s="13" t="s">
        <v>2724</v>
      </c>
      <c r="B3" s="4" t="s">
        <v>3292</v>
      </c>
      <c r="C3" s="4" t="s">
        <v>3293</v>
      </c>
      <c r="D3" s="4" t="s">
        <v>3294</v>
      </c>
      <c r="E3" s="4" t="s">
        <v>3295</v>
      </c>
      <c r="F3" s="4" t="s">
        <v>3296</v>
      </c>
    </row>
    <row r="4">
      <c r="A4" s="13" t="s">
        <v>2727</v>
      </c>
      <c r="B4" s="4" t="s">
        <v>3292</v>
      </c>
      <c r="C4" s="4" t="s">
        <v>3293</v>
      </c>
      <c r="D4" s="4" t="s">
        <v>3294</v>
      </c>
      <c r="E4" s="4" t="s">
        <v>3295</v>
      </c>
      <c r="F4" s="4" t="s">
        <v>3296</v>
      </c>
    </row>
    <row r="5">
      <c r="A5" s="13" t="s">
        <v>2730</v>
      </c>
    </row>
    <row r="6">
      <c r="A6" s="13" t="s">
        <v>2733</v>
      </c>
    </row>
    <row r="7">
      <c r="A7" s="13" t="s">
        <v>2736</v>
      </c>
    </row>
    <row r="8">
      <c r="A8" s="13" t="s">
        <v>2739</v>
      </c>
    </row>
    <row r="9">
      <c r="A9" s="13" t="s">
        <v>2744</v>
      </c>
    </row>
    <row r="10">
      <c r="A10" s="13" t="s">
        <v>2747</v>
      </c>
    </row>
    <row r="11">
      <c r="A11" s="13" t="s">
        <v>2751</v>
      </c>
    </row>
    <row r="12">
      <c r="A12" s="13" t="s">
        <v>2756</v>
      </c>
    </row>
    <row r="13">
      <c r="A13" s="13" t="s">
        <v>2761</v>
      </c>
    </row>
    <row r="14">
      <c r="A14" s="13" t="s">
        <v>2766</v>
      </c>
    </row>
    <row r="15">
      <c r="A15" s="13" t="s">
        <v>2771</v>
      </c>
    </row>
    <row r="16">
      <c r="A16" s="13" t="s">
        <v>2772</v>
      </c>
    </row>
    <row r="17">
      <c r="A17" s="13" t="s">
        <v>2777</v>
      </c>
    </row>
    <row r="18">
      <c r="A18" s="13" t="s">
        <v>2781</v>
      </c>
    </row>
    <row r="19">
      <c r="A19" s="13" t="s">
        <v>2786</v>
      </c>
    </row>
    <row r="20">
      <c r="A20" s="13" t="s">
        <v>2791</v>
      </c>
    </row>
    <row r="21">
      <c r="A21" s="13" t="s">
        <v>2792</v>
      </c>
    </row>
    <row r="22">
      <c r="A22" s="13" t="s">
        <v>2797</v>
      </c>
    </row>
    <row r="23">
      <c r="A23" s="13" t="s">
        <v>2802</v>
      </c>
    </row>
    <row r="24">
      <c r="A24" s="13" t="s">
        <v>2806</v>
      </c>
    </row>
    <row r="25">
      <c r="A25" s="13" t="s">
        <v>2807</v>
      </c>
    </row>
    <row r="26">
      <c r="A26" s="13" t="s">
        <v>2808</v>
      </c>
    </row>
    <row r="27">
      <c r="A27" s="13" t="s">
        <v>2812</v>
      </c>
    </row>
    <row r="28">
      <c r="A28" s="13" t="s">
        <v>2816</v>
      </c>
    </row>
    <row r="29">
      <c r="A29" s="13" t="s">
        <v>2820</v>
      </c>
    </row>
    <row r="30">
      <c r="A30" s="13" t="s">
        <v>2824</v>
      </c>
    </row>
    <row r="31">
      <c r="A31" s="13" t="s">
        <v>2828</v>
      </c>
    </row>
    <row r="32">
      <c r="A32" s="13" t="s">
        <v>2832</v>
      </c>
    </row>
    <row r="33">
      <c r="A33" s="4">
        <v>2.02508222E8</v>
      </c>
    </row>
    <row r="34">
      <c r="A34" s="4">
        <v>2.02508251E8</v>
      </c>
    </row>
    <row r="35">
      <c r="A35" s="4">
        <v>2.02508252E8</v>
      </c>
    </row>
    <row r="36">
      <c r="A36" s="4">
        <v>2.02508261E8</v>
      </c>
    </row>
    <row r="37">
      <c r="A37" s="4">
        <v>2.02508262E8</v>
      </c>
    </row>
    <row r="38">
      <c r="A38" s="4">
        <v>2.02508271E8</v>
      </c>
    </row>
    <row r="39">
      <c r="A39" s="4">
        <v>2.02508272E8</v>
      </c>
    </row>
    <row r="40">
      <c r="A40" s="4">
        <v>2.02508281E8</v>
      </c>
    </row>
    <row r="41">
      <c r="A41" s="4">
        <v>2.02508282E8</v>
      </c>
    </row>
    <row r="42">
      <c r="A42" s="4">
        <v>2.02508291E8</v>
      </c>
    </row>
    <row r="43">
      <c r="A43" s="4">
        <v>2.02508292E8</v>
      </c>
    </row>
    <row r="44">
      <c r="A44" s="4">
        <v>2.02509011E8</v>
      </c>
    </row>
    <row r="45">
      <c r="A45" s="4">
        <v>2.02509012E8</v>
      </c>
    </row>
    <row r="46">
      <c r="A46" s="4">
        <v>2.02509021E8</v>
      </c>
    </row>
    <row r="47">
      <c r="A47" s="4">
        <v>2.02509022E8</v>
      </c>
    </row>
    <row r="48">
      <c r="A48" s="4">
        <v>2.02509031E8</v>
      </c>
    </row>
    <row r="49">
      <c r="A49" s="4">
        <v>2.02509032E8</v>
      </c>
    </row>
    <row r="50">
      <c r="A50" s="4">
        <v>2.02509041E8</v>
      </c>
    </row>
    <row r="51">
      <c r="A51" s="4">
        <v>2.02509042E8</v>
      </c>
    </row>
    <row r="52">
      <c r="A52" s="4">
        <v>2.02509081E8</v>
      </c>
    </row>
    <row r="53">
      <c r="A53" s="4">
        <v>2.02509082E8</v>
      </c>
    </row>
    <row r="54">
      <c r="A54" s="4">
        <v>2.02509091E8</v>
      </c>
    </row>
    <row r="55">
      <c r="A55" s="4">
        <v>2.02509092E8</v>
      </c>
    </row>
    <row r="56">
      <c r="A56" s="4">
        <v>2.02509101E8</v>
      </c>
    </row>
    <row r="57">
      <c r="A57" s="4">
        <v>2.02509102E8</v>
      </c>
    </row>
    <row r="58">
      <c r="A58" s="4">
        <v>2.02509111E8</v>
      </c>
    </row>
    <row r="59">
      <c r="A59" s="4">
        <v>2.02509112E8</v>
      </c>
    </row>
    <row r="60">
      <c r="A60" s="4">
        <v>2.02509121E8</v>
      </c>
    </row>
    <row r="61">
      <c r="A61" s="4">
        <v>2.02509122E8</v>
      </c>
    </row>
    <row r="62">
      <c r="A62" s="4">
        <v>2.02509151E8</v>
      </c>
    </row>
    <row r="63">
      <c r="A63" s="4">
        <v>2.02509152E8</v>
      </c>
    </row>
    <row r="64">
      <c r="A64" s="4">
        <v>2.02509161E8</v>
      </c>
    </row>
    <row r="65">
      <c r="A65" s="4">
        <v>2.02509162E8</v>
      </c>
    </row>
    <row r="66">
      <c r="A66" s="4">
        <v>2.02509171E8</v>
      </c>
    </row>
    <row r="67">
      <c r="A67" s="4">
        <v>2.02509172E8</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3297</v>
      </c>
      <c r="B1" s="4" t="s">
        <v>3298</v>
      </c>
      <c r="C1" s="4" t="s">
        <v>3299</v>
      </c>
      <c r="D1" s="4" t="s">
        <v>3300</v>
      </c>
    </row>
    <row r="2">
      <c r="A2" s="4" t="s">
        <v>3292</v>
      </c>
      <c r="B2" s="4" t="s">
        <v>3287</v>
      </c>
      <c r="C2" s="4">
        <v>100.0</v>
      </c>
      <c r="D2" s="4" t="s">
        <v>3301</v>
      </c>
    </row>
    <row r="3">
      <c r="A3" s="4" t="s">
        <v>3302</v>
      </c>
      <c r="B3" s="4" t="s">
        <v>3287</v>
      </c>
      <c r="C3" s="4">
        <v>75.0</v>
      </c>
      <c r="D3" s="4" t="s">
        <v>3303</v>
      </c>
    </row>
    <row r="4">
      <c r="A4" s="4" t="s">
        <v>3304</v>
      </c>
      <c r="B4" s="4" t="s">
        <v>3287</v>
      </c>
      <c r="C4" s="4">
        <v>60.0</v>
      </c>
      <c r="D4" s="4" t="s">
        <v>3305</v>
      </c>
    </row>
    <row r="5">
      <c r="A5" s="4" t="s">
        <v>3293</v>
      </c>
      <c r="B5" s="4" t="s">
        <v>3288</v>
      </c>
      <c r="C5" s="4">
        <v>100.0</v>
      </c>
      <c r="D5" s="4" t="s">
        <v>3306</v>
      </c>
    </row>
    <row r="6">
      <c r="A6" s="4" t="s">
        <v>3307</v>
      </c>
      <c r="B6" s="4" t="s">
        <v>3288</v>
      </c>
      <c r="C6" s="4">
        <v>90.0</v>
      </c>
      <c r="D6" s="4" t="s">
        <v>3308</v>
      </c>
    </row>
    <row r="7">
      <c r="A7" s="4" t="s">
        <v>3309</v>
      </c>
      <c r="B7" s="4" t="s">
        <v>3288</v>
      </c>
      <c r="C7" s="4">
        <v>75.0</v>
      </c>
      <c r="D7" s="4" t="s">
        <v>3310</v>
      </c>
    </row>
    <row r="8">
      <c r="A8" s="4" t="s">
        <v>3311</v>
      </c>
      <c r="B8" s="4" t="s">
        <v>3288</v>
      </c>
      <c r="C8" s="4">
        <v>60.0</v>
      </c>
      <c r="D8" s="4" t="s">
        <v>3305</v>
      </c>
    </row>
    <row r="9">
      <c r="A9" s="4" t="s">
        <v>3294</v>
      </c>
      <c r="B9" s="4" t="s">
        <v>3289</v>
      </c>
      <c r="C9" s="4">
        <v>100.0</v>
      </c>
      <c r="D9" s="4" t="s">
        <v>3312</v>
      </c>
    </row>
    <row r="10">
      <c r="A10" s="4" t="s">
        <v>3313</v>
      </c>
      <c r="B10" s="4" t="s">
        <v>3289</v>
      </c>
      <c r="C10" s="4">
        <v>60.0</v>
      </c>
      <c r="D10" s="4" t="s">
        <v>3314</v>
      </c>
    </row>
    <row r="11">
      <c r="A11" s="4" t="s">
        <v>3295</v>
      </c>
      <c r="B11" s="4" t="s">
        <v>3290</v>
      </c>
      <c r="C11" s="4">
        <v>100.0</v>
      </c>
      <c r="D11" s="4" t="s">
        <v>3315</v>
      </c>
    </row>
    <row r="12">
      <c r="A12" s="4" t="s">
        <v>3316</v>
      </c>
      <c r="B12" s="4" t="s">
        <v>3290</v>
      </c>
      <c r="C12" s="4">
        <v>75.0</v>
      </c>
      <c r="D12" s="4" t="s">
        <v>3317</v>
      </c>
    </row>
    <row r="13">
      <c r="A13" s="4" t="s">
        <v>3296</v>
      </c>
      <c r="B13" s="4" t="s">
        <v>3291</v>
      </c>
      <c r="C13" s="4">
        <v>100.0</v>
      </c>
      <c r="D13" s="4" t="s">
        <v>3318</v>
      </c>
    </row>
    <row r="14">
      <c r="A14" s="4" t="s">
        <v>3319</v>
      </c>
      <c r="B14" s="4" t="s">
        <v>3291</v>
      </c>
      <c r="C14" s="4">
        <v>60.0</v>
      </c>
      <c r="D14" s="4" t="s">
        <v>3320</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22.63"/>
    <col customWidth="1" min="6" max="6" width="28.75"/>
    <col customWidth="1" min="7" max="8" width="48.25"/>
  </cols>
  <sheetData>
    <row r="1">
      <c r="A1" s="121" t="s">
        <v>3321</v>
      </c>
      <c r="B1" s="122" t="s">
        <v>1</v>
      </c>
      <c r="C1" s="122" t="s">
        <v>3322</v>
      </c>
      <c r="D1" s="122" t="s">
        <v>3323</v>
      </c>
      <c r="E1" s="122" t="s">
        <v>3324</v>
      </c>
      <c r="F1" s="123" t="s">
        <v>3325</v>
      </c>
      <c r="G1" s="123" t="s">
        <v>3326</v>
      </c>
      <c r="H1" s="124" t="s">
        <v>3327</v>
      </c>
    </row>
    <row r="2">
      <c r="A2" s="125" t="s">
        <v>3328</v>
      </c>
      <c r="B2" s="126" t="s">
        <v>3329</v>
      </c>
      <c r="C2" s="126" t="s">
        <v>3330</v>
      </c>
      <c r="D2" s="126" t="s">
        <v>3331</v>
      </c>
      <c r="E2" s="126" t="s">
        <v>3332</v>
      </c>
      <c r="F2" s="127" t="s">
        <v>3333</v>
      </c>
      <c r="G2" s="128"/>
      <c r="H2" s="129" t="s">
        <v>3334</v>
      </c>
    </row>
    <row r="3">
      <c r="A3" s="130" t="s">
        <v>2624</v>
      </c>
      <c r="B3" s="131" t="s">
        <v>3335</v>
      </c>
      <c r="C3" s="131" t="s">
        <v>3336</v>
      </c>
      <c r="D3" s="131" t="s">
        <v>3337</v>
      </c>
      <c r="E3" s="131" t="s">
        <v>3338</v>
      </c>
      <c r="F3" s="132" t="s">
        <v>3339</v>
      </c>
      <c r="G3" s="133" t="s">
        <v>3340</v>
      </c>
      <c r="H3" s="134" t="s">
        <v>3341</v>
      </c>
    </row>
    <row r="4">
      <c r="A4" s="125" t="s">
        <v>2638</v>
      </c>
      <c r="B4" s="126" t="s">
        <v>3342</v>
      </c>
      <c r="C4" s="126" t="s">
        <v>3343</v>
      </c>
      <c r="D4" s="126" t="s">
        <v>3344</v>
      </c>
      <c r="E4" s="126" t="s">
        <v>3345</v>
      </c>
      <c r="F4" s="127" t="s">
        <v>3346</v>
      </c>
      <c r="G4" s="128" t="s">
        <v>3347</v>
      </c>
      <c r="H4" s="129" t="s">
        <v>3341</v>
      </c>
    </row>
    <row r="5">
      <c r="A5" s="130" t="s">
        <v>2600</v>
      </c>
      <c r="B5" s="131" t="s">
        <v>3348</v>
      </c>
      <c r="C5" s="131" t="s">
        <v>3343</v>
      </c>
      <c r="D5" s="131" t="s">
        <v>3349</v>
      </c>
      <c r="E5" s="131" t="s">
        <v>3350</v>
      </c>
      <c r="F5" s="132" t="s">
        <v>3351</v>
      </c>
      <c r="G5" s="133" t="s">
        <v>3352</v>
      </c>
      <c r="H5" s="134" t="s">
        <v>3341</v>
      </c>
    </row>
    <row r="6">
      <c r="A6" s="125" t="s">
        <v>2640</v>
      </c>
      <c r="B6" s="126" t="s">
        <v>3353</v>
      </c>
      <c r="C6" s="126" t="s">
        <v>3343</v>
      </c>
      <c r="D6" s="126" t="s">
        <v>3354</v>
      </c>
      <c r="E6" s="126" t="s">
        <v>3355</v>
      </c>
      <c r="F6" s="127" t="s">
        <v>3356</v>
      </c>
      <c r="G6" s="128" t="s">
        <v>3357</v>
      </c>
      <c r="H6" s="129" t="s">
        <v>3341</v>
      </c>
    </row>
    <row r="7">
      <c r="A7" s="130" t="s">
        <v>3228</v>
      </c>
      <c r="B7" s="131" t="s">
        <v>3358</v>
      </c>
      <c r="C7" s="131" t="s">
        <v>3359</v>
      </c>
      <c r="D7" s="131" t="s">
        <v>3360</v>
      </c>
      <c r="E7" s="131" t="s">
        <v>3361</v>
      </c>
      <c r="F7" s="132" t="s">
        <v>3362</v>
      </c>
      <c r="G7" s="133" t="s">
        <v>3363</v>
      </c>
      <c r="H7" s="134" t="s">
        <v>3341</v>
      </c>
    </row>
    <row r="8">
      <c r="A8" s="125" t="s">
        <v>2632</v>
      </c>
      <c r="B8" s="126" t="s">
        <v>3364</v>
      </c>
      <c r="C8" s="126" t="s">
        <v>3365</v>
      </c>
      <c r="D8" s="126" t="s">
        <v>3366</v>
      </c>
      <c r="E8" s="126" t="s">
        <v>3367</v>
      </c>
      <c r="F8" s="127" t="s">
        <v>3368</v>
      </c>
      <c r="G8" s="128" t="s">
        <v>3369</v>
      </c>
      <c r="H8" s="129" t="s">
        <v>3341</v>
      </c>
    </row>
    <row r="9">
      <c r="A9" s="130" t="s">
        <v>2943</v>
      </c>
      <c r="B9" s="131" t="s">
        <v>3370</v>
      </c>
      <c r="C9" s="131" t="s">
        <v>3336</v>
      </c>
      <c r="D9" s="131" t="s">
        <v>3371</v>
      </c>
      <c r="E9" s="131" t="s">
        <v>3372</v>
      </c>
      <c r="F9" s="132" t="s">
        <v>3373</v>
      </c>
      <c r="G9" s="133" t="s">
        <v>3374</v>
      </c>
      <c r="H9" s="134" t="s">
        <v>3341</v>
      </c>
    </row>
    <row r="10">
      <c r="A10" s="125" t="s">
        <v>3232</v>
      </c>
      <c r="B10" s="126" t="s">
        <v>3375</v>
      </c>
      <c r="C10" s="126" t="s">
        <v>3376</v>
      </c>
      <c r="D10" s="126" t="s">
        <v>3377</v>
      </c>
      <c r="E10" s="126" t="s">
        <v>3378</v>
      </c>
      <c r="F10" s="127" t="s">
        <v>3379</v>
      </c>
      <c r="G10" s="128" t="s">
        <v>3380</v>
      </c>
      <c r="H10" s="129" t="s">
        <v>3341</v>
      </c>
    </row>
    <row r="11">
      <c r="A11" s="130" t="s">
        <v>2612</v>
      </c>
      <c r="B11" s="131" t="s">
        <v>3381</v>
      </c>
      <c r="C11" s="131" t="s">
        <v>3376</v>
      </c>
      <c r="D11" s="131" t="s">
        <v>3382</v>
      </c>
      <c r="E11" s="131" t="s">
        <v>3383</v>
      </c>
      <c r="F11" s="132" t="s">
        <v>3384</v>
      </c>
      <c r="G11" s="133" t="s">
        <v>3385</v>
      </c>
      <c r="H11" s="134" t="s">
        <v>3341</v>
      </c>
    </row>
    <row r="12">
      <c r="A12" s="125" t="s">
        <v>2618</v>
      </c>
      <c r="B12" s="126" t="s">
        <v>3386</v>
      </c>
      <c r="C12" s="126" t="s">
        <v>3343</v>
      </c>
      <c r="D12" s="126" t="s">
        <v>3387</v>
      </c>
      <c r="E12" s="126" t="s">
        <v>3388</v>
      </c>
      <c r="F12" s="127" t="s">
        <v>3389</v>
      </c>
      <c r="G12" s="128" t="s">
        <v>3390</v>
      </c>
      <c r="H12" s="129" t="s">
        <v>3341</v>
      </c>
    </row>
    <row r="13">
      <c r="A13" s="130" t="s">
        <v>2630</v>
      </c>
      <c r="B13" s="131" t="s">
        <v>3391</v>
      </c>
      <c r="C13" s="131" t="s">
        <v>3392</v>
      </c>
      <c r="D13" s="131" t="s">
        <v>3393</v>
      </c>
      <c r="E13" s="131" t="s">
        <v>3394</v>
      </c>
      <c r="F13" s="132" t="s">
        <v>3395</v>
      </c>
      <c r="G13" s="133" t="s">
        <v>3396</v>
      </c>
      <c r="H13" s="134" t="s">
        <v>3341</v>
      </c>
    </row>
    <row r="14">
      <c r="A14" s="125" t="s">
        <v>2614</v>
      </c>
      <c r="B14" s="126" t="s">
        <v>3397</v>
      </c>
      <c r="C14" s="126" t="s">
        <v>3343</v>
      </c>
      <c r="D14" s="126" t="s">
        <v>3398</v>
      </c>
      <c r="E14" s="126" t="s">
        <v>3399</v>
      </c>
      <c r="F14" s="127" t="s">
        <v>3400</v>
      </c>
      <c r="G14" s="128" t="s">
        <v>3401</v>
      </c>
      <c r="H14" s="129" t="s">
        <v>3341</v>
      </c>
    </row>
    <row r="15">
      <c r="A15" s="130" t="s">
        <v>2622</v>
      </c>
      <c r="B15" s="131" t="s">
        <v>3402</v>
      </c>
      <c r="C15" s="131" t="s">
        <v>3365</v>
      </c>
      <c r="D15" s="131" t="s">
        <v>3403</v>
      </c>
      <c r="E15" s="131" t="s">
        <v>3404</v>
      </c>
      <c r="F15" s="132" t="s">
        <v>3405</v>
      </c>
      <c r="G15" s="133" t="s">
        <v>3406</v>
      </c>
      <c r="H15" s="134" t="s">
        <v>3341</v>
      </c>
    </row>
    <row r="16">
      <c r="A16" s="125" t="s">
        <v>2620</v>
      </c>
      <c r="B16" s="126" t="s">
        <v>3407</v>
      </c>
      <c r="C16" s="126" t="s">
        <v>3343</v>
      </c>
      <c r="D16" s="126" t="s">
        <v>3408</v>
      </c>
      <c r="E16" s="126" t="s">
        <v>3409</v>
      </c>
      <c r="F16" s="127" t="s">
        <v>3410</v>
      </c>
      <c r="G16" s="128" t="s">
        <v>3411</v>
      </c>
      <c r="H16" s="129" t="s">
        <v>3341</v>
      </c>
    </row>
    <row r="17">
      <c r="A17" s="130" t="s">
        <v>2598</v>
      </c>
      <c r="B17" s="131" t="s">
        <v>3412</v>
      </c>
      <c r="C17" s="131" t="s">
        <v>3343</v>
      </c>
      <c r="D17" s="131" t="s">
        <v>3413</v>
      </c>
      <c r="E17" s="131" t="s">
        <v>3414</v>
      </c>
      <c r="F17" s="132" t="s">
        <v>3415</v>
      </c>
      <c r="G17" s="135" t="s">
        <v>3416</v>
      </c>
      <c r="H17" s="134" t="s">
        <v>3341</v>
      </c>
    </row>
    <row r="18">
      <c r="A18" s="125" t="s">
        <v>2628</v>
      </c>
      <c r="B18" s="126" t="s">
        <v>3417</v>
      </c>
      <c r="C18" s="126" t="s">
        <v>3343</v>
      </c>
      <c r="D18" s="126" t="s">
        <v>3418</v>
      </c>
      <c r="E18" s="126" t="s">
        <v>3419</v>
      </c>
      <c r="F18" s="127" t="s">
        <v>3420</v>
      </c>
      <c r="G18" s="128" t="s">
        <v>3421</v>
      </c>
      <c r="H18" s="129" t="s">
        <v>3341</v>
      </c>
    </row>
    <row r="19">
      <c r="A19" s="130" t="s">
        <v>2606</v>
      </c>
      <c r="B19" s="131" t="s">
        <v>3422</v>
      </c>
      <c r="C19" s="131" t="s">
        <v>3423</v>
      </c>
      <c r="D19" s="131" t="s">
        <v>3424</v>
      </c>
      <c r="E19" s="131" t="s">
        <v>3425</v>
      </c>
      <c r="F19" s="136" t="s">
        <v>3426</v>
      </c>
      <c r="G19" s="133" t="s">
        <v>3427</v>
      </c>
      <c r="H19" s="134" t="s">
        <v>3341</v>
      </c>
    </row>
    <row r="20">
      <c r="A20" s="125" t="s">
        <v>2634</v>
      </c>
      <c r="B20" s="126" t="s">
        <v>3428</v>
      </c>
      <c r="C20" s="126" t="s">
        <v>3343</v>
      </c>
      <c r="D20" s="126" t="s">
        <v>3429</v>
      </c>
      <c r="E20" s="126" t="s">
        <v>3430</v>
      </c>
      <c r="F20" s="127" t="s">
        <v>3431</v>
      </c>
      <c r="G20" s="128" t="s">
        <v>3432</v>
      </c>
      <c r="H20" s="129" t="s">
        <v>3341</v>
      </c>
    </row>
    <row r="21">
      <c r="A21" s="130" t="s">
        <v>2602</v>
      </c>
      <c r="B21" s="131" t="s">
        <v>3433</v>
      </c>
      <c r="C21" s="131" t="s">
        <v>3343</v>
      </c>
      <c r="D21" s="131" t="s">
        <v>3434</v>
      </c>
      <c r="E21" s="131" t="s">
        <v>3435</v>
      </c>
      <c r="F21" s="136" t="s">
        <v>3436</v>
      </c>
      <c r="G21" s="133" t="s">
        <v>3437</v>
      </c>
      <c r="H21" s="134" t="s">
        <v>3341</v>
      </c>
    </row>
    <row r="22">
      <c r="A22" s="125" t="s">
        <v>2616</v>
      </c>
      <c r="B22" s="126" t="s">
        <v>3438</v>
      </c>
      <c r="C22" s="126" t="s">
        <v>3365</v>
      </c>
      <c r="D22" s="126" t="s">
        <v>3439</v>
      </c>
      <c r="E22" s="126" t="s">
        <v>3440</v>
      </c>
      <c r="F22" s="127" t="s">
        <v>3441</v>
      </c>
      <c r="G22" s="128" t="s">
        <v>3442</v>
      </c>
      <c r="H22" s="129" t="s">
        <v>3341</v>
      </c>
    </row>
    <row r="23">
      <c r="A23" s="130" t="s">
        <v>2608</v>
      </c>
      <c r="B23" s="131" t="s">
        <v>3443</v>
      </c>
      <c r="C23" s="131" t="s">
        <v>3336</v>
      </c>
      <c r="D23" s="131" t="s">
        <v>3444</v>
      </c>
      <c r="E23" s="131" t="s">
        <v>3445</v>
      </c>
      <c r="F23" s="136" t="s">
        <v>3446</v>
      </c>
      <c r="G23" s="133" t="s">
        <v>3447</v>
      </c>
      <c r="H23" s="134" t="s">
        <v>3341</v>
      </c>
    </row>
    <row r="24">
      <c r="A24" s="125" t="s">
        <v>2604</v>
      </c>
      <c r="B24" s="126" t="s">
        <v>3448</v>
      </c>
      <c r="C24" s="126" t="s">
        <v>3343</v>
      </c>
      <c r="D24" s="126" t="s">
        <v>3449</v>
      </c>
      <c r="E24" s="126" t="s">
        <v>3450</v>
      </c>
      <c r="F24" s="127" t="s">
        <v>3451</v>
      </c>
      <c r="G24" s="128" t="s">
        <v>3452</v>
      </c>
      <c r="H24" s="129" t="s">
        <v>3341</v>
      </c>
    </row>
    <row r="25">
      <c r="A25" s="130" t="s">
        <v>2626</v>
      </c>
      <c r="B25" s="131" t="s">
        <v>3453</v>
      </c>
      <c r="C25" s="131" t="s">
        <v>3365</v>
      </c>
      <c r="D25" s="131" t="s">
        <v>3454</v>
      </c>
      <c r="E25" s="131" t="s">
        <v>3455</v>
      </c>
      <c r="F25" s="132" t="s">
        <v>3456</v>
      </c>
      <c r="G25" s="133" t="s">
        <v>3457</v>
      </c>
      <c r="H25" s="134" t="s">
        <v>3341</v>
      </c>
    </row>
    <row r="26">
      <c r="A26" s="125" t="s">
        <v>2636</v>
      </c>
      <c r="B26" s="126" t="s">
        <v>3458</v>
      </c>
      <c r="C26" s="126" t="s">
        <v>3459</v>
      </c>
      <c r="D26" s="126" t="s">
        <v>3460</v>
      </c>
      <c r="E26" s="126" t="s">
        <v>3461</v>
      </c>
      <c r="F26" s="127" t="s">
        <v>3462</v>
      </c>
      <c r="G26" s="128" t="s">
        <v>3463</v>
      </c>
      <c r="H26" s="129" t="s">
        <v>3341</v>
      </c>
    </row>
    <row r="27">
      <c r="A27" s="130" t="s">
        <v>3464</v>
      </c>
      <c r="B27" s="131" t="s">
        <v>3465</v>
      </c>
      <c r="C27" s="131" t="s">
        <v>3466</v>
      </c>
      <c r="D27" s="131"/>
      <c r="E27" s="131" t="s">
        <v>3467</v>
      </c>
      <c r="F27" s="131" t="s">
        <v>3468</v>
      </c>
      <c r="G27" s="133"/>
      <c r="H27" s="134" t="s">
        <v>3469</v>
      </c>
    </row>
    <row r="28">
      <c r="A28" s="125" t="s">
        <v>3470</v>
      </c>
      <c r="B28" s="126" t="s">
        <v>3471</v>
      </c>
      <c r="C28" s="126" t="s">
        <v>3466</v>
      </c>
      <c r="D28" s="126"/>
      <c r="E28" s="126" t="s">
        <v>3472</v>
      </c>
      <c r="F28" s="126" t="s">
        <v>3473</v>
      </c>
      <c r="G28" s="128"/>
      <c r="H28" s="129" t="s">
        <v>3469</v>
      </c>
    </row>
    <row r="29">
      <c r="A29" s="130" t="s">
        <v>3474</v>
      </c>
      <c r="B29" s="131" t="s">
        <v>3475</v>
      </c>
      <c r="C29" s="131" t="s">
        <v>3466</v>
      </c>
      <c r="D29" s="131"/>
      <c r="E29" s="131" t="s">
        <v>3476</v>
      </c>
      <c r="F29" s="131" t="s">
        <v>3477</v>
      </c>
      <c r="G29" s="133"/>
      <c r="H29" s="134" t="s">
        <v>3469</v>
      </c>
    </row>
    <row r="30">
      <c r="A30" s="125" t="s">
        <v>3478</v>
      </c>
      <c r="B30" s="126" t="s">
        <v>3479</v>
      </c>
      <c r="C30" s="126" t="s">
        <v>3466</v>
      </c>
      <c r="D30" s="126"/>
      <c r="E30" s="126" t="s">
        <v>3480</v>
      </c>
      <c r="F30" s="126" t="s">
        <v>3481</v>
      </c>
      <c r="G30" s="128"/>
      <c r="H30" s="129" t="s">
        <v>3469</v>
      </c>
    </row>
    <row r="31">
      <c r="A31" s="137" t="s">
        <v>3482</v>
      </c>
      <c r="B31" s="138" t="s">
        <v>3483</v>
      </c>
      <c r="C31" s="138" t="s">
        <v>3466</v>
      </c>
      <c r="D31" s="138"/>
      <c r="E31" s="138" t="s">
        <v>3484</v>
      </c>
      <c r="F31" s="138" t="s">
        <v>3485</v>
      </c>
      <c r="G31" s="139"/>
      <c r="H31" s="140" t="s">
        <v>3469</v>
      </c>
    </row>
  </sheetData>
  <dataValidations>
    <dataValidation allowBlank="1" showDropDown="1" sqref="A2:D31"/>
  </dataValidations>
  <drawing r:id="rId1"/>
  <tableParts count="1">
    <tablePart r:id="rId3"/>
  </tableParts>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2.25"/>
  </cols>
  <sheetData>
    <row r="1">
      <c r="A1" s="13" t="str">
        <f>IFERROR(__xludf.DUMMYFUNCTION("QUERY(dbpiket!A:G, ""SELECT C, D, E WHERE B = date '"" &amp; TEXT(TODAY(), ""yyyy-MM-dd"") &amp; ""'"", 1)
"),"Shift")</f>
        <v>Shift</v>
      </c>
      <c r="B1" s="13" t="str">
        <f>IFERROR(__xludf.DUMMYFUNCTION("""COMPUTED_VALUE"""),"ID PETUGAS")</f>
        <v>ID PETUGAS</v>
      </c>
      <c r="C1" s="13" t="str">
        <f>IFERROR(__xludf.DUMMYFUNCTION("""COMPUTED_VALUE"""),"Nama Petugas")</f>
        <v>Nama Petugas</v>
      </c>
    </row>
    <row r="2">
      <c r="A2" s="13">
        <f>IFERROR(__xludf.DUMMYFUNCTION("""COMPUTED_VALUE"""),1.0)</f>
        <v>1</v>
      </c>
      <c r="B2" s="13" t="str">
        <f>IFERROR(__xludf.DUMMYFUNCTION("""COMPUTED_VALUE"""),"340059530")</f>
        <v>340059530</v>
      </c>
      <c r="C2" s="13" t="str">
        <f>IFERROR(__xludf.DUMMYFUNCTION("""COMPUTED_VALUE"""),"Frisca Ulina Br Munthe,S.Tr.Stat.")</f>
        <v>Frisca Ulina Br Munthe,S.Tr.Stat.</v>
      </c>
    </row>
    <row r="3">
      <c r="A3" s="13">
        <f>IFERROR(__xludf.DUMMYFUNCTION("""COMPUTED_VALUE"""),2.0)</f>
        <v>2</v>
      </c>
      <c r="B3" s="13" t="str">
        <f>IFERROR(__xludf.DUMMYFUNCTION("""COMPUTED_VALUE"""),"340061848")</f>
        <v>340061848</v>
      </c>
      <c r="C3" s="13" t="str">
        <f>IFERROR(__xludf.DUMMYFUNCTION("""COMPUTED_VALUE"""),"Juando Siallagan, S.Tr.Stat.")</f>
        <v>Juando Siallagan, S.Tr.Stat.</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3486</v>
      </c>
      <c r="B1" s="4" t="s">
        <v>3487</v>
      </c>
      <c r="C1" s="4" t="s">
        <v>3488</v>
      </c>
      <c r="D1" s="4" t="s">
        <v>3489</v>
      </c>
      <c r="E1" s="4" t="s">
        <v>3490</v>
      </c>
      <c r="F1" s="4" t="s">
        <v>3491</v>
      </c>
      <c r="G1" s="4" t="s">
        <v>3492</v>
      </c>
      <c r="H1" s="4" t="s">
        <v>3493</v>
      </c>
      <c r="I1" s="4" t="s">
        <v>3494</v>
      </c>
      <c r="J1" s="4" t="s">
        <v>3495</v>
      </c>
      <c r="K1" s="4" t="s">
        <v>1770</v>
      </c>
      <c r="L1" s="4" t="s">
        <v>3496</v>
      </c>
      <c r="M1" s="4" t="s">
        <v>3497</v>
      </c>
    </row>
    <row r="2">
      <c r="A2" s="4" t="s">
        <v>3498</v>
      </c>
      <c r="B2" s="6" t="s">
        <v>2628</v>
      </c>
      <c r="C2" s="4">
        <v>2.02505262E8</v>
      </c>
      <c r="D2" s="141">
        <v>45803.0</v>
      </c>
      <c r="E2" s="6" t="s">
        <v>3499</v>
      </c>
      <c r="F2" s="4">
        <v>2.02506022E8</v>
      </c>
      <c r="G2" s="141">
        <v>45810.0</v>
      </c>
      <c r="H2" s="6" t="s">
        <v>3499</v>
      </c>
      <c r="I2" s="6" t="s">
        <v>2616</v>
      </c>
      <c r="J2" s="4" t="s">
        <v>3500</v>
      </c>
      <c r="K2" s="4" t="s">
        <v>3501</v>
      </c>
    </row>
    <row r="3">
      <c r="A3" s="4" t="s">
        <v>3502</v>
      </c>
      <c r="B3" s="6" t="s">
        <v>2634</v>
      </c>
      <c r="C3" s="4">
        <v>2.02506021E8</v>
      </c>
      <c r="D3" s="141">
        <v>45810.0</v>
      </c>
      <c r="E3" s="6" t="s">
        <v>3503</v>
      </c>
      <c r="F3" s="4">
        <v>2.02506041E8</v>
      </c>
      <c r="G3" s="141">
        <v>45812.0</v>
      </c>
      <c r="H3" s="6" t="s">
        <v>3503</v>
      </c>
      <c r="I3" s="6" t="s">
        <v>2626</v>
      </c>
      <c r="J3" s="4" t="s">
        <v>3504</v>
      </c>
      <c r="K3" s="4" t="s">
        <v>3501</v>
      </c>
    </row>
    <row r="4">
      <c r="A4" s="4" t="s">
        <v>3505</v>
      </c>
      <c r="B4" s="6" t="s">
        <v>2636</v>
      </c>
      <c r="C4" s="4">
        <v>2.02506042E8</v>
      </c>
      <c r="D4" s="141">
        <v>45812.0</v>
      </c>
      <c r="E4" s="6" t="s">
        <v>3499</v>
      </c>
      <c r="F4" s="4">
        <v>2.02505272E8</v>
      </c>
      <c r="G4" s="141">
        <v>45804.0</v>
      </c>
      <c r="H4" s="6" t="s">
        <v>3499</v>
      </c>
      <c r="I4" s="6" t="s">
        <v>2620</v>
      </c>
      <c r="J4" s="4" t="s">
        <v>3506</v>
      </c>
      <c r="K4" s="4" t="s">
        <v>3501</v>
      </c>
    </row>
    <row r="5">
      <c r="A5" s="4" t="s">
        <v>3507</v>
      </c>
      <c r="B5" s="6" t="s">
        <v>2598</v>
      </c>
      <c r="C5" s="4">
        <v>2.02506064E8</v>
      </c>
      <c r="D5" s="141">
        <v>45818.0</v>
      </c>
      <c r="E5" s="6" t="s">
        <v>3499</v>
      </c>
      <c r="F5" s="4">
        <v>2.0250607E8</v>
      </c>
      <c r="G5" s="141">
        <v>45821.0</v>
      </c>
      <c r="H5" s="6" t="s">
        <v>3499</v>
      </c>
      <c r="I5" s="6" t="s">
        <v>2610</v>
      </c>
      <c r="J5" s="4" t="s">
        <v>3508</v>
      </c>
      <c r="K5" s="4" t="s">
        <v>3501</v>
      </c>
    </row>
    <row r="6">
      <c r="A6" s="4" t="s">
        <v>3509</v>
      </c>
      <c r="B6" s="6" t="s">
        <v>2634</v>
      </c>
      <c r="C6" s="6" t="s">
        <v>3510</v>
      </c>
      <c r="D6" s="141">
        <v>45827.0</v>
      </c>
      <c r="E6" s="6" t="s">
        <v>3499</v>
      </c>
      <c r="F6" s="6" t="s">
        <v>3511</v>
      </c>
      <c r="G6" s="141">
        <v>45827.0</v>
      </c>
      <c r="H6" s="6" t="s">
        <v>3503</v>
      </c>
      <c r="I6" s="6" t="s">
        <v>2616</v>
      </c>
      <c r="J6" s="4" t="s">
        <v>3512</v>
      </c>
      <c r="K6" s="4" t="s">
        <v>3501</v>
      </c>
    </row>
    <row r="7">
      <c r="A7" s="4" t="s">
        <v>3513</v>
      </c>
      <c r="B7" s="6" t="s">
        <v>2634</v>
      </c>
      <c r="C7" s="6" t="s">
        <v>3510</v>
      </c>
      <c r="D7" s="141">
        <v>45827.0</v>
      </c>
      <c r="E7" s="6" t="s">
        <v>3499</v>
      </c>
      <c r="F7" s="6" t="s">
        <v>3511</v>
      </c>
      <c r="G7" s="141">
        <v>45827.0</v>
      </c>
      <c r="H7" s="6" t="s">
        <v>3503</v>
      </c>
      <c r="I7" s="6" t="s">
        <v>2616</v>
      </c>
      <c r="J7" s="4" t="s">
        <v>3514</v>
      </c>
      <c r="K7" s="4" t="s">
        <v>3501</v>
      </c>
    </row>
    <row r="8">
      <c r="A8" s="4" t="s">
        <v>3515</v>
      </c>
      <c r="B8" s="6" t="s">
        <v>2632</v>
      </c>
      <c r="C8" s="6" t="s">
        <v>2661</v>
      </c>
      <c r="D8" s="141">
        <v>45828.0</v>
      </c>
      <c r="E8" s="6" t="s">
        <v>3503</v>
      </c>
      <c r="F8" s="6" t="s">
        <v>2671</v>
      </c>
      <c r="G8" s="141">
        <v>45834.0</v>
      </c>
      <c r="H8" s="6" t="s">
        <v>3503</v>
      </c>
      <c r="I8" s="6" t="s">
        <v>2602</v>
      </c>
      <c r="J8" s="4" t="s">
        <v>3516</v>
      </c>
      <c r="K8" s="4" t="s">
        <v>3501</v>
      </c>
    </row>
    <row r="9">
      <c r="A9" s="4" t="s">
        <v>3517</v>
      </c>
      <c r="B9" s="6" t="s">
        <v>2608</v>
      </c>
      <c r="C9" s="6" t="s">
        <v>2674</v>
      </c>
      <c r="D9" s="141">
        <v>45838.0</v>
      </c>
      <c r="E9" s="6" t="s">
        <v>3499</v>
      </c>
      <c r="F9" s="6" t="s">
        <v>2684</v>
      </c>
      <c r="G9" s="141">
        <v>45845.0</v>
      </c>
      <c r="H9" s="6" t="s">
        <v>3499</v>
      </c>
      <c r="I9" s="6" t="s">
        <v>2616</v>
      </c>
      <c r="J9" s="4" t="s">
        <v>3518</v>
      </c>
      <c r="K9" s="4" t="s">
        <v>3501</v>
      </c>
    </row>
    <row r="10">
      <c r="A10" s="4" t="s">
        <v>3519</v>
      </c>
      <c r="B10" s="6" t="s">
        <v>2628</v>
      </c>
      <c r="C10" s="6" t="s">
        <v>2678</v>
      </c>
      <c r="D10" s="141">
        <v>45840.0</v>
      </c>
      <c r="E10" s="6" t="s">
        <v>3499</v>
      </c>
      <c r="F10" s="6" t="s">
        <v>2681</v>
      </c>
      <c r="G10" s="141">
        <v>45842.0</v>
      </c>
      <c r="H10" s="6" t="s">
        <v>3503</v>
      </c>
      <c r="I10" s="6" t="s">
        <v>2622</v>
      </c>
      <c r="J10" s="4" t="s">
        <v>3520</v>
      </c>
      <c r="K10" s="4" t="s">
        <v>3501</v>
      </c>
    </row>
    <row r="11">
      <c r="A11" s="4" t="s">
        <v>3521</v>
      </c>
      <c r="B11" s="6" t="s">
        <v>2608</v>
      </c>
      <c r="C11" s="6" t="s">
        <v>2684</v>
      </c>
      <c r="D11" s="141">
        <v>45845.0</v>
      </c>
      <c r="E11" s="6" t="s">
        <v>3499</v>
      </c>
      <c r="F11" s="6" t="s">
        <v>2709</v>
      </c>
      <c r="G11" s="141">
        <v>45862.0</v>
      </c>
      <c r="H11" s="6" t="s">
        <v>3503</v>
      </c>
      <c r="I11" s="6" t="s">
        <v>2636</v>
      </c>
      <c r="J11" s="4" t="s">
        <v>3522</v>
      </c>
      <c r="K11" s="4" t="s">
        <v>3501</v>
      </c>
    </row>
    <row r="12">
      <c r="A12" s="4" t="s">
        <v>3523</v>
      </c>
      <c r="B12" s="6" t="s">
        <v>2636</v>
      </c>
      <c r="C12" s="6" t="s">
        <v>2688</v>
      </c>
      <c r="D12" s="141">
        <v>45847.0</v>
      </c>
      <c r="E12" s="6" t="s">
        <v>3499</v>
      </c>
      <c r="F12" s="6" t="s">
        <v>2705</v>
      </c>
      <c r="G12" s="141">
        <v>45860.0</v>
      </c>
      <c r="H12" s="6" t="s">
        <v>3503</v>
      </c>
      <c r="I12" s="6" t="s">
        <v>2616</v>
      </c>
      <c r="J12" s="4" t="s">
        <v>3524</v>
      </c>
      <c r="K12" s="4" t="s">
        <v>3501</v>
      </c>
    </row>
    <row r="13">
      <c r="A13" s="4" t="s">
        <v>3525</v>
      </c>
      <c r="B13" s="6" t="s">
        <v>2604</v>
      </c>
      <c r="C13" s="6" t="s">
        <v>2693</v>
      </c>
      <c r="D13" s="141">
        <v>45852.0</v>
      </c>
      <c r="E13" s="6" t="s">
        <v>3503</v>
      </c>
      <c r="F13" s="6" t="s">
        <v>2700</v>
      </c>
      <c r="G13" s="141">
        <v>45855.0</v>
      </c>
      <c r="H13" s="6" t="s">
        <v>3499</v>
      </c>
      <c r="I13" s="6" t="s">
        <v>2614</v>
      </c>
      <c r="J13" s="4" t="s">
        <v>3526</v>
      </c>
      <c r="K13" s="4" t="s">
        <v>3501</v>
      </c>
    </row>
    <row r="14">
      <c r="A14" s="4" t="s">
        <v>3527</v>
      </c>
      <c r="B14" s="6" t="s">
        <v>2624</v>
      </c>
      <c r="C14" s="6" t="s">
        <v>2703</v>
      </c>
      <c r="D14" s="141">
        <v>45859.0</v>
      </c>
      <c r="E14" s="6" t="s">
        <v>3503</v>
      </c>
      <c r="F14" s="6" t="s">
        <v>2713</v>
      </c>
      <c r="G14" s="141">
        <v>45866.0</v>
      </c>
      <c r="H14" s="6" t="s">
        <v>3503</v>
      </c>
      <c r="I14" s="6" t="s">
        <v>2598</v>
      </c>
      <c r="J14" s="4" t="s">
        <v>3528</v>
      </c>
      <c r="K14" s="4" t="s">
        <v>3501</v>
      </c>
    </row>
    <row r="15">
      <c r="A15" s="4" t="s">
        <v>3529</v>
      </c>
      <c r="B15" s="6" t="s">
        <v>2598</v>
      </c>
      <c r="C15" s="6" t="s">
        <v>2703</v>
      </c>
      <c r="D15" s="141">
        <v>45859.0</v>
      </c>
      <c r="E15" s="6" t="s">
        <v>3503</v>
      </c>
      <c r="F15" s="6" t="s">
        <v>2714</v>
      </c>
      <c r="G15" s="141">
        <v>45866.0</v>
      </c>
      <c r="H15" s="6" t="s">
        <v>3499</v>
      </c>
      <c r="I15" s="6" t="s">
        <v>2600</v>
      </c>
      <c r="J15" s="4" t="s">
        <v>3530</v>
      </c>
      <c r="K15" s="4" t="s">
        <v>3501</v>
      </c>
    </row>
    <row r="16">
      <c r="A16" s="4" t="s">
        <v>3531</v>
      </c>
      <c r="B16" s="6" t="s">
        <v>2622</v>
      </c>
      <c r="C16" s="6" t="s">
        <v>2704</v>
      </c>
      <c r="D16" s="141">
        <v>45859.0</v>
      </c>
      <c r="E16" s="6" t="s">
        <v>3499</v>
      </c>
      <c r="F16" s="6" t="s">
        <v>2714</v>
      </c>
      <c r="G16" s="141">
        <v>45866.0</v>
      </c>
      <c r="H16" s="6" t="s">
        <v>3499</v>
      </c>
      <c r="I16" s="6" t="s">
        <v>2598</v>
      </c>
      <c r="J16" s="4" t="s">
        <v>3532</v>
      </c>
      <c r="K16" s="4" t="s">
        <v>3501</v>
      </c>
    </row>
    <row r="17">
      <c r="A17" s="4" t="s">
        <v>3533</v>
      </c>
      <c r="B17" s="6" t="s">
        <v>2640</v>
      </c>
      <c r="C17" s="6" t="s">
        <v>2711</v>
      </c>
      <c r="D17" s="141">
        <v>45863.0</v>
      </c>
      <c r="E17" s="6" t="s">
        <v>3503</v>
      </c>
      <c r="F17" s="6" t="s">
        <v>2786</v>
      </c>
      <c r="G17" s="141">
        <v>45882.0</v>
      </c>
      <c r="H17" s="6" t="s">
        <v>3499</v>
      </c>
      <c r="I17" s="6" t="s">
        <v>2598</v>
      </c>
      <c r="J17" s="4" t="s">
        <v>3528</v>
      </c>
      <c r="K17" s="4" t="s">
        <v>3501</v>
      </c>
    </row>
    <row r="18">
      <c r="A18" s="4" t="s">
        <v>3534</v>
      </c>
      <c r="B18" s="6" t="s">
        <v>2640</v>
      </c>
      <c r="C18" s="6" t="s">
        <v>2711</v>
      </c>
      <c r="D18" s="141">
        <v>45863.0</v>
      </c>
      <c r="E18" s="6" t="s">
        <v>3503</v>
      </c>
      <c r="F18" s="6" t="s">
        <v>2786</v>
      </c>
      <c r="G18" s="141">
        <v>45882.0</v>
      </c>
      <c r="H18" s="6" t="s">
        <v>3499</v>
      </c>
      <c r="I18" s="6" t="s">
        <v>2598</v>
      </c>
      <c r="J18" s="4" t="s">
        <v>3530</v>
      </c>
      <c r="K18" s="4" t="s">
        <v>3501</v>
      </c>
    </row>
    <row r="19">
      <c r="A19" s="4" t="s">
        <v>3535</v>
      </c>
      <c r="B19" s="6" t="s">
        <v>2638</v>
      </c>
      <c r="C19" s="6" t="s">
        <v>2712</v>
      </c>
      <c r="D19" s="141">
        <v>45863.0</v>
      </c>
      <c r="E19" s="6" t="s">
        <v>3499</v>
      </c>
      <c r="F19" s="6" t="s">
        <v>2727</v>
      </c>
      <c r="G19" s="141">
        <v>45873.0</v>
      </c>
      <c r="H19" s="6" t="s">
        <v>3503</v>
      </c>
      <c r="I19" s="6" t="s">
        <v>2614</v>
      </c>
      <c r="J19" s="6" t="s">
        <v>256</v>
      </c>
      <c r="K19" s="4" t="s">
        <v>3501</v>
      </c>
    </row>
    <row r="20">
      <c r="A20" s="4" t="s">
        <v>3536</v>
      </c>
      <c r="B20" s="6" t="s">
        <v>2618</v>
      </c>
      <c r="C20" s="6" t="s">
        <v>2733</v>
      </c>
      <c r="D20" s="141">
        <v>45874.0</v>
      </c>
      <c r="E20" s="6" t="s">
        <v>3503</v>
      </c>
      <c r="F20" s="6" t="s">
        <v>2739</v>
      </c>
      <c r="G20" s="141">
        <v>45875.0</v>
      </c>
      <c r="H20" s="6" t="s">
        <v>3503</v>
      </c>
      <c r="I20" s="6" t="s">
        <v>2622</v>
      </c>
      <c r="J20" s="4" t="s">
        <v>3537</v>
      </c>
      <c r="K20" s="4" t="s">
        <v>3501</v>
      </c>
    </row>
    <row r="21">
      <c r="A21" s="4" t="s">
        <v>3538</v>
      </c>
      <c r="B21" s="6" t="s">
        <v>2620</v>
      </c>
      <c r="C21" s="6" t="s">
        <v>2736</v>
      </c>
      <c r="D21" s="141">
        <v>45874.0</v>
      </c>
      <c r="E21" s="6" t="s">
        <v>3499</v>
      </c>
      <c r="F21" s="6" t="s">
        <v>2756</v>
      </c>
      <c r="G21" s="141">
        <v>45877.0</v>
      </c>
      <c r="H21" s="6" t="s">
        <v>3503</v>
      </c>
      <c r="I21" s="6" t="s">
        <v>2630</v>
      </c>
      <c r="J21" s="4" t="s">
        <v>3539</v>
      </c>
      <c r="K21" s="4" t="s">
        <v>3501</v>
      </c>
    </row>
    <row r="22">
      <c r="A22" s="4" t="s">
        <v>3540</v>
      </c>
      <c r="B22" s="6" t="s">
        <v>2598</v>
      </c>
      <c r="C22" s="4">
        <v>2.02601052E8</v>
      </c>
      <c r="D22" s="141">
        <v>46027.0</v>
      </c>
      <c r="E22" s="6" t="s">
        <v>3499</v>
      </c>
      <c r="F22" s="4">
        <v>2.02601091E8</v>
      </c>
      <c r="G22" s="141">
        <v>46031.0</v>
      </c>
      <c r="H22" s="6" t="s">
        <v>3503</v>
      </c>
      <c r="I22" s="6" t="s">
        <v>2628</v>
      </c>
      <c r="J22" s="4" t="s">
        <v>3541</v>
      </c>
      <c r="K22" s="4" t="s">
        <v>3501</v>
      </c>
      <c r="L22" s="4" t="s">
        <v>3542</v>
      </c>
      <c r="M22" s="4" t="s">
        <v>3543</v>
      </c>
    </row>
    <row r="23">
      <c r="A23" s="4" t="s">
        <v>3544</v>
      </c>
      <c r="B23" s="6" t="s">
        <v>2632</v>
      </c>
      <c r="C23" s="4">
        <v>2.02508082E8</v>
      </c>
      <c r="D23" s="141">
        <v>45877.0</v>
      </c>
      <c r="E23" s="6" t="s">
        <v>3499</v>
      </c>
      <c r="F23" s="4">
        <v>2.02508111E8</v>
      </c>
      <c r="G23" s="141">
        <v>45880.0</v>
      </c>
      <c r="H23" s="6" t="s">
        <v>3503</v>
      </c>
      <c r="I23" s="6" t="s">
        <v>2626</v>
      </c>
      <c r="J23" s="4" t="s">
        <v>3545</v>
      </c>
      <c r="K23" s="4" t="s">
        <v>3501</v>
      </c>
      <c r="L23" s="4" t="s">
        <v>3546</v>
      </c>
      <c r="M23" s="4" t="s">
        <v>3547</v>
      </c>
    </row>
    <row r="24">
      <c r="A24" s="4" t="s">
        <v>3548</v>
      </c>
      <c r="B24" s="6" t="s">
        <v>2626</v>
      </c>
      <c r="C24" s="4">
        <v>2.02512311E8</v>
      </c>
      <c r="D24" s="142">
        <v>46022.0</v>
      </c>
      <c r="E24" s="6" t="s">
        <v>3503</v>
      </c>
      <c r="F24" s="4">
        <v>2.02512172E8</v>
      </c>
      <c r="G24" s="142">
        <v>46008.0</v>
      </c>
      <c r="H24" s="6" t="s">
        <v>3499</v>
      </c>
      <c r="I24" s="6" t="s">
        <v>2602</v>
      </c>
      <c r="J24" s="4" t="s">
        <v>3541</v>
      </c>
      <c r="K24" s="4" t="s">
        <v>3501</v>
      </c>
      <c r="L24" s="4" t="s">
        <v>3549</v>
      </c>
      <c r="M24" s="4" t="s">
        <v>3550</v>
      </c>
    </row>
    <row r="25">
      <c r="A25" s="4" t="s">
        <v>3551</v>
      </c>
      <c r="B25" s="6" t="s">
        <v>2640</v>
      </c>
      <c r="C25" s="4">
        <v>2.02508132E8</v>
      </c>
      <c r="D25" s="141">
        <v>45882.0</v>
      </c>
      <c r="E25" s="6" t="s">
        <v>3499</v>
      </c>
      <c r="F25" s="4">
        <v>2.02508191E8</v>
      </c>
      <c r="G25" s="141">
        <v>45888.0</v>
      </c>
      <c r="H25" s="6" t="s">
        <v>3503</v>
      </c>
      <c r="I25" s="6" t="s">
        <v>2628</v>
      </c>
      <c r="J25" s="4" t="s">
        <v>3552</v>
      </c>
      <c r="K25" s="4" t="s">
        <v>3501</v>
      </c>
      <c r="L25" s="4" t="s">
        <v>3553</v>
      </c>
      <c r="M25" s="4" t="s">
        <v>3554</v>
      </c>
    </row>
    <row r="26">
      <c r="A26" s="4" t="s">
        <v>3555</v>
      </c>
      <c r="B26" s="6" t="s">
        <v>2640</v>
      </c>
      <c r="C26" s="4">
        <v>2.02508122E8</v>
      </c>
      <c r="D26" s="141">
        <v>45881.0</v>
      </c>
      <c r="E26" s="6" t="s">
        <v>3499</v>
      </c>
      <c r="F26" s="4">
        <v>2.02508121E8</v>
      </c>
      <c r="G26" s="141">
        <v>45881.0</v>
      </c>
      <c r="H26" s="6" t="s">
        <v>3503</v>
      </c>
      <c r="I26" s="6" t="s">
        <v>2638</v>
      </c>
      <c r="J26" s="4" t="s">
        <v>3556</v>
      </c>
      <c r="K26" s="4" t="s">
        <v>3501</v>
      </c>
      <c r="L26" s="4" t="s">
        <v>3557</v>
      </c>
      <c r="M26" s="4" t="s">
        <v>3558</v>
      </c>
    </row>
    <row r="27">
      <c r="A27" s="4" t="s">
        <v>3559</v>
      </c>
      <c r="B27" s="6" t="s">
        <v>2640</v>
      </c>
      <c r="C27" s="4">
        <v>2.02508122E8</v>
      </c>
      <c r="D27" s="141">
        <v>45881.0</v>
      </c>
      <c r="E27" s="6" t="s">
        <v>3499</v>
      </c>
      <c r="F27" s="4">
        <v>2.02508121E8</v>
      </c>
      <c r="G27" s="141">
        <v>45881.0</v>
      </c>
      <c r="H27" s="6" t="s">
        <v>3503</v>
      </c>
      <c r="I27" s="6" t="s">
        <v>2638</v>
      </c>
      <c r="J27" s="4" t="s">
        <v>3560</v>
      </c>
      <c r="K27" s="4" t="s">
        <v>3501</v>
      </c>
      <c r="L27" s="4" t="s">
        <v>3557</v>
      </c>
      <c r="M27" s="4" t="s">
        <v>3558</v>
      </c>
    </row>
    <row r="28">
      <c r="A28" s="4" t="s">
        <v>3561</v>
      </c>
      <c r="B28" s="6" t="s">
        <v>2602</v>
      </c>
      <c r="C28" s="4">
        <v>2.02508142E8</v>
      </c>
      <c r="D28" s="141">
        <v>45883.0</v>
      </c>
      <c r="E28" s="6" t="s">
        <v>3499</v>
      </c>
      <c r="F28" s="4">
        <v>2.02508131E8</v>
      </c>
      <c r="G28" s="141">
        <v>45882.0</v>
      </c>
      <c r="H28" s="6" t="s">
        <v>3503</v>
      </c>
      <c r="I28" s="6" t="s">
        <v>2600</v>
      </c>
      <c r="J28" s="4" t="s">
        <v>3562</v>
      </c>
      <c r="K28" s="4" t="s">
        <v>3501</v>
      </c>
      <c r="L28" s="4" t="s">
        <v>3563</v>
      </c>
      <c r="M28" s="4" t="s">
        <v>3564</v>
      </c>
    </row>
    <row r="29">
      <c r="A29" s="4" t="s">
        <v>3565</v>
      </c>
      <c r="B29" s="6" t="s">
        <v>2636</v>
      </c>
      <c r="C29" s="4">
        <v>2.02508202E8</v>
      </c>
      <c r="D29" s="141">
        <v>45889.0</v>
      </c>
      <c r="E29" s="6" t="s">
        <v>3499</v>
      </c>
      <c r="F29" s="4">
        <v>2.02508291E8</v>
      </c>
      <c r="G29" s="141">
        <v>45898.0</v>
      </c>
      <c r="H29" s="6" t="s">
        <v>3503</v>
      </c>
      <c r="I29" s="6" t="s">
        <v>2634</v>
      </c>
      <c r="J29" s="4" t="s">
        <v>3566</v>
      </c>
      <c r="K29" s="4" t="s">
        <v>3501</v>
      </c>
      <c r="L29" s="4" t="s">
        <v>3567</v>
      </c>
      <c r="M29" s="4" t="s">
        <v>3568</v>
      </c>
    </row>
    <row r="30">
      <c r="A30" s="4" t="s">
        <v>3569</v>
      </c>
      <c r="B30" s="6" t="s">
        <v>2602</v>
      </c>
      <c r="C30" s="4">
        <v>2.02508252E8</v>
      </c>
      <c r="D30" s="141">
        <v>45894.0</v>
      </c>
      <c r="E30" s="6" t="s">
        <v>3499</v>
      </c>
      <c r="F30" s="4">
        <v>2.02508282E8</v>
      </c>
      <c r="G30" s="141">
        <v>45897.0</v>
      </c>
      <c r="H30" s="6" t="s">
        <v>3499</v>
      </c>
      <c r="I30" s="6" t="s">
        <v>2614</v>
      </c>
      <c r="J30" s="4" t="s">
        <v>3570</v>
      </c>
      <c r="K30" s="4" t="s">
        <v>3501</v>
      </c>
      <c r="L30" s="4" t="s">
        <v>3571</v>
      </c>
      <c r="M30" s="4" t="s">
        <v>3572</v>
      </c>
    </row>
    <row r="31">
      <c r="A31" s="4" t="s">
        <v>3573</v>
      </c>
      <c r="B31" s="6" t="s">
        <v>2636</v>
      </c>
      <c r="C31" s="4">
        <v>2.02509291E8</v>
      </c>
      <c r="D31" s="141">
        <v>45929.0</v>
      </c>
      <c r="E31" s="6" t="s">
        <v>3503</v>
      </c>
      <c r="F31" s="4">
        <v>2.02509011E8</v>
      </c>
      <c r="G31" s="141">
        <v>45901.0</v>
      </c>
      <c r="H31" s="6" t="s">
        <v>3503</v>
      </c>
      <c r="I31" s="6" t="s">
        <v>2632</v>
      </c>
      <c r="J31" s="4" t="s">
        <v>3574</v>
      </c>
      <c r="K31" s="4" t="s">
        <v>3501</v>
      </c>
      <c r="L31" s="4" t="s">
        <v>3575</v>
      </c>
      <c r="M31" s="4" t="s">
        <v>3576</v>
      </c>
    </row>
    <row r="32">
      <c r="A32" s="4" t="s">
        <v>3577</v>
      </c>
      <c r="B32" s="6" t="s">
        <v>2618</v>
      </c>
      <c r="C32" s="4">
        <v>2.02508292E8</v>
      </c>
      <c r="D32" s="141">
        <v>45898.0</v>
      </c>
      <c r="E32" s="6" t="s">
        <v>3499</v>
      </c>
      <c r="F32" s="4">
        <v>2.02509012E8</v>
      </c>
      <c r="G32" s="141">
        <v>45901.0</v>
      </c>
      <c r="H32" s="6" t="s">
        <v>3499</v>
      </c>
      <c r="I32" s="6" t="s">
        <v>2630</v>
      </c>
      <c r="J32" s="4" t="s">
        <v>3578</v>
      </c>
      <c r="K32" s="4" t="s">
        <v>3501</v>
      </c>
      <c r="L32" s="4" t="s">
        <v>3579</v>
      </c>
      <c r="M32" s="4" t="s">
        <v>3580</v>
      </c>
    </row>
    <row r="33">
      <c r="A33" s="4" t="s">
        <v>3581</v>
      </c>
      <c r="B33" s="6" t="s">
        <v>2606</v>
      </c>
      <c r="C33" s="4">
        <v>2.02508262E8</v>
      </c>
      <c r="D33" s="141">
        <v>45895.0</v>
      </c>
      <c r="E33" s="6" t="s">
        <v>3499</v>
      </c>
      <c r="F33" s="4">
        <v>2.02508292E8</v>
      </c>
      <c r="G33" s="141">
        <v>45898.0</v>
      </c>
      <c r="H33" s="6" t="s">
        <v>3499</v>
      </c>
      <c r="I33" s="6" t="s">
        <v>2630</v>
      </c>
      <c r="J33" s="4" t="s">
        <v>3582</v>
      </c>
      <c r="K33" s="4" t="s">
        <v>3501</v>
      </c>
      <c r="L33" s="4" t="s">
        <v>3583</v>
      </c>
      <c r="M33" s="4" t="s">
        <v>3584</v>
      </c>
    </row>
    <row r="34">
      <c r="A34" s="4" t="s">
        <v>3585</v>
      </c>
      <c r="B34" s="6" t="s">
        <v>2600</v>
      </c>
      <c r="C34" s="4">
        <v>2.02509032E8</v>
      </c>
      <c r="D34" s="141">
        <v>45903.0</v>
      </c>
      <c r="E34" s="6" t="s">
        <v>3499</v>
      </c>
      <c r="F34" s="4">
        <v>2.02509112E8</v>
      </c>
      <c r="G34" s="141">
        <v>45911.0</v>
      </c>
      <c r="H34" s="6" t="s">
        <v>3499</v>
      </c>
      <c r="I34" s="6" t="s">
        <v>2616</v>
      </c>
      <c r="J34" s="4" t="s">
        <v>3586</v>
      </c>
      <c r="K34" s="4" t="s">
        <v>3501</v>
      </c>
      <c r="L34" s="4" t="s">
        <v>3587</v>
      </c>
      <c r="M34" s="4" t="s">
        <v>3588</v>
      </c>
    </row>
    <row r="35">
      <c r="A35" s="4" t="s">
        <v>3589</v>
      </c>
      <c r="B35" s="6" t="s">
        <v>2604</v>
      </c>
      <c r="C35" s="4">
        <v>2.02509042E8</v>
      </c>
      <c r="D35" s="141">
        <v>45904.0</v>
      </c>
      <c r="E35" s="6" t="s">
        <v>3499</v>
      </c>
      <c r="F35" s="4">
        <v>2.02509162E8</v>
      </c>
      <c r="G35" s="141">
        <v>45916.0</v>
      </c>
      <c r="H35" s="6" t="s">
        <v>3499</v>
      </c>
      <c r="I35" s="6" t="s">
        <v>2636</v>
      </c>
      <c r="J35" s="4" t="s">
        <v>3590</v>
      </c>
      <c r="K35" s="4" t="s">
        <v>3501</v>
      </c>
      <c r="L35" s="4" t="s">
        <v>3591</v>
      </c>
      <c r="M35" s="4" t="s">
        <v>3592</v>
      </c>
    </row>
    <row r="36">
      <c r="A36" s="4" t="s">
        <v>3593</v>
      </c>
      <c r="B36" s="6" t="s">
        <v>2608</v>
      </c>
      <c r="C36" s="4">
        <v>2.02509082E8</v>
      </c>
      <c r="D36" s="141">
        <v>45908.0</v>
      </c>
      <c r="E36" s="6" t="s">
        <v>3499</v>
      </c>
      <c r="F36" s="4">
        <v>2.02509102E8</v>
      </c>
      <c r="G36" s="141">
        <v>45910.0</v>
      </c>
      <c r="H36" s="6" t="s">
        <v>3499</v>
      </c>
      <c r="I36" s="6" t="s">
        <v>2624</v>
      </c>
      <c r="J36" s="4" t="s">
        <v>3594</v>
      </c>
      <c r="K36" s="4" t="s">
        <v>3501</v>
      </c>
      <c r="L36" s="4" t="s">
        <v>3595</v>
      </c>
      <c r="M36" s="4" t="s">
        <v>3596</v>
      </c>
    </row>
    <row r="37">
      <c r="A37" s="4" t="s">
        <v>3597</v>
      </c>
      <c r="B37" s="6" t="s">
        <v>2628</v>
      </c>
      <c r="C37" s="4">
        <v>2.02509092E8</v>
      </c>
      <c r="D37" s="141">
        <v>45909.0</v>
      </c>
      <c r="E37" s="6" t="s">
        <v>3499</v>
      </c>
      <c r="F37" s="4">
        <v>2.02509182E8</v>
      </c>
      <c r="G37" s="141">
        <v>45918.0</v>
      </c>
      <c r="H37" s="6" t="s">
        <v>3499</v>
      </c>
      <c r="I37" s="6" t="s">
        <v>2598</v>
      </c>
      <c r="J37" s="4" t="s">
        <v>3522</v>
      </c>
      <c r="K37" s="4" t="s">
        <v>3501</v>
      </c>
      <c r="L37" s="4" t="s">
        <v>3598</v>
      </c>
      <c r="M37" s="4" t="s">
        <v>3599</v>
      </c>
    </row>
    <row r="38">
      <c r="A38" s="4" t="s">
        <v>3600</v>
      </c>
      <c r="B38" s="6" t="s">
        <v>2608</v>
      </c>
      <c r="C38" s="4">
        <v>2.02509102E8</v>
      </c>
      <c r="D38" s="141">
        <v>45910.0</v>
      </c>
      <c r="E38" s="6" t="s">
        <v>3499</v>
      </c>
      <c r="F38" s="4">
        <v>2.02509251E8</v>
      </c>
      <c r="G38" s="141">
        <v>45925.0</v>
      </c>
      <c r="H38" s="6" t="s">
        <v>3503</v>
      </c>
      <c r="I38" s="6" t="s">
        <v>2634</v>
      </c>
      <c r="J38" s="4" t="s">
        <v>3594</v>
      </c>
      <c r="K38" s="4" t="s">
        <v>3501</v>
      </c>
      <c r="L38" s="4" t="s">
        <v>3601</v>
      </c>
      <c r="M38" s="4" t="s">
        <v>3602</v>
      </c>
    </row>
    <row r="39">
      <c r="A39" s="4" t="s">
        <v>3603</v>
      </c>
      <c r="B39" s="6" t="s">
        <v>2608</v>
      </c>
      <c r="C39" s="4">
        <v>2.02509191E8</v>
      </c>
      <c r="D39" s="141">
        <v>45919.0</v>
      </c>
      <c r="E39" s="6" t="s">
        <v>3503</v>
      </c>
      <c r="F39" s="4">
        <v>2.02509231E8</v>
      </c>
      <c r="G39" s="141">
        <v>45923.0</v>
      </c>
      <c r="H39" s="6" t="s">
        <v>3503</v>
      </c>
      <c r="I39" s="6" t="s">
        <v>2624</v>
      </c>
      <c r="J39" s="4" t="s">
        <v>3594</v>
      </c>
      <c r="K39" s="4" t="s">
        <v>3604</v>
      </c>
      <c r="L39" s="4" t="s">
        <v>3605</v>
      </c>
      <c r="M39" s="4" t="s">
        <v>3606</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88"/>
    <col customWidth="1" min="2" max="2" width="14.88"/>
    <col customWidth="1" min="3" max="3" width="18.0"/>
    <col customWidth="1" min="4" max="4" width="18.75"/>
    <col customWidth="1" min="5" max="5" width="28.13"/>
    <col customWidth="1" min="6" max="6" width="25.25"/>
    <col customWidth="1" min="7" max="7" width="16.38"/>
    <col customWidth="1" min="8" max="8" width="15.38"/>
    <col customWidth="1" min="9" max="9" width="25.75"/>
    <col customWidth="1" min="10" max="10" width="14.63"/>
    <col customWidth="1" min="11" max="11" width="13.5"/>
    <col customWidth="1" min="13" max="13" width="19.63"/>
  </cols>
  <sheetData>
    <row r="1">
      <c r="A1" s="54" t="s">
        <v>3607</v>
      </c>
      <c r="B1" s="143" t="s">
        <v>1941</v>
      </c>
      <c r="C1" s="143" t="s">
        <v>3608</v>
      </c>
      <c r="D1" s="55" t="s">
        <v>3609</v>
      </c>
      <c r="E1" s="55" t="s">
        <v>3610</v>
      </c>
      <c r="F1" s="144" t="s">
        <v>3611</v>
      </c>
      <c r="G1" s="144" t="s">
        <v>3612</v>
      </c>
      <c r="H1" s="144" t="s">
        <v>3613</v>
      </c>
      <c r="I1" s="144" t="s">
        <v>3614</v>
      </c>
      <c r="J1" s="144" t="s">
        <v>3615</v>
      </c>
      <c r="K1" s="144" t="s">
        <v>3616</v>
      </c>
      <c r="L1" s="145" t="s">
        <v>3617</v>
      </c>
      <c r="M1" s="145" t="s">
        <v>3618</v>
      </c>
      <c r="N1" s="146" t="s">
        <v>3619</v>
      </c>
    </row>
    <row r="2">
      <c r="A2" s="57" t="s">
        <v>3620</v>
      </c>
      <c r="B2" s="83" t="s">
        <v>3621</v>
      </c>
      <c r="C2" s="83"/>
      <c r="D2" s="82" t="s">
        <v>3622</v>
      </c>
      <c r="E2" s="82" t="s">
        <v>1924</v>
      </c>
      <c r="F2" s="83"/>
      <c r="G2" s="82" t="s">
        <v>3623</v>
      </c>
      <c r="L2" s="147"/>
      <c r="M2" s="147"/>
      <c r="N2" s="129">
        <v>1.0</v>
      </c>
    </row>
    <row r="3">
      <c r="A3" s="148" t="s">
        <v>3624</v>
      </c>
      <c r="B3" s="149" t="s">
        <v>3625</v>
      </c>
      <c r="C3" s="149"/>
      <c r="D3" s="131" t="s">
        <v>3626</v>
      </c>
      <c r="E3" s="149"/>
      <c r="F3" s="149"/>
      <c r="G3" s="131" t="s">
        <v>3627</v>
      </c>
      <c r="H3" s="150"/>
      <c r="I3" s="150"/>
      <c r="J3" s="150"/>
      <c r="K3" s="150"/>
      <c r="L3" s="150"/>
      <c r="M3" s="150"/>
      <c r="N3" s="134">
        <v>2.0</v>
      </c>
    </row>
    <row r="4">
      <c r="A4" s="151" t="s">
        <v>3628</v>
      </c>
      <c r="B4" s="152" t="s">
        <v>3629</v>
      </c>
      <c r="C4" s="152"/>
      <c r="D4" s="126" t="s">
        <v>3630</v>
      </c>
      <c r="E4" s="152"/>
      <c r="F4" s="152"/>
      <c r="G4" s="126" t="s">
        <v>3631</v>
      </c>
      <c r="H4" s="147"/>
      <c r="I4" s="147"/>
      <c r="J4" s="147"/>
      <c r="K4" s="147"/>
      <c r="L4" s="147"/>
      <c r="M4" s="147"/>
      <c r="N4" s="129">
        <v>3.0</v>
      </c>
    </row>
    <row r="5">
      <c r="A5" s="148" t="s">
        <v>3632</v>
      </c>
      <c r="B5" s="149" t="s">
        <v>3633</v>
      </c>
      <c r="C5" s="149"/>
      <c r="D5" s="149"/>
      <c r="E5" s="149"/>
      <c r="F5" s="149"/>
      <c r="G5" s="149"/>
      <c r="H5" s="150"/>
      <c r="I5" s="150"/>
      <c r="J5" s="150"/>
      <c r="K5" s="150"/>
      <c r="L5" s="150"/>
      <c r="M5" s="150"/>
      <c r="N5" s="134">
        <v>4.0</v>
      </c>
    </row>
    <row r="6">
      <c r="A6" s="151" t="s">
        <v>3634</v>
      </c>
      <c r="B6" s="152" t="s">
        <v>3635</v>
      </c>
      <c r="C6" s="152"/>
      <c r="D6" s="152"/>
      <c r="E6" s="152"/>
      <c r="F6" s="152"/>
      <c r="G6" s="152"/>
      <c r="H6" s="147"/>
      <c r="I6" s="147"/>
      <c r="J6" s="147"/>
      <c r="K6" s="147"/>
      <c r="L6" s="147"/>
      <c r="M6" s="147"/>
      <c r="N6" s="129">
        <v>5.0</v>
      </c>
    </row>
    <row r="7">
      <c r="A7" s="148" t="s">
        <v>3636</v>
      </c>
      <c r="B7" s="149" t="s">
        <v>3637</v>
      </c>
      <c r="C7" s="149"/>
      <c r="D7" s="149"/>
      <c r="E7" s="149"/>
      <c r="F7" s="149"/>
      <c r="G7" s="149"/>
      <c r="H7" s="150"/>
      <c r="I7" s="150"/>
      <c r="J7" s="150"/>
      <c r="K7" s="150"/>
      <c r="L7" s="150"/>
      <c r="M7" s="150"/>
      <c r="N7" s="134">
        <v>6.0</v>
      </c>
    </row>
    <row r="8">
      <c r="A8" s="151" t="s">
        <v>3638</v>
      </c>
      <c r="B8" s="152" t="s">
        <v>3639</v>
      </c>
      <c r="C8" s="152"/>
      <c r="D8" s="152"/>
      <c r="E8" s="152"/>
      <c r="F8" s="152"/>
      <c r="G8" s="152"/>
      <c r="H8" s="147"/>
      <c r="I8" s="147"/>
      <c r="J8" s="147"/>
      <c r="K8" s="147"/>
      <c r="L8" s="147"/>
      <c r="M8" s="147"/>
      <c r="N8" s="129">
        <v>7.0</v>
      </c>
    </row>
    <row r="9">
      <c r="A9" s="148" t="s">
        <v>3640</v>
      </c>
      <c r="B9" s="149" t="s">
        <v>3641</v>
      </c>
      <c r="C9" s="149"/>
      <c r="D9" s="149"/>
      <c r="E9" s="149"/>
      <c r="F9" s="149"/>
      <c r="G9" s="149"/>
      <c r="H9" s="150"/>
      <c r="I9" s="150"/>
      <c r="J9" s="150"/>
      <c r="K9" s="150"/>
      <c r="L9" s="150"/>
      <c r="M9" s="150"/>
      <c r="N9" s="134">
        <v>8.0</v>
      </c>
    </row>
    <row r="10">
      <c r="A10" s="151" t="s">
        <v>3642</v>
      </c>
      <c r="B10" s="152" t="s">
        <v>3643</v>
      </c>
      <c r="C10" s="152"/>
      <c r="D10" s="152"/>
      <c r="E10" s="152"/>
      <c r="F10" s="152"/>
      <c r="G10" s="152"/>
      <c r="H10" s="147"/>
      <c r="I10" s="147"/>
      <c r="J10" s="147"/>
      <c r="K10" s="147"/>
      <c r="L10" s="147"/>
      <c r="M10" s="147"/>
      <c r="N10" s="129">
        <v>9.0</v>
      </c>
    </row>
    <row r="11">
      <c r="A11" s="148" t="s">
        <v>3644</v>
      </c>
      <c r="B11" s="149" t="s">
        <v>3645</v>
      </c>
      <c r="C11" s="149"/>
      <c r="D11" s="149"/>
      <c r="E11" s="149"/>
      <c r="F11" s="149"/>
      <c r="G11" s="149"/>
      <c r="H11" s="150"/>
      <c r="I11" s="150"/>
      <c r="J11" s="150"/>
      <c r="K11" s="150"/>
      <c r="L11" s="150"/>
      <c r="M11" s="150"/>
      <c r="N11" s="134">
        <v>10.0</v>
      </c>
    </row>
    <row r="12">
      <c r="A12" s="151" t="s">
        <v>3646</v>
      </c>
      <c r="B12" s="152" t="s">
        <v>3647</v>
      </c>
      <c r="C12" s="152"/>
      <c r="D12" s="152"/>
      <c r="E12" s="152"/>
      <c r="F12" s="152"/>
      <c r="G12" s="152"/>
      <c r="H12" s="147"/>
      <c r="I12" s="147"/>
      <c r="J12" s="147"/>
      <c r="K12" s="147"/>
      <c r="L12" s="147"/>
      <c r="M12" s="147"/>
      <c r="N12" s="129">
        <v>11.0</v>
      </c>
    </row>
    <row r="13">
      <c r="A13" s="148" t="s">
        <v>3648</v>
      </c>
      <c r="B13" s="149" t="s">
        <v>3649</v>
      </c>
      <c r="C13" s="149"/>
      <c r="D13" s="149"/>
      <c r="E13" s="149"/>
      <c r="F13" s="149"/>
      <c r="G13" s="149"/>
      <c r="H13" s="150"/>
      <c r="I13" s="150"/>
      <c r="J13" s="150"/>
      <c r="K13" s="150"/>
      <c r="L13" s="150"/>
      <c r="M13" s="150"/>
      <c r="N13" s="134">
        <v>12.0</v>
      </c>
    </row>
    <row r="14">
      <c r="A14" s="151" t="s">
        <v>3650</v>
      </c>
      <c r="B14" s="152" t="s">
        <v>3651</v>
      </c>
      <c r="C14" s="152"/>
      <c r="D14" s="152"/>
      <c r="E14" s="152"/>
      <c r="F14" s="152"/>
      <c r="G14" s="152"/>
      <c r="H14" s="147"/>
      <c r="I14" s="147"/>
      <c r="J14" s="147"/>
      <c r="K14" s="147"/>
      <c r="L14" s="147"/>
      <c r="M14" s="147"/>
      <c r="N14" s="129">
        <v>13.0</v>
      </c>
    </row>
    <row r="15">
      <c r="A15" s="148" t="s">
        <v>3652</v>
      </c>
      <c r="B15" s="149" t="s">
        <v>3653</v>
      </c>
      <c r="C15" s="149"/>
      <c r="D15" s="149"/>
      <c r="E15" s="149"/>
      <c r="F15" s="149"/>
      <c r="G15" s="149"/>
      <c r="H15" s="150"/>
      <c r="I15" s="150"/>
      <c r="J15" s="150"/>
      <c r="K15" s="150"/>
      <c r="L15" s="150"/>
      <c r="M15" s="150"/>
      <c r="N15" s="134">
        <v>14.0</v>
      </c>
    </row>
    <row r="16">
      <c r="A16" s="151" t="s">
        <v>3654</v>
      </c>
      <c r="B16" s="152" t="s">
        <v>3655</v>
      </c>
      <c r="C16" s="152"/>
      <c r="D16" s="152"/>
      <c r="E16" s="152"/>
      <c r="F16" s="152"/>
      <c r="G16" s="152"/>
      <c r="H16" s="147"/>
      <c r="I16" s="147"/>
      <c r="J16" s="147"/>
      <c r="K16" s="147"/>
      <c r="L16" s="147"/>
      <c r="M16" s="147"/>
      <c r="N16" s="129">
        <v>15.0</v>
      </c>
    </row>
    <row r="17">
      <c r="A17" s="148" t="s">
        <v>3656</v>
      </c>
      <c r="B17" s="149" t="s">
        <v>3657</v>
      </c>
      <c r="C17" s="149"/>
      <c r="D17" s="149"/>
      <c r="E17" s="149"/>
      <c r="F17" s="149"/>
      <c r="G17" s="149"/>
      <c r="H17" s="150"/>
      <c r="I17" s="150"/>
      <c r="J17" s="150"/>
      <c r="K17" s="150"/>
      <c r="L17" s="150"/>
      <c r="M17" s="150"/>
      <c r="N17" s="134">
        <v>16.0</v>
      </c>
    </row>
    <row r="18">
      <c r="A18" s="151" t="s">
        <v>3658</v>
      </c>
      <c r="B18" s="152" t="s">
        <v>3659</v>
      </c>
      <c r="C18" s="152"/>
      <c r="D18" s="152"/>
      <c r="E18" s="152"/>
      <c r="F18" s="152"/>
      <c r="G18" s="152"/>
      <c r="H18" s="147"/>
      <c r="I18" s="147"/>
      <c r="J18" s="147"/>
      <c r="K18" s="147"/>
      <c r="L18" s="147"/>
      <c r="M18" s="147"/>
      <c r="N18" s="129">
        <v>17.0</v>
      </c>
    </row>
    <row r="19">
      <c r="A19" s="148" t="s">
        <v>3660</v>
      </c>
      <c r="B19" s="149" t="s">
        <v>3661</v>
      </c>
      <c r="C19" s="149"/>
      <c r="D19" s="149"/>
      <c r="E19" s="149"/>
      <c r="F19" s="149"/>
      <c r="G19" s="149"/>
      <c r="H19" s="150"/>
      <c r="I19" s="150"/>
      <c r="J19" s="150"/>
      <c r="K19" s="150"/>
      <c r="L19" s="150"/>
      <c r="M19" s="150"/>
      <c r="N19" s="134">
        <v>18.0</v>
      </c>
    </row>
    <row r="20">
      <c r="A20" s="151" t="s">
        <v>3662</v>
      </c>
      <c r="B20" s="152" t="s">
        <v>3663</v>
      </c>
      <c r="C20" s="152"/>
      <c r="D20" s="152"/>
      <c r="E20" s="152"/>
      <c r="F20" s="152"/>
      <c r="G20" s="152"/>
      <c r="H20" s="147"/>
      <c r="I20" s="147"/>
      <c r="J20" s="147"/>
      <c r="K20" s="147"/>
      <c r="L20" s="147"/>
      <c r="M20" s="147"/>
      <c r="N20" s="129">
        <v>19.0</v>
      </c>
    </row>
    <row r="21">
      <c r="A21" s="148" t="s">
        <v>3664</v>
      </c>
      <c r="B21" s="149" t="s">
        <v>3665</v>
      </c>
      <c r="C21" s="149"/>
      <c r="D21" s="149"/>
      <c r="E21" s="149"/>
      <c r="F21" s="149"/>
      <c r="G21" s="149"/>
      <c r="H21" s="150"/>
      <c r="I21" s="150"/>
      <c r="J21" s="150"/>
      <c r="K21" s="150"/>
      <c r="L21" s="150"/>
      <c r="M21" s="150"/>
      <c r="N21" s="134">
        <v>20.0</v>
      </c>
    </row>
    <row r="22">
      <c r="A22" s="151" t="s">
        <v>3666</v>
      </c>
      <c r="B22" s="152" t="s">
        <v>3667</v>
      </c>
      <c r="C22" s="152"/>
      <c r="D22" s="152"/>
      <c r="E22" s="152"/>
      <c r="F22" s="152"/>
      <c r="G22" s="152"/>
      <c r="H22" s="147"/>
      <c r="I22" s="147"/>
      <c r="J22" s="147"/>
      <c r="K22" s="147"/>
      <c r="L22" s="147"/>
      <c r="M22" s="147"/>
      <c r="N22" s="129">
        <v>21.0</v>
      </c>
    </row>
    <row r="23">
      <c r="A23" s="148" t="s">
        <v>3668</v>
      </c>
      <c r="B23" s="149" t="s">
        <v>3669</v>
      </c>
      <c r="C23" s="149"/>
      <c r="D23" s="149"/>
      <c r="E23" s="149"/>
      <c r="F23" s="149"/>
      <c r="G23" s="149"/>
      <c r="H23" s="150"/>
      <c r="I23" s="150"/>
      <c r="J23" s="150"/>
      <c r="K23" s="150"/>
      <c r="L23" s="150"/>
      <c r="M23" s="150"/>
      <c r="N23" s="134">
        <v>22.0</v>
      </c>
    </row>
    <row r="24">
      <c r="A24" s="151" t="s">
        <v>3670</v>
      </c>
      <c r="B24" s="152" t="s">
        <v>3657</v>
      </c>
      <c r="C24" s="152"/>
      <c r="D24" s="152"/>
      <c r="E24" s="152"/>
      <c r="F24" s="152"/>
      <c r="G24" s="152"/>
      <c r="H24" s="147"/>
      <c r="I24" s="147"/>
      <c r="J24" s="147"/>
      <c r="K24" s="147"/>
      <c r="L24" s="147"/>
      <c r="M24" s="147"/>
      <c r="N24" s="129">
        <v>23.0</v>
      </c>
    </row>
    <row r="25">
      <c r="A25" s="148" t="s">
        <v>3671</v>
      </c>
      <c r="B25" s="149" t="s">
        <v>3672</v>
      </c>
      <c r="C25" s="149"/>
      <c r="D25" s="149"/>
      <c r="E25" s="149"/>
      <c r="F25" s="149"/>
      <c r="G25" s="149"/>
      <c r="H25" s="150"/>
      <c r="I25" s="150"/>
      <c r="J25" s="150"/>
      <c r="K25" s="150"/>
      <c r="L25" s="150"/>
      <c r="M25" s="150"/>
      <c r="N25" s="134">
        <v>24.0</v>
      </c>
    </row>
    <row r="26">
      <c r="A26" s="151" t="s">
        <v>3673</v>
      </c>
      <c r="B26" s="152" t="s">
        <v>3674</v>
      </c>
      <c r="C26" s="152"/>
      <c r="D26" s="152"/>
      <c r="E26" s="152"/>
      <c r="F26" s="152"/>
      <c r="G26" s="152"/>
      <c r="H26" s="147"/>
      <c r="I26" s="147"/>
      <c r="J26" s="147"/>
      <c r="K26" s="147"/>
      <c r="L26" s="147"/>
      <c r="M26" s="147"/>
      <c r="N26" s="129">
        <v>25.0</v>
      </c>
    </row>
    <row r="27">
      <c r="A27" s="148" t="s">
        <v>3675</v>
      </c>
      <c r="B27" s="149" t="s">
        <v>3676</v>
      </c>
      <c r="C27" s="149"/>
      <c r="D27" s="149"/>
      <c r="E27" s="149"/>
      <c r="F27" s="149"/>
      <c r="G27" s="149"/>
      <c r="H27" s="150"/>
      <c r="I27" s="150"/>
      <c r="J27" s="150"/>
      <c r="K27" s="150"/>
      <c r="L27" s="150"/>
      <c r="M27" s="150"/>
      <c r="N27" s="134">
        <v>26.0</v>
      </c>
    </row>
    <row r="28">
      <c r="A28" s="151" t="s">
        <v>3677</v>
      </c>
      <c r="B28" s="152" t="s">
        <v>3678</v>
      </c>
      <c r="C28" s="152"/>
      <c r="D28" s="152"/>
      <c r="E28" s="152"/>
      <c r="F28" s="152"/>
      <c r="G28" s="152"/>
      <c r="H28" s="147"/>
      <c r="I28" s="147"/>
      <c r="J28" s="147"/>
      <c r="K28" s="147"/>
      <c r="L28" s="147"/>
      <c r="M28" s="147"/>
      <c r="N28" s="129">
        <v>27.0</v>
      </c>
    </row>
    <row r="29">
      <c r="A29" s="148" t="s">
        <v>3679</v>
      </c>
      <c r="B29" s="149" t="s">
        <v>3680</v>
      </c>
      <c r="C29" s="149"/>
      <c r="D29" s="149"/>
      <c r="E29" s="149"/>
      <c r="F29" s="149"/>
      <c r="G29" s="149"/>
      <c r="H29" s="150"/>
      <c r="I29" s="150"/>
      <c r="J29" s="150"/>
      <c r="K29" s="150"/>
      <c r="L29" s="150"/>
      <c r="M29" s="150"/>
      <c r="N29" s="134">
        <v>28.0</v>
      </c>
    </row>
    <row r="30">
      <c r="A30" s="151" t="s">
        <v>3681</v>
      </c>
      <c r="B30" s="152" t="s">
        <v>3682</v>
      </c>
      <c r="C30" s="152"/>
      <c r="D30" s="152"/>
      <c r="E30" s="152"/>
      <c r="F30" s="152"/>
      <c r="G30" s="152"/>
      <c r="H30" s="147"/>
      <c r="I30" s="147"/>
      <c r="J30" s="147"/>
      <c r="K30" s="147"/>
      <c r="L30" s="147"/>
      <c r="M30" s="147"/>
      <c r="N30" s="129">
        <v>29.0</v>
      </c>
    </row>
    <row r="31">
      <c r="A31" s="148" t="s">
        <v>3683</v>
      </c>
      <c r="B31" s="149" t="s">
        <v>3684</v>
      </c>
      <c r="C31" s="149"/>
      <c r="D31" s="149"/>
      <c r="E31" s="149"/>
      <c r="F31" s="149"/>
      <c r="G31" s="149"/>
      <c r="H31" s="150"/>
      <c r="I31" s="150"/>
      <c r="J31" s="150"/>
      <c r="K31" s="150"/>
      <c r="L31" s="150"/>
      <c r="M31" s="150"/>
      <c r="N31" s="134">
        <v>30.0</v>
      </c>
    </row>
    <row r="32">
      <c r="A32" s="151" t="s">
        <v>3685</v>
      </c>
      <c r="B32" s="152" t="s">
        <v>3686</v>
      </c>
      <c r="C32" s="152"/>
      <c r="D32" s="152"/>
      <c r="E32" s="152"/>
      <c r="F32" s="152"/>
      <c r="G32" s="152"/>
      <c r="H32" s="147"/>
      <c r="I32" s="147"/>
      <c r="J32" s="147"/>
      <c r="K32" s="147"/>
      <c r="L32" s="147"/>
      <c r="M32" s="147"/>
      <c r="N32" s="129">
        <v>31.0</v>
      </c>
    </row>
    <row r="33">
      <c r="A33" s="148" t="s">
        <v>3687</v>
      </c>
      <c r="B33" s="149" t="s">
        <v>3633</v>
      </c>
      <c r="C33" s="149"/>
      <c r="D33" s="149"/>
      <c r="E33" s="149"/>
      <c r="F33" s="149"/>
      <c r="G33" s="149"/>
      <c r="H33" s="150"/>
      <c r="I33" s="150"/>
      <c r="J33" s="150"/>
      <c r="K33" s="150"/>
      <c r="L33" s="150"/>
      <c r="M33" s="150"/>
      <c r="N33" s="134">
        <v>32.0</v>
      </c>
    </row>
    <row r="34">
      <c r="A34" s="151" t="s">
        <v>3688</v>
      </c>
      <c r="B34" s="152" t="s">
        <v>3689</v>
      </c>
      <c r="C34" s="152"/>
      <c r="D34" s="152"/>
      <c r="E34" s="152"/>
      <c r="F34" s="152"/>
      <c r="G34" s="152"/>
      <c r="H34" s="147"/>
      <c r="I34" s="147"/>
      <c r="J34" s="147"/>
      <c r="K34" s="147"/>
      <c r="L34" s="147"/>
      <c r="M34" s="147"/>
      <c r="N34" s="129">
        <v>33.0</v>
      </c>
    </row>
    <row r="35">
      <c r="A35" s="148" t="s">
        <v>3690</v>
      </c>
      <c r="B35" s="149" t="s">
        <v>3691</v>
      </c>
      <c r="C35" s="149"/>
      <c r="D35" s="149"/>
      <c r="E35" s="149"/>
      <c r="F35" s="149"/>
      <c r="G35" s="149"/>
      <c r="H35" s="150"/>
      <c r="I35" s="150"/>
      <c r="J35" s="150"/>
      <c r="K35" s="150"/>
      <c r="L35" s="150"/>
      <c r="M35" s="150"/>
      <c r="N35" s="134">
        <v>34.0</v>
      </c>
    </row>
    <row r="36">
      <c r="A36" s="151" t="s">
        <v>3692</v>
      </c>
      <c r="B36" s="152" t="s">
        <v>3693</v>
      </c>
      <c r="C36" s="152"/>
      <c r="D36" s="152"/>
      <c r="E36" s="152"/>
      <c r="F36" s="152"/>
      <c r="G36" s="152"/>
      <c r="H36" s="147"/>
      <c r="I36" s="147"/>
      <c r="J36" s="147"/>
      <c r="K36" s="147"/>
      <c r="L36" s="147"/>
      <c r="M36" s="147"/>
      <c r="N36" s="129">
        <v>35.0</v>
      </c>
    </row>
    <row r="37">
      <c r="A37" s="148" t="s">
        <v>3694</v>
      </c>
      <c r="B37" s="149" t="s">
        <v>3695</v>
      </c>
      <c r="C37" s="149"/>
      <c r="D37" s="149"/>
      <c r="E37" s="149"/>
      <c r="F37" s="149"/>
      <c r="G37" s="149"/>
      <c r="H37" s="150"/>
      <c r="I37" s="150"/>
      <c r="J37" s="150"/>
      <c r="K37" s="150"/>
      <c r="L37" s="150"/>
      <c r="M37" s="150"/>
      <c r="N37" s="134">
        <v>36.0</v>
      </c>
    </row>
    <row r="38">
      <c r="A38" s="151" t="s">
        <v>3696</v>
      </c>
      <c r="B38" s="152" t="s">
        <v>3697</v>
      </c>
      <c r="C38" s="152"/>
      <c r="D38" s="152"/>
      <c r="E38" s="152"/>
      <c r="F38" s="152"/>
      <c r="G38" s="152"/>
      <c r="H38" s="147"/>
      <c r="I38" s="147"/>
      <c r="J38" s="147"/>
      <c r="K38" s="147"/>
      <c r="L38" s="147"/>
      <c r="M38" s="147"/>
      <c r="N38" s="129">
        <v>37.0</v>
      </c>
    </row>
    <row r="39">
      <c r="A39" s="148" t="s">
        <v>3698</v>
      </c>
      <c r="B39" s="149" t="s">
        <v>3699</v>
      </c>
      <c r="C39" s="149"/>
      <c r="D39" s="149"/>
      <c r="E39" s="149"/>
      <c r="F39" s="149"/>
      <c r="G39" s="149"/>
      <c r="H39" s="150"/>
      <c r="I39" s="150"/>
      <c r="J39" s="150"/>
      <c r="K39" s="150"/>
      <c r="L39" s="150"/>
      <c r="M39" s="150"/>
      <c r="N39" s="134">
        <v>38.0</v>
      </c>
    </row>
    <row r="40">
      <c r="A40" s="151" t="s">
        <v>3700</v>
      </c>
      <c r="B40" s="152" t="s">
        <v>3701</v>
      </c>
      <c r="C40" s="152"/>
      <c r="D40" s="152"/>
      <c r="E40" s="152"/>
      <c r="F40" s="152"/>
      <c r="G40" s="152"/>
      <c r="H40" s="147"/>
      <c r="I40" s="147"/>
      <c r="J40" s="147"/>
      <c r="K40" s="147"/>
      <c r="L40" s="147"/>
      <c r="M40" s="147"/>
      <c r="N40" s="129">
        <v>39.0</v>
      </c>
    </row>
    <row r="41">
      <c r="A41" s="148" t="s">
        <v>3702</v>
      </c>
      <c r="B41" s="149" t="s">
        <v>3703</v>
      </c>
      <c r="C41" s="149"/>
      <c r="D41" s="149"/>
      <c r="E41" s="149"/>
      <c r="F41" s="149"/>
      <c r="G41" s="149"/>
      <c r="H41" s="150"/>
      <c r="I41" s="150"/>
      <c r="J41" s="150"/>
      <c r="K41" s="150"/>
      <c r="L41" s="150"/>
      <c r="M41" s="150"/>
      <c r="N41" s="134">
        <v>40.0</v>
      </c>
    </row>
    <row r="42">
      <c r="A42" s="151" t="s">
        <v>3704</v>
      </c>
      <c r="B42" s="152" t="s">
        <v>3705</v>
      </c>
      <c r="C42" s="152"/>
      <c r="D42" s="152"/>
      <c r="E42" s="152"/>
      <c r="F42" s="152"/>
      <c r="G42" s="152"/>
      <c r="H42" s="147"/>
      <c r="I42" s="147"/>
      <c r="J42" s="147"/>
      <c r="K42" s="147"/>
      <c r="L42" s="147"/>
      <c r="M42" s="147"/>
      <c r="N42" s="129">
        <v>41.0</v>
      </c>
    </row>
    <row r="43">
      <c r="A43" s="148" t="s">
        <v>3706</v>
      </c>
      <c r="B43" s="149" t="s">
        <v>3707</v>
      </c>
      <c r="C43" s="149"/>
      <c r="D43" s="149"/>
      <c r="E43" s="149"/>
      <c r="F43" s="149"/>
      <c r="G43" s="149"/>
      <c r="H43" s="150"/>
      <c r="I43" s="150"/>
      <c r="J43" s="150"/>
      <c r="K43" s="150"/>
      <c r="L43" s="150"/>
      <c r="M43" s="150"/>
      <c r="N43" s="134">
        <v>42.0</v>
      </c>
    </row>
    <row r="44">
      <c r="A44" s="151" t="s">
        <v>3708</v>
      </c>
      <c r="B44" s="152" t="s">
        <v>3709</v>
      </c>
      <c r="C44" s="152"/>
      <c r="D44" s="152"/>
      <c r="E44" s="152"/>
      <c r="F44" s="152"/>
      <c r="G44" s="152"/>
      <c r="H44" s="147"/>
      <c r="I44" s="147"/>
      <c r="J44" s="147"/>
      <c r="K44" s="147"/>
      <c r="L44" s="147"/>
      <c r="M44" s="147"/>
      <c r="N44" s="129">
        <v>43.0</v>
      </c>
    </row>
    <row r="45">
      <c r="A45" s="148" t="s">
        <v>3710</v>
      </c>
      <c r="B45" s="149" t="s">
        <v>3711</v>
      </c>
      <c r="C45" s="149"/>
      <c r="D45" s="149"/>
      <c r="E45" s="149"/>
      <c r="F45" s="149"/>
      <c r="G45" s="149"/>
      <c r="H45" s="150"/>
      <c r="I45" s="150"/>
      <c r="J45" s="150"/>
      <c r="K45" s="150"/>
      <c r="L45" s="150"/>
      <c r="M45" s="150"/>
      <c r="N45" s="134">
        <v>44.0</v>
      </c>
    </row>
    <row r="46">
      <c r="A46" s="151" t="s">
        <v>3712</v>
      </c>
      <c r="B46" s="152" t="s">
        <v>3713</v>
      </c>
      <c r="C46" s="152"/>
      <c r="D46" s="152"/>
      <c r="E46" s="152"/>
      <c r="F46" s="152"/>
      <c r="G46" s="152"/>
      <c r="H46" s="147"/>
      <c r="I46" s="147"/>
      <c r="J46" s="147"/>
      <c r="K46" s="147"/>
      <c r="L46" s="147"/>
      <c r="M46" s="147"/>
      <c r="N46" s="129">
        <v>45.0</v>
      </c>
    </row>
    <row r="47">
      <c r="A47" s="148" t="s">
        <v>3714</v>
      </c>
      <c r="B47" s="149" t="s">
        <v>3715</v>
      </c>
      <c r="C47" s="149"/>
      <c r="D47" s="149"/>
      <c r="E47" s="149"/>
      <c r="F47" s="149"/>
      <c r="G47" s="149"/>
      <c r="H47" s="150"/>
      <c r="I47" s="150"/>
      <c r="J47" s="150"/>
      <c r="K47" s="150"/>
      <c r="L47" s="150"/>
      <c r="M47" s="150"/>
      <c r="N47" s="134">
        <v>46.0</v>
      </c>
    </row>
    <row r="48">
      <c r="A48" s="151" t="s">
        <v>3716</v>
      </c>
      <c r="B48" s="152" t="s">
        <v>3717</v>
      </c>
      <c r="C48" s="152"/>
      <c r="D48" s="152"/>
      <c r="E48" s="152"/>
      <c r="F48" s="152"/>
      <c r="G48" s="152"/>
      <c r="H48" s="147"/>
      <c r="I48" s="147"/>
      <c r="J48" s="147"/>
      <c r="K48" s="147"/>
      <c r="L48" s="147"/>
      <c r="M48" s="147"/>
      <c r="N48" s="129">
        <v>47.0</v>
      </c>
    </row>
    <row r="49">
      <c r="A49" s="148" t="s">
        <v>3718</v>
      </c>
      <c r="B49" s="149" t="s">
        <v>3719</v>
      </c>
      <c r="C49" s="149"/>
      <c r="D49" s="149"/>
      <c r="E49" s="149"/>
      <c r="F49" s="149"/>
      <c r="G49" s="149"/>
      <c r="H49" s="150"/>
      <c r="I49" s="150"/>
      <c r="J49" s="150"/>
      <c r="K49" s="150"/>
      <c r="L49" s="150"/>
      <c r="M49" s="150"/>
      <c r="N49" s="134">
        <v>48.0</v>
      </c>
    </row>
    <row r="50">
      <c r="A50" s="151" t="s">
        <v>3720</v>
      </c>
      <c r="B50" s="152" t="s">
        <v>3721</v>
      </c>
      <c r="C50" s="152"/>
      <c r="D50" s="152"/>
      <c r="E50" s="152"/>
      <c r="F50" s="152"/>
      <c r="G50" s="152"/>
      <c r="H50" s="147"/>
      <c r="I50" s="147"/>
      <c r="J50" s="147"/>
      <c r="K50" s="147"/>
      <c r="L50" s="147"/>
      <c r="M50" s="147"/>
      <c r="N50" s="129">
        <v>49.0</v>
      </c>
    </row>
    <row r="51">
      <c r="A51" s="148" t="s">
        <v>3722</v>
      </c>
      <c r="B51" s="149" t="s">
        <v>3723</v>
      </c>
      <c r="C51" s="149"/>
      <c r="D51" s="149"/>
      <c r="E51" s="149"/>
      <c r="F51" s="149"/>
      <c r="G51" s="149"/>
      <c r="H51" s="150"/>
      <c r="I51" s="150"/>
      <c r="J51" s="150"/>
      <c r="K51" s="150"/>
      <c r="L51" s="150"/>
      <c r="M51" s="150"/>
      <c r="N51" s="134">
        <v>50.0</v>
      </c>
    </row>
    <row r="52">
      <c r="A52" s="151" t="s">
        <v>3724</v>
      </c>
      <c r="B52" s="152" t="s">
        <v>3725</v>
      </c>
      <c r="C52" s="152"/>
      <c r="D52" s="152"/>
      <c r="E52" s="152"/>
      <c r="F52" s="152"/>
      <c r="G52" s="152"/>
      <c r="H52" s="147"/>
      <c r="I52" s="147"/>
      <c r="J52" s="147"/>
      <c r="K52" s="147"/>
      <c r="L52" s="147"/>
      <c r="M52" s="147"/>
      <c r="N52" s="129">
        <v>51.0</v>
      </c>
    </row>
    <row r="53">
      <c r="A53" s="148" t="s">
        <v>3726</v>
      </c>
      <c r="B53" s="149" t="s">
        <v>3727</v>
      </c>
      <c r="C53" s="149"/>
      <c r="D53" s="149"/>
      <c r="E53" s="149"/>
      <c r="F53" s="149"/>
      <c r="G53" s="149"/>
      <c r="H53" s="150"/>
      <c r="I53" s="150"/>
      <c r="J53" s="150"/>
      <c r="K53" s="150"/>
      <c r="L53" s="150"/>
      <c r="M53" s="150"/>
      <c r="N53" s="134">
        <v>52.0</v>
      </c>
    </row>
    <row r="54">
      <c r="A54" s="151" t="s">
        <v>3728</v>
      </c>
      <c r="B54" s="152" t="s">
        <v>3729</v>
      </c>
      <c r="C54" s="152"/>
      <c r="D54" s="152"/>
      <c r="E54" s="152"/>
      <c r="F54" s="152"/>
      <c r="G54" s="152"/>
      <c r="H54" s="147"/>
      <c r="I54" s="147"/>
      <c r="J54" s="147"/>
      <c r="K54" s="147"/>
      <c r="L54" s="147"/>
      <c r="M54" s="147"/>
      <c r="N54" s="129">
        <v>53.0</v>
      </c>
    </row>
    <row r="55">
      <c r="A55" s="148" t="s">
        <v>3730</v>
      </c>
      <c r="B55" s="149" t="s">
        <v>3731</v>
      </c>
      <c r="C55" s="149"/>
      <c r="D55" s="149"/>
      <c r="E55" s="149"/>
      <c r="F55" s="149"/>
      <c r="G55" s="149"/>
      <c r="H55" s="150"/>
      <c r="I55" s="150"/>
      <c r="J55" s="150"/>
      <c r="K55" s="150"/>
      <c r="L55" s="150"/>
      <c r="M55" s="150"/>
      <c r="N55" s="134">
        <v>54.0</v>
      </c>
    </row>
    <row r="56">
      <c r="A56" s="151" t="s">
        <v>3732</v>
      </c>
      <c r="B56" s="152" t="s">
        <v>3733</v>
      </c>
      <c r="C56" s="152"/>
      <c r="D56" s="152"/>
      <c r="E56" s="152"/>
      <c r="F56" s="152"/>
      <c r="G56" s="152"/>
      <c r="H56" s="147"/>
      <c r="I56" s="147"/>
      <c r="J56" s="147"/>
      <c r="K56" s="147"/>
      <c r="L56" s="147"/>
      <c r="M56" s="147"/>
      <c r="N56" s="129">
        <v>55.0</v>
      </c>
    </row>
    <row r="57">
      <c r="A57" s="148" t="s">
        <v>3734</v>
      </c>
      <c r="B57" s="149" t="s">
        <v>3735</v>
      </c>
      <c r="C57" s="149"/>
      <c r="D57" s="149"/>
      <c r="E57" s="149"/>
      <c r="F57" s="149"/>
      <c r="G57" s="149"/>
      <c r="H57" s="150"/>
      <c r="I57" s="150"/>
      <c r="J57" s="150"/>
      <c r="K57" s="150"/>
      <c r="L57" s="150"/>
      <c r="M57" s="150"/>
      <c r="N57" s="134">
        <v>56.0</v>
      </c>
    </row>
    <row r="58">
      <c r="A58" s="151" t="s">
        <v>3736</v>
      </c>
      <c r="B58" s="152" t="s">
        <v>3737</v>
      </c>
      <c r="C58" s="152"/>
      <c r="D58" s="152"/>
      <c r="E58" s="152"/>
      <c r="F58" s="152"/>
      <c r="G58" s="152"/>
      <c r="H58" s="147"/>
      <c r="I58" s="147"/>
      <c r="J58" s="147"/>
      <c r="K58" s="147"/>
      <c r="L58" s="147"/>
      <c r="M58" s="147"/>
      <c r="N58" s="129">
        <v>57.0</v>
      </c>
    </row>
    <row r="59">
      <c r="A59" s="148" t="s">
        <v>3738</v>
      </c>
      <c r="B59" s="149" t="s">
        <v>3739</v>
      </c>
      <c r="C59" s="149"/>
      <c r="D59" s="149"/>
      <c r="E59" s="149"/>
      <c r="F59" s="149"/>
      <c r="G59" s="149"/>
      <c r="H59" s="150"/>
      <c r="I59" s="150"/>
      <c r="J59" s="150"/>
      <c r="K59" s="150"/>
      <c r="L59" s="150"/>
      <c r="M59" s="150"/>
      <c r="N59" s="134">
        <v>58.0</v>
      </c>
    </row>
    <row r="60">
      <c r="A60" s="151" t="s">
        <v>3740</v>
      </c>
      <c r="B60" s="152" t="s">
        <v>3741</v>
      </c>
      <c r="C60" s="152"/>
      <c r="D60" s="152"/>
      <c r="E60" s="152"/>
      <c r="F60" s="152"/>
      <c r="G60" s="152"/>
      <c r="H60" s="147"/>
      <c r="I60" s="147"/>
      <c r="J60" s="147"/>
      <c r="K60" s="147"/>
      <c r="L60" s="147"/>
      <c r="M60" s="147"/>
      <c r="N60" s="129">
        <v>59.0</v>
      </c>
    </row>
    <row r="61">
      <c r="A61" s="148" t="s">
        <v>3742</v>
      </c>
      <c r="B61" s="149" t="s">
        <v>3743</v>
      </c>
      <c r="C61" s="149"/>
      <c r="D61" s="149"/>
      <c r="E61" s="149"/>
      <c r="F61" s="149"/>
      <c r="G61" s="149"/>
      <c r="H61" s="150"/>
      <c r="I61" s="150"/>
      <c r="J61" s="150"/>
      <c r="K61" s="150"/>
      <c r="L61" s="150"/>
      <c r="M61" s="150"/>
      <c r="N61" s="134">
        <v>60.0</v>
      </c>
    </row>
    <row r="62">
      <c r="A62" s="151" t="s">
        <v>3744</v>
      </c>
      <c r="B62" s="152" t="s">
        <v>3667</v>
      </c>
      <c r="C62" s="152"/>
      <c r="D62" s="152"/>
      <c r="E62" s="152"/>
      <c r="F62" s="152"/>
      <c r="G62" s="152"/>
      <c r="H62" s="147"/>
      <c r="I62" s="147"/>
      <c r="J62" s="147"/>
      <c r="K62" s="147"/>
      <c r="L62" s="147"/>
      <c r="M62" s="147"/>
      <c r="N62" s="129">
        <v>61.0</v>
      </c>
    </row>
    <row r="63">
      <c r="A63" s="148" t="s">
        <v>3745</v>
      </c>
      <c r="B63" s="149" t="s">
        <v>3746</v>
      </c>
      <c r="C63" s="149"/>
      <c r="D63" s="149"/>
      <c r="E63" s="149"/>
      <c r="F63" s="149"/>
      <c r="G63" s="149"/>
      <c r="H63" s="150"/>
      <c r="I63" s="150"/>
      <c r="J63" s="150"/>
      <c r="K63" s="150"/>
      <c r="L63" s="150"/>
      <c r="M63" s="150"/>
      <c r="N63" s="134">
        <v>62.0</v>
      </c>
    </row>
    <row r="64">
      <c r="A64" s="151" t="s">
        <v>3747</v>
      </c>
      <c r="B64" s="152" t="s">
        <v>3748</v>
      </c>
      <c r="C64" s="152"/>
      <c r="D64" s="152"/>
      <c r="E64" s="152"/>
      <c r="F64" s="152"/>
      <c r="G64" s="152"/>
      <c r="H64" s="147"/>
      <c r="I64" s="147"/>
      <c r="J64" s="147"/>
      <c r="K64" s="147"/>
      <c r="L64" s="147"/>
      <c r="M64" s="147"/>
      <c r="N64" s="129">
        <v>63.0</v>
      </c>
    </row>
    <row r="65">
      <c r="A65" s="148" t="s">
        <v>3749</v>
      </c>
      <c r="B65" s="149" t="s">
        <v>3750</v>
      </c>
      <c r="C65" s="149"/>
      <c r="D65" s="149"/>
      <c r="E65" s="149"/>
      <c r="F65" s="149"/>
      <c r="G65" s="149"/>
      <c r="H65" s="150"/>
      <c r="I65" s="150"/>
      <c r="J65" s="150"/>
      <c r="K65" s="150"/>
      <c r="L65" s="150"/>
      <c r="M65" s="150"/>
      <c r="N65" s="134">
        <v>64.0</v>
      </c>
    </row>
    <row r="66">
      <c r="A66" s="151" t="s">
        <v>3751</v>
      </c>
      <c r="B66" s="152" t="s">
        <v>3752</v>
      </c>
      <c r="C66" s="152"/>
      <c r="D66" s="152"/>
      <c r="E66" s="152"/>
      <c r="F66" s="152"/>
      <c r="G66" s="152"/>
      <c r="H66" s="147"/>
      <c r="I66" s="147"/>
      <c r="J66" s="147"/>
      <c r="K66" s="147"/>
      <c r="L66" s="147"/>
      <c r="M66" s="147"/>
      <c r="N66" s="129">
        <v>65.0</v>
      </c>
    </row>
    <row r="67">
      <c r="A67" s="148" t="s">
        <v>3753</v>
      </c>
      <c r="B67" s="149" t="s">
        <v>3754</v>
      </c>
      <c r="C67" s="149"/>
      <c r="D67" s="149"/>
      <c r="E67" s="149"/>
      <c r="F67" s="149"/>
      <c r="G67" s="149"/>
      <c r="H67" s="150"/>
      <c r="I67" s="150"/>
      <c r="J67" s="150"/>
      <c r="K67" s="150"/>
      <c r="L67" s="150"/>
      <c r="M67" s="150"/>
      <c r="N67" s="134">
        <v>66.0</v>
      </c>
    </row>
    <row r="68">
      <c r="A68" s="151" t="s">
        <v>3755</v>
      </c>
      <c r="B68" s="152" t="s">
        <v>3756</v>
      </c>
      <c r="C68" s="152"/>
      <c r="D68" s="152"/>
      <c r="E68" s="152"/>
      <c r="F68" s="152"/>
      <c r="G68" s="152"/>
      <c r="H68" s="147"/>
      <c r="I68" s="147"/>
      <c r="J68" s="147"/>
      <c r="K68" s="147"/>
      <c r="L68" s="147"/>
      <c r="M68" s="147"/>
      <c r="N68" s="129">
        <v>67.0</v>
      </c>
    </row>
    <row r="69">
      <c r="A69" s="148" t="s">
        <v>3757</v>
      </c>
      <c r="B69" s="131" t="s">
        <v>3758</v>
      </c>
      <c r="C69" s="131"/>
      <c r="D69" s="149"/>
      <c r="E69" s="149"/>
      <c r="F69" s="149"/>
      <c r="G69" s="149"/>
      <c r="H69" s="150"/>
      <c r="I69" s="150"/>
      <c r="J69" s="150"/>
      <c r="K69" s="150"/>
      <c r="L69" s="150"/>
      <c r="M69" s="150"/>
      <c r="N69" s="134">
        <v>68.0</v>
      </c>
    </row>
    <row r="70">
      <c r="A70" s="151" t="s">
        <v>3759</v>
      </c>
      <c r="B70" s="152" t="s">
        <v>3760</v>
      </c>
      <c r="C70" s="152"/>
      <c r="D70" s="152"/>
      <c r="E70" s="152"/>
      <c r="F70" s="152"/>
      <c r="G70" s="152"/>
      <c r="H70" s="147"/>
      <c r="I70" s="147"/>
      <c r="J70" s="147"/>
      <c r="K70" s="147"/>
      <c r="L70" s="147"/>
      <c r="M70" s="147"/>
      <c r="N70" s="129">
        <v>69.0</v>
      </c>
    </row>
    <row r="71">
      <c r="A71" s="148" t="s">
        <v>3761</v>
      </c>
      <c r="B71" s="149" t="s">
        <v>3762</v>
      </c>
      <c r="C71" s="149"/>
      <c r="D71" s="149"/>
      <c r="E71" s="149"/>
      <c r="F71" s="149"/>
      <c r="G71" s="149"/>
      <c r="H71" s="150"/>
      <c r="I71" s="150"/>
      <c r="J71" s="150"/>
      <c r="K71" s="150"/>
      <c r="L71" s="150"/>
      <c r="M71" s="150"/>
      <c r="N71" s="134">
        <v>70.0</v>
      </c>
    </row>
    <row r="72">
      <c r="A72" s="151" t="s">
        <v>3763</v>
      </c>
      <c r="B72" s="152" t="s">
        <v>3764</v>
      </c>
      <c r="C72" s="152"/>
      <c r="D72" s="152"/>
      <c r="E72" s="152"/>
      <c r="F72" s="152"/>
      <c r="G72" s="152"/>
      <c r="H72" s="147"/>
      <c r="I72" s="147"/>
      <c r="J72" s="147"/>
      <c r="K72" s="147"/>
      <c r="L72" s="147"/>
      <c r="M72" s="147"/>
      <c r="N72" s="129">
        <v>71.0</v>
      </c>
    </row>
    <row r="73">
      <c r="A73" s="148" t="s">
        <v>3765</v>
      </c>
      <c r="B73" s="149" t="s">
        <v>3766</v>
      </c>
      <c r="C73" s="149"/>
      <c r="D73" s="149"/>
      <c r="E73" s="149"/>
      <c r="F73" s="149"/>
      <c r="G73" s="149"/>
      <c r="H73" s="150"/>
      <c r="I73" s="150"/>
      <c r="J73" s="150"/>
      <c r="K73" s="150"/>
      <c r="L73" s="150"/>
      <c r="M73" s="150"/>
      <c r="N73" s="134">
        <v>72.0</v>
      </c>
    </row>
    <row r="74">
      <c r="A74" s="151" t="s">
        <v>3767</v>
      </c>
      <c r="B74" s="152" t="s">
        <v>3768</v>
      </c>
      <c r="C74" s="152"/>
      <c r="D74" s="152"/>
      <c r="E74" s="152"/>
      <c r="F74" s="152"/>
      <c r="G74" s="152"/>
      <c r="H74" s="147"/>
      <c r="I74" s="147"/>
      <c r="J74" s="147"/>
      <c r="K74" s="147"/>
      <c r="L74" s="147"/>
      <c r="M74" s="147"/>
      <c r="N74" s="129">
        <v>73.0</v>
      </c>
    </row>
    <row r="75">
      <c r="A75" s="148" t="s">
        <v>3769</v>
      </c>
      <c r="B75" s="149" t="s">
        <v>3770</v>
      </c>
      <c r="C75" s="149"/>
      <c r="D75" s="149"/>
      <c r="E75" s="149"/>
      <c r="F75" s="149"/>
      <c r="G75" s="149"/>
      <c r="H75" s="150"/>
      <c r="I75" s="150"/>
      <c r="J75" s="150"/>
      <c r="K75" s="150"/>
      <c r="L75" s="150"/>
      <c r="M75" s="150"/>
      <c r="N75" s="134">
        <v>74.0</v>
      </c>
    </row>
    <row r="76">
      <c r="A76" s="151" t="s">
        <v>3771</v>
      </c>
      <c r="B76" s="152" t="s">
        <v>3772</v>
      </c>
      <c r="C76" s="152"/>
      <c r="D76" s="152"/>
      <c r="E76" s="152"/>
      <c r="F76" s="152"/>
      <c r="G76" s="152"/>
      <c r="H76" s="147"/>
      <c r="I76" s="147"/>
      <c r="J76" s="147"/>
      <c r="K76" s="147"/>
      <c r="L76" s="147"/>
      <c r="M76" s="147"/>
      <c r="N76" s="129">
        <v>75.0</v>
      </c>
    </row>
    <row r="77">
      <c r="A77" s="148" t="s">
        <v>3773</v>
      </c>
      <c r="B77" s="149" t="s">
        <v>3774</v>
      </c>
      <c r="C77" s="149"/>
      <c r="D77" s="149"/>
      <c r="E77" s="149"/>
      <c r="F77" s="149"/>
      <c r="G77" s="149"/>
      <c r="H77" s="150"/>
      <c r="I77" s="150"/>
      <c r="J77" s="150"/>
      <c r="K77" s="150"/>
      <c r="L77" s="150"/>
      <c r="M77" s="150"/>
      <c r="N77" s="134">
        <v>76.0</v>
      </c>
    </row>
    <row r="78">
      <c r="A78" s="151" t="s">
        <v>3775</v>
      </c>
      <c r="B78" s="152" t="s">
        <v>3776</v>
      </c>
      <c r="C78" s="152"/>
      <c r="D78" s="152"/>
      <c r="E78" s="152"/>
      <c r="F78" s="152"/>
      <c r="G78" s="152"/>
      <c r="H78" s="147"/>
      <c r="I78" s="147"/>
      <c r="J78" s="147"/>
      <c r="K78" s="147"/>
      <c r="L78" s="147"/>
      <c r="M78" s="147"/>
      <c r="N78" s="129">
        <v>77.0</v>
      </c>
    </row>
    <row r="79">
      <c r="A79" s="148" t="s">
        <v>3777</v>
      </c>
      <c r="B79" s="149" t="s">
        <v>3778</v>
      </c>
      <c r="C79" s="149"/>
      <c r="D79" s="149"/>
      <c r="E79" s="149"/>
      <c r="F79" s="149"/>
      <c r="G79" s="149"/>
      <c r="H79" s="150"/>
      <c r="I79" s="150"/>
      <c r="J79" s="150"/>
      <c r="K79" s="150"/>
      <c r="L79" s="150"/>
      <c r="M79" s="150"/>
      <c r="N79" s="134">
        <v>78.0</v>
      </c>
    </row>
    <row r="80">
      <c r="A80" s="151" t="s">
        <v>3779</v>
      </c>
      <c r="B80" s="152" t="s">
        <v>3780</v>
      </c>
      <c r="C80" s="152"/>
      <c r="D80" s="152"/>
      <c r="E80" s="152"/>
      <c r="F80" s="152"/>
      <c r="G80" s="152"/>
      <c r="H80" s="147"/>
      <c r="I80" s="147"/>
      <c r="J80" s="147"/>
      <c r="K80" s="147"/>
      <c r="L80" s="147"/>
      <c r="M80" s="147"/>
      <c r="N80" s="129">
        <v>79.0</v>
      </c>
    </row>
    <row r="81">
      <c r="A81" s="148" t="s">
        <v>3781</v>
      </c>
      <c r="B81" s="149" t="s">
        <v>3782</v>
      </c>
      <c r="C81" s="149"/>
      <c r="D81" s="149"/>
      <c r="E81" s="149"/>
      <c r="F81" s="149"/>
      <c r="G81" s="149"/>
      <c r="H81" s="150"/>
      <c r="I81" s="150"/>
      <c r="J81" s="150"/>
      <c r="K81" s="150"/>
      <c r="L81" s="150"/>
      <c r="M81" s="150"/>
      <c r="N81" s="134">
        <v>80.0</v>
      </c>
    </row>
    <row r="82">
      <c r="A82" s="151" t="s">
        <v>3783</v>
      </c>
      <c r="B82" s="152" t="s">
        <v>3784</v>
      </c>
      <c r="C82" s="152"/>
      <c r="D82" s="152"/>
      <c r="E82" s="152"/>
      <c r="F82" s="152"/>
      <c r="G82" s="152"/>
      <c r="H82" s="147"/>
      <c r="I82" s="147"/>
      <c r="J82" s="147"/>
      <c r="K82" s="147"/>
      <c r="L82" s="147"/>
      <c r="M82" s="147"/>
      <c r="N82" s="129">
        <v>81.0</v>
      </c>
    </row>
    <row r="83">
      <c r="A83" s="148" t="s">
        <v>3785</v>
      </c>
      <c r="B83" s="149" t="s">
        <v>3786</v>
      </c>
      <c r="C83" s="149"/>
      <c r="D83" s="149"/>
      <c r="E83" s="149"/>
      <c r="F83" s="149"/>
      <c r="G83" s="149"/>
      <c r="H83" s="150"/>
      <c r="I83" s="150"/>
      <c r="J83" s="150"/>
      <c r="K83" s="150"/>
      <c r="L83" s="150"/>
      <c r="M83" s="150"/>
      <c r="N83" s="134">
        <v>82.0</v>
      </c>
    </row>
    <row r="84">
      <c r="A84" s="151" t="s">
        <v>3787</v>
      </c>
      <c r="B84" s="152" t="s">
        <v>3788</v>
      </c>
      <c r="C84" s="152"/>
      <c r="D84" s="152"/>
      <c r="E84" s="152"/>
      <c r="F84" s="152"/>
      <c r="G84" s="152"/>
      <c r="H84" s="147"/>
      <c r="I84" s="147"/>
      <c r="J84" s="147"/>
      <c r="K84" s="147"/>
      <c r="L84" s="147"/>
      <c r="M84" s="147"/>
      <c r="N84" s="129">
        <v>83.0</v>
      </c>
    </row>
    <row r="85">
      <c r="A85" s="148" t="s">
        <v>3789</v>
      </c>
      <c r="B85" s="149" t="s">
        <v>3790</v>
      </c>
      <c r="C85" s="149"/>
      <c r="D85" s="149"/>
      <c r="E85" s="149"/>
      <c r="F85" s="149"/>
      <c r="G85" s="149"/>
      <c r="H85" s="150"/>
      <c r="I85" s="150"/>
      <c r="J85" s="150"/>
      <c r="K85" s="150"/>
      <c r="L85" s="150"/>
      <c r="M85" s="150"/>
      <c r="N85" s="134">
        <v>84.0</v>
      </c>
    </row>
    <row r="86">
      <c r="A86" s="151" t="s">
        <v>3791</v>
      </c>
      <c r="B86" s="152" t="s">
        <v>3792</v>
      </c>
      <c r="C86" s="152"/>
      <c r="D86" s="152"/>
      <c r="E86" s="152"/>
      <c r="F86" s="152"/>
      <c r="G86" s="152"/>
      <c r="H86" s="147"/>
      <c r="I86" s="147"/>
      <c r="J86" s="147"/>
      <c r="K86" s="147"/>
      <c r="L86" s="147"/>
      <c r="M86" s="147"/>
      <c r="N86" s="129">
        <v>85.0</v>
      </c>
    </row>
    <row r="87">
      <c r="A87" s="148" t="s">
        <v>3793</v>
      </c>
      <c r="B87" s="149" t="s">
        <v>3794</v>
      </c>
      <c r="C87" s="149"/>
      <c r="D87" s="149"/>
      <c r="E87" s="149"/>
      <c r="F87" s="149"/>
      <c r="G87" s="149"/>
      <c r="H87" s="150"/>
      <c r="I87" s="150"/>
      <c r="J87" s="150"/>
      <c r="K87" s="150"/>
      <c r="L87" s="150"/>
      <c r="M87" s="150"/>
      <c r="N87" s="134">
        <v>86.0</v>
      </c>
    </row>
    <row r="88">
      <c r="A88" s="151" t="s">
        <v>3795</v>
      </c>
      <c r="B88" s="152" t="s">
        <v>3796</v>
      </c>
      <c r="C88" s="152"/>
      <c r="D88" s="152"/>
      <c r="E88" s="152"/>
      <c r="F88" s="152"/>
      <c r="G88" s="152"/>
      <c r="H88" s="147"/>
      <c r="I88" s="147"/>
      <c r="J88" s="147"/>
      <c r="K88" s="147"/>
      <c r="L88" s="147"/>
      <c r="M88" s="147"/>
      <c r="N88" s="129">
        <v>87.0</v>
      </c>
    </row>
    <row r="89">
      <c r="A89" s="148" t="s">
        <v>3797</v>
      </c>
      <c r="B89" s="149" t="s">
        <v>3798</v>
      </c>
      <c r="C89" s="149"/>
      <c r="D89" s="149"/>
      <c r="E89" s="149"/>
      <c r="F89" s="149"/>
      <c r="G89" s="149"/>
      <c r="H89" s="150"/>
      <c r="I89" s="150"/>
      <c r="J89" s="150"/>
      <c r="K89" s="150"/>
      <c r="L89" s="150"/>
      <c r="M89" s="150"/>
      <c r="N89" s="134">
        <v>88.0</v>
      </c>
    </row>
    <row r="90">
      <c r="A90" s="151" t="s">
        <v>3799</v>
      </c>
      <c r="B90" s="152" t="s">
        <v>3800</v>
      </c>
      <c r="C90" s="152"/>
      <c r="D90" s="152"/>
      <c r="E90" s="152"/>
      <c r="F90" s="152"/>
      <c r="G90" s="152"/>
      <c r="H90" s="147"/>
      <c r="I90" s="147"/>
      <c r="J90" s="147"/>
      <c r="K90" s="147"/>
      <c r="L90" s="147"/>
      <c r="M90" s="147"/>
      <c r="N90" s="129">
        <v>89.0</v>
      </c>
    </row>
    <row r="91">
      <c r="A91" s="148" t="s">
        <v>3801</v>
      </c>
      <c r="B91" s="149" t="s">
        <v>3802</v>
      </c>
      <c r="C91" s="149"/>
      <c r="D91" s="149"/>
      <c r="E91" s="149"/>
      <c r="F91" s="149"/>
      <c r="G91" s="149"/>
      <c r="H91" s="150"/>
      <c r="I91" s="150"/>
      <c r="J91" s="150"/>
      <c r="K91" s="150"/>
      <c r="L91" s="150"/>
      <c r="M91" s="150"/>
      <c r="N91" s="134">
        <v>90.0</v>
      </c>
    </row>
    <row r="92">
      <c r="A92" s="151" t="s">
        <v>3803</v>
      </c>
      <c r="B92" s="152" t="s">
        <v>3804</v>
      </c>
      <c r="C92" s="152"/>
      <c r="D92" s="152"/>
      <c r="E92" s="152"/>
      <c r="F92" s="152"/>
      <c r="G92" s="152"/>
      <c r="H92" s="147"/>
      <c r="I92" s="147"/>
      <c r="J92" s="147"/>
      <c r="K92" s="147"/>
      <c r="L92" s="147"/>
      <c r="M92" s="147"/>
      <c r="N92" s="129">
        <v>91.0</v>
      </c>
    </row>
    <row r="93">
      <c r="A93" s="148" t="s">
        <v>3805</v>
      </c>
      <c r="B93" s="149" t="s">
        <v>3806</v>
      </c>
      <c r="C93" s="149"/>
      <c r="D93" s="149"/>
      <c r="E93" s="149"/>
      <c r="F93" s="149"/>
      <c r="G93" s="149"/>
      <c r="H93" s="150"/>
      <c r="I93" s="150"/>
      <c r="J93" s="150"/>
      <c r="K93" s="150"/>
      <c r="L93" s="150"/>
      <c r="M93" s="150"/>
      <c r="N93" s="134">
        <v>92.0</v>
      </c>
    </row>
    <row r="94">
      <c r="A94" s="151" t="s">
        <v>3807</v>
      </c>
      <c r="B94" s="152" t="s">
        <v>3808</v>
      </c>
      <c r="C94" s="152"/>
      <c r="D94" s="152"/>
      <c r="E94" s="152"/>
      <c r="F94" s="152"/>
      <c r="G94" s="152"/>
      <c r="H94" s="147"/>
      <c r="I94" s="147"/>
      <c r="J94" s="147"/>
      <c r="K94" s="147"/>
      <c r="L94" s="147"/>
      <c r="M94" s="147"/>
      <c r="N94" s="129">
        <v>93.0</v>
      </c>
    </row>
    <row r="95">
      <c r="A95" s="148" t="s">
        <v>3809</v>
      </c>
      <c r="B95" s="149" t="s">
        <v>3810</v>
      </c>
      <c r="C95" s="149"/>
      <c r="D95" s="149"/>
      <c r="E95" s="149"/>
      <c r="F95" s="149"/>
      <c r="G95" s="149"/>
      <c r="H95" s="150"/>
      <c r="I95" s="150"/>
      <c r="J95" s="150"/>
      <c r="K95" s="150"/>
      <c r="L95" s="150"/>
      <c r="M95" s="150"/>
      <c r="N95" s="134">
        <v>94.0</v>
      </c>
    </row>
    <row r="96">
      <c r="A96" s="151" t="s">
        <v>3811</v>
      </c>
      <c r="B96" s="152" t="s">
        <v>3812</v>
      </c>
      <c r="C96" s="152"/>
      <c r="D96" s="152"/>
      <c r="E96" s="152"/>
      <c r="F96" s="152"/>
      <c r="G96" s="152"/>
      <c r="H96" s="147"/>
      <c r="I96" s="147"/>
      <c r="J96" s="147"/>
      <c r="K96" s="147"/>
      <c r="L96" s="147"/>
      <c r="M96" s="147"/>
      <c r="N96" s="129">
        <v>95.0</v>
      </c>
    </row>
    <row r="97">
      <c r="A97" s="148" t="s">
        <v>3813</v>
      </c>
      <c r="B97" s="149" t="s">
        <v>3814</v>
      </c>
      <c r="C97" s="149"/>
      <c r="D97" s="149"/>
      <c r="E97" s="149"/>
      <c r="F97" s="149"/>
      <c r="G97" s="149"/>
      <c r="H97" s="150"/>
      <c r="I97" s="150"/>
      <c r="J97" s="150"/>
      <c r="K97" s="150"/>
      <c r="L97" s="150"/>
      <c r="M97" s="150"/>
      <c r="N97" s="134">
        <v>96.0</v>
      </c>
    </row>
    <row r="98">
      <c r="A98" s="151" t="s">
        <v>3815</v>
      </c>
      <c r="B98" s="152" t="s">
        <v>3816</v>
      </c>
      <c r="C98" s="152"/>
      <c r="D98" s="152"/>
      <c r="E98" s="152"/>
      <c r="F98" s="152"/>
      <c r="G98" s="152"/>
      <c r="H98" s="147"/>
      <c r="I98" s="147"/>
      <c r="J98" s="147"/>
      <c r="K98" s="147"/>
      <c r="L98" s="147"/>
      <c r="M98" s="147"/>
      <c r="N98" s="129">
        <v>97.0</v>
      </c>
    </row>
    <row r="99">
      <c r="A99" s="148" t="s">
        <v>3817</v>
      </c>
      <c r="B99" s="149" t="s">
        <v>3818</v>
      </c>
      <c r="C99" s="149"/>
      <c r="D99" s="149"/>
      <c r="E99" s="149"/>
      <c r="F99" s="149"/>
      <c r="G99" s="149"/>
      <c r="H99" s="150"/>
      <c r="I99" s="150"/>
      <c r="J99" s="150"/>
      <c r="K99" s="150"/>
      <c r="L99" s="150"/>
      <c r="M99" s="150"/>
      <c r="N99" s="134">
        <v>98.0</v>
      </c>
    </row>
    <row r="100">
      <c r="A100" s="151" t="s">
        <v>3819</v>
      </c>
      <c r="B100" s="152" t="s">
        <v>3820</v>
      </c>
      <c r="C100" s="152"/>
      <c r="D100" s="152"/>
      <c r="E100" s="152"/>
      <c r="F100" s="152"/>
      <c r="G100" s="152"/>
      <c r="H100" s="147"/>
      <c r="I100" s="147"/>
      <c r="J100" s="147"/>
      <c r="K100" s="147"/>
      <c r="L100" s="147"/>
      <c r="M100" s="147"/>
      <c r="N100" s="129">
        <v>99.0</v>
      </c>
    </row>
    <row r="101">
      <c r="A101" s="148" t="s">
        <v>3821</v>
      </c>
      <c r="B101" s="149" t="s">
        <v>3822</v>
      </c>
      <c r="C101" s="149"/>
      <c r="D101" s="149"/>
      <c r="E101" s="149"/>
      <c r="F101" s="149"/>
      <c r="G101" s="149"/>
      <c r="H101" s="150"/>
      <c r="I101" s="150"/>
      <c r="J101" s="150"/>
      <c r="K101" s="150"/>
      <c r="L101" s="150"/>
      <c r="M101" s="150"/>
      <c r="N101" s="134">
        <v>100.0</v>
      </c>
    </row>
    <row r="102">
      <c r="A102" s="151" t="s">
        <v>3823</v>
      </c>
      <c r="B102" s="152" t="s">
        <v>3824</v>
      </c>
      <c r="C102" s="152"/>
      <c r="D102" s="152"/>
      <c r="E102" s="152"/>
      <c r="F102" s="152"/>
      <c r="G102" s="152"/>
      <c r="H102" s="147"/>
      <c r="I102" s="147"/>
      <c r="J102" s="147"/>
      <c r="K102" s="147"/>
      <c r="L102" s="147"/>
      <c r="M102" s="147"/>
      <c r="N102" s="129">
        <v>101.0</v>
      </c>
    </row>
    <row r="103">
      <c r="A103" s="148" t="s">
        <v>3825</v>
      </c>
      <c r="B103" s="149" t="s">
        <v>3826</v>
      </c>
      <c r="C103" s="149"/>
      <c r="D103" s="149"/>
      <c r="E103" s="149"/>
      <c r="F103" s="149"/>
      <c r="G103" s="149"/>
      <c r="H103" s="150"/>
      <c r="I103" s="150"/>
      <c r="J103" s="150"/>
      <c r="K103" s="150"/>
      <c r="L103" s="150"/>
      <c r="M103" s="150"/>
      <c r="N103" s="134">
        <v>102.0</v>
      </c>
    </row>
    <row r="104">
      <c r="A104" s="151" t="s">
        <v>3827</v>
      </c>
      <c r="B104" s="152" t="s">
        <v>3713</v>
      </c>
      <c r="C104" s="152"/>
      <c r="D104" s="152"/>
      <c r="E104" s="152"/>
      <c r="F104" s="152"/>
      <c r="G104" s="152"/>
      <c r="H104" s="147"/>
      <c r="I104" s="147"/>
      <c r="J104" s="147"/>
      <c r="K104" s="147"/>
      <c r="L104" s="147"/>
      <c r="M104" s="147"/>
      <c r="N104" s="129">
        <v>103.0</v>
      </c>
    </row>
    <row r="105">
      <c r="A105" s="148" t="s">
        <v>3828</v>
      </c>
      <c r="B105" s="149" t="s">
        <v>3733</v>
      </c>
      <c r="C105" s="149"/>
      <c r="D105" s="149"/>
      <c r="E105" s="149"/>
      <c r="F105" s="149"/>
      <c r="G105" s="149"/>
      <c r="H105" s="150"/>
      <c r="I105" s="150"/>
      <c r="J105" s="150"/>
      <c r="K105" s="150"/>
      <c r="L105" s="150"/>
      <c r="M105" s="150"/>
      <c r="N105" s="134">
        <v>104.0</v>
      </c>
    </row>
    <row r="106">
      <c r="A106" s="151" t="s">
        <v>3829</v>
      </c>
      <c r="B106" s="126" t="s">
        <v>3758</v>
      </c>
      <c r="C106" s="126"/>
      <c r="D106" s="152"/>
      <c r="E106" s="152"/>
      <c r="F106" s="152"/>
      <c r="G106" s="152"/>
      <c r="H106" s="147"/>
      <c r="I106" s="147"/>
      <c r="J106" s="147"/>
      <c r="K106" s="147"/>
      <c r="L106" s="147"/>
      <c r="M106" s="147"/>
      <c r="N106" s="129">
        <v>105.0</v>
      </c>
    </row>
    <row r="107">
      <c r="A107" s="148" t="s">
        <v>3830</v>
      </c>
      <c r="B107" s="149" t="s">
        <v>3625</v>
      </c>
      <c r="C107" s="149"/>
      <c r="D107" s="149"/>
      <c r="E107" s="149"/>
      <c r="F107" s="149"/>
      <c r="G107" s="149"/>
      <c r="H107" s="150"/>
      <c r="I107" s="150"/>
      <c r="J107" s="150"/>
      <c r="K107" s="150"/>
      <c r="L107" s="150"/>
      <c r="M107" s="150"/>
      <c r="N107" s="134">
        <v>106.0</v>
      </c>
    </row>
    <row r="108">
      <c r="A108" s="151" t="s">
        <v>3831</v>
      </c>
      <c r="B108" s="147" t="s">
        <v>3633</v>
      </c>
      <c r="C108" s="147"/>
      <c r="D108" s="152"/>
      <c r="E108" s="152"/>
      <c r="F108" s="152"/>
      <c r="G108" s="152"/>
      <c r="H108" s="147"/>
      <c r="I108" s="147"/>
      <c r="J108" s="147"/>
      <c r="K108" s="147"/>
      <c r="L108" s="147"/>
      <c r="M108" s="147"/>
      <c r="N108" s="129">
        <v>107.0</v>
      </c>
    </row>
    <row r="109">
      <c r="A109" s="148" t="s">
        <v>3832</v>
      </c>
      <c r="B109" s="149" t="s">
        <v>3833</v>
      </c>
      <c r="C109" s="149"/>
      <c r="D109" s="149"/>
      <c r="E109" s="149"/>
      <c r="F109" s="149"/>
      <c r="G109" s="149"/>
      <c r="H109" s="150"/>
      <c r="I109" s="150"/>
      <c r="J109" s="150"/>
      <c r="K109" s="150"/>
      <c r="L109" s="150"/>
      <c r="M109" s="150"/>
      <c r="N109" s="134">
        <v>108.0</v>
      </c>
    </row>
    <row r="110">
      <c r="A110" s="151" t="s">
        <v>3834</v>
      </c>
      <c r="B110" s="152" t="s">
        <v>3835</v>
      </c>
      <c r="C110" s="152"/>
      <c r="D110" s="152"/>
      <c r="E110" s="152"/>
      <c r="F110" s="152"/>
      <c r="G110" s="152"/>
      <c r="H110" s="147"/>
      <c r="I110" s="147"/>
      <c r="J110" s="147"/>
      <c r="K110" s="147"/>
      <c r="L110" s="147"/>
      <c r="M110" s="147"/>
      <c r="N110" s="129">
        <v>109.0</v>
      </c>
    </row>
    <row r="111">
      <c r="A111" s="148" t="s">
        <v>3836</v>
      </c>
      <c r="B111" s="149" t="s">
        <v>3837</v>
      </c>
      <c r="C111" s="149"/>
      <c r="D111" s="149"/>
      <c r="E111" s="149"/>
      <c r="F111" s="149"/>
      <c r="G111" s="149"/>
      <c r="H111" s="150"/>
      <c r="I111" s="150"/>
      <c r="J111" s="150"/>
      <c r="K111" s="150"/>
      <c r="L111" s="150"/>
      <c r="M111" s="150"/>
      <c r="N111" s="134">
        <v>110.0</v>
      </c>
    </row>
    <row r="112">
      <c r="A112" s="151" t="s">
        <v>3838</v>
      </c>
      <c r="B112" s="152" t="s">
        <v>3839</v>
      </c>
      <c r="C112" s="152"/>
      <c r="D112" s="152"/>
      <c r="E112" s="152"/>
      <c r="F112" s="152"/>
      <c r="G112" s="152"/>
      <c r="H112" s="147"/>
      <c r="I112" s="147"/>
      <c r="J112" s="147"/>
      <c r="K112" s="147"/>
      <c r="L112" s="147"/>
      <c r="M112" s="147"/>
      <c r="N112" s="129">
        <v>111.0</v>
      </c>
    </row>
    <row r="113">
      <c r="A113" s="148" t="s">
        <v>3840</v>
      </c>
      <c r="B113" s="149" t="s">
        <v>3713</v>
      </c>
      <c r="C113" s="149"/>
      <c r="D113" s="149"/>
      <c r="E113" s="149"/>
      <c r="F113" s="149"/>
      <c r="G113" s="149"/>
      <c r="H113" s="150"/>
      <c r="I113" s="150"/>
      <c r="J113" s="150"/>
      <c r="K113" s="150"/>
      <c r="L113" s="150"/>
      <c r="M113" s="150"/>
      <c r="N113" s="134">
        <v>112.0</v>
      </c>
    </row>
    <row r="114">
      <c r="A114" s="151" t="s">
        <v>3841</v>
      </c>
      <c r="B114" s="152" t="s">
        <v>3842</v>
      </c>
      <c r="C114" s="152"/>
      <c r="D114" s="152"/>
      <c r="E114" s="152"/>
      <c r="F114" s="152"/>
      <c r="G114" s="152"/>
      <c r="H114" s="147"/>
      <c r="I114" s="147"/>
      <c r="J114" s="147"/>
      <c r="K114" s="147"/>
      <c r="L114" s="147"/>
      <c r="M114" s="147"/>
      <c r="N114" s="129">
        <v>113.0</v>
      </c>
    </row>
    <row r="115">
      <c r="A115" s="148" t="s">
        <v>3843</v>
      </c>
      <c r="B115" s="149" t="s">
        <v>3678</v>
      </c>
      <c r="C115" s="149"/>
      <c r="D115" s="149"/>
      <c r="E115" s="149"/>
      <c r="F115" s="149"/>
      <c r="G115" s="149"/>
      <c r="H115" s="150"/>
      <c r="I115" s="150"/>
      <c r="J115" s="150"/>
      <c r="K115" s="150"/>
      <c r="L115" s="150"/>
      <c r="M115" s="150"/>
      <c r="N115" s="134">
        <v>114.0</v>
      </c>
    </row>
    <row r="116">
      <c r="A116" s="151" t="s">
        <v>3844</v>
      </c>
      <c r="B116" s="152" t="s">
        <v>3845</v>
      </c>
      <c r="C116" s="152"/>
      <c r="D116" s="152"/>
      <c r="E116" s="152"/>
      <c r="F116" s="152"/>
      <c r="G116" s="152"/>
      <c r="H116" s="147"/>
      <c r="I116" s="147"/>
      <c r="J116" s="147"/>
      <c r="K116" s="147"/>
      <c r="L116" s="147"/>
      <c r="M116" s="147"/>
      <c r="N116" s="129">
        <v>115.0</v>
      </c>
    </row>
    <row r="117">
      <c r="A117" s="148" t="s">
        <v>3846</v>
      </c>
      <c r="B117" s="149" t="s">
        <v>3847</v>
      </c>
      <c r="C117" s="149"/>
      <c r="D117" s="149"/>
      <c r="E117" s="149"/>
      <c r="F117" s="149"/>
      <c r="G117" s="149"/>
      <c r="H117" s="150"/>
      <c r="I117" s="150"/>
      <c r="J117" s="150"/>
      <c r="K117" s="150"/>
      <c r="L117" s="150"/>
      <c r="M117" s="150"/>
      <c r="N117" s="134">
        <v>116.0</v>
      </c>
    </row>
    <row r="118">
      <c r="A118" s="151" t="s">
        <v>3848</v>
      </c>
      <c r="B118" s="152" t="s">
        <v>3849</v>
      </c>
      <c r="C118" s="152"/>
      <c r="D118" s="152"/>
      <c r="E118" s="152"/>
      <c r="F118" s="152"/>
      <c r="G118" s="152"/>
      <c r="H118" s="147"/>
      <c r="I118" s="147"/>
      <c r="J118" s="147"/>
      <c r="K118" s="147"/>
      <c r="L118" s="147"/>
      <c r="M118" s="147"/>
      <c r="N118" s="129">
        <v>117.0</v>
      </c>
    </row>
    <row r="119">
      <c r="A119" s="148" t="s">
        <v>3850</v>
      </c>
      <c r="B119" s="149" t="s">
        <v>3851</v>
      </c>
      <c r="C119" s="149"/>
      <c r="D119" s="149"/>
      <c r="E119" s="149"/>
      <c r="F119" s="149"/>
      <c r="G119" s="149"/>
      <c r="H119" s="150"/>
      <c r="I119" s="150"/>
      <c r="J119" s="150"/>
      <c r="K119" s="150"/>
      <c r="L119" s="150"/>
      <c r="M119" s="150"/>
      <c r="N119" s="134">
        <v>118.0</v>
      </c>
    </row>
    <row r="120">
      <c r="A120" s="151" t="s">
        <v>3852</v>
      </c>
      <c r="B120" s="152" t="s">
        <v>3853</v>
      </c>
      <c r="C120" s="152"/>
      <c r="D120" s="152"/>
      <c r="E120" s="152"/>
      <c r="F120" s="152"/>
      <c r="G120" s="152"/>
      <c r="H120" s="147"/>
      <c r="I120" s="147"/>
      <c r="J120" s="147"/>
      <c r="K120" s="147"/>
      <c r="L120" s="147"/>
      <c r="M120" s="147"/>
      <c r="N120" s="129">
        <v>119.0</v>
      </c>
    </row>
    <row r="121">
      <c r="A121" s="148" t="s">
        <v>3854</v>
      </c>
      <c r="B121" s="149" t="s">
        <v>3855</v>
      </c>
      <c r="C121" s="149"/>
      <c r="D121" s="149"/>
      <c r="E121" s="149"/>
      <c r="F121" s="149"/>
      <c r="G121" s="149"/>
      <c r="H121" s="150"/>
      <c r="I121" s="150"/>
      <c r="J121" s="150"/>
      <c r="K121" s="150"/>
      <c r="L121" s="150"/>
      <c r="M121" s="150"/>
      <c r="N121" s="134">
        <v>120.0</v>
      </c>
    </row>
    <row r="122">
      <c r="A122" s="151" t="s">
        <v>3856</v>
      </c>
      <c r="B122" s="152" t="s">
        <v>3657</v>
      </c>
      <c r="C122" s="152"/>
      <c r="D122" s="152"/>
      <c r="E122" s="152"/>
      <c r="F122" s="152"/>
      <c r="G122" s="152"/>
      <c r="H122" s="147"/>
      <c r="I122" s="147"/>
      <c r="J122" s="147"/>
      <c r="K122" s="147"/>
      <c r="L122" s="147"/>
      <c r="M122" s="147"/>
      <c r="N122" s="129">
        <v>121.0</v>
      </c>
    </row>
    <row r="123">
      <c r="A123" s="148" t="s">
        <v>3857</v>
      </c>
      <c r="B123" s="149" t="s">
        <v>3858</v>
      </c>
      <c r="C123" s="149"/>
      <c r="D123" s="149"/>
      <c r="E123" s="149"/>
      <c r="F123" s="149"/>
      <c r="G123" s="149"/>
      <c r="H123" s="150"/>
      <c r="I123" s="150"/>
      <c r="J123" s="150"/>
      <c r="K123" s="150"/>
      <c r="L123" s="150"/>
      <c r="M123" s="150"/>
      <c r="N123" s="134">
        <v>122.0</v>
      </c>
    </row>
    <row r="124">
      <c r="A124" s="151" t="s">
        <v>3859</v>
      </c>
      <c r="B124" s="152" t="s">
        <v>3860</v>
      </c>
      <c r="C124" s="152"/>
      <c r="D124" s="152"/>
      <c r="E124" s="152"/>
      <c r="F124" s="152"/>
      <c r="G124" s="152"/>
      <c r="H124" s="147"/>
      <c r="I124" s="147"/>
      <c r="J124" s="147"/>
      <c r="K124" s="147"/>
      <c r="L124" s="147"/>
      <c r="M124" s="147"/>
      <c r="N124" s="129">
        <v>123.0</v>
      </c>
    </row>
    <row r="125">
      <c r="A125" s="148" t="s">
        <v>3861</v>
      </c>
      <c r="B125" s="149" t="s">
        <v>3851</v>
      </c>
      <c r="C125" s="149"/>
      <c r="D125" s="149"/>
      <c r="E125" s="149"/>
      <c r="F125" s="149"/>
      <c r="G125" s="149"/>
      <c r="H125" s="150"/>
      <c r="I125" s="150"/>
      <c r="J125" s="150"/>
      <c r="K125" s="150"/>
      <c r="L125" s="150"/>
      <c r="M125" s="150"/>
      <c r="N125" s="134">
        <v>124.0</v>
      </c>
    </row>
    <row r="126">
      <c r="A126" s="151" t="s">
        <v>3862</v>
      </c>
      <c r="B126" s="152" t="s">
        <v>3853</v>
      </c>
      <c r="C126" s="152"/>
      <c r="D126" s="152"/>
      <c r="E126" s="152"/>
      <c r="F126" s="152"/>
      <c r="G126" s="152"/>
      <c r="H126" s="147"/>
      <c r="I126" s="147"/>
      <c r="J126" s="147"/>
      <c r="K126" s="147"/>
      <c r="L126" s="147"/>
      <c r="M126" s="147"/>
      <c r="N126" s="129">
        <v>125.0</v>
      </c>
    </row>
    <row r="127">
      <c r="A127" s="148" t="s">
        <v>3863</v>
      </c>
      <c r="B127" s="149" t="s">
        <v>3855</v>
      </c>
      <c r="C127" s="149"/>
      <c r="D127" s="149"/>
      <c r="E127" s="149"/>
      <c r="F127" s="149"/>
      <c r="G127" s="149"/>
      <c r="H127" s="150"/>
      <c r="I127" s="150"/>
      <c r="J127" s="150"/>
      <c r="K127" s="150"/>
      <c r="L127" s="150"/>
      <c r="M127" s="150"/>
      <c r="N127" s="134">
        <v>126.0</v>
      </c>
    </row>
    <row r="128">
      <c r="A128" s="151" t="s">
        <v>3864</v>
      </c>
      <c r="B128" s="152" t="s">
        <v>3649</v>
      </c>
      <c r="C128" s="152"/>
      <c r="D128" s="152"/>
      <c r="E128" s="152"/>
      <c r="F128" s="152"/>
      <c r="G128" s="152"/>
      <c r="H128" s="147"/>
      <c r="I128" s="147"/>
      <c r="J128" s="147"/>
      <c r="K128" s="147"/>
      <c r="L128" s="147"/>
      <c r="M128" s="147"/>
      <c r="N128" s="129">
        <v>127.0</v>
      </c>
    </row>
    <row r="129">
      <c r="A129" s="148" t="s">
        <v>3865</v>
      </c>
      <c r="B129" s="149" t="s">
        <v>3866</v>
      </c>
      <c r="C129" s="149"/>
      <c r="D129" s="149"/>
      <c r="E129" s="149"/>
      <c r="F129" s="149"/>
      <c r="G129" s="149"/>
      <c r="H129" s="150"/>
      <c r="I129" s="150"/>
      <c r="J129" s="150"/>
      <c r="K129" s="150"/>
      <c r="L129" s="150"/>
      <c r="M129" s="150"/>
      <c r="N129" s="134">
        <v>128.0</v>
      </c>
    </row>
    <row r="130">
      <c r="A130" s="151" t="s">
        <v>3867</v>
      </c>
      <c r="B130" s="152" t="s">
        <v>3868</v>
      </c>
      <c r="C130" s="152"/>
      <c r="D130" s="152"/>
      <c r="E130" s="152"/>
      <c r="F130" s="152"/>
      <c r="G130" s="152"/>
      <c r="H130" s="147"/>
      <c r="I130" s="147"/>
      <c r="J130" s="147"/>
      <c r="K130" s="147"/>
      <c r="L130" s="147"/>
      <c r="M130" s="147"/>
      <c r="N130" s="129">
        <v>129.0</v>
      </c>
    </row>
    <row r="131">
      <c r="A131" s="148" t="s">
        <v>3869</v>
      </c>
      <c r="B131" s="149" t="s">
        <v>3641</v>
      </c>
      <c r="C131" s="149"/>
      <c r="D131" s="149"/>
      <c r="E131" s="149"/>
      <c r="F131" s="149"/>
      <c r="G131" s="149"/>
      <c r="H131" s="150"/>
      <c r="I131" s="150"/>
      <c r="J131" s="150"/>
      <c r="K131" s="150"/>
      <c r="L131" s="150"/>
      <c r="M131" s="150"/>
      <c r="N131" s="134">
        <v>130.0</v>
      </c>
    </row>
    <row r="132">
      <c r="A132" s="151" t="s">
        <v>3870</v>
      </c>
      <c r="B132" s="152" t="s">
        <v>3871</v>
      </c>
      <c r="C132" s="152"/>
      <c r="D132" s="152"/>
      <c r="E132" s="152"/>
      <c r="F132" s="152"/>
      <c r="G132" s="152"/>
      <c r="H132" s="147"/>
      <c r="I132" s="147"/>
      <c r="J132" s="147"/>
      <c r="K132" s="147"/>
      <c r="L132" s="147"/>
      <c r="M132" s="147"/>
      <c r="N132" s="129">
        <v>131.0</v>
      </c>
    </row>
    <row r="133">
      <c r="A133" s="148" t="s">
        <v>3872</v>
      </c>
      <c r="B133" s="131" t="s">
        <v>3733</v>
      </c>
      <c r="C133" s="131"/>
      <c r="D133" s="149"/>
      <c r="E133" s="149"/>
      <c r="F133" s="149"/>
      <c r="G133" s="149"/>
      <c r="H133" s="150"/>
      <c r="I133" s="150"/>
      <c r="J133" s="150"/>
      <c r="K133" s="150"/>
      <c r="L133" s="150"/>
      <c r="M133" s="150"/>
      <c r="N133" s="134">
        <v>132.0</v>
      </c>
    </row>
    <row r="134">
      <c r="A134" s="151" t="s">
        <v>3873</v>
      </c>
      <c r="B134" s="152" t="s">
        <v>3621</v>
      </c>
      <c r="C134" s="152"/>
      <c r="D134" s="152"/>
      <c r="E134" s="152"/>
      <c r="F134" s="152"/>
      <c r="G134" s="152"/>
      <c r="H134" s="147"/>
      <c r="I134" s="147"/>
      <c r="J134" s="147"/>
      <c r="K134" s="147"/>
      <c r="L134" s="147"/>
      <c r="M134" s="147"/>
      <c r="N134" s="129">
        <v>133.0</v>
      </c>
    </row>
    <row r="135">
      <c r="A135" s="148" t="s">
        <v>3874</v>
      </c>
      <c r="B135" s="149" t="s">
        <v>3875</v>
      </c>
      <c r="C135" s="149"/>
      <c r="D135" s="149"/>
      <c r="E135" s="149"/>
      <c r="F135" s="149"/>
      <c r="G135" s="149"/>
      <c r="H135" s="150"/>
      <c r="I135" s="150"/>
      <c r="J135" s="150"/>
      <c r="K135" s="150"/>
      <c r="L135" s="150"/>
      <c r="M135" s="150"/>
      <c r="N135" s="134">
        <v>134.0</v>
      </c>
    </row>
    <row r="136">
      <c r="A136" s="151" t="s">
        <v>3876</v>
      </c>
      <c r="B136" s="152" t="s">
        <v>3877</v>
      </c>
      <c r="C136" s="152"/>
      <c r="D136" s="152"/>
      <c r="E136" s="152"/>
      <c r="F136" s="152"/>
      <c r="G136" s="152"/>
      <c r="H136" s="147"/>
      <c r="I136" s="147"/>
      <c r="J136" s="147"/>
      <c r="K136" s="147"/>
      <c r="L136" s="147"/>
      <c r="M136" s="147"/>
      <c r="N136" s="129">
        <v>135.0</v>
      </c>
    </row>
    <row r="137">
      <c r="A137" s="148" t="s">
        <v>3878</v>
      </c>
      <c r="B137" s="149" t="s">
        <v>3879</v>
      </c>
      <c r="C137" s="149"/>
      <c r="D137" s="149"/>
      <c r="E137" s="149"/>
      <c r="F137" s="149"/>
      <c r="G137" s="149"/>
      <c r="H137" s="150"/>
      <c r="I137" s="150"/>
      <c r="J137" s="150"/>
      <c r="K137" s="150"/>
      <c r="L137" s="150"/>
      <c r="M137" s="150"/>
      <c r="N137" s="134">
        <v>136.0</v>
      </c>
    </row>
    <row r="138">
      <c r="A138" s="151" t="s">
        <v>3880</v>
      </c>
      <c r="B138" s="152" t="s">
        <v>3881</v>
      </c>
      <c r="C138" s="152"/>
      <c r="D138" s="152"/>
      <c r="E138" s="152"/>
      <c r="F138" s="152"/>
      <c r="G138" s="152"/>
      <c r="H138" s="147"/>
      <c r="I138" s="147"/>
      <c r="J138" s="147"/>
      <c r="K138" s="147"/>
      <c r="L138" s="147"/>
      <c r="M138" s="147"/>
      <c r="N138" s="129">
        <v>137.0</v>
      </c>
    </row>
    <row r="139">
      <c r="A139" s="148" t="s">
        <v>3882</v>
      </c>
      <c r="B139" s="153" t="s">
        <v>3883</v>
      </c>
      <c r="C139" s="131" t="s">
        <v>3884</v>
      </c>
      <c r="D139" s="131" t="s">
        <v>3885</v>
      </c>
      <c r="E139" s="149"/>
      <c r="F139" s="131" t="s">
        <v>3886</v>
      </c>
      <c r="G139" s="153" t="s">
        <v>3503</v>
      </c>
      <c r="H139" s="132" t="s">
        <v>3887</v>
      </c>
      <c r="I139" s="154" t="s">
        <v>2624</v>
      </c>
      <c r="J139" s="132"/>
      <c r="K139" s="132"/>
      <c r="L139" s="133"/>
      <c r="M139" s="133"/>
      <c r="N139" s="134">
        <v>138.0</v>
      </c>
    </row>
    <row r="140">
      <c r="A140" s="151" t="s">
        <v>3888</v>
      </c>
      <c r="B140" s="155" t="s">
        <v>1954</v>
      </c>
      <c r="C140" s="127" t="s">
        <v>3884</v>
      </c>
      <c r="D140" s="127" t="s">
        <v>3885</v>
      </c>
      <c r="E140" s="147"/>
      <c r="F140" s="127" t="s">
        <v>3889</v>
      </c>
      <c r="G140" s="155" t="s">
        <v>3499</v>
      </c>
      <c r="H140" s="127" t="s">
        <v>3890</v>
      </c>
      <c r="I140" s="155" t="s">
        <v>2628</v>
      </c>
      <c r="J140" s="127"/>
      <c r="K140" s="127"/>
      <c r="L140" s="128"/>
      <c r="M140" s="128"/>
      <c r="N140" s="129">
        <v>139.0</v>
      </c>
    </row>
    <row r="141">
      <c r="A141" s="148" t="s">
        <v>3891</v>
      </c>
      <c r="B141" s="154" t="s">
        <v>1958</v>
      </c>
      <c r="C141" s="132" t="s">
        <v>3884</v>
      </c>
      <c r="D141" s="132" t="s">
        <v>3626</v>
      </c>
      <c r="E141" s="150"/>
      <c r="F141" s="132" t="s">
        <v>3892</v>
      </c>
      <c r="G141" s="154" t="s">
        <v>3893</v>
      </c>
      <c r="H141" s="132" t="s">
        <v>3894</v>
      </c>
      <c r="I141" s="154" t="s">
        <v>2614</v>
      </c>
      <c r="J141" s="132"/>
      <c r="K141" s="132"/>
      <c r="L141" s="133"/>
      <c r="M141" s="133"/>
      <c r="N141" s="134">
        <v>140.0</v>
      </c>
    </row>
    <row r="142">
      <c r="A142" s="151" t="s">
        <v>3895</v>
      </c>
      <c r="B142" s="155" t="s">
        <v>1963</v>
      </c>
      <c r="C142" s="127" t="s">
        <v>3884</v>
      </c>
      <c r="D142" s="127" t="s">
        <v>3626</v>
      </c>
      <c r="E142" s="147"/>
      <c r="F142" s="127" t="s">
        <v>3896</v>
      </c>
      <c r="G142" s="155" t="s">
        <v>3897</v>
      </c>
      <c r="H142" s="127" t="s">
        <v>3898</v>
      </c>
      <c r="I142" s="155" t="s">
        <v>2614</v>
      </c>
      <c r="J142" s="127"/>
      <c r="K142" s="127"/>
      <c r="L142" s="128"/>
      <c r="M142" s="128"/>
      <c r="N142" s="129">
        <v>141.0</v>
      </c>
    </row>
    <row r="143">
      <c r="A143" s="148" t="s">
        <v>3899</v>
      </c>
      <c r="B143" s="154" t="s">
        <v>1968</v>
      </c>
      <c r="C143" s="132" t="s">
        <v>3884</v>
      </c>
      <c r="D143" s="132" t="s">
        <v>3626</v>
      </c>
      <c r="E143" s="150"/>
      <c r="F143" s="132" t="s">
        <v>3900</v>
      </c>
      <c r="G143" s="154" t="s">
        <v>3901</v>
      </c>
      <c r="H143" s="132" t="s">
        <v>3902</v>
      </c>
      <c r="I143" s="154" t="s">
        <v>2614</v>
      </c>
      <c r="J143" s="132"/>
      <c r="K143" s="132"/>
      <c r="L143" s="133"/>
      <c r="M143" s="133"/>
      <c r="N143" s="134">
        <v>142.0</v>
      </c>
    </row>
    <row r="144">
      <c r="A144" s="151" t="s">
        <v>3903</v>
      </c>
      <c r="B144" s="155" t="s">
        <v>3904</v>
      </c>
      <c r="C144" s="127" t="s">
        <v>3884</v>
      </c>
      <c r="D144" s="127" t="s">
        <v>3885</v>
      </c>
      <c r="E144" s="147"/>
      <c r="F144" s="127" t="s">
        <v>3905</v>
      </c>
      <c r="G144" s="155" t="s">
        <v>3906</v>
      </c>
      <c r="H144" s="127" t="s">
        <v>3907</v>
      </c>
      <c r="I144" s="155" t="s">
        <v>2634</v>
      </c>
      <c r="J144" s="127"/>
      <c r="K144" s="127"/>
      <c r="L144" s="128"/>
      <c r="M144" s="128"/>
      <c r="N144" s="129">
        <v>143.0</v>
      </c>
    </row>
    <row r="145">
      <c r="A145" s="148" t="s">
        <v>3908</v>
      </c>
      <c r="B145" s="154" t="s">
        <v>1971</v>
      </c>
      <c r="C145" s="132" t="s">
        <v>3884</v>
      </c>
      <c r="D145" s="132" t="s">
        <v>3626</v>
      </c>
      <c r="E145" s="150"/>
      <c r="F145" s="132" t="s">
        <v>3909</v>
      </c>
      <c r="G145" s="154" t="s">
        <v>3910</v>
      </c>
      <c r="H145" s="132" t="s">
        <v>3911</v>
      </c>
      <c r="I145" s="154" t="s">
        <v>2614</v>
      </c>
      <c r="J145" s="132"/>
      <c r="K145" s="132"/>
      <c r="L145" s="133"/>
      <c r="M145" s="133"/>
      <c r="N145" s="134">
        <v>144.0</v>
      </c>
    </row>
    <row r="146">
      <c r="A146" s="151" t="s">
        <v>3912</v>
      </c>
      <c r="B146" s="155" t="s">
        <v>1976</v>
      </c>
      <c r="C146" s="127" t="s">
        <v>3884</v>
      </c>
      <c r="D146" s="127" t="s">
        <v>3626</v>
      </c>
      <c r="E146" s="147"/>
      <c r="F146" s="127" t="s">
        <v>3913</v>
      </c>
      <c r="G146" s="155" t="s">
        <v>3914</v>
      </c>
      <c r="H146" s="127" t="s">
        <v>3915</v>
      </c>
      <c r="I146" s="155" t="s">
        <v>2614</v>
      </c>
      <c r="J146" s="127"/>
      <c r="K146" s="127"/>
      <c r="L146" s="128"/>
      <c r="M146" s="128"/>
      <c r="N146" s="129">
        <v>145.0</v>
      </c>
    </row>
    <row r="147">
      <c r="A147" s="148" t="s">
        <v>3916</v>
      </c>
      <c r="B147" s="154" t="s">
        <v>1981</v>
      </c>
      <c r="C147" s="132" t="s">
        <v>3884</v>
      </c>
      <c r="D147" s="132" t="s">
        <v>3626</v>
      </c>
      <c r="E147" s="150"/>
      <c r="F147" s="132" t="s">
        <v>3917</v>
      </c>
      <c r="G147" s="154" t="s">
        <v>3918</v>
      </c>
      <c r="H147" s="132" t="s">
        <v>3919</v>
      </c>
      <c r="I147" s="154" t="s">
        <v>2614</v>
      </c>
      <c r="J147" s="132"/>
      <c r="K147" s="132"/>
      <c r="L147" s="133"/>
      <c r="M147" s="133"/>
      <c r="N147" s="134">
        <v>146.0</v>
      </c>
    </row>
    <row r="148">
      <c r="A148" s="151" t="s">
        <v>3920</v>
      </c>
      <c r="B148" s="155" t="s">
        <v>1982</v>
      </c>
      <c r="C148" s="127" t="s">
        <v>3884</v>
      </c>
      <c r="D148" s="127" t="s">
        <v>3626</v>
      </c>
      <c r="E148" s="147"/>
      <c r="F148" s="127" t="s">
        <v>3921</v>
      </c>
      <c r="G148" s="155" t="s">
        <v>3922</v>
      </c>
      <c r="H148" s="127" t="s">
        <v>3923</v>
      </c>
      <c r="I148" s="155" t="s">
        <v>2614</v>
      </c>
      <c r="J148" s="127"/>
      <c r="K148" s="127"/>
      <c r="L148" s="128"/>
      <c r="M148" s="128"/>
      <c r="N148" s="129">
        <v>147.0</v>
      </c>
    </row>
    <row r="149">
      <c r="A149" s="148" t="s">
        <v>3924</v>
      </c>
      <c r="B149" s="154" t="s">
        <v>1984</v>
      </c>
      <c r="C149" s="132" t="s">
        <v>3884</v>
      </c>
      <c r="D149" s="132" t="s">
        <v>3626</v>
      </c>
      <c r="E149" s="150"/>
      <c r="F149" s="132" t="s">
        <v>3925</v>
      </c>
      <c r="G149" s="154" t="s">
        <v>3926</v>
      </c>
      <c r="H149" s="132" t="s">
        <v>3927</v>
      </c>
      <c r="I149" s="154" t="s">
        <v>2614</v>
      </c>
      <c r="J149" s="132"/>
      <c r="K149" s="132"/>
      <c r="L149" s="133"/>
      <c r="M149" s="133"/>
      <c r="N149" s="134">
        <v>148.0</v>
      </c>
    </row>
    <row r="150">
      <c r="A150" s="151" t="s">
        <v>3928</v>
      </c>
      <c r="B150" s="155" t="s">
        <v>1987</v>
      </c>
      <c r="C150" s="127" t="s">
        <v>3884</v>
      </c>
      <c r="D150" s="127" t="s">
        <v>3626</v>
      </c>
      <c r="E150" s="147"/>
      <c r="F150" s="127" t="s">
        <v>3929</v>
      </c>
      <c r="G150" s="155" t="s">
        <v>3930</v>
      </c>
      <c r="H150" s="127" t="s">
        <v>3931</v>
      </c>
      <c r="I150" s="155" t="s">
        <v>2614</v>
      </c>
      <c r="J150" s="127"/>
      <c r="K150" s="127"/>
      <c r="L150" s="128"/>
      <c r="M150" s="128"/>
      <c r="N150" s="129">
        <v>149.0</v>
      </c>
    </row>
    <row r="151">
      <c r="A151" s="148" t="s">
        <v>3932</v>
      </c>
      <c r="B151" s="154" t="s">
        <v>1991</v>
      </c>
      <c r="C151" s="132" t="s">
        <v>3884</v>
      </c>
      <c r="D151" s="132" t="s">
        <v>3626</v>
      </c>
      <c r="E151" s="150"/>
      <c r="F151" s="132" t="s">
        <v>3933</v>
      </c>
      <c r="G151" s="154" t="s">
        <v>3934</v>
      </c>
      <c r="H151" s="132" t="s">
        <v>3935</v>
      </c>
      <c r="I151" s="154" t="s">
        <v>2614</v>
      </c>
      <c r="J151" s="132"/>
      <c r="K151" s="132"/>
      <c r="L151" s="133"/>
      <c r="M151" s="133"/>
      <c r="N151" s="134">
        <v>150.0</v>
      </c>
    </row>
    <row r="152">
      <c r="A152" s="151" t="s">
        <v>3936</v>
      </c>
      <c r="B152" s="155" t="s">
        <v>1994</v>
      </c>
      <c r="C152" s="127" t="s">
        <v>3937</v>
      </c>
      <c r="D152" s="127" t="s">
        <v>3938</v>
      </c>
      <c r="E152" s="155" t="s">
        <v>1949</v>
      </c>
      <c r="F152" s="156" t="s">
        <v>3939</v>
      </c>
      <c r="G152" s="155" t="s">
        <v>3503</v>
      </c>
      <c r="H152" s="127" t="s">
        <v>3940</v>
      </c>
      <c r="I152" s="147"/>
      <c r="J152" s="147"/>
      <c r="K152" s="147"/>
      <c r="L152" s="147"/>
      <c r="M152" s="147"/>
      <c r="N152" s="129">
        <v>151.0</v>
      </c>
    </row>
    <row r="153">
      <c r="A153" s="148" t="s">
        <v>3941</v>
      </c>
      <c r="B153" s="131" t="s">
        <v>3942</v>
      </c>
      <c r="C153" s="132" t="s">
        <v>3884</v>
      </c>
      <c r="D153" s="132" t="s">
        <v>3626</v>
      </c>
      <c r="E153" s="150"/>
      <c r="F153" s="132" t="s">
        <v>3943</v>
      </c>
      <c r="G153" s="154" t="s">
        <v>3503</v>
      </c>
      <c r="H153" s="132" t="s">
        <v>3944</v>
      </c>
      <c r="I153" s="154" t="s">
        <v>2614</v>
      </c>
      <c r="J153" s="150"/>
      <c r="K153" s="150"/>
      <c r="L153" s="150"/>
      <c r="M153" s="150"/>
      <c r="N153" s="134">
        <v>152.0</v>
      </c>
    </row>
    <row r="154">
      <c r="A154" s="151" t="s">
        <v>3945</v>
      </c>
      <c r="B154" s="155" t="s">
        <v>3904</v>
      </c>
      <c r="C154" s="127" t="s">
        <v>3884</v>
      </c>
      <c r="D154" s="127" t="s">
        <v>3626</v>
      </c>
      <c r="E154" s="147"/>
      <c r="F154" s="127" t="s">
        <v>3946</v>
      </c>
      <c r="G154" s="155" t="s">
        <v>3503</v>
      </c>
      <c r="H154" s="127" t="s">
        <v>3947</v>
      </c>
      <c r="I154" s="155" t="s">
        <v>2638</v>
      </c>
      <c r="J154" s="147"/>
      <c r="K154" s="147"/>
      <c r="L154" s="147"/>
      <c r="M154" s="147"/>
      <c r="N154" s="129">
        <v>153.0</v>
      </c>
    </row>
    <row r="155">
      <c r="A155" s="148" t="s">
        <v>3948</v>
      </c>
      <c r="B155" s="154" t="s">
        <v>2000</v>
      </c>
      <c r="C155" s="132" t="s">
        <v>3884</v>
      </c>
      <c r="D155" s="132" t="s">
        <v>3885</v>
      </c>
      <c r="E155" s="150"/>
      <c r="F155" s="132" t="s">
        <v>3949</v>
      </c>
      <c r="G155" s="154" t="s">
        <v>3503</v>
      </c>
      <c r="H155" s="132" t="s">
        <v>3950</v>
      </c>
      <c r="I155" s="154" t="s">
        <v>2632</v>
      </c>
      <c r="J155" s="150"/>
      <c r="K155" s="150"/>
      <c r="L155" s="150"/>
      <c r="M155" s="150"/>
      <c r="N155" s="134">
        <v>154.0</v>
      </c>
    </row>
    <row r="156">
      <c r="A156" s="151" t="s">
        <v>3951</v>
      </c>
      <c r="B156" s="155" t="s">
        <v>3952</v>
      </c>
      <c r="C156" s="127" t="s">
        <v>3884</v>
      </c>
      <c r="D156" s="127" t="s">
        <v>3626</v>
      </c>
      <c r="E156" s="147"/>
      <c r="F156" s="147"/>
      <c r="G156" s="155" t="s">
        <v>3503</v>
      </c>
      <c r="H156" s="127" t="s">
        <v>3953</v>
      </c>
      <c r="I156" s="155" t="s">
        <v>3232</v>
      </c>
      <c r="J156" s="147"/>
      <c r="K156" s="147"/>
      <c r="L156" s="147"/>
      <c r="M156" s="147"/>
      <c r="N156" s="129">
        <v>155.0</v>
      </c>
    </row>
    <row r="157">
      <c r="A157" s="148" t="s">
        <v>3954</v>
      </c>
      <c r="B157" s="154" t="s">
        <v>2005</v>
      </c>
      <c r="C157" s="132" t="s">
        <v>3884</v>
      </c>
      <c r="D157" s="132" t="s">
        <v>3885</v>
      </c>
      <c r="E157" s="150"/>
      <c r="F157" s="132" t="s">
        <v>3955</v>
      </c>
      <c r="G157" s="154" t="s">
        <v>3503</v>
      </c>
      <c r="H157" s="132" t="s">
        <v>3956</v>
      </c>
      <c r="I157" s="154" t="s">
        <v>2604</v>
      </c>
      <c r="J157" s="150"/>
      <c r="K157" s="150"/>
      <c r="L157" s="150"/>
      <c r="M157" s="150"/>
      <c r="N157" s="134">
        <v>156.0</v>
      </c>
    </row>
    <row r="158">
      <c r="A158" s="151" t="s">
        <v>3957</v>
      </c>
      <c r="B158" s="155" t="s">
        <v>2009</v>
      </c>
      <c r="C158" s="127" t="s">
        <v>3884</v>
      </c>
      <c r="D158" s="127" t="s">
        <v>3626</v>
      </c>
      <c r="E158" s="147"/>
      <c r="F158" s="127" t="s">
        <v>3958</v>
      </c>
      <c r="G158" s="155" t="s">
        <v>3499</v>
      </c>
      <c r="H158" s="127" t="s">
        <v>3959</v>
      </c>
      <c r="I158" s="155" t="s">
        <v>2618</v>
      </c>
      <c r="J158" s="147"/>
      <c r="K158" s="147"/>
      <c r="L158" s="147"/>
      <c r="M158" s="147"/>
      <c r="N158" s="129">
        <v>157.0</v>
      </c>
    </row>
    <row r="159">
      <c r="A159" s="148" t="s">
        <v>3960</v>
      </c>
      <c r="B159" s="154" t="s">
        <v>2014</v>
      </c>
      <c r="C159" s="132" t="s">
        <v>3884</v>
      </c>
      <c r="D159" s="132" t="s">
        <v>3885</v>
      </c>
      <c r="E159" s="150"/>
      <c r="F159" s="132" t="s">
        <v>3961</v>
      </c>
      <c r="G159" s="154" t="s">
        <v>3893</v>
      </c>
      <c r="H159" s="132" t="s">
        <v>3962</v>
      </c>
      <c r="I159" s="154" t="s">
        <v>2604</v>
      </c>
      <c r="J159" s="150"/>
      <c r="K159" s="150"/>
      <c r="L159" s="150"/>
      <c r="M159" s="150"/>
      <c r="N159" s="134">
        <v>158.0</v>
      </c>
    </row>
    <row r="160">
      <c r="A160" s="151" t="s">
        <v>3963</v>
      </c>
      <c r="B160" s="155" t="s">
        <v>3904</v>
      </c>
      <c r="C160" s="127" t="s">
        <v>3884</v>
      </c>
      <c r="D160" s="127" t="s">
        <v>3885</v>
      </c>
      <c r="E160" s="147"/>
      <c r="F160" s="127" t="s">
        <v>3964</v>
      </c>
      <c r="G160" s="155" t="s">
        <v>3897</v>
      </c>
      <c r="H160" s="127" t="s">
        <v>3965</v>
      </c>
      <c r="I160" s="155" t="s">
        <v>2634</v>
      </c>
      <c r="J160" s="147"/>
      <c r="K160" s="147"/>
      <c r="L160" s="147"/>
      <c r="M160" s="147"/>
      <c r="N160" s="129">
        <v>159.0</v>
      </c>
    </row>
    <row r="161">
      <c r="A161" s="148" t="s">
        <v>3966</v>
      </c>
      <c r="B161" s="154" t="s">
        <v>3967</v>
      </c>
      <c r="C161" s="132" t="s">
        <v>3884</v>
      </c>
      <c r="D161" s="132" t="s">
        <v>3885</v>
      </c>
      <c r="E161" s="150"/>
      <c r="F161" s="132" t="s">
        <v>3968</v>
      </c>
      <c r="G161" s="154" t="s">
        <v>3901</v>
      </c>
      <c r="H161" s="132" t="s">
        <v>3969</v>
      </c>
      <c r="I161" s="154" t="s">
        <v>2634</v>
      </c>
      <c r="J161" s="150"/>
      <c r="K161" s="150"/>
      <c r="L161" s="150"/>
      <c r="M161" s="150"/>
      <c r="N161" s="134">
        <v>160.0</v>
      </c>
    </row>
    <row r="162">
      <c r="A162" s="151" t="s">
        <v>3970</v>
      </c>
      <c r="B162" s="155" t="s">
        <v>2018</v>
      </c>
      <c r="C162" s="127" t="s">
        <v>3884</v>
      </c>
      <c r="D162" s="127" t="s">
        <v>3626</v>
      </c>
      <c r="E162" s="127"/>
      <c r="F162" s="127" t="s">
        <v>3971</v>
      </c>
      <c r="G162" s="155" t="s">
        <v>3906</v>
      </c>
      <c r="H162" s="127" t="s">
        <v>3972</v>
      </c>
      <c r="I162" s="155" t="s">
        <v>2616</v>
      </c>
      <c r="J162" s="147"/>
      <c r="K162" s="147"/>
      <c r="L162" s="147"/>
      <c r="M162" s="147"/>
      <c r="N162" s="129">
        <v>161.0</v>
      </c>
    </row>
    <row r="163">
      <c r="A163" s="148" t="s">
        <v>3973</v>
      </c>
      <c r="B163" s="154" t="s">
        <v>2023</v>
      </c>
      <c r="C163" s="132" t="s">
        <v>3884</v>
      </c>
      <c r="D163" s="132" t="s">
        <v>3938</v>
      </c>
      <c r="E163" s="154" t="s">
        <v>3974</v>
      </c>
      <c r="F163" s="132" t="s">
        <v>3975</v>
      </c>
      <c r="G163" s="154" t="s">
        <v>3503</v>
      </c>
      <c r="H163" s="132" t="s">
        <v>3976</v>
      </c>
      <c r="I163" s="150"/>
      <c r="J163" s="150"/>
      <c r="K163" s="150"/>
      <c r="L163" s="150"/>
      <c r="M163" s="150"/>
      <c r="N163" s="134">
        <v>162.0</v>
      </c>
    </row>
    <row r="164">
      <c r="A164" s="151" t="s">
        <v>3977</v>
      </c>
      <c r="B164" s="155" t="s">
        <v>2028</v>
      </c>
      <c r="C164" s="127" t="s">
        <v>3884</v>
      </c>
      <c r="D164" s="127" t="s">
        <v>3938</v>
      </c>
      <c r="E164" s="155" t="s">
        <v>3974</v>
      </c>
      <c r="F164" s="127" t="s">
        <v>3978</v>
      </c>
      <c r="G164" s="155" t="s">
        <v>3499</v>
      </c>
      <c r="H164" s="127" t="s">
        <v>3979</v>
      </c>
      <c r="I164" s="147"/>
      <c r="J164" s="147"/>
      <c r="K164" s="147"/>
      <c r="L164" s="147"/>
      <c r="M164" s="147"/>
      <c r="N164" s="129">
        <v>163.0</v>
      </c>
    </row>
    <row r="165">
      <c r="A165" s="148" t="s">
        <v>3980</v>
      </c>
      <c r="B165" s="154" t="s">
        <v>2032</v>
      </c>
      <c r="C165" s="132" t="s">
        <v>3884</v>
      </c>
      <c r="D165" s="132" t="s">
        <v>3938</v>
      </c>
      <c r="E165" s="154" t="s">
        <v>3974</v>
      </c>
      <c r="F165" s="132" t="s">
        <v>3981</v>
      </c>
      <c r="G165" s="154" t="s">
        <v>3893</v>
      </c>
      <c r="H165" s="132" t="s">
        <v>3982</v>
      </c>
      <c r="I165" s="150"/>
      <c r="J165" s="150"/>
      <c r="K165" s="150"/>
      <c r="L165" s="150"/>
      <c r="M165" s="150"/>
      <c r="N165" s="134">
        <v>164.0</v>
      </c>
    </row>
    <row r="166">
      <c r="A166" s="151" t="s">
        <v>3983</v>
      </c>
      <c r="B166" s="155" t="s">
        <v>2036</v>
      </c>
      <c r="C166" s="127" t="s">
        <v>3884</v>
      </c>
      <c r="D166" s="127" t="s">
        <v>3938</v>
      </c>
      <c r="E166" s="155" t="s">
        <v>3974</v>
      </c>
      <c r="F166" s="127" t="s">
        <v>3984</v>
      </c>
      <c r="G166" s="155" t="s">
        <v>3897</v>
      </c>
      <c r="H166" s="127" t="s">
        <v>3985</v>
      </c>
      <c r="I166" s="147"/>
      <c r="J166" s="147"/>
      <c r="K166" s="147"/>
      <c r="L166" s="147"/>
      <c r="M166" s="147"/>
      <c r="N166" s="129">
        <v>165.0</v>
      </c>
    </row>
    <row r="167">
      <c r="A167" s="148" t="s">
        <v>3986</v>
      </c>
      <c r="B167" s="154" t="s">
        <v>3987</v>
      </c>
      <c r="C167" s="132" t="s">
        <v>3884</v>
      </c>
      <c r="D167" s="132" t="s">
        <v>3938</v>
      </c>
      <c r="E167" s="154" t="s">
        <v>3974</v>
      </c>
      <c r="F167" s="132" t="s">
        <v>3988</v>
      </c>
      <c r="G167" s="154" t="s">
        <v>3901</v>
      </c>
      <c r="H167" s="132" t="s">
        <v>3989</v>
      </c>
      <c r="I167" s="150"/>
      <c r="J167" s="150"/>
      <c r="K167" s="150"/>
      <c r="L167" s="150"/>
      <c r="M167" s="150"/>
      <c r="N167" s="134">
        <v>166.0</v>
      </c>
    </row>
    <row r="168">
      <c r="A168" s="151" t="s">
        <v>3990</v>
      </c>
      <c r="B168" s="155" t="s">
        <v>2040</v>
      </c>
      <c r="C168" s="127" t="s">
        <v>3884</v>
      </c>
      <c r="D168" s="127" t="s">
        <v>3938</v>
      </c>
      <c r="E168" s="155" t="s">
        <v>3974</v>
      </c>
      <c r="F168" s="127" t="s">
        <v>3991</v>
      </c>
      <c r="G168" s="155" t="s">
        <v>3906</v>
      </c>
      <c r="H168" s="127" t="s">
        <v>3992</v>
      </c>
      <c r="I168" s="147"/>
      <c r="J168" s="147"/>
      <c r="K168" s="147"/>
      <c r="L168" s="147"/>
      <c r="M168" s="147"/>
      <c r="N168" s="129">
        <v>167.0</v>
      </c>
    </row>
    <row r="169">
      <c r="A169" s="148" t="s">
        <v>3993</v>
      </c>
      <c r="B169" s="154" t="s">
        <v>3994</v>
      </c>
      <c r="C169" s="132" t="s">
        <v>3884</v>
      </c>
      <c r="D169" s="132" t="s">
        <v>3938</v>
      </c>
      <c r="E169" s="154" t="s">
        <v>3974</v>
      </c>
      <c r="F169" s="132" t="s">
        <v>3995</v>
      </c>
      <c r="G169" s="154" t="s">
        <v>3910</v>
      </c>
      <c r="H169" s="132" t="s">
        <v>3996</v>
      </c>
      <c r="I169" s="150"/>
      <c r="J169" s="150"/>
      <c r="K169" s="150"/>
      <c r="L169" s="150"/>
      <c r="M169" s="150"/>
      <c r="N169" s="134">
        <v>168.0</v>
      </c>
    </row>
    <row r="170">
      <c r="A170" s="151" t="s">
        <v>3997</v>
      </c>
      <c r="B170" s="155" t="s">
        <v>1984</v>
      </c>
      <c r="C170" s="127" t="s">
        <v>3884</v>
      </c>
      <c r="D170" s="127" t="s">
        <v>3938</v>
      </c>
      <c r="E170" s="155" t="s">
        <v>3974</v>
      </c>
      <c r="F170" s="127" t="s">
        <v>3998</v>
      </c>
      <c r="G170" s="155" t="s">
        <v>3914</v>
      </c>
      <c r="H170" s="127" t="s">
        <v>3999</v>
      </c>
      <c r="I170" s="147"/>
      <c r="J170" s="147"/>
      <c r="K170" s="147"/>
      <c r="L170" s="147"/>
      <c r="M170" s="147"/>
      <c r="N170" s="129">
        <v>169.0</v>
      </c>
    </row>
    <row r="171">
      <c r="A171" s="148" t="s">
        <v>4000</v>
      </c>
      <c r="B171" s="154" t="s">
        <v>1987</v>
      </c>
      <c r="C171" s="132" t="s">
        <v>3884</v>
      </c>
      <c r="D171" s="132" t="s">
        <v>3938</v>
      </c>
      <c r="E171" s="154" t="s">
        <v>3974</v>
      </c>
      <c r="F171" s="132" t="s">
        <v>4001</v>
      </c>
      <c r="G171" s="154" t="s">
        <v>3918</v>
      </c>
      <c r="H171" s="132" t="s">
        <v>4002</v>
      </c>
      <c r="I171" s="150"/>
      <c r="J171" s="150"/>
      <c r="K171" s="150"/>
      <c r="L171" s="150"/>
      <c r="M171" s="150"/>
      <c r="N171" s="134">
        <v>170.0</v>
      </c>
    </row>
    <row r="172">
      <c r="A172" s="151" t="s">
        <v>4003</v>
      </c>
      <c r="B172" s="155" t="s">
        <v>2044</v>
      </c>
      <c r="C172" s="127" t="s">
        <v>3884</v>
      </c>
      <c r="D172" s="127" t="s">
        <v>3938</v>
      </c>
      <c r="E172" s="155" t="s">
        <v>3974</v>
      </c>
      <c r="F172" s="127" t="s">
        <v>4004</v>
      </c>
      <c r="G172" s="155" t="s">
        <v>3922</v>
      </c>
      <c r="H172" s="127" t="s">
        <v>4005</v>
      </c>
      <c r="I172" s="147"/>
      <c r="J172" s="147"/>
      <c r="K172" s="147"/>
      <c r="L172" s="147"/>
      <c r="M172" s="147"/>
      <c r="N172" s="129">
        <v>171.0</v>
      </c>
    </row>
    <row r="173">
      <c r="A173" s="148" t="s">
        <v>4006</v>
      </c>
      <c r="B173" s="154" t="s">
        <v>2049</v>
      </c>
      <c r="C173" s="132" t="s">
        <v>3884</v>
      </c>
      <c r="D173" s="132" t="s">
        <v>3938</v>
      </c>
      <c r="E173" s="154" t="s">
        <v>3974</v>
      </c>
      <c r="F173" s="132" t="s">
        <v>4007</v>
      </c>
      <c r="G173" s="154" t="s">
        <v>3926</v>
      </c>
      <c r="H173" s="132" t="s">
        <v>4008</v>
      </c>
      <c r="I173" s="150"/>
      <c r="J173" s="150"/>
      <c r="K173" s="150"/>
      <c r="L173" s="150"/>
      <c r="M173" s="150"/>
      <c r="N173" s="134">
        <v>172.0</v>
      </c>
    </row>
    <row r="174">
      <c r="A174" s="151" t="s">
        <v>4009</v>
      </c>
      <c r="B174" s="155" t="s">
        <v>1968</v>
      </c>
      <c r="C174" s="127" t="s">
        <v>3884</v>
      </c>
      <c r="D174" s="127" t="s">
        <v>3938</v>
      </c>
      <c r="E174" s="155" t="s">
        <v>3974</v>
      </c>
      <c r="F174" s="127" t="s">
        <v>4010</v>
      </c>
      <c r="G174" s="155" t="s">
        <v>3930</v>
      </c>
      <c r="H174" s="127" t="s">
        <v>4011</v>
      </c>
      <c r="I174" s="147"/>
      <c r="J174" s="147"/>
      <c r="K174" s="147"/>
      <c r="L174" s="147"/>
      <c r="M174" s="147"/>
      <c r="N174" s="129">
        <v>173.0</v>
      </c>
    </row>
    <row r="175">
      <c r="A175" s="148" t="s">
        <v>4012</v>
      </c>
      <c r="B175" s="154" t="s">
        <v>2053</v>
      </c>
      <c r="C175" s="132" t="s">
        <v>3884</v>
      </c>
      <c r="D175" s="132" t="s">
        <v>3938</v>
      </c>
      <c r="E175" s="154" t="s">
        <v>3974</v>
      </c>
      <c r="F175" s="132" t="s">
        <v>4013</v>
      </c>
      <c r="G175" s="154" t="s">
        <v>3934</v>
      </c>
      <c r="H175" s="132" t="s">
        <v>4014</v>
      </c>
      <c r="I175" s="150"/>
      <c r="J175" s="150"/>
      <c r="K175" s="150"/>
      <c r="L175" s="150"/>
      <c r="M175" s="150"/>
      <c r="N175" s="134">
        <v>174.0</v>
      </c>
    </row>
    <row r="176">
      <c r="A176" s="151" t="s">
        <v>4015</v>
      </c>
      <c r="B176" s="155" t="s">
        <v>2058</v>
      </c>
      <c r="C176" s="127" t="s">
        <v>3884</v>
      </c>
      <c r="D176" s="127" t="s">
        <v>3938</v>
      </c>
      <c r="E176" s="155" t="s">
        <v>3974</v>
      </c>
      <c r="F176" s="127" t="s">
        <v>4016</v>
      </c>
      <c r="G176" s="155" t="s">
        <v>4017</v>
      </c>
      <c r="H176" s="127" t="s">
        <v>4018</v>
      </c>
      <c r="I176" s="147"/>
      <c r="J176" s="147"/>
      <c r="K176" s="147"/>
      <c r="L176" s="147"/>
      <c r="M176" s="147"/>
      <c r="N176" s="129">
        <v>175.0</v>
      </c>
    </row>
    <row r="177">
      <c r="A177" s="148" t="s">
        <v>4019</v>
      </c>
      <c r="B177" s="154" t="s">
        <v>4020</v>
      </c>
      <c r="C177" s="132" t="s">
        <v>3884</v>
      </c>
      <c r="D177" s="132" t="s">
        <v>3938</v>
      </c>
      <c r="E177" s="154" t="s">
        <v>3974</v>
      </c>
      <c r="F177" s="132" t="s">
        <v>4021</v>
      </c>
      <c r="G177" s="154" t="s">
        <v>4022</v>
      </c>
      <c r="H177" s="132" t="s">
        <v>4023</v>
      </c>
      <c r="I177" s="150"/>
      <c r="J177" s="150"/>
      <c r="K177" s="150"/>
      <c r="L177" s="150"/>
      <c r="M177" s="150"/>
      <c r="N177" s="134">
        <v>176.0</v>
      </c>
    </row>
    <row r="178">
      <c r="A178" s="151" t="s">
        <v>4024</v>
      </c>
      <c r="B178" s="155" t="s">
        <v>2061</v>
      </c>
      <c r="C178" s="127" t="s">
        <v>3884</v>
      </c>
      <c r="D178" s="127" t="s">
        <v>3938</v>
      </c>
      <c r="E178" s="155" t="s">
        <v>3974</v>
      </c>
      <c r="F178" s="127" t="s">
        <v>4025</v>
      </c>
      <c r="G178" s="155" t="s">
        <v>4026</v>
      </c>
      <c r="H178" s="127" t="s">
        <v>4027</v>
      </c>
      <c r="I178" s="147"/>
      <c r="J178" s="147"/>
      <c r="K178" s="147"/>
      <c r="L178" s="147"/>
      <c r="M178" s="147"/>
      <c r="N178" s="129">
        <v>177.0</v>
      </c>
    </row>
    <row r="179">
      <c r="A179" s="148"/>
      <c r="B179" s="132"/>
      <c r="C179" s="132"/>
      <c r="D179" s="132"/>
      <c r="E179" s="132"/>
      <c r="F179" s="150"/>
      <c r="G179" s="132"/>
      <c r="H179" s="132"/>
      <c r="I179" s="150"/>
      <c r="J179" s="150"/>
      <c r="K179" s="150"/>
      <c r="L179" s="150"/>
      <c r="M179" s="150"/>
      <c r="N179" s="134"/>
    </row>
    <row r="180">
      <c r="A180" s="151" t="s">
        <v>4028</v>
      </c>
      <c r="B180" s="155" t="s">
        <v>3967</v>
      </c>
      <c r="C180" s="127" t="s">
        <v>3884</v>
      </c>
      <c r="D180" s="127" t="s">
        <v>3885</v>
      </c>
      <c r="E180" s="147"/>
      <c r="F180" s="147"/>
      <c r="G180" s="155" t="s">
        <v>3503</v>
      </c>
      <c r="H180" s="127" t="s">
        <v>4029</v>
      </c>
      <c r="I180" s="155" t="s">
        <v>2638</v>
      </c>
      <c r="J180" s="147"/>
      <c r="K180" s="147"/>
      <c r="L180" s="147"/>
      <c r="M180" s="147"/>
      <c r="N180" s="129">
        <v>179.0</v>
      </c>
    </row>
    <row r="181">
      <c r="A181" s="148" t="s">
        <v>4030</v>
      </c>
      <c r="B181" s="154" t="s">
        <v>4031</v>
      </c>
      <c r="C181" s="132" t="s">
        <v>3884</v>
      </c>
      <c r="D181" s="132" t="s">
        <v>3885</v>
      </c>
      <c r="E181" s="150"/>
      <c r="F181" s="150"/>
      <c r="G181" s="154" t="s">
        <v>3499</v>
      </c>
      <c r="H181" s="132" t="s">
        <v>4032</v>
      </c>
      <c r="I181" s="154" t="s">
        <v>2638</v>
      </c>
      <c r="J181" s="150"/>
      <c r="K181" s="150"/>
      <c r="L181" s="150"/>
      <c r="M181" s="150"/>
      <c r="N181" s="134">
        <v>180.0</v>
      </c>
    </row>
    <row r="182">
      <c r="A182" s="151" t="s">
        <v>4033</v>
      </c>
      <c r="B182" s="155" t="s">
        <v>3883</v>
      </c>
      <c r="C182" s="127" t="s">
        <v>3884</v>
      </c>
      <c r="D182" s="127" t="s">
        <v>3885</v>
      </c>
      <c r="E182" s="147"/>
      <c r="F182" s="147"/>
      <c r="G182" s="155" t="s">
        <v>3893</v>
      </c>
      <c r="H182" s="127" t="s">
        <v>4034</v>
      </c>
      <c r="I182" s="155" t="s">
        <v>2638</v>
      </c>
      <c r="J182" s="147"/>
      <c r="K182" s="147"/>
      <c r="L182" s="147"/>
      <c r="M182" s="147"/>
      <c r="N182" s="129">
        <v>181.0</v>
      </c>
    </row>
    <row r="183">
      <c r="A183" s="148"/>
      <c r="B183" s="132"/>
      <c r="C183" s="132"/>
      <c r="D183" s="132"/>
      <c r="E183" s="132"/>
      <c r="F183" s="132"/>
      <c r="G183" s="132"/>
      <c r="H183" s="132"/>
      <c r="I183" s="150"/>
      <c r="J183" s="150"/>
      <c r="K183" s="150"/>
      <c r="L183" s="150"/>
      <c r="M183" s="150"/>
      <c r="N183" s="134"/>
    </row>
    <row r="184">
      <c r="A184" s="151"/>
      <c r="B184" s="127"/>
      <c r="C184" s="127"/>
      <c r="D184" s="127"/>
      <c r="E184" s="127"/>
      <c r="F184" s="127"/>
      <c r="G184" s="127"/>
      <c r="H184" s="127"/>
      <c r="I184" s="147"/>
      <c r="J184" s="147"/>
      <c r="K184" s="147"/>
      <c r="L184" s="147"/>
      <c r="M184" s="147"/>
      <c r="N184" s="129"/>
    </row>
    <row r="185">
      <c r="A185" s="148"/>
      <c r="B185" s="132"/>
      <c r="C185" s="132"/>
      <c r="D185" s="132"/>
      <c r="E185" s="132"/>
      <c r="F185" s="132"/>
      <c r="G185" s="132"/>
      <c r="H185" s="132"/>
      <c r="I185" s="150"/>
      <c r="J185" s="150"/>
      <c r="K185" s="150"/>
      <c r="L185" s="150"/>
      <c r="M185" s="150"/>
      <c r="N185" s="134"/>
    </row>
    <row r="186">
      <c r="A186" s="57" t="s">
        <v>4035</v>
      </c>
      <c r="B186" s="60" t="s">
        <v>2014</v>
      </c>
      <c r="C186" s="59" t="s">
        <v>3884</v>
      </c>
      <c r="D186" s="59" t="s">
        <v>3626</v>
      </c>
      <c r="F186" s="59" t="s">
        <v>4036</v>
      </c>
      <c r="G186" s="60" t="s">
        <v>3910</v>
      </c>
      <c r="H186" s="59" t="s">
        <v>4037</v>
      </c>
      <c r="I186" s="60" t="s">
        <v>2628</v>
      </c>
      <c r="M186" s="147"/>
      <c r="N186" s="129">
        <v>185.0</v>
      </c>
    </row>
    <row r="187">
      <c r="A187" s="102" t="s">
        <v>4038</v>
      </c>
      <c r="B187" s="98" t="s">
        <v>2005</v>
      </c>
      <c r="C187" s="99" t="s">
        <v>3884</v>
      </c>
      <c r="D187" s="99" t="s">
        <v>3626</v>
      </c>
      <c r="F187" s="99" t="s">
        <v>4039</v>
      </c>
      <c r="G187" s="98" t="s">
        <v>3914</v>
      </c>
      <c r="H187" s="99" t="s">
        <v>4040</v>
      </c>
      <c r="I187" s="98" t="s">
        <v>2628</v>
      </c>
      <c r="M187" s="150"/>
      <c r="N187" s="134">
        <v>186.0</v>
      </c>
    </row>
    <row r="188">
      <c r="A188" s="57" t="s">
        <v>4041</v>
      </c>
      <c r="B188" s="60" t="s">
        <v>2069</v>
      </c>
      <c r="C188" s="59" t="s">
        <v>3884</v>
      </c>
      <c r="D188" s="59" t="s">
        <v>3938</v>
      </c>
      <c r="E188" s="60" t="s">
        <v>4042</v>
      </c>
      <c r="F188" s="59" t="s">
        <v>4043</v>
      </c>
      <c r="G188" s="60" t="s">
        <v>3503</v>
      </c>
      <c r="H188" s="59" t="s">
        <v>4044</v>
      </c>
      <c r="M188" s="147"/>
      <c r="N188" s="129">
        <v>187.0</v>
      </c>
    </row>
    <row r="189">
      <c r="A189" s="102" t="s">
        <v>4045</v>
      </c>
      <c r="B189" s="98" t="s">
        <v>2073</v>
      </c>
      <c r="C189" s="99" t="s">
        <v>3884</v>
      </c>
      <c r="D189" s="99" t="s">
        <v>3885</v>
      </c>
      <c r="F189" s="99" t="s">
        <v>4046</v>
      </c>
      <c r="G189" s="98" t="s">
        <v>3503</v>
      </c>
      <c r="H189" s="99" t="s">
        <v>4047</v>
      </c>
      <c r="I189" s="98" t="s">
        <v>2614</v>
      </c>
      <c r="J189" s="98" t="s">
        <v>2598</v>
      </c>
      <c r="L189" s="99" t="s">
        <v>4048</v>
      </c>
      <c r="M189" s="157">
        <v>45803.98030092593</v>
      </c>
      <c r="N189" s="134">
        <v>188.0</v>
      </c>
    </row>
    <row r="190">
      <c r="A190" s="57" t="s">
        <v>4049</v>
      </c>
      <c r="B190" s="60" t="s">
        <v>2076</v>
      </c>
      <c r="C190" s="59" t="s">
        <v>3884</v>
      </c>
      <c r="D190" s="59" t="s">
        <v>3885</v>
      </c>
      <c r="F190" s="59" t="s">
        <v>4050</v>
      </c>
      <c r="G190" s="60" t="s">
        <v>3499</v>
      </c>
      <c r="H190" s="59" t="s">
        <v>4051</v>
      </c>
      <c r="I190" s="60" t="s">
        <v>2614</v>
      </c>
      <c r="J190" s="60" t="s">
        <v>2598</v>
      </c>
      <c r="L190" s="59" t="s">
        <v>4048</v>
      </c>
      <c r="M190" s="158">
        <v>45803.98185185185</v>
      </c>
      <c r="N190" s="129">
        <v>189.0</v>
      </c>
    </row>
    <row r="191">
      <c r="A191" s="102" t="s">
        <v>4052</v>
      </c>
      <c r="B191" s="98" t="s">
        <v>2079</v>
      </c>
      <c r="C191" s="99" t="s">
        <v>3884</v>
      </c>
      <c r="D191" s="99" t="s">
        <v>3885</v>
      </c>
      <c r="F191" s="99" t="s">
        <v>4053</v>
      </c>
      <c r="G191" s="98" t="s">
        <v>3893</v>
      </c>
      <c r="H191" s="99" t="s">
        <v>4054</v>
      </c>
      <c r="I191" s="98" t="s">
        <v>2614</v>
      </c>
      <c r="J191" s="98" t="s">
        <v>3464</v>
      </c>
      <c r="L191" s="99" t="s">
        <v>4048</v>
      </c>
      <c r="M191" s="157">
        <v>45804.31486111111</v>
      </c>
      <c r="N191" s="134">
        <v>190.0</v>
      </c>
    </row>
    <row r="192">
      <c r="A192" s="57" t="s">
        <v>4055</v>
      </c>
      <c r="B192" s="60" t="s">
        <v>2084</v>
      </c>
      <c r="C192" s="59" t="s">
        <v>3884</v>
      </c>
      <c r="D192" s="59" t="s">
        <v>3885</v>
      </c>
      <c r="F192" s="59" t="s">
        <v>4056</v>
      </c>
      <c r="G192" s="60" t="s">
        <v>3897</v>
      </c>
      <c r="H192" s="59" t="s">
        <v>4057</v>
      </c>
      <c r="I192" s="60" t="s">
        <v>2614</v>
      </c>
      <c r="J192" s="60" t="s">
        <v>3464</v>
      </c>
      <c r="L192" s="59" t="s">
        <v>4048</v>
      </c>
      <c r="M192" s="158">
        <v>45804.31489583333</v>
      </c>
      <c r="N192" s="129">
        <v>191.0</v>
      </c>
    </row>
    <row r="193">
      <c r="A193" s="102" t="s">
        <v>4058</v>
      </c>
      <c r="B193" s="98" t="s">
        <v>2088</v>
      </c>
      <c r="C193" s="99" t="s">
        <v>3884</v>
      </c>
      <c r="D193" s="99" t="s">
        <v>3885</v>
      </c>
      <c r="F193" s="99" t="s">
        <v>4059</v>
      </c>
      <c r="G193" s="98" t="s">
        <v>3901</v>
      </c>
      <c r="H193" s="99" t="s">
        <v>4060</v>
      </c>
      <c r="I193" s="98" t="s">
        <v>2614</v>
      </c>
      <c r="J193" s="98" t="s">
        <v>3464</v>
      </c>
      <c r="L193" s="99" t="s">
        <v>4048</v>
      </c>
      <c r="M193" s="157">
        <v>45804.314884259256</v>
      </c>
      <c r="N193" s="134">
        <v>192.0</v>
      </c>
    </row>
    <row r="194">
      <c r="A194" s="57" t="s">
        <v>4061</v>
      </c>
      <c r="B194" s="60" t="s">
        <v>2095</v>
      </c>
      <c r="C194" s="59" t="s">
        <v>3884</v>
      </c>
      <c r="D194" s="59" t="s">
        <v>3885</v>
      </c>
      <c r="F194" s="59" t="s">
        <v>4062</v>
      </c>
      <c r="G194" s="155" t="s">
        <v>3906</v>
      </c>
      <c r="H194" s="59" t="s">
        <v>4063</v>
      </c>
      <c r="I194" s="60" t="s">
        <v>2614</v>
      </c>
      <c r="J194" s="60" t="s">
        <v>2598</v>
      </c>
      <c r="L194" s="59" t="s">
        <v>4048</v>
      </c>
      <c r="M194" s="158">
        <v>45803.981886574074</v>
      </c>
      <c r="N194" s="129">
        <v>193.0</v>
      </c>
    </row>
    <row r="195">
      <c r="A195" s="102" t="s">
        <v>4064</v>
      </c>
      <c r="B195" s="98" t="s">
        <v>3967</v>
      </c>
      <c r="C195" s="99" t="s">
        <v>3884</v>
      </c>
      <c r="D195" s="99" t="s">
        <v>3885</v>
      </c>
      <c r="F195" s="99" t="s">
        <v>4065</v>
      </c>
      <c r="G195" s="98" t="s">
        <v>3910</v>
      </c>
      <c r="H195" s="99" t="s">
        <v>4066</v>
      </c>
      <c r="I195" s="98" t="s">
        <v>2622</v>
      </c>
      <c r="J195" s="98" t="s">
        <v>2598</v>
      </c>
      <c r="L195" s="99" t="s">
        <v>4048</v>
      </c>
      <c r="M195" s="157">
        <v>45803.98186342593</v>
      </c>
      <c r="N195" s="134">
        <v>194.0</v>
      </c>
    </row>
    <row r="196">
      <c r="A196" s="57"/>
      <c r="B196" s="59"/>
      <c r="C196" s="59"/>
      <c r="D196" s="59"/>
      <c r="F196" s="59"/>
      <c r="G196" s="59"/>
      <c r="H196" s="59"/>
      <c r="I196" s="59"/>
      <c r="J196" s="59"/>
      <c r="L196" s="59"/>
      <c r="M196" s="158"/>
      <c r="N196" s="129"/>
    </row>
    <row r="197">
      <c r="A197" s="102" t="s">
        <v>4067</v>
      </c>
      <c r="B197" s="98" t="s">
        <v>2096</v>
      </c>
      <c r="C197" s="99" t="s">
        <v>3884</v>
      </c>
      <c r="D197" s="99" t="s">
        <v>3626</v>
      </c>
      <c r="F197" s="99" t="s">
        <v>4068</v>
      </c>
      <c r="G197" s="98" t="s">
        <v>3503</v>
      </c>
      <c r="H197" s="99" t="s">
        <v>4069</v>
      </c>
      <c r="I197" s="98" t="s">
        <v>2598</v>
      </c>
      <c r="J197" s="98" t="s">
        <v>3464</v>
      </c>
      <c r="L197" s="99" t="s">
        <v>4048</v>
      </c>
      <c r="M197" s="157">
        <v>45804.449525462966</v>
      </c>
      <c r="N197" s="134">
        <v>196.0</v>
      </c>
    </row>
    <row r="198">
      <c r="A198" s="57" t="s">
        <v>4070</v>
      </c>
      <c r="B198" s="60" t="s">
        <v>2040</v>
      </c>
      <c r="C198" s="59" t="s">
        <v>3884</v>
      </c>
      <c r="D198" s="59" t="s">
        <v>3626</v>
      </c>
      <c r="F198" s="59" t="s">
        <v>4071</v>
      </c>
      <c r="G198" s="60" t="s">
        <v>3499</v>
      </c>
      <c r="H198" s="59" t="s">
        <v>4072</v>
      </c>
      <c r="I198" s="60" t="s">
        <v>2598</v>
      </c>
      <c r="J198" s="60" t="s">
        <v>3464</v>
      </c>
      <c r="L198" s="59" t="s">
        <v>4048</v>
      </c>
      <c r="M198" s="158">
        <v>45804.44956018519</v>
      </c>
      <c r="N198" s="129">
        <v>197.0</v>
      </c>
    </row>
    <row r="199">
      <c r="A199" s="102" t="s">
        <v>4073</v>
      </c>
      <c r="B199" s="98" t="s">
        <v>3883</v>
      </c>
      <c r="C199" s="99" t="s">
        <v>3884</v>
      </c>
      <c r="D199" s="99" t="s">
        <v>3885</v>
      </c>
      <c r="F199" s="99" t="s">
        <v>4074</v>
      </c>
      <c r="G199" s="98" t="s">
        <v>3893</v>
      </c>
      <c r="H199" s="99" t="s">
        <v>4075</v>
      </c>
      <c r="I199" s="98" t="s">
        <v>2622</v>
      </c>
      <c r="J199" s="98" t="s">
        <v>3464</v>
      </c>
      <c r="L199" s="99" t="s">
        <v>4048</v>
      </c>
      <c r="M199" s="157">
        <v>45804.45457175926</v>
      </c>
      <c r="N199" s="134">
        <v>198.0</v>
      </c>
    </row>
    <row r="200">
      <c r="A200" s="57" t="s">
        <v>4076</v>
      </c>
      <c r="B200" s="60" t="s">
        <v>2065</v>
      </c>
      <c r="C200" s="59" t="s">
        <v>3884</v>
      </c>
      <c r="D200" s="59" t="s">
        <v>3938</v>
      </c>
      <c r="E200" s="60" t="s">
        <v>3974</v>
      </c>
      <c r="F200" s="59" t="s">
        <v>4077</v>
      </c>
      <c r="G200" s="60" t="s">
        <v>3897</v>
      </c>
      <c r="H200" s="59" t="s">
        <v>4078</v>
      </c>
      <c r="J200" s="60" t="s">
        <v>2630</v>
      </c>
      <c r="L200" s="59" t="s">
        <v>4048</v>
      </c>
      <c r="M200" s="158">
        <v>45804.498125</v>
      </c>
      <c r="N200" s="129">
        <v>199.0</v>
      </c>
    </row>
    <row r="201">
      <c r="A201" s="102"/>
      <c r="B201" s="99"/>
      <c r="C201" s="99"/>
      <c r="D201" s="99"/>
      <c r="F201" s="99"/>
      <c r="G201" s="99"/>
      <c r="H201" s="99"/>
      <c r="I201" s="99"/>
      <c r="J201" s="99"/>
      <c r="L201" s="99"/>
      <c r="M201" s="157"/>
      <c r="N201" s="134"/>
    </row>
    <row r="202">
      <c r="A202" s="57" t="s">
        <v>4079</v>
      </c>
      <c r="B202" s="60" t="s">
        <v>3883</v>
      </c>
      <c r="C202" s="59" t="s">
        <v>3884</v>
      </c>
      <c r="D202" s="59" t="s">
        <v>3885</v>
      </c>
      <c r="F202" s="59" t="s">
        <v>4080</v>
      </c>
      <c r="G202" s="60" t="s">
        <v>3503</v>
      </c>
      <c r="H202" s="59" t="s">
        <v>4081</v>
      </c>
      <c r="I202" s="60" t="s">
        <v>2624</v>
      </c>
      <c r="J202" s="60" t="s">
        <v>3464</v>
      </c>
      <c r="L202" s="59" t="s">
        <v>4048</v>
      </c>
      <c r="M202" s="158">
        <v>45805.40630787037</v>
      </c>
      <c r="N202" s="129">
        <v>201.0</v>
      </c>
    </row>
    <row r="203">
      <c r="A203" s="102" t="s">
        <v>4082</v>
      </c>
      <c r="B203" s="98" t="s">
        <v>3942</v>
      </c>
      <c r="C203" s="99" t="s">
        <v>3884</v>
      </c>
      <c r="D203" s="99" t="s">
        <v>3885</v>
      </c>
      <c r="F203" s="99" t="s">
        <v>4083</v>
      </c>
      <c r="G203" s="98" t="s">
        <v>3499</v>
      </c>
      <c r="H203" s="99" t="s">
        <v>4084</v>
      </c>
      <c r="I203" s="98" t="s">
        <v>2622</v>
      </c>
      <c r="J203" s="98" t="s">
        <v>3464</v>
      </c>
      <c r="L203" s="99" t="s">
        <v>4048</v>
      </c>
      <c r="M203" s="157">
        <v>45805.41488425926</v>
      </c>
      <c r="N203" s="134">
        <v>202.0</v>
      </c>
    </row>
    <row r="204">
      <c r="A204" s="57" t="s">
        <v>4085</v>
      </c>
      <c r="B204" s="60" t="s">
        <v>2100</v>
      </c>
      <c r="C204" s="59" t="s">
        <v>3884</v>
      </c>
      <c r="D204" s="59" t="s">
        <v>3626</v>
      </c>
      <c r="F204" s="59" t="s">
        <v>4086</v>
      </c>
      <c r="G204" s="60" t="s">
        <v>3893</v>
      </c>
      <c r="H204" s="59" t="s">
        <v>4087</v>
      </c>
      <c r="I204" s="60" t="s">
        <v>3228</v>
      </c>
      <c r="J204" s="60" t="s">
        <v>3464</v>
      </c>
      <c r="L204" s="59" t="s">
        <v>4048</v>
      </c>
      <c r="M204" s="158">
        <v>45805.4903125</v>
      </c>
      <c r="N204" s="129">
        <v>203.0</v>
      </c>
    </row>
    <row r="205">
      <c r="A205" s="102" t="s">
        <v>4088</v>
      </c>
      <c r="B205" s="98" t="s">
        <v>2105</v>
      </c>
      <c r="C205" s="99" t="s">
        <v>3884</v>
      </c>
      <c r="D205" s="99" t="s">
        <v>3626</v>
      </c>
      <c r="F205" s="99" t="s">
        <v>4089</v>
      </c>
      <c r="G205" s="98" t="s">
        <v>3897</v>
      </c>
      <c r="H205" s="99" t="s">
        <v>4090</v>
      </c>
      <c r="I205" s="98" t="s">
        <v>3228</v>
      </c>
      <c r="J205" s="98" t="s">
        <v>3464</v>
      </c>
      <c r="L205" s="99" t="s">
        <v>4048</v>
      </c>
      <c r="M205" s="157">
        <v>45805.49034722222</v>
      </c>
      <c r="N205" s="134">
        <v>204.0</v>
      </c>
    </row>
    <row r="206">
      <c r="A206" s="57" t="s">
        <v>4091</v>
      </c>
      <c r="B206" s="60" t="s">
        <v>2109</v>
      </c>
      <c r="C206" s="59" t="s">
        <v>3884</v>
      </c>
      <c r="D206" s="59" t="s">
        <v>3626</v>
      </c>
      <c r="F206" s="59" t="s">
        <v>4092</v>
      </c>
      <c r="G206" s="60" t="s">
        <v>3901</v>
      </c>
      <c r="H206" s="59" t="s">
        <v>4093</v>
      </c>
      <c r="I206" s="60" t="s">
        <v>3228</v>
      </c>
      <c r="J206" s="60" t="s">
        <v>3464</v>
      </c>
      <c r="L206" s="59" t="s">
        <v>4048</v>
      </c>
      <c r="M206" s="158">
        <v>45805.49037037037</v>
      </c>
      <c r="N206" s="129">
        <v>205.0</v>
      </c>
    </row>
    <row r="207">
      <c r="A207" s="102"/>
      <c r="B207" s="99"/>
      <c r="C207" s="99"/>
      <c r="D207" s="99"/>
      <c r="E207" s="99"/>
      <c r="F207" s="99"/>
      <c r="G207" s="99"/>
      <c r="H207" s="99"/>
      <c r="L207" s="99"/>
      <c r="M207" s="150"/>
      <c r="N207" s="134"/>
    </row>
    <row r="208">
      <c r="A208" s="57" t="s">
        <v>4094</v>
      </c>
      <c r="B208" s="60" t="s">
        <v>2114</v>
      </c>
      <c r="C208" s="59" t="s">
        <v>3937</v>
      </c>
      <c r="D208" s="59" t="s">
        <v>3938</v>
      </c>
      <c r="E208" s="60" t="s">
        <v>1949</v>
      </c>
      <c r="F208" s="59"/>
      <c r="G208" s="60" t="s">
        <v>3503</v>
      </c>
      <c r="H208" s="59" t="s">
        <v>4095</v>
      </c>
      <c r="J208" s="60" t="s">
        <v>3464</v>
      </c>
      <c r="L208" s="59" t="s">
        <v>4048</v>
      </c>
      <c r="M208" s="127" t="s">
        <v>4096</v>
      </c>
      <c r="N208" s="129">
        <v>207.0</v>
      </c>
    </row>
    <row r="209">
      <c r="A209" s="102" t="s">
        <v>4097</v>
      </c>
      <c r="B209" s="98" t="s">
        <v>4098</v>
      </c>
      <c r="C209" s="99" t="s">
        <v>3884</v>
      </c>
      <c r="D209" s="99" t="s">
        <v>3885</v>
      </c>
      <c r="E209" s="99"/>
      <c r="F209" s="99" t="s">
        <v>4099</v>
      </c>
      <c r="G209" s="98" t="s">
        <v>3499</v>
      </c>
      <c r="H209" s="99" t="s">
        <v>4100</v>
      </c>
      <c r="I209" s="98" t="s">
        <v>2622</v>
      </c>
      <c r="J209" s="98" t="s">
        <v>3464</v>
      </c>
      <c r="L209" s="99" t="s">
        <v>4048</v>
      </c>
      <c r="M209" s="132" t="s">
        <v>4101</v>
      </c>
      <c r="N209" s="134">
        <v>208.0</v>
      </c>
    </row>
    <row r="210">
      <c r="A210" s="57" t="s">
        <v>4102</v>
      </c>
      <c r="B210" s="60" t="s">
        <v>2005</v>
      </c>
      <c r="C210" s="59" t="s">
        <v>3884</v>
      </c>
      <c r="D210" s="59" t="s">
        <v>3885</v>
      </c>
      <c r="E210" s="59"/>
      <c r="F210" s="59" t="s">
        <v>4103</v>
      </c>
      <c r="G210" s="60" t="s">
        <v>3503</v>
      </c>
      <c r="H210" s="59" t="s">
        <v>4104</v>
      </c>
      <c r="I210" s="60" t="s">
        <v>2628</v>
      </c>
      <c r="J210" s="60" t="s">
        <v>3464</v>
      </c>
      <c r="L210" s="59" t="s">
        <v>4048</v>
      </c>
      <c r="M210" s="127" t="s">
        <v>4105</v>
      </c>
      <c r="N210" s="129">
        <v>209.0</v>
      </c>
    </row>
    <row r="211">
      <c r="A211" s="102" t="s">
        <v>4106</v>
      </c>
      <c r="B211" s="98" t="s">
        <v>2014</v>
      </c>
      <c r="C211" s="99" t="s">
        <v>3884</v>
      </c>
      <c r="D211" s="99" t="s">
        <v>3885</v>
      </c>
      <c r="E211" s="99"/>
      <c r="F211" s="99" t="s">
        <v>4107</v>
      </c>
      <c r="G211" s="98" t="s">
        <v>3499</v>
      </c>
      <c r="H211" s="99" t="s">
        <v>4108</v>
      </c>
      <c r="I211" s="98" t="s">
        <v>2628</v>
      </c>
      <c r="J211" s="98" t="s">
        <v>3464</v>
      </c>
      <c r="L211" s="99" t="s">
        <v>4048</v>
      </c>
      <c r="M211" s="132" t="s">
        <v>4109</v>
      </c>
      <c r="N211" s="134">
        <v>210.0</v>
      </c>
    </row>
    <row r="212">
      <c r="A212" s="57" t="s">
        <v>4110</v>
      </c>
      <c r="B212" s="60" t="s">
        <v>4111</v>
      </c>
      <c r="C212" s="59" t="s">
        <v>3884</v>
      </c>
      <c r="D212" s="59" t="s">
        <v>3885</v>
      </c>
      <c r="E212" s="59"/>
      <c r="F212" s="59" t="s">
        <v>4112</v>
      </c>
      <c r="G212" s="60" t="s">
        <v>3503</v>
      </c>
      <c r="H212" s="59" t="s">
        <v>4113</v>
      </c>
      <c r="I212" s="60" t="s">
        <v>2608</v>
      </c>
      <c r="J212" s="60" t="s">
        <v>2620</v>
      </c>
      <c r="L212" s="59" t="s">
        <v>4048</v>
      </c>
      <c r="M212" s="127" t="s">
        <v>4114</v>
      </c>
      <c r="N212" s="129">
        <v>211.0</v>
      </c>
    </row>
    <row r="213">
      <c r="A213" s="102" t="s">
        <v>4115</v>
      </c>
      <c r="B213" s="98" t="s">
        <v>4116</v>
      </c>
      <c r="C213" s="99" t="s">
        <v>3884</v>
      </c>
      <c r="D213" s="99" t="s">
        <v>3885</v>
      </c>
      <c r="E213" s="99"/>
      <c r="F213" s="99" t="s">
        <v>4117</v>
      </c>
      <c r="G213" s="98" t="s">
        <v>3499</v>
      </c>
      <c r="H213" s="99" t="s">
        <v>4118</v>
      </c>
      <c r="I213" s="98" t="s">
        <v>2608</v>
      </c>
      <c r="J213" s="98" t="s">
        <v>2620</v>
      </c>
      <c r="L213" s="99" t="s">
        <v>4048</v>
      </c>
      <c r="M213" s="132" t="s">
        <v>4119</v>
      </c>
      <c r="N213" s="134">
        <v>212.0</v>
      </c>
    </row>
    <row r="214">
      <c r="A214" s="57" t="s">
        <v>4120</v>
      </c>
      <c r="B214" s="60" t="s">
        <v>2132</v>
      </c>
      <c r="C214" s="59" t="s">
        <v>3884</v>
      </c>
      <c r="D214" s="59" t="s">
        <v>3885</v>
      </c>
      <c r="E214" s="59"/>
      <c r="F214" s="59" t="s">
        <v>4121</v>
      </c>
      <c r="G214" s="60" t="s">
        <v>3893</v>
      </c>
      <c r="H214" s="59" t="s">
        <v>4122</v>
      </c>
      <c r="I214" s="60" t="s">
        <v>2608</v>
      </c>
      <c r="J214" s="60" t="s">
        <v>2620</v>
      </c>
      <c r="L214" s="59" t="s">
        <v>4048</v>
      </c>
      <c r="M214" s="127" t="s">
        <v>4123</v>
      </c>
      <c r="N214" s="129">
        <v>213.0</v>
      </c>
    </row>
    <row r="215">
      <c r="A215" s="102" t="s">
        <v>4124</v>
      </c>
      <c r="B215" s="98" t="s">
        <v>2137</v>
      </c>
      <c r="C215" s="99" t="s">
        <v>3884</v>
      </c>
      <c r="D215" s="99" t="s">
        <v>3885</v>
      </c>
      <c r="E215" s="99"/>
      <c r="F215" s="99" t="s">
        <v>4125</v>
      </c>
      <c r="G215" s="98" t="s">
        <v>3897</v>
      </c>
      <c r="H215" s="99" t="s">
        <v>4126</v>
      </c>
      <c r="I215" s="98" t="s">
        <v>2608</v>
      </c>
      <c r="J215" s="98" t="s">
        <v>2620</v>
      </c>
      <c r="L215" s="99" t="s">
        <v>4048</v>
      </c>
      <c r="M215" s="132" t="s">
        <v>4127</v>
      </c>
      <c r="N215" s="134">
        <v>214.0</v>
      </c>
    </row>
    <row r="216">
      <c r="A216" s="57" t="s">
        <v>4128</v>
      </c>
      <c r="B216" s="60" t="s">
        <v>2142</v>
      </c>
      <c r="C216" s="59" t="s">
        <v>3884</v>
      </c>
      <c r="D216" s="59" t="s">
        <v>3885</v>
      </c>
      <c r="E216" s="59"/>
      <c r="F216" s="59" t="s">
        <v>4129</v>
      </c>
      <c r="G216" s="60" t="s">
        <v>3901</v>
      </c>
      <c r="H216" s="59" t="s">
        <v>4130</v>
      </c>
      <c r="I216" s="60" t="s">
        <v>2608</v>
      </c>
      <c r="J216" s="60" t="s">
        <v>2620</v>
      </c>
      <c r="L216" s="59" t="s">
        <v>4048</v>
      </c>
      <c r="M216" s="127" t="s">
        <v>4131</v>
      </c>
      <c r="N216" s="129">
        <v>215.0</v>
      </c>
    </row>
    <row r="217">
      <c r="A217" s="102" t="s">
        <v>4132</v>
      </c>
      <c r="B217" s="98" t="s">
        <v>4133</v>
      </c>
      <c r="C217" s="99" t="s">
        <v>3884</v>
      </c>
      <c r="D217" s="99" t="s">
        <v>3885</v>
      </c>
      <c r="E217" s="99"/>
      <c r="F217" s="99" t="s">
        <v>4134</v>
      </c>
      <c r="G217" s="98" t="s">
        <v>3906</v>
      </c>
      <c r="H217" s="99" t="s">
        <v>4135</v>
      </c>
      <c r="I217" s="98" t="s">
        <v>2608</v>
      </c>
      <c r="J217" s="98" t="s">
        <v>2620</v>
      </c>
      <c r="L217" s="99" t="s">
        <v>4048</v>
      </c>
      <c r="M217" s="132" t="s">
        <v>4136</v>
      </c>
      <c r="N217" s="134">
        <v>216.0</v>
      </c>
    </row>
    <row r="218">
      <c r="A218" s="57" t="s">
        <v>4137</v>
      </c>
      <c r="B218" s="60" t="s">
        <v>2147</v>
      </c>
      <c r="C218" s="59" t="s">
        <v>3884</v>
      </c>
      <c r="D218" s="59" t="s">
        <v>3885</v>
      </c>
      <c r="E218" s="59"/>
      <c r="F218" s="59" t="s">
        <v>4138</v>
      </c>
      <c r="G218" s="60" t="s">
        <v>3910</v>
      </c>
      <c r="H218" s="59" t="s">
        <v>4139</v>
      </c>
      <c r="I218" s="60" t="s">
        <v>2608</v>
      </c>
      <c r="J218" s="60" t="s">
        <v>2620</v>
      </c>
      <c r="L218" s="59" t="s">
        <v>4048</v>
      </c>
      <c r="M218" s="127" t="s">
        <v>4140</v>
      </c>
      <c r="N218" s="129">
        <v>217.0</v>
      </c>
    </row>
    <row r="219">
      <c r="A219" s="102" t="s">
        <v>4141</v>
      </c>
      <c r="B219" s="98" t="s">
        <v>2152</v>
      </c>
      <c r="C219" s="99" t="s">
        <v>3884</v>
      </c>
      <c r="D219" s="99" t="s">
        <v>3885</v>
      </c>
      <c r="E219" s="99"/>
      <c r="F219" s="99" t="s">
        <v>4142</v>
      </c>
      <c r="G219" s="98" t="s">
        <v>3914</v>
      </c>
      <c r="H219" s="99" t="s">
        <v>4143</v>
      </c>
      <c r="I219" s="98" t="s">
        <v>2608</v>
      </c>
      <c r="J219" s="98" t="s">
        <v>2620</v>
      </c>
      <c r="L219" s="99" t="s">
        <v>4048</v>
      </c>
      <c r="M219" s="132" t="s">
        <v>4144</v>
      </c>
      <c r="N219" s="134">
        <v>218.0</v>
      </c>
    </row>
    <row r="220">
      <c r="A220" s="57" t="s">
        <v>4145</v>
      </c>
      <c r="B220" s="60" t="s">
        <v>2157</v>
      </c>
      <c r="C220" s="59" t="s">
        <v>3884</v>
      </c>
      <c r="D220" s="59" t="s">
        <v>3885</v>
      </c>
      <c r="E220" s="59"/>
      <c r="F220" s="59" t="s">
        <v>4146</v>
      </c>
      <c r="G220" s="60" t="s">
        <v>3918</v>
      </c>
      <c r="H220" s="59" t="s">
        <v>4147</v>
      </c>
      <c r="I220" s="60" t="s">
        <v>2608</v>
      </c>
      <c r="J220" s="60" t="s">
        <v>2620</v>
      </c>
      <c r="L220" s="59" t="s">
        <v>4048</v>
      </c>
      <c r="M220" s="127" t="s">
        <v>4148</v>
      </c>
      <c r="N220" s="129">
        <v>219.0</v>
      </c>
    </row>
    <row r="221">
      <c r="A221" s="102" t="s">
        <v>4149</v>
      </c>
      <c r="B221" s="98" t="s">
        <v>2162</v>
      </c>
      <c r="C221" s="99" t="s">
        <v>3884</v>
      </c>
      <c r="D221" s="99" t="s">
        <v>3885</v>
      </c>
      <c r="E221" s="99"/>
      <c r="F221" s="99" t="s">
        <v>4150</v>
      </c>
      <c r="G221" s="98" t="s">
        <v>3922</v>
      </c>
      <c r="H221" s="99" t="s">
        <v>4151</v>
      </c>
      <c r="I221" s="98" t="s">
        <v>2608</v>
      </c>
      <c r="J221" s="98" t="s">
        <v>2620</v>
      </c>
      <c r="L221" s="99" t="s">
        <v>4048</v>
      </c>
      <c r="M221" s="132" t="s">
        <v>4152</v>
      </c>
      <c r="N221" s="134">
        <v>220.0</v>
      </c>
    </row>
    <row r="222">
      <c r="A222" s="57" t="s">
        <v>4153</v>
      </c>
      <c r="B222" s="60" t="s">
        <v>2167</v>
      </c>
      <c r="C222" s="59" t="s">
        <v>3884</v>
      </c>
      <c r="D222" s="59" t="s">
        <v>3885</v>
      </c>
      <c r="E222" s="59"/>
      <c r="F222" s="59" t="s">
        <v>4154</v>
      </c>
      <c r="G222" s="60" t="s">
        <v>3926</v>
      </c>
      <c r="H222" s="59" t="s">
        <v>4155</v>
      </c>
      <c r="I222" s="60" t="s">
        <v>2608</v>
      </c>
      <c r="J222" s="60" t="s">
        <v>2620</v>
      </c>
      <c r="L222" s="59" t="s">
        <v>4048</v>
      </c>
      <c r="M222" s="127" t="s">
        <v>4156</v>
      </c>
      <c r="N222" s="129">
        <v>221.0</v>
      </c>
    </row>
    <row r="223">
      <c r="A223" s="102" t="s">
        <v>4157</v>
      </c>
      <c r="B223" s="98" t="s">
        <v>2172</v>
      </c>
      <c r="C223" s="99" t="s">
        <v>3884</v>
      </c>
      <c r="D223" s="99" t="s">
        <v>3885</v>
      </c>
      <c r="E223" s="99"/>
      <c r="F223" s="99" t="s">
        <v>4158</v>
      </c>
      <c r="G223" s="98" t="s">
        <v>3930</v>
      </c>
      <c r="H223" s="99" t="s">
        <v>4159</v>
      </c>
      <c r="I223" s="98" t="s">
        <v>2608</v>
      </c>
      <c r="J223" s="98" t="s">
        <v>2620</v>
      </c>
      <c r="L223" s="99" t="s">
        <v>4048</v>
      </c>
      <c r="M223" s="132" t="s">
        <v>4160</v>
      </c>
      <c r="N223" s="134">
        <v>222.0</v>
      </c>
    </row>
    <row r="224">
      <c r="A224" s="57" t="s">
        <v>4161</v>
      </c>
      <c r="B224" s="60" t="s">
        <v>4162</v>
      </c>
      <c r="C224" s="59" t="s">
        <v>3884</v>
      </c>
      <c r="D224" s="59" t="s">
        <v>3885</v>
      </c>
      <c r="E224" s="59"/>
      <c r="F224" s="59" t="s">
        <v>4163</v>
      </c>
      <c r="G224" s="60" t="s">
        <v>3934</v>
      </c>
      <c r="H224" s="59" t="s">
        <v>4164</v>
      </c>
      <c r="I224" s="60" t="s">
        <v>2608</v>
      </c>
      <c r="J224" s="60" t="s">
        <v>2620</v>
      </c>
      <c r="L224" s="59" t="s">
        <v>4048</v>
      </c>
      <c r="M224" s="127" t="s">
        <v>4165</v>
      </c>
      <c r="N224" s="129">
        <v>223.0</v>
      </c>
    </row>
    <row r="225">
      <c r="A225" s="102" t="s">
        <v>4166</v>
      </c>
      <c r="B225" s="98" t="s">
        <v>2177</v>
      </c>
      <c r="C225" s="99" t="s">
        <v>3884</v>
      </c>
      <c r="D225" s="99" t="s">
        <v>3885</v>
      </c>
      <c r="E225" s="99"/>
      <c r="F225" s="99" t="s">
        <v>4167</v>
      </c>
      <c r="G225" s="98" t="s">
        <v>4017</v>
      </c>
      <c r="H225" s="99" t="s">
        <v>4168</v>
      </c>
      <c r="I225" s="98" t="s">
        <v>2608</v>
      </c>
      <c r="J225" s="98" t="s">
        <v>2620</v>
      </c>
      <c r="L225" s="99" t="s">
        <v>4048</v>
      </c>
      <c r="M225" s="132" t="s">
        <v>4169</v>
      </c>
      <c r="N225" s="134">
        <v>224.0</v>
      </c>
    </row>
    <row r="226">
      <c r="A226" s="57" t="s">
        <v>4170</v>
      </c>
      <c r="B226" s="60" t="s">
        <v>2182</v>
      </c>
      <c r="C226" s="59" t="s">
        <v>3884</v>
      </c>
      <c r="D226" s="59" t="s">
        <v>3885</v>
      </c>
      <c r="E226" s="59"/>
      <c r="F226" s="59" t="s">
        <v>4171</v>
      </c>
      <c r="G226" s="60" t="s">
        <v>4022</v>
      </c>
      <c r="H226" s="59" t="s">
        <v>4172</v>
      </c>
      <c r="I226" s="60" t="s">
        <v>2608</v>
      </c>
      <c r="J226" s="60" t="s">
        <v>2620</v>
      </c>
      <c r="L226" s="59" t="s">
        <v>4048</v>
      </c>
      <c r="M226" s="127" t="s">
        <v>4173</v>
      </c>
      <c r="N226" s="129">
        <v>225.0</v>
      </c>
    </row>
    <row r="227">
      <c r="A227" s="102" t="s">
        <v>4174</v>
      </c>
      <c r="B227" s="98" t="s">
        <v>2187</v>
      </c>
      <c r="C227" s="99" t="s">
        <v>3884</v>
      </c>
      <c r="D227" s="99" t="s">
        <v>3885</v>
      </c>
      <c r="E227" s="99"/>
      <c r="F227" s="99" t="s">
        <v>4175</v>
      </c>
      <c r="G227" s="98" t="s">
        <v>4026</v>
      </c>
      <c r="H227" s="99" t="s">
        <v>4176</v>
      </c>
      <c r="I227" s="98" t="s">
        <v>2608</v>
      </c>
      <c r="J227" s="98" t="s">
        <v>2620</v>
      </c>
      <c r="L227" s="99" t="s">
        <v>4048</v>
      </c>
      <c r="M227" s="132" t="s">
        <v>4177</v>
      </c>
      <c r="N227" s="134">
        <v>226.0</v>
      </c>
    </row>
    <row r="228">
      <c r="A228" s="57" t="s">
        <v>4178</v>
      </c>
      <c r="B228" s="60" t="s">
        <v>2192</v>
      </c>
      <c r="C228" s="59" t="s">
        <v>3884</v>
      </c>
      <c r="D228" s="59" t="s">
        <v>3885</v>
      </c>
      <c r="E228" s="59"/>
      <c r="F228" s="59" t="s">
        <v>4179</v>
      </c>
      <c r="G228" s="60" t="s">
        <v>4180</v>
      </c>
      <c r="H228" s="59" t="s">
        <v>4181</v>
      </c>
      <c r="I228" s="60" t="s">
        <v>2608</v>
      </c>
      <c r="J228" s="60" t="s">
        <v>2620</v>
      </c>
      <c r="L228" s="59" t="s">
        <v>4048</v>
      </c>
      <c r="M228" s="127" t="s">
        <v>4182</v>
      </c>
      <c r="N228" s="129">
        <v>227.0</v>
      </c>
    </row>
    <row r="229">
      <c r="A229" s="102" t="s">
        <v>4183</v>
      </c>
      <c r="B229" s="98" t="s">
        <v>2197</v>
      </c>
      <c r="C229" s="99" t="s">
        <v>3884</v>
      </c>
      <c r="D229" s="99" t="s">
        <v>3885</v>
      </c>
      <c r="E229" s="99"/>
      <c r="F229" s="99" t="s">
        <v>4184</v>
      </c>
      <c r="G229" s="98" t="s">
        <v>4185</v>
      </c>
      <c r="H229" s="99" t="s">
        <v>4186</v>
      </c>
      <c r="I229" s="98" t="s">
        <v>2608</v>
      </c>
      <c r="J229" s="98" t="s">
        <v>2620</v>
      </c>
      <c r="L229" s="99" t="s">
        <v>4048</v>
      </c>
      <c r="M229" s="132" t="s">
        <v>4182</v>
      </c>
      <c r="N229" s="134">
        <v>228.0</v>
      </c>
    </row>
    <row r="230">
      <c r="A230" s="57" t="s">
        <v>4187</v>
      </c>
      <c r="B230" s="60" t="s">
        <v>2202</v>
      </c>
      <c r="C230" s="59" t="s">
        <v>3884</v>
      </c>
      <c r="D230" s="59" t="s">
        <v>3885</v>
      </c>
      <c r="E230" s="59"/>
      <c r="F230" s="59" t="s">
        <v>4188</v>
      </c>
      <c r="G230" s="60" t="s">
        <v>4189</v>
      </c>
      <c r="H230" s="59" t="s">
        <v>4190</v>
      </c>
      <c r="I230" s="60" t="s">
        <v>2608</v>
      </c>
      <c r="J230" s="60" t="s">
        <v>2620</v>
      </c>
      <c r="L230" s="59" t="s">
        <v>4048</v>
      </c>
      <c r="M230" s="127" t="s">
        <v>4191</v>
      </c>
      <c r="N230" s="129">
        <v>229.0</v>
      </c>
    </row>
    <row r="231">
      <c r="A231" s="102" t="s">
        <v>4192</v>
      </c>
      <c r="B231" s="98" t="s">
        <v>4193</v>
      </c>
      <c r="C231" s="99" t="s">
        <v>3884</v>
      </c>
      <c r="D231" s="99" t="s">
        <v>3885</v>
      </c>
      <c r="E231" s="99"/>
      <c r="F231" s="99" t="s">
        <v>4194</v>
      </c>
      <c r="G231" s="98" t="s">
        <v>4195</v>
      </c>
      <c r="H231" s="99" t="s">
        <v>4196</v>
      </c>
      <c r="I231" s="98" t="s">
        <v>2608</v>
      </c>
      <c r="J231" s="98" t="s">
        <v>2620</v>
      </c>
      <c r="L231" s="99" t="s">
        <v>4048</v>
      </c>
      <c r="M231" s="132" t="s">
        <v>4197</v>
      </c>
      <c r="N231" s="134">
        <v>230.0</v>
      </c>
    </row>
    <row r="232">
      <c r="A232" s="57" t="s">
        <v>4198</v>
      </c>
      <c r="B232" s="60" t="s">
        <v>2114</v>
      </c>
      <c r="C232" s="59" t="s">
        <v>3884</v>
      </c>
      <c r="D232" s="59" t="s">
        <v>3938</v>
      </c>
      <c r="E232" s="60" t="s">
        <v>4042</v>
      </c>
      <c r="F232" s="59" t="s">
        <v>4199</v>
      </c>
      <c r="G232" s="60" t="s">
        <v>4200</v>
      </c>
      <c r="H232" s="59" t="s">
        <v>4201</v>
      </c>
      <c r="I232" s="60" t="s">
        <v>2608</v>
      </c>
      <c r="J232" s="60" t="s">
        <v>2620</v>
      </c>
      <c r="L232" s="59" t="s">
        <v>4048</v>
      </c>
      <c r="M232" s="127" t="s">
        <v>4202</v>
      </c>
      <c r="N232" s="129">
        <v>231.0</v>
      </c>
    </row>
    <row r="233">
      <c r="A233" s="102" t="s">
        <v>4203</v>
      </c>
      <c r="B233" s="98" t="s">
        <v>2207</v>
      </c>
      <c r="C233" s="99" t="s">
        <v>3884</v>
      </c>
      <c r="D233" s="99" t="s">
        <v>3626</v>
      </c>
      <c r="E233" s="99"/>
      <c r="F233" s="99" t="s">
        <v>4204</v>
      </c>
      <c r="G233" s="98" t="s">
        <v>4205</v>
      </c>
      <c r="H233" s="99" t="s">
        <v>4206</v>
      </c>
      <c r="I233" s="98" t="s">
        <v>2608</v>
      </c>
      <c r="J233" s="98" t="s">
        <v>2620</v>
      </c>
      <c r="L233" s="99" t="s">
        <v>4048</v>
      </c>
      <c r="M233" s="132" t="s">
        <v>4207</v>
      </c>
      <c r="N233" s="134">
        <v>232.0</v>
      </c>
    </row>
    <row r="234">
      <c r="A234" s="57" t="s">
        <v>4208</v>
      </c>
      <c r="B234" s="60" t="s">
        <v>2167</v>
      </c>
      <c r="C234" s="59" t="s">
        <v>3937</v>
      </c>
      <c r="D234" s="59" t="s">
        <v>3938</v>
      </c>
      <c r="E234" s="60" t="s">
        <v>1949</v>
      </c>
      <c r="F234" s="156" t="s">
        <v>3939</v>
      </c>
      <c r="G234" s="60" t="s">
        <v>3503</v>
      </c>
      <c r="H234" s="59" t="s">
        <v>4209</v>
      </c>
      <c r="I234" s="59"/>
      <c r="J234" s="60" t="s">
        <v>2620</v>
      </c>
      <c r="L234" s="59" t="s">
        <v>4048</v>
      </c>
      <c r="M234" s="127" t="s">
        <v>4210</v>
      </c>
      <c r="N234" s="129">
        <v>233.0</v>
      </c>
    </row>
    <row r="235">
      <c r="A235" s="102" t="s">
        <v>4211</v>
      </c>
      <c r="B235" s="98" t="s">
        <v>2213</v>
      </c>
      <c r="C235" s="99" t="s">
        <v>3884</v>
      </c>
      <c r="D235" s="99" t="s">
        <v>3938</v>
      </c>
      <c r="E235" s="98" t="s">
        <v>4042</v>
      </c>
      <c r="F235" s="99" t="s">
        <v>4212</v>
      </c>
      <c r="G235" s="98" t="s">
        <v>3503</v>
      </c>
      <c r="H235" s="99" t="s">
        <v>4213</v>
      </c>
      <c r="I235" s="99"/>
      <c r="J235" s="98" t="s">
        <v>2620</v>
      </c>
      <c r="K235" s="98" t="s">
        <v>4214</v>
      </c>
      <c r="L235" s="99" t="s">
        <v>4048</v>
      </c>
      <c r="M235" s="132" t="s">
        <v>4215</v>
      </c>
      <c r="N235" s="134">
        <v>234.0</v>
      </c>
    </row>
    <row r="236">
      <c r="A236" s="57" t="s">
        <v>4216</v>
      </c>
      <c r="B236" s="60" t="s">
        <v>2088</v>
      </c>
      <c r="C236" s="59" t="s">
        <v>3884</v>
      </c>
      <c r="D236" s="59" t="s">
        <v>3885</v>
      </c>
      <c r="E236" s="59"/>
      <c r="F236" s="59" t="s">
        <v>4217</v>
      </c>
      <c r="G236" s="60" t="s">
        <v>3503</v>
      </c>
      <c r="H236" s="59" t="s">
        <v>4218</v>
      </c>
      <c r="I236" s="60" t="s">
        <v>2618</v>
      </c>
      <c r="J236" s="60" t="s">
        <v>2620</v>
      </c>
      <c r="K236" s="59"/>
      <c r="L236" s="59" t="s">
        <v>4048</v>
      </c>
      <c r="M236" s="127" t="s">
        <v>4219</v>
      </c>
      <c r="N236" s="129">
        <v>235.0</v>
      </c>
    </row>
    <row r="237">
      <c r="A237" s="102" t="s">
        <v>4220</v>
      </c>
      <c r="B237" s="98" t="s">
        <v>2219</v>
      </c>
      <c r="C237" s="99" t="s">
        <v>3884</v>
      </c>
      <c r="D237" s="99" t="s">
        <v>3885</v>
      </c>
      <c r="E237" s="99"/>
      <c r="F237" s="99" t="s">
        <v>4221</v>
      </c>
      <c r="G237" s="98" t="s">
        <v>3499</v>
      </c>
      <c r="H237" s="99" t="s">
        <v>4222</v>
      </c>
      <c r="I237" s="98" t="s">
        <v>2618</v>
      </c>
      <c r="J237" s="98" t="s">
        <v>3464</v>
      </c>
      <c r="K237" s="99"/>
      <c r="L237" s="99" t="s">
        <v>4048</v>
      </c>
      <c r="M237" s="132" t="s">
        <v>4223</v>
      </c>
      <c r="N237" s="134">
        <v>236.0</v>
      </c>
    </row>
    <row r="238">
      <c r="A238" s="57" t="s">
        <v>4224</v>
      </c>
      <c r="B238" s="60" t="s">
        <v>3904</v>
      </c>
      <c r="C238" s="59" t="s">
        <v>3884</v>
      </c>
      <c r="D238" s="59" t="s">
        <v>3885</v>
      </c>
      <c r="E238" s="59"/>
      <c r="F238" s="59" t="s">
        <v>4225</v>
      </c>
      <c r="G238" s="60" t="s">
        <v>3503</v>
      </c>
      <c r="H238" s="59" t="s">
        <v>4226</v>
      </c>
      <c r="I238" s="60" t="s">
        <v>2600</v>
      </c>
      <c r="J238" s="60" t="s">
        <v>3464</v>
      </c>
      <c r="K238" s="59"/>
      <c r="L238" s="59" t="s">
        <v>4048</v>
      </c>
      <c r="M238" s="127" t="s">
        <v>4227</v>
      </c>
      <c r="N238" s="129">
        <v>237.0</v>
      </c>
    </row>
    <row r="239">
      <c r="A239" s="102" t="s">
        <v>4228</v>
      </c>
      <c r="B239" s="98" t="s">
        <v>4031</v>
      </c>
      <c r="C239" s="99" t="s">
        <v>3884</v>
      </c>
      <c r="D239" s="99" t="s">
        <v>3885</v>
      </c>
      <c r="E239" s="99"/>
      <c r="F239" s="99" t="s">
        <v>4229</v>
      </c>
      <c r="G239" s="98" t="s">
        <v>3499</v>
      </c>
      <c r="H239" s="99" t="s">
        <v>4230</v>
      </c>
      <c r="I239" s="98" t="s">
        <v>2600</v>
      </c>
      <c r="J239" s="98" t="s">
        <v>3464</v>
      </c>
      <c r="K239" s="99"/>
      <c r="L239" s="99" t="s">
        <v>4048</v>
      </c>
      <c r="M239" s="132" t="s">
        <v>4231</v>
      </c>
      <c r="N239" s="134">
        <v>238.0</v>
      </c>
    </row>
    <row r="240">
      <c r="A240" s="57" t="s">
        <v>4232</v>
      </c>
      <c r="B240" s="60" t="s">
        <v>2224</v>
      </c>
      <c r="C240" s="59" t="s">
        <v>3937</v>
      </c>
      <c r="D240" s="59" t="s">
        <v>3938</v>
      </c>
      <c r="E240" s="60" t="s">
        <v>1949</v>
      </c>
      <c r="F240" s="156" t="s">
        <v>3939</v>
      </c>
      <c r="G240" s="60" t="s">
        <v>3503</v>
      </c>
      <c r="H240" s="59" t="s">
        <v>4233</v>
      </c>
      <c r="I240" s="59"/>
      <c r="J240" s="60" t="s">
        <v>2620</v>
      </c>
      <c r="K240" s="59"/>
      <c r="L240" s="59" t="s">
        <v>4048</v>
      </c>
      <c r="M240" s="127" t="s">
        <v>4234</v>
      </c>
      <c r="N240" s="129">
        <v>239.0</v>
      </c>
    </row>
    <row r="241">
      <c r="A241" s="102" t="s">
        <v>4235</v>
      </c>
      <c r="B241" s="98" t="s">
        <v>4236</v>
      </c>
      <c r="C241" s="99" t="s">
        <v>3884</v>
      </c>
      <c r="D241" s="99" t="s">
        <v>3885</v>
      </c>
      <c r="E241" s="99"/>
      <c r="F241" s="99" t="s">
        <v>4237</v>
      </c>
      <c r="G241" s="98" t="s">
        <v>3499</v>
      </c>
      <c r="H241" s="99" t="s">
        <v>4238</v>
      </c>
      <c r="I241" s="98" t="s">
        <v>2610</v>
      </c>
      <c r="J241" s="98" t="s">
        <v>2620</v>
      </c>
      <c r="K241" s="99"/>
      <c r="L241" s="99" t="s">
        <v>4048</v>
      </c>
      <c r="M241" s="132" t="s">
        <v>4239</v>
      </c>
      <c r="N241" s="134">
        <v>240.0</v>
      </c>
    </row>
    <row r="242">
      <c r="A242" s="57" t="s">
        <v>4240</v>
      </c>
      <c r="B242" s="60" t="s">
        <v>3942</v>
      </c>
      <c r="C242" s="59" t="s">
        <v>3884</v>
      </c>
      <c r="D242" s="59" t="s">
        <v>3885</v>
      </c>
      <c r="E242" s="59"/>
      <c r="F242" s="59" t="s">
        <v>4241</v>
      </c>
      <c r="G242" s="60" t="s">
        <v>3893</v>
      </c>
      <c r="H242" s="59" t="s">
        <v>4242</v>
      </c>
      <c r="I242" s="60" t="s">
        <v>2622</v>
      </c>
      <c r="J242" s="60" t="s">
        <v>2620</v>
      </c>
      <c r="K242" s="59"/>
      <c r="L242" s="59" t="s">
        <v>4048</v>
      </c>
      <c r="M242" s="127" t="s">
        <v>4243</v>
      </c>
      <c r="N242" s="129">
        <v>241.0</v>
      </c>
    </row>
    <row r="243">
      <c r="A243" s="102" t="s">
        <v>4244</v>
      </c>
      <c r="B243" s="98" t="s">
        <v>2040</v>
      </c>
      <c r="C243" s="99" t="s">
        <v>3884</v>
      </c>
      <c r="D243" s="99" t="s">
        <v>3626</v>
      </c>
      <c r="E243" s="99"/>
      <c r="F243" s="99" t="s">
        <v>4245</v>
      </c>
      <c r="G243" s="98" t="s">
        <v>3503</v>
      </c>
      <c r="H243" s="99" t="s">
        <v>4246</v>
      </c>
      <c r="I243" s="98" t="s">
        <v>2630</v>
      </c>
      <c r="J243" s="98" t="s">
        <v>3464</v>
      </c>
      <c r="K243" s="99"/>
      <c r="L243" s="99" t="s">
        <v>4048</v>
      </c>
      <c r="M243" s="132" t="s">
        <v>4247</v>
      </c>
      <c r="N243" s="134">
        <v>242.0</v>
      </c>
    </row>
    <row r="244">
      <c r="A244" s="57" t="s">
        <v>4244</v>
      </c>
      <c r="B244" s="60" t="s">
        <v>1982</v>
      </c>
      <c r="C244" s="59" t="s">
        <v>3884</v>
      </c>
      <c r="D244" s="59" t="s">
        <v>3626</v>
      </c>
      <c r="E244" s="59"/>
      <c r="F244" s="59" t="s">
        <v>4248</v>
      </c>
      <c r="G244" s="60" t="s">
        <v>3503</v>
      </c>
      <c r="H244" s="59" t="s">
        <v>4249</v>
      </c>
      <c r="I244" s="60" t="s">
        <v>2630</v>
      </c>
      <c r="J244" s="60" t="s">
        <v>3464</v>
      </c>
      <c r="K244" s="59"/>
      <c r="L244" s="59" t="s">
        <v>4048</v>
      </c>
      <c r="M244" s="127" t="s">
        <v>4250</v>
      </c>
      <c r="N244" s="129">
        <v>243.0</v>
      </c>
    </row>
    <row r="245">
      <c r="A245" s="102" t="s">
        <v>4251</v>
      </c>
      <c r="B245" s="98" t="s">
        <v>1987</v>
      </c>
      <c r="C245" s="99" t="s">
        <v>3884</v>
      </c>
      <c r="D245" s="99" t="s">
        <v>3626</v>
      </c>
      <c r="E245" s="99"/>
      <c r="F245" s="99" t="s">
        <v>4252</v>
      </c>
      <c r="G245" s="98" t="s">
        <v>3893</v>
      </c>
      <c r="H245" s="99" t="s">
        <v>4253</v>
      </c>
      <c r="I245" s="98" t="s">
        <v>2630</v>
      </c>
      <c r="J245" s="98" t="s">
        <v>3464</v>
      </c>
      <c r="K245" s="99"/>
      <c r="L245" s="99" t="s">
        <v>4048</v>
      </c>
      <c r="M245" s="132" t="s">
        <v>4254</v>
      </c>
      <c r="N245" s="134">
        <v>244.0</v>
      </c>
    </row>
    <row r="246">
      <c r="A246" s="57" t="s">
        <v>4255</v>
      </c>
      <c r="B246" s="60" t="s">
        <v>2230</v>
      </c>
      <c r="C246" s="59" t="s">
        <v>3884</v>
      </c>
      <c r="D246" s="59" t="s">
        <v>3938</v>
      </c>
      <c r="E246" s="60" t="s">
        <v>4042</v>
      </c>
      <c r="F246" s="59" t="s">
        <v>4256</v>
      </c>
      <c r="G246" s="60" t="s">
        <v>3897</v>
      </c>
      <c r="H246" s="59" t="s">
        <v>4257</v>
      </c>
      <c r="I246" s="59"/>
      <c r="J246" s="60" t="s">
        <v>3464</v>
      </c>
      <c r="K246" s="59"/>
      <c r="L246" s="59" t="s">
        <v>4048</v>
      </c>
      <c r="M246" s="127" t="s">
        <v>4258</v>
      </c>
      <c r="N246" s="129">
        <v>245.0</v>
      </c>
    </row>
    <row r="247">
      <c r="A247" s="102" t="s">
        <v>4259</v>
      </c>
      <c r="B247" s="98" t="s">
        <v>2235</v>
      </c>
      <c r="C247" s="99" t="s">
        <v>3884</v>
      </c>
      <c r="D247" s="99" t="s">
        <v>3626</v>
      </c>
      <c r="E247" s="99"/>
      <c r="F247" s="99" t="s">
        <v>4260</v>
      </c>
      <c r="G247" s="98" t="s">
        <v>3503</v>
      </c>
      <c r="H247" s="99" t="s">
        <v>4261</v>
      </c>
      <c r="I247" s="98" t="s">
        <v>3228</v>
      </c>
      <c r="J247" s="98" t="s">
        <v>2614</v>
      </c>
      <c r="K247" s="99"/>
      <c r="L247" s="99" t="s">
        <v>4048</v>
      </c>
      <c r="M247" s="132" t="s">
        <v>4262</v>
      </c>
      <c r="N247" s="134">
        <v>246.0</v>
      </c>
    </row>
    <row r="248">
      <c r="A248" s="57" t="s">
        <v>4263</v>
      </c>
      <c r="B248" s="60" t="s">
        <v>2241</v>
      </c>
      <c r="C248" s="59" t="s">
        <v>3884</v>
      </c>
      <c r="D248" s="59" t="s">
        <v>3626</v>
      </c>
      <c r="E248" s="59"/>
      <c r="F248" s="59" t="s">
        <v>4264</v>
      </c>
      <c r="G248" s="60" t="s">
        <v>3499</v>
      </c>
      <c r="H248" s="59" t="s">
        <v>4265</v>
      </c>
      <c r="I248" s="60" t="s">
        <v>3228</v>
      </c>
      <c r="J248" s="60" t="s">
        <v>2614</v>
      </c>
      <c r="K248" s="59"/>
      <c r="L248" s="59" t="s">
        <v>4048</v>
      </c>
      <c r="M248" s="127" t="s">
        <v>4266</v>
      </c>
      <c r="N248" s="129">
        <v>247.0</v>
      </c>
    </row>
    <row r="249">
      <c r="A249" s="102" t="s">
        <v>4267</v>
      </c>
      <c r="B249" s="98" t="s">
        <v>2247</v>
      </c>
      <c r="C249" s="99" t="s">
        <v>3884</v>
      </c>
      <c r="D249" s="99" t="s">
        <v>3626</v>
      </c>
      <c r="E249" s="99"/>
      <c r="F249" s="99" t="s">
        <v>4268</v>
      </c>
      <c r="G249" s="98" t="s">
        <v>3503</v>
      </c>
      <c r="H249" s="99" t="s">
        <v>4269</v>
      </c>
      <c r="I249" s="98" t="s">
        <v>3228</v>
      </c>
      <c r="J249" s="98" t="s">
        <v>2614</v>
      </c>
      <c r="K249" s="99"/>
      <c r="L249" s="99" t="s">
        <v>4048</v>
      </c>
      <c r="M249" s="132" t="s">
        <v>4270</v>
      </c>
      <c r="N249" s="134">
        <v>248.0</v>
      </c>
    </row>
    <row r="250">
      <c r="A250" s="57" t="s">
        <v>4271</v>
      </c>
      <c r="B250" s="60" t="s">
        <v>2253</v>
      </c>
      <c r="C250" s="59" t="s">
        <v>3884</v>
      </c>
      <c r="D250" s="59" t="s">
        <v>3626</v>
      </c>
      <c r="E250" s="59"/>
      <c r="F250" s="59" t="s">
        <v>4272</v>
      </c>
      <c r="G250" s="60" t="s">
        <v>3499</v>
      </c>
      <c r="H250" s="59" t="s">
        <v>4273</v>
      </c>
      <c r="I250" s="60" t="s">
        <v>3228</v>
      </c>
      <c r="J250" s="60" t="s">
        <v>2614</v>
      </c>
      <c r="K250" s="59"/>
      <c r="L250" s="59" t="s">
        <v>4048</v>
      </c>
      <c r="M250" s="127" t="s">
        <v>4274</v>
      </c>
      <c r="N250" s="129">
        <v>249.0</v>
      </c>
    </row>
    <row r="251">
      <c r="A251" s="102" t="s">
        <v>4275</v>
      </c>
      <c r="B251" s="98" t="s">
        <v>2258</v>
      </c>
      <c r="C251" s="99" t="s">
        <v>3884</v>
      </c>
      <c r="D251" s="99" t="s">
        <v>3626</v>
      </c>
      <c r="E251" s="99"/>
      <c r="F251" s="99" t="s">
        <v>4276</v>
      </c>
      <c r="G251" s="98" t="s">
        <v>3893</v>
      </c>
      <c r="H251" s="99" t="s">
        <v>4277</v>
      </c>
      <c r="I251" s="98" t="s">
        <v>3228</v>
      </c>
      <c r="J251" s="98" t="s">
        <v>3464</v>
      </c>
      <c r="K251" s="99"/>
      <c r="L251" s="99" t="s">
        <v>4048</v>
      </c>
      <c r="M251" s="132"/>
      <c r="N251" s="134">
        <v>250.0</v>
      </c>
    </row>
    <row r="252">
      <c r="A252" s="57" t="s">
        <v>4278</v>
      </c>
      <c r="B252" s="60" t="s">
        <v>2264</v>
      </c>
      <c r="C252" s="59" t="s">
        <v>3884</v>
      </c>
      <c r="D252" s="59" t="s">
        <v>3626</v>
      </c>
      <c r="E252" s="59"/>
      <c r="F252" s="59" t="s">
        <v>4279</v>
      </c>
      <c r="G252" s="60" t="s">
        <v>3897</v>
      </c>
      <c r="H252" s="59" t="s">
        <v>4280</v>
      </c>
      <c r="I252" s="60" t="s">
        <v>3228</v>
      </c>
      <c r="J252" s="60" t="s">
        <v>3464</v>
      </c>
      <c r="K252" s="59"/>
      <c r="L252" s="59" t="s">
        <v>4048</v>
      </c>
      <c r="M252" s="127" t="s">
        <v>4281</v>
      </c>
      <c r="N252" s="129">
        <v>251.0</v>
      </c>
    </row>
    <row r="253">
      <c r="A253" s="102" t="s">
        <v>4282</v>
      </c>
      <c r="B253" s="98" t="s">
        <v>2270</v>
      </c>
      <c r="C253" s="99" t="s">
        <v>3884</v>
      </c>
      <c r="D253" s="99" t="s">
        <v>3885</v>
      </c>
      <c r="E253" s="99"/>
      <c r="F253" s="99" t="s">
        <v>4283</v>
      </c>
      <c r="G253" s="98" t="s">
        <v>3503</v>
      </c>
      <c r="H253" s="99" t="s">
        <v>4284</v>
      </c>
      <c r="I253" s="98" t="s">
        <v>2610</v>
      </c>
      <c r="J253" s="98" t="s">
        <v>3464</v>
      </c>
      <c r="K253" s="99"/>
      <c r="L253" s="99" t="s">
        <v>4048</v>
      </c>
      <c r="M253" s="132" t="s">
        <v>4285</v>
      </c>
      <c r="N253" s="134">
        <v>252.0</v>
      </c>
    </row>
    <row r="254">
      <c r="A254" s="57" t="s">
        <v>4286</v>
      </c>
      <c r="B254" s="60" t="s">
        <v>2275</v>
      </c>
      <c r="C254" s="59" t="s">
        <v>3884</v>
      </c>
      <c r="D254" s="59" t="s">
        <v>3885</v>
      </c>
      <c r="E254" s="59"/>
      <c r="F254" s="59" t="s">
        <v>4287</v>
      </c>
      <c r="G254" s="60" t="s">
        <v>3499</v>
      </c>
      <c r="H254" s="59" t="s">
        <v>4288</v>
      </c>
      <c r="I254" s="60" t="s">
        <v>2610</v>
      </c>
      <c r="J254" s="60" t="s">
        <v>3464</v>
      </c>
      <c r="K254" s="59"/>
      <c r="L254" s="59" t="s">
        <v>4048</v>
      </c>
      <c r="M254" s="127" t="s">
        <v>4289</v>
      </c>
      <c r="N254" s="129">
        <v>253.0</v>
      </c>
    </row>
    <row r="255">
      <c r="A255" s="102" t="s">
        <v>4290</v>
      </c>
      <c r="B255" s="98" t="s">
        <v>3904</v>
      </c>
      <c r="C255" s="99" t="s">
        <v>3884</v>
      </c>
      <c r="D255" s="99" t="s">
        <v>3885</v>
      </c>
      <c r="E255" s="99"/>
      <c r="F255" s="99" t="s">
        <v>4291</v>
      </c>
      <c r="G255" s="98" t="s">
        <v>3893</v>
      </c>
      <c r="H255" s="99" t="s">
        <v>4292</v>
      </c>
      <c r="I255" s="98" t="s">
        <v>2600</v>
      </c>
      <c r="J255" s="98" t="s">
        <v>3464</v>
      </c>
      <c r="K255" s="99"/>
      <c r="L255" s="99" t="s">
        <v>4048</v>
      </c>
      <c r="M255" s="132"/>
      <c r="N255" s="134">
        <v>254.0</v>
      </c>
    </row>
    <row r="256">
      <c r="A256" s="57" t="s">
        <v>4293</v>
      </c>
      <c r="B256" s="60" t="s">
        <v>2280</v>
      </c>
      <c r="C256" s="59" t="s">
        <v>3884</v>
      </c>
      <c r="D256" s="59" t="s">
        <v>3626</v>
      </c>
      <c r="E256" s="59"/>
      <c r="F256" s="59" t="s">
        <v>4294</v>
      </c>
      <c r="G256" s="60" t="s">
        <v>3503</v>
      </c>
      <c r="H256" s="59" t="s">
        <v>4295</v>
      </c>
      <c r="I256" s="60" t="s">
        <v>2604</v>
      </c>
      <c r="J256" s="60" t="s">
        <v>3464</v>
      </c>
      <c r="K256" s="59"/>
      <c r="L256" s="59" t="s">
        <v>4048</v>
      </c>
      <c r="M256" s="127"/>
      <c r="N256" s="129">
        <v>255.0</v>
      </c>
    </row>
    <row r="257">
      <c r="A257" s="102" t="s">
        <v>4296</v>
      </c>
      <c r="B257" s="98" t="s">
        <v>3904</v>
      </c>
      <c r="C257" s="99" t="s">
        <v>3884</v>
      </c>
      <c r="D257" s="99" t="s">
        <v>3885</v>
      </c>
      <c r="E257" s="99"/>
      <c r="F257" s="99" t="s">
        <v>4297</v>
      </c>
      <c r="G257" s="98" t="s">
        <v>3503</v>
      </c>
      <c r="H257" s="99" t="s">
        <v>4298</v>
      </c>
      <c r="I257" s="98" t="s">
        <v>2610</v>
      </c>
      <c r="J257" s="98" t="s">
        <v>3464</v>
      </c>
      <c r="K257" s="99"/>
      <c r="L257" s="99" t="s">
        <v>4048</v>
      </c>
      <c r="M257" s="132" t="s">
        <v>4299</v>
      </c>
      <c r="N257" s="134">
        <v>256.0</v>
      </c>
    </row>
    <row r="258">
      <c r="A258" s="57" t="s">
        <v>4300</v>
      </c>
      <c r="B258" s="60" t="s">
        <v>4031</v>
      </c>
      <c r="C258" s="59" t="s">
        <v>3884</v>
      </c>
      <c r="D258" s="59" t="s">
        <v>3885</v>
      </c>
      <c r="E258" s="59"/>
      <c r="F258" s="59" t="s">
        <v>4301</v>
      </c>
      <c r="G258" s="60" t="s">
        <v>3499</v>
      </c>
      <c r="H258" s="59" t="s">
        <v>4302</v>
      </c>
      <c r="I258" s="60" t="s">
        <v>2610</v>
      </c>
      <c r="J258" s="60" t="s">
        <v>3464</v>
      </c>
      <c r="K258" s="59"/>
      <c r="L258" s="59" t="s">
        <v>4048</v>
      </c>
      <c r="M258" s="127" t="s">
        <v>4303</v>
      </c>
      <c r="N258" s="129">
        <v>257.0</v>
      </c>
    </row>
    <row r="259">
      <c r="A259" s="102" t="s">
        <v>4304</v>
      </c>
      <c r="B259" s="98" t="s">
        <v>2014</v>
      </c>
      <c r="C259" s="99" t="s">
        <v>3884</v>
      </c>
      <c r="D259" s="99" t="s">
        <v>3885</v>
      </c>
      <c r="E259" s="99"/>
      <c r="F259" s="99" t="s">
        <v>4305</v>
      </c>
      <c r="G259" s="98" t="s">
        <v>3893</v>
      </c>
      <c r="H259" s="99" t="s">
        <v>4306</v>
      </c>
      <c r="I259" s="98" t="s">
        <v>2600</v>
      </c>
      <c r="J259" s="98" t="s">
        <v>3464</v>
      </c>
      <c r="K259" s="99"/>
      <c r="L259" s="99" t="s">
        <v>4048</v>
      </c>
      <c r="M259" s="132" t="s">
        <v>4307</v>
      </c>
      <c r="N259" s="134">
        <v>258.0</v>
      </c>
    </row>
    <row r="260">
      <c r="A260" s="57" t="s">
        <v>4308</v>
      </c>
      <c r="B260" s="60" t="s">
        <v>2286</v>
      </c>
      <c r="C260" s="59" t="s">
        <v>3884</v>
      </c>
      <c r="D260" s="59" t="s">
        <v>3626</v>
      </c>
      <c r="E260" s="59"/>
      <c r="F260" s="59" t="s">
        <v>4309</v>
      </c>
      <c r="G260" s="60" t="s">
        <v>3897</v>
      </c>
      <c r="H260" s="59" t="s">
        <v>4310</v>
      </c>
      <c r="I260" s="60" t="s">
        <v>2600</v>
      </c>
      <c r="J260" s="60" t="s">
        <v>3464</v>
      </c>
      <c r="K260" s="59"/>
      <c r="L260" s="59" t="s">
        <v>4048</v>
      </c>
      <c r="M260" s="127" t="s">
        <v>4311</v>
      </c>
      <c r="N260" s="129">
        <v>259.0</v>
      </c>
    </row>
    <row r="261">
      <c r="A261" s="102" t="s">
        <v>4312</v>
      </c>
      <c r="B261" s="98" t="s">
        <v>2292</v>
      </c>
      <c r="C261" s="99" t="s">
        <v>3884</v>
      </c>
      <c r="D261" s="99" t="s">
        <v>3626</v>
      </c>
      <c r="E261" s="99"/>
      <c r="F261" s="99" t="s">
        <v>4313</v>
      </c>
      <c r="G261" s="98" t="s">
        <v>3503</v>
      </c>
      <c r="H261" s="99" t="s">
        <v>4314</v>
      </c>
      <c r="I261" s="98" t="s">
        <v>2614</v>
      </c>
      <c r="J261" s="98" t="s">
        <v>3464</v>
      </c>
      <c r="K261" s="99"/>
      <c r="L261" s="99" t="s">
        <v>4048</v>
      </c>
      <c r="M261" s="132" t="s">
        <v>4315</v>
      </c>
      <c r="N261" s="134">
        <v>260.0</v>
      </c>
    </row>
    <row r="262">
      <c r="A262" s="57" t="s">
        <v>4316</v>
      </c>
      <c r="B262" s="60" t="s">
        <v>4317</v>
      </c>
      <c r="C262" s="59" t="s">
        <v>3884</v>
      </c>
      <c r="D262" s="59" t="s">
        <v>3626</v>
      </c>
      <c r="E262" s="59"/>
      <c r="F262" s="59" t="s">
        <v>4318</v>
      </c>
      <c r="G262" s="60" t="s">
        <v>3499</v>
      </c>
      <c r="H262" s="59" t="s">
        <v>4319</v>
      </c>
      <c r="I262" s="60" t="s">
        <v>2614</v>
      </c>
      <c r="J262" s="60" t="s">
        <v>3464</v>
      </c>
      <c r="K262" s="59"/>
      <c r="L262" s="59" t="s">
        <v>4048</v>
      </c>
      <c r="M262" s="127" t="s">
        <v>4320</v>
      </c>
      <c r="N262" s="129">
        <v>261.0</v>
      </c>
    </row>
    <row r="263">
      <c r="A263" s="102" t="s">
        <v>4321</v>
      </c>
      <c r="B263" s="98" t="s">
        <v>4322</v>
      </c>
      <c r="C263" s="99" t="s">
        <v>3884</v>
      </c>
      <c r="D263" s="99" t="s">
        <v>3885</v>
      </c>
      <c r="E263" s="99"/>
      <c r="F263" s="99" t="s">
        <v>4323</v>
      </c>
      <c r="G263" s="98" t="s">
        <v>3893</v>
      </c>
      <c r="H263" s="99" t="s">
        <v>4324</v>
      </c>
      <c r="I263" s="98" t="s">
        <v>2626</v>
      </c>
      <c r="J263" s="98" t="s">
        <v>3464</v>
      </c>
      <c r="K263" s="99"/>
      <c r="L263" s="99" t="s">
        <v>4048</v>
      </c>
      <c r="M263" s="132" t="s">
        <v>4325</v>
      </c>
      <c r="N263" s="134">
        <v>262.0</v>
      </c>
    </row>
    <row r="264">
      <c r="A264" s="57" t="s">
        <v>4326</v>
      </c>
      <c r="B264" s="60" t="s">
        <v>2076</v>
      </c>
      <c r="C264" s="59" t="s">
        <v>3884</v>
      </c>
      <c r="D264" s="59" t="s">
        <v>3885</v>
      </c>
      <c r="E264" s="59"/>
      <c r="F264" s="59" t="s">
        <v>4327</v>
      </c>
      <c r="G264" s="60" t="s">
        <v>3503</v>
      </c>
      <c r="H264" s="59" t="s">
        <v>4328</v>
      </c>
      <c r="I264" s="60" t="s">
        <v>2600</v>
      </c>
      <c r="J264" s="60" t="s">
        <v>3464</v>
      </c>
      <c r="K264" s="59"/>
      <c r="L264" s="59" t="s">
        <v>4048</v>
      </c>
      <c r="M264" s="127" t="s">
        <v>4329</v>
      </c>
      <c r="N264" s="129">
        <v>263.0</v>
      </c>
    </row>
    <row r="265">
      <c r="A265" s="102" t="s">
        <v>4330</v>
      </c>
      <c r="B265" s="98" t="s">
        <v>2005</v>
      </c>
      <c r="C265" s="99" t="s">
        <v>3884</v>
      </c>
      <c r="D265" s="99" t="s">
        <v>3885</v>
      </c>
      <c r="E265" s="99"/>
      <c r="F265" s="99" t="s">
        <v>4331</v>
      </c>
      <c r="G265" s="98" t="s">
        <v>3499</v>
      </c>
      <c r="H265" s="99" t="s">
        <v>4332</v>
      </c>
      <c r="I265" s="98" t="s">
        <v>2628</v>
      </c>
      <c r="J265" s="98" t="s">
        <v>3464</v>
      </c>
      <c r="K265" s="99"/>
      <c r="L265" s="99" t="s">
        <v>4048</v>
      </c>
      <c r="M265" s="132" t="s">
        <v>4333</v>
      </c>
      <c r="N265" s="134">
        <v>264.0</v>
      </c>
    </row>
    <row r="266">
      <c r="A266" s="57" t="s">
        <v>4334</v>
      </c>
      <c r="B266" s="60" t="s">
        <v>2014</v>
      </c>
      <c r="C266" s="59" t="s">
        <v>3884</v>
      </c>
      <c r="D266" s="59" t="s">
        <v>3885</v>
      </c>
      <c r="E266" s="59"/>
      <c r="F266" s="59" t="s">
        <v>4335</v>
      </c>
      <c r="G266" s="60" t="s">
        <v>3893</v>
      </c>
      <c r="H266" s="59" t="s">
        <v>4336</v>
      </c>
      <c r="I266" s="60" t="s">
        <v>2628</v>
      </c>
      <c r="J266" s="60" t="s">
        <v>3464</v>
      </c>
      <c r="K266" s="59"/>
      <c r="L266" s="59" t="s">
        <v>4048</v>
      </c>
      <c r="M266" s="127" t="s">
        <v>4337</v>
      </c>
      <c r="N266" s="129">
        <v>265.0</v>
      </c>
    </row>
    <row r="267">
      <c r="A267" s="102" t="s">
        <v>4338</v>
      </c>
      <c r="B267" s="98" t="s">
        <v>2297</v>
      </c>
      <c r="C267" s="99" t="s">
        <v>3884</v>
      </c>
      <c r="D267" s="99" t="s">
        <v>3626</v>
      </c>
      <c r="E267" s="99"/>
      <c r="F267" s="99" t="s">
        <v>4339</v>
      </c>
      <c r="G267" s="98" t="s">
        <v>3503</v>
      </c>
      <c r="H267" s="99" t="s">
        <v>4340</v>
      </c>
      <c r="I267" s="98" t="s">
        <v>3328</v>
      </c>
      <c r="J267" s="98" t="s">
        <v>2630</v>
      </c>
      <c r="K267" s="99"/>
      <c r="L267" s="99" t="s">
        <v>4048</v>
      </c>
      <c r="M267" s="132"/>
      <c r="N267" s="134">
        <v>266.0</v>
      </c>
    </row>
    <row r="268">
      <c r="A268" s="57" t="s">
        <v>4341</v>
      </c>
      <c r="B268" s="60" t="s">
        <v>3904</v>
      </c>
      <c r="C268" s="59" t="s">
        <v>3884</v>
      </c>
      <c r="D268" s="59" t="s">
        <v>3626</v>
      </c>
      <c r="E268" s="59"/>
      <c r="F268" s="59" t="s">
        <v>4342</v>
      </c>
      <c r="G268" s="60" t="s">
        <v>3503</v>
      </c>
      <c r="H268" s="59" t="s">
        <v>4343</v>
      </c>
      <c r="I268" s="60" t="s">
        <v>2610</v>
      </c>
      <c r="J268" s="60" t="s">
        <v>3464</v>
      </c>
      <c r="K268" s="59"/>
      <c r="L268" s="59" t="s">
        <v>4048</v>
      </c>
      <c r="M268" s="127" t="s">
        <v>4344</v>
      </c>
      <c r="N268" s="129">
        <v>267.0</v>
      </c>
    </row>
    <row r="269">
      <c r="A269" s="102" t="s">
        <v>4345</v>
      </c>
      <c r="B269" s="98" t="s">
        <v>3904</v>
      </c>
      <c r="C269" s="99" t="s">
        <v>3884</v>
      </c>
      <c r="D269" s="99" t="s">
        <v>3626</v>
      </c>
      <c r="E269" s="99"/>
      <c r="F269" s="99" t="s">
        <v>4346</v>
      </c>
      <c r="G269" s="98" t="s">
        <v>3503</v>
      </c>
      <c r="H269" s="99" t="s">
        <v>4347</v>
      </c>
      <c r="I269" s="98" t="s">
        <v>2614</v>
      </c>
      <c r="J269" s="98" t="s">
        <v>3464</v>
      </c>
      <c r="K269" s="99"/>
      <c r="L269" s="99" t="s">
        <v>4048</v>
      </c>
      <c r="M269" s="132" t="s">
        <v>4348</v>
      </c>
      <c r="N269" s="134">
        <v>268.0</v>
      </c>
    </row>
    <row r="270">
      <c r="A270" s="57" t="s">
        <v>4349</v>
      </c>
      <c r="B270" s="60" t="s">
        <v>2014</v>
      </c>
      <c r="C270" s="59" t="s">
        <v>3884</v>
      </c>
      <c r="D270" s="59" t="s">
        <v>3885</v>
      </c>
      <c r="E270" s="59"/>
      <c r="F270" s="59" t="s">
        <v>4350</v>
      </c>
      <c r="G270" s="60" t="s">
        <v>3499</v>
      </c>
      <c r="H270" s="59" t="s">
        <v>4351</v>
      </c>
      <c r="I270" s="60" t="s">
        <v>2600</v>
      </c>
      <c r="J270" s="60" t="s">
        <v>3464</v>
      </c>
      <c r="K270" s="59"/>
      <c r="L270" s="59" t="s">
        <v>4048</v>
      </c>
      <c r="M270" s="127" t="s">
        <v>4352</v>
      </c>
      <c r="N270" s="129">
        <v>269.0</v>
      </c>
    </row>
    <row r="271">
      <c r="A271" s="102" t="s">
        <v>4353</v>
      </c>
      <c r="B271" s="98" t="s">
        <v>2005</v>
      </c>
      <c r="C271" s="99" t="s">
        <v>3884</v>
      </c>
      <c r="D271" s="99" t="s">
        <v>3885</v>
      </c>
      <c r="E271" s="99"/>
      <c r="F271" s="99" t="s">
        <v>4354</v>
      </c>
      <c r="G271" s="98" t="s">
        <v>3893</v>
      </c>
      <c r="H271" s="99" t="s">
        <v>4355</v>
      </c>
      <c r="I271" s="98" t="s">
        <v>2600</v>
      </c>
      <c r="J271" s="98" t="s">
        <v>3464</v>
      </c>
      <c r="K271" s="99"/>
      <c r="L271" s="99" t="s">
        <v>4048</v>
      </c>
      <c r="M271" s="132" t="s">
        <v>4356</v>
      </c>
      <c r="N271" s="134">
        <v>270.0</v>
      </c>
    </row>
    <row r="272">
      <c r="A272" s="57" t="s">
        <v>4357</v>
      </c>
      <c r="B272" s="60" t="s">
        <v>3942</v>
      </c>
      <c r="C272" s="59" t="s">
        <v>3884</v>
      </c>
      <c r="D272" s="59" t="s">
        <v>3885</v>
      </c>
      <c r="E272" s="59"/>
      <c r="F272" s="59" t="s">
        <v>4358</v>
      </c>
      <c r="G272" s="60" t="s">
        <v>3897</v>
      </c>
      <c r="H272" s="59" t="s">
        <v>4359</v>
      </c>
      <c r="I272" s="60" t="s">
        <v>2640</v>
      </c>
      <c r="J272" s="60" t="s">
        <v>3464</v>
      </c>
      <c r="K272" s="59"/>
      <c r="L272" s="59" t="s">
        <v>4048</v>
      </c>
      <c r="M272" s="127" t="s">
        <v>4360</v>
      </c>
      <c r="N272" s="129">
        <v>271.0</v>
      </c>
    </row>
    <row r="273">
      <c r="A273" s="102" t="s">
        <v>4361</v>
      </c>
      <c r="B273" s="98" t="s">
        <v>2230</v>
      </c>
      <c r="C273" s="99" t="s">
        <v>3884</v>
      </c>
      <c r="D273" s="99" t="s">
        <v>3626</v>
      </c>
      <c r="E273" s="99"/>
      <c r="F273" s="99" t="s">
        <v>4362</v>
      </c>
      <c r="G273" s="98" t="s">
        <v>3503</v>
      </c>
      <c r="H273" s="99" t="s">
        <v>4363</v>
      </c>
      <c r="I273" s="98" t="s">
        <v>3228</v>
      </c>
      <c r="J273" s="98" t="s">
        <v>3464</v>
      </c>
      <c r="K273" s="99"/>
      <c r="L273" s="99" t="s">
        <v>4048</v>
      </c>
      <c r="M273" s="132" t="s">
        <v>4364</v>
      </c>
      <c r="N273" s="134">
        <v>272.0</v>
      </c>
    </row>
    <row r="274">
      <c r="A274" s="57" t="s">
        <v>4365</v>
      </c>
      <c r="B274" s="60" t="s">
        <v>2303</v>
      </c>
      <c r="C274" s="59" t="s">
        <v>3884</v>
      </c>
      <c r="D274" s="59" t="s">
        <v>3938</v>
      </c>
      <c r="E274" s="60" t="s">
        <v>4042</v>
      </c>
      <c r="F274" s="59" t="s">
        <v>4366</v>
      </c>
      <c r="G274" s="60" t="s">
        <v>3499</v>
      </c>
      <c r="H274" s="59" t="s">
        <v>4367</v>
      </c>
      <c r="I274" s="59"/>
      <c r="J274" s="82" t="s">
        <v>2630</v>
      </c>
      <c r="K274" s="59"/>
      <c r="L274" s="59" t="s">
        <v>4048</v>
      </c>
      <c r="M274" s="127" t="s">
        <v>4368</v>
      </c>
      <c r="N274" s="129">
        <v>273.0</v>
      </c>
    </row>
    <row r="275">
      <c r="A275" s="102" t="s">
        <v>4369</v>
      </c>
      <c r="B275" s="98" t="s">
        <v>3904</v>
      </c>
      <c r="C275" s="99" t="s">
        <v>3884</v>
      </c>
      <c r="D275" s="99" t="s">
        <v>3885</v>
      </c>
      <c r="E275" s="99"/>
      <c r="F275" s="99" t="s">
        <v>4370</v>
      </c>
      <c r="G275" s="98" t="s">
        <v>3503</v>
      </c>
      <c r="H275" s="99" t="s">
        <v>4371</v>
      </c>
      <c r="I275" s="98" t="s">
        <v>2640</v>
      </c>
      <c r="J275" s="159" t="s">
        <v>2598</v>
      </c>
      <c r="K275" s="99"/>
      <c r="L275" s="99" t="s">
        <v>4048</v>
      </c>
      <c r="M275" s="132" t="s">
        <v>4372</v>
      </c>
      <c r="N275" s="134">
        <v>274.0</v>
      </c>
    </row>
    <row r="276">
      <c r="A276" s="57" t="s">
        <v>4373</v>
      </c>
      <c r="B276" s="60" t="s">
        <v>2005</v>
      </c>
      <c r="C276" s="59" t="s">
        <v>3884</v>
      </c>
      <c r="D276" s="59" t="s">
        <v>3885</v>
      </c>
      <c r="E276" s="59"/>
      <c r="F276" s="59" t="s">
        <v>4374</v>
      </c>
      <c r="G276" s="60" t="s">
        <v>3503</v>
      </c>
      <c r="H276" s="59" t="s">
        <v>4375</v>
      </c>
      <c r="I276" s="60" t="s">
        <v>2628</v>
      </c>
      <c r="J276" s="160" t="s">
        <v>2598</v>
      </c>
      <c r="K276" s="59"/>
      <c r="L276" s="59" t="s">
        <v>4048</v>
      </c>
      <c r="M276" s="127" t="s">
        <v>4376</v>
      </c>
      <c r="N276" s="129">
        <v>275.0</v>
      </c>
    </row>
    <row r="277">
      <c r="A277" s="102" t="s">
        <v>4377</v>
      </c>
      <c r="B277" s="98" t="s">
        <v>2014</v>
      </c>
      <c r="C277" s="99" t="s">
        <v>3884</v>
      </c>
      <c r="D277" s="99" t="s">
        <v>3885</v>
      </c>
      <c r="E277" s="99"/>
      <c r="F277" s="99" t="s">
        <v>4378</v>
      </c>
      <c r="G277" s="98" t="s">
        <v>3499</v>
      </c>
      <c r="H277" s="99" t="s">
        <v>4379</v>
      </c>
      <c r="I277" s="98" t="s">
        <v>2628</v>
      </c>
      <c r="J277" s="159" t="s">
        <v>2598</v>
      </c>
      <c r="K277" s="99"/>
      <c r="L277" s="99" t="s">
        <v>4048</v>
      </c>
      <c r="M277" s="132" t="s">
        <v>4380</v>
      </c>
      <c r="N277" s="134">
        <v>276.0</v>
      </c>
    </row>
    <row r="278">
      <c r="A278" s="57" t="s">
        <v>4381</v>
      </c>
      <c r="B278" s="60" t="s">
        <v>2219</v>
      </c>
      <c r="C278" s="59" t="s">
        <v>3884</v>
      </c>
      <c r="D278" s="59" t="s">
        <v>3885</v>
      </c>
      <c r="E278" s="59"/>
      <c r="F278" s="59" t="s">
        <v>4382</v>
      </c>
      <c r="G278" s="60" t="s">
        <v>3893</v>
      </c>
      <c r="H278" s="59" t="s">
        <v>4383</v>
      </c>
      <c r="I278" s="60" t="s">
        <v>2638</v>
      </c>
      <c r="J278" s="160" t="s">
        <v>2598</v>
      </c>
      <c r="K278" s="59"/>
      <c r="L278" s="59" t="s">
        <v>4048</v>
      </c>
      <c r="M278" s="127" t="s">
        <v>4384</v>
      </c>
      <c r="N278" s="129">
        <v>277.0</v>
      </c>
    </row>
    <row r="279">
      <c r="A279" s="102" t="s">
        <v>4385</v>
      </c>
      <c r="B279" s="98" t="s">
        <v>2309</v>
      </c>
      <c r="C279" s="99" t="s">
        <v>3884</v>
      </c>
      <c r="D279" s="99" t="s">
        <v>3938</v>
      </c>
      <c r="E279" s="98" t="s">
        <v>4042</v>
      </c>
      <c r="F279" s="99" t="s">
        <v>4386</v>
      </c>
      <c r="G279" s="98" t="s">
        <v>3503</v>
      </c>
      <c r="H279" s="99" t="s">
        <v>4387</v>
      </c>
      <c r="I279" s="99"/>
      <c r="J279" s="159" t="s">
        <v>2612</v>
      </c>
      <c r="K279" s="99"/>
      <c r="L279" s="99" t="s">
        <v>4048</v>
      </c>
      <c r="M279" s="132" t="s">
        <v>4388</v>
      </c>
      <c r="N279" s="134">
        <v>278.0</v>
      </c>
    </row>
    <row r="280">
      <c r="A280" s="57" t="s">
        <v>4389</v>
      </c>
      <c r="B280" s="60" t="s">
        <v>2314</v>
      </c>
      <c r="C280" s="59" t="s">
        <v>3937</v>
      </c>
      <c r="D280" s="59" t="s">
        <v>3938</v>
      </c>
      <c r="E280" s="60" t="s">
        <v>1949</v>
      </c>
      <c r="F280" s="156" t="s">
        <v>3939</v>
      </c>
      <c r="G280" s="60" t="s">
        <v>3499</v>
      </c>
      <c r="H280" s="59" t="s">
        <v>4390</v>
      </c>
      <c r="I280" s="59"/>
      <c r="J280" s="160" t="s">
        <v>2612</v>
      </c>
      <c r="K280" s="59"/>
      <c r="L280" s="59" t="s">
        <v>4048</v>
      </c>
      <c r="M280" s="127"/>
      <c r="N280" s="129">
        <v>279.0</v>
      </c>
    </row>
    <row r="281">
      <c r="A281" s="102" t="s">
        <v>4391</v>
      </c>
      <c r="B281" s="98" t="s">
        <v>3904</v>
      </c>
      <c r="C281" s="99" t="s">
        <v>3884</v>
      </c>
      <c r="D281" s="99" t="s">
        <v>3885</v>
      </c>
      <c r="E281" s="99"/>
      <c r="F281" s="99" t="s">
        <v>4392</v>
      </c>
      <c r="G281" s="98" t="s">
        <v>3503</v>
      </c>
      <c r="H281" s="99" t="s">
        <v>4393</v>
      </c>
      <c r="I281" s="98" t="s">
        <v>2640</v>
      </c>
      <c r="J281" s="159" t="s">
        <v>2612</v>
      </c>
      <c r="K281" s="99"/>
      <c r="L281" s="99" t="s">
        <v>4048</v>
      </c>
      <c r="M281" s="132" t="s">
        <v>4394</v>
      </c>
      <c r="N281" s="134">
        <v>280.0</v>
      </c>
    </row>
    <row r="282">
      <c r="A282" s="57" t="s">
        <v>4395</v>
      </c>
      <c r="B282" s="60" t="s">
        <v>2320</v>
      </c>
      <c r="C282" s="59" t="s">
        <v>3937</v>
      </c>
      <c r="D282" s="59" t="s">
        <v>3938</v>
      </c>
      <c r="E282" s="60" t="s">
        <v>1949</v>
      </c>
      <c r="F282" s="156" t="s">
        <v>3939</v>
      </c>
      <c r="G282" s="60" t="s">
        <v>3499</v>
      </c>
      <c r="H282" s="59" t="s">
        <v>4396</v>
      </c>
      <c r="I282" s="59"/>
      <c r="J282" s="160" t="s">
        <v>3464</v>
      </c>
      <c r="K282" s="59"/>
      <c r="L282" s="59" t="s">
        <v>4048</v>
      </c>
      <c r="M282" s="127" t="s">
        <v>4397</v>
      </c>
      <c r="N282" s="129">
        <v>281.0</v>
      </c>
    </row>
    <row r="283">
      <c r="A283" s="102" t="s">
        <v>4398</v>
      </c>
      <c r="B283" s="98" t="s">
        <v>3967</v>
      </c>
      <c r="C283" s="99" t="s">
        <v>3884</v>
      </c>
      <c r="D283" s="99" t="s">
        <v>3885</v>
      </c>
      <c r="E283" s="99"/>
      <c r="F283" s="99" t="s">
        <v>4399</v>
      </c>
      <c r="G283" s="98" t="s">
        <v>3893</v>
      </c>
      <c r="H283" s="99" t="s">
        <v>4400</v>
      </c>
      <c r="I283" s="98" t="s">
        <v>2638</v>
      </c>
      <c r="J283" s="159" t="s">
        <v>2604</v>
      </c>
      <c r="K283" s="99"/>
      <c r="L283" s="99" t="s">
        <v>4048</v>
      </c>
      <c r="M283" s="132"/>
      <c r="N283" s="134">
        <v>282.0</v>
      </c>
    </row>
    <row r="284">
      <c r="A284" s="57" t="s">
        <v>4401</v>
      </c>
      <c r="B284" s="60" t="s">
        <v>4031</v>
      </c>
      <c r="C284" s="59" t="s">
        <v>3884</v>
      </c>
      <c r="D284" s="59" t="s">
        <v>3885</v>
      </c>
      <c r="E284" s="59"/>
      <c r="F284" s="59" t="s">
        <v>4402</v>
      </c>
      <c r="G284" s="60" t="s">
        <v>3897</v>
      </c>
      <c r="H284" s="59" t="s">
        <v>4403</v>
      </c>
      <c r="I284" s="60" t="s">
        <v>2638</v>
      </c>
      <c r="J284" s="160" t="s">
        <v>2604</v>
      </c>
      <c r="K284" s="59"/>
      <c r="L284" s="59" t="s">
        <v>4048</v>
      </c>
      <c r="M284" s="127"/>
      <c r="N284" s="129">
        <v>283.0</v>
      </c>
    </row>
    <row r="285">
      <c r="A285" s="102" t="s">
        <v>4404</v>
      </c>
      <c r="B285" s="98" t="s">
        <v>2076</v>
      </c>
      <c r="C285" s="99" t="s">
        <v>3884</v>
      </c>
      <c r="D285" s="99" t="s">
        <v>3885</v>
      </c>
      <c r="E285" s="99"/>
      <c r="F285" s="99" t="s">
        <v>4405</v>
      </c>
      <c r="G285" s="98" t="s">
        <v>3901</v>
      </c>
      <c r="H285" s="99" t="s">
        <v>4406</v>
      </c>
      <c r="I285" s="98" t="s">
        <v>2634</v>
      </c>
      <c r="J285" s="159" t="s">
        <v>2604</v>
      </c>
      <c r="K285" s="99"/>
      <c r="L285" s="99" t="s">
        <v>4048</v>
      </c>
      <c r="M285" s="132"/>
      <c r="N285" s="134">
        <v>284.0</v>
      </c>
    </row>
    <row r="286">
      <c r="A286" s="57" t="s">
        <v>4407</v>
      </c>
      <c r="B286" s="60" t="s">
        <v>2172</v>
      </c>
      <c r="C286" s="59" t="s">
        <v>3884</v>
      </c>
      <c r="D286" s="59" t="s">
        <v>3885</v>
      </c>
      <c r="E286" s="59"/>
      <c r="F286" s="59" t="s">
        <v>4408</v>
      </c>
      <c r="G286" s="60" t="s">
        <v>3503</v>
      </c>
      <c r="H286" s="59" t="s">
        <v>4409</v>
      </c>
      <c r="I286" s="60" t="s">
        <v>2606</v>
      </c>
      <c r="J286" s="160" t="s">
        <v>2620</v>
      </c>
      <c r="K286" s="59"/>
      <c r="L286" s="59" t="s">
        <v>4048</v>
      </c>
      <c r="M286" s="127" t="s">
        <v>4410</v>
      </c>
      <c r="N286" s="129">
        <v>285.0</v>
      </c>
    </row>
    <row r="287">
      <c r="A287" s="102" t="s">
        <v>4411</v>
      </c>
      <c r="B287" s="98" t="s">
        <v>4111</v>
      </c>
      <c r="C287" s="99" t="s">
        <v>3884</v>
      </c>
      <c r="D287" s="99" t="s">
        <v>3885</v>
      </c>
      <c r="E287" s="99"/>
      <c r="F287" s="99" t="s">
        <v>4412</v>
      </c>
      <c r="G287" s="98" t="s">
        <v>3499</v>
      </c>
      <c r="H287" s="99" t="s">
        <v>4413</v>
      </c>
      <c r="I287" s="98" t="s">
        <v>2614</v>
      </c>
      <c r="J287" s="159" t="s">
        <v>2620</v>
      </c>
      <c r="K287" s="99"/>
      <c r="L287" s="99" t="s">
        <v>4048</v>
      </c>
      <c r="M287" s="132" t="s">
        <v>4414</v>
      </c>
      <c r="N287" s="134">
        <v>286.0</v>
      </c>
    </row>
    <row r="288">
      <c r="A288" s="57" t="s">
        <v>4415</v>
      </c>
      <c r="B288" s="60" t="s">
        <v>2005</v>
      </c>
      <c r="C288" s="59" t="s">
        <v>3884</v>
      </c>
      <c r="D288" s="59" t="s">
        <v>3885</v>
      </c>
      <c r="E288" s="59"/>
      <c r="F288" s="59" t="s">
        <v>4416</v>
      </c>
      <c r="G288" s="60" t="s">
        <v>3893</v>
      </c>
      <c r="H288" s="59" t="s">
        <v>4417</v>
      </c>
      <c r="I288" s="60" t="s">
        <v>2600</v>
      </c>
      <c r="J288" s="160" t="s">
        <v>2620</v>
      </c>
      <c r="K288" s="59"/>
      <c r="L288" s="59" t="s">
        <v>4048</v>
      </c>
      <c r="M288" s="127" t="s">
        <v>4418</v>
      </c>
      <c r="N288" s="129">
        <v>287.0</v>
      </c>
    </row>
    <row r="289">
      <c r="A289" s="102" t="s">
        <v>4419</v>
      </c>
      <c r="B289" s="98" t="s">
        <v>2014</v>
      </c>
      <c r="C289" s="99" t="s">
        <v>3884</v>
      </c>
      <c r="D289" s="99" t="s">
        <v>3885</v>
      </c>
      <c r="E289" s="99"/>
      <c r="F289" s="99" t="s">
        <v>4420</v>
      </c>
      <c r="G289" s="98" t="s">
        <v>3897</v>
      </c>
      <c r="H289" s="99" t="s">
        <v>4421</v>
      </c>
      <c r="I289" s="98" t="s">
        <v>2600</v>
      </c>
      <c r="J289" s="159" t="s">
        <v>2620</v>
      </c>
      <c r="K289" s="99"/>
      <c r="L289" s="99" t="s">
        <v>4048</v>
      </c>
      <c r="M289" s="132" t="s">
        <v>4422</v>
      </c>
      <c r="N289" s="134">
        <v>288.0</v>
      </c>
    </row>
    <row r="290">
      <c r="A290" s="57" t="s">
        <v>4423</v>
      </c>
      <c r="B290" s="60" t="s">
        <v>3952</v>
      </c>
      <c r="C290" s="59" t="s">
        <v>3884</v>
      </c>
      <c r="D290" s="59" t="s">
        <v>3626</v>
      </c>
      <c r="E290" s="59"/>
      <c r="F290" s="59" t="s">
        <v>4424</v>
      </c>
      <c r="G290" s="60" t="s">
        <v>3503</v>
      </c>
      <c r="H290" s="59" t="s">
        <v>4425</v>
      </c>
      <c r="I290" s="60" t="s">
        <v>3228</v>
      </c>
      <c r="J290" s="160" t="s">
        <v>3464</v>
      </c>
      <c r="K290" s="59"/>
      <c r="L290" s="59" t="s">
        <v>4048</v>
      </c>
      <c r="M290" s="127"/>
      <c r="N290" s="129">
        <v>289.0</v>
      </c>
    </row>
    <row r="291">
      <c r="A291" s="102" t="s">
        <v>4426</v>
      </c>
      <c r="B291" s="98" t="s">
        <v>2014</v>
      </c>
      <c r="C291" s="99" t="s">
        <v>3884</v>
      </c>
      <c r="D291" s="99" t="s">
        <v>3885</v>
      </c>
      <c r="E291" s="99"/>
      <c r="F291" s="99" t="s">
        <v>4427</v>
      </c>
      <c r="G291" s="98" t="s">
        <v>3499</v>
      </c>
      <c r="H291" s="99" t="s">
        <v>4428</v>
      </c>
      <c r="I291" s="98" t="s">
        <v>2600</v>
      </c>
      <c r="J291" s="159" t="s">
        <v>3464</v>
      </c>
      <c r="K291" s="99"/>
      <c r="L291" s="99" t="s">
        <v>4048</v>
      </c>
      <c r="M291" s="132"/>
      <c r="N291" s="134">
        <v>290.0</v>
      </c>
    </row>
    <row r="292">
      <c r="A292" s="57"/>
      <c r="B292" s="59"/>
      <c r="C292" s="59"/>
      <c r="D292" s="59"/>
      <c r="E292" s="59"/>
      <c r="F292" s="59"/>
      <c r="G292" s="59"/>
      <c r="H292" s="59"/>
      <c r="I292" s="59"/>
      <c r="J292" s="82"/>
      <c r="K292" s="59"/>
      <c r="L292" s="59"/>
      <c r="M292" s="127"/>
      <c r="N292" s="129"/>
    </row>
    <row r="293">
      <c r="A293" s="102" t="s">
        <v>4429</v>
      </c>
      <c r="B293" s="98" t="s">
        <v>4236</v>
      </c>
      <c r="C293" s="99" t="s">
        <v>3884</v>
      </c>
      <c r="D293" s="99" t="s">
        <v>3885</v>
      </c>
      <c r="E293" s="99"/>
      <c r="F293" s="99" t="s">
        <v>4430</v>
      </c>
      <c r="G293" s="98" t="s">
        <v>3503</v>
      </c>
      <c r="H293" s="99" t="s">
        <v>4431</v>
      </c>
      <c r="I293" s="98" t="s">
        <v>2604</v>
      </c>
      <c r="J293" s="159" t="s">
        <v>3464</v>
      </c>
      <c r="K293" s="99"/>
      <c r="L293" s="99" t="s">
        <v>4048</v>
      </c>
      <c r="M293" s="132" t="s">
        <v>4432</v>
      </c>
      <c r="N293" s="134">
        <v>292.0</v>
      </c>
    </row>
    <row r="294">
      <c r="A294" s="57" t="s">
        <v>4433</v>
      </c>
      <c r="B294" s="60" t="s">
        <v>2000</v>
      </c>
      <c r="C294" s="59" t="s">
        <v>3884</v>
      </c>
      <c r="D294" s="59" t="s">
        <v>3885</v>
      </c>
      <c r="E294" s="59"/>
      <c r="F294" s="59" t="s">
        <v>4434</v>
      </c>
      <c r="G294" s="60" t="s">
        <v>3499</v>
      </c>
      <c r="H294" s="59" t="s">
        <v>4435</v>
      </c>
      <c r="I294" s="60" t="s">
        <v>2604</v>
      </c>
      <c r="J294" s="160" t="s">
        <v>3464</v>
      </c>
      <c r="K294" s="59"/>
      <c r="L294" s="59" t="s">
        <v>4048</v>
      </c>
      <c r="M294" s="127" t="s">
        <v>4436</v>
      </c>
      <c r="N294" s="129">
        <v>293.0</v>
      </c>
    </row>
    <row r="295">
      <c r="A295" s="102" t="s">
        <v>4437</v>
      </c>
      <c r="B295" s="98" t="s">
        <v>4193</v>
      </c>
      <c r="C295" s="99" t="s">
        <v>3884</v>
      </c>
      <c r="D295" s="99" t="s">
        <v>3885</v>
      </c>
      <c r="E295" s="99"/>
      <c r="F295" s="99" t="s">
        <v>4438</v>
      </c>
      <c r="G295" s="98" t="s">
        <v>3893</v>
      </c>
      <c r="H295" s="99" t="s">
        <v>4439</v>
      </c>
      <c r="I295" s="98" t="s">
        <v>2604</v>
      </c>
      <c r="J295" s="159" t="s">
        <v>3464</v>
      </c>
      <c r="K295" s="99"/>
      <c r="L295" s="99" t="s">
        <v>4048</v>
      </c>
      <c r="M295" s="132" t="s">
        <v>4440</v>
      </c>
      <c r="N295" s="134">
        <v>294.0</v>
      </c>
    </row>
    <row r="296">
      <c r="A296" s="57" t="s">
        <v>4441</v>
      </c>
      <c r="B296" s="60" t="s">
        <v>2326</v>
      </c>
      <c r="C296" s="59" t="s">
        <v>3884</v>
      </c>
      <c r="D296" s="59" t="s">
        <v>3626</v>
      </c>
      <c r="E296" s="59"/>
      <c r="F296" s="59" t="s">
        <v>4442</v>
      </c>
      <c r="G296" s="60" t="s">
        <v>3897</v>
      </c>
      <c r="H296" s="59" t="s">
        <v>4443</v>
      </c>
      <c r="I296" s="60" t="s">
        <v>2604</v>
      </c>
      <c r="J296" s="160" t="s">
        <v>3464</v>
      </c>
      <c r="K296" s="59"/>
      <c r="L296" s="59" t="s">
        <v>4048</v>
      </c>
      <c r="M296" s="127" t="s">
        <v>4444</v>
      </c>
      <c r="N296" s="129">
        <v>295.0</v>
      </c>
    </row>
    <row r="297">
      <c r="A297" s="102" t="s">
        <v>4445</v>
      </c>
      <c r="B297" s="98" t="s">
        <v>4116</v>
      </c>
      <c r="C297" s="99" t="s">
        <v>3884</v>
      </c>
      <c r="D297" s="99" t="s">
        <v>3885</v>
      </c>
      <c r="E297" s="99"/>
      <c r="F297" s="99" t="s">
        <v>4446</v>
      </c>
      <c r="G297" s="98" t="s">
        <v>3901</v>
      </c>
      <c r="H297" s="99" t="s">
        <v>4447</v>
      </c>
      <c r="I297" s="98" t="s">
        <v>2604</v>
      </c>
      <c r="J297" s="159" t="s">
        <v>3464</v>
      </c>
      <c r="K297" s="99"/>
      <c r="L297" s="99" t="s">
        <v>4048</v>
      </c>
      <c r="M297" s="132" t="s">
        <v>4448</v>
      </c>
      <c r="N297" s="134">
        <v>296.0</v>
      </c>
    </row>
    <row r="298">
      <c r="A298" s="57" t="s">
        <v>4449</v>
      </c>
      <c r="B298" s="60" t="s">
        <v>2000</v>
      </c>
      <c r="C298" s="59" t="s">
        <v>3884</v>
      </c>
      <c r="D298" s="59" t="s">
        <v>3885</v>
      </c>
      <c r="E298" s="59"/>
      <c r="F298" s="59" t="s">
        <v>4450</v>
      </c>
      <c r="G298" s="60" t="s">
        <v>3503</v>
      </c>
      <c r="H298" s="59" t="s">
        <v>4451</v>
      </c>
      <c r="I298" s="60" t="s">
        <v>2622</v>
      </c>
      <c r="J298" s="160" t="s">
        <v>3464</v>
      </c>
      <c r="K298" s="59"/>
      <c r="L298" s="59" t="s">
        <v>4048</v>
      </c>
      <c r="M298" s="127" t="s">
        <v>4452</v>
      </c>
      <c r="N298" s="129">
        <v>297.0</v>
      </c>
    </row>
    <row r="299">
      <c r="A299" s="102" t="s">
        <v>4453</v>
      </c>
      <c r="B299" s="98" t="s">
        <v>4193</v>
      </c>
      <c r="C299" s="99" t="s">
        <v>3884</v>
      </c>
      <c r="D299" s="99" t="s">
        <v>3885</v>
      </c>
      <c r="E299" s="99"/>
      <c r="F299" s="99" t="s">
        <v>4454</v>
      </c>
      <c r="G299" s="98" t="s">
        <v>3499</v>
      </c>
      <c r="H299" s="99" t="s">
        <v>4455</v>
      </c>
      <c r="I299" s="98" t="s">
        <v>2622</v>
      </c>
      <c r="J299" s="159" t="s">
        <v>3464</v>
      </c>
      <c r="K299" s="99"/>
      <c r="L299" s="99" t="s">
        <v>4048</v>
      </c>
      <c r="M299" s="132" t="s">
        <v>4456</v>
      </c>
      <c r="N299" s="134">
        <v>298.0</v>
      </c>
    </row>
    <row r="300">
      <c r="A300" s="57" t="s">
        <v>4457</v>
      </c>
      <c r="B300" s="60" t="s">
        <v>4236</v>
      </c>
      <c r="C300" s="59" t="s">
        <v>3884</v>
      </c>
      <c r="D300" s="59" t="s">
        <v>3885</v>
      </c>
      <c r="E300" s="59"/>
      <c r="F300" s="59" t="s">
        <v>4458</v>
      </c>
      <c r="G300" s="60" t="s">
        <v>3893</v>
      </c>
      <c r="H300" s="59" t="s">
        <v>4459</v>
      </c>
      <c r="I300" s="60" t="s">
        <v>2622</v>
      </c>
      <c r="J300" s="160" t="s">
        <v>3464</v>
      </c>
      <c r="K300" s="59"/>
      <c r="L300" s="59" t="s">
        <v>4048</v>
      </c>
      <c r="M300" s="127" t="s">
        <v>4460</v>
      </c>
      <c r="N300" s="129">
        <v>299.0</v>
      </c>
    </row>
    <row r="301">
      <c r="A301" s="102" t="s">
        <v>4461</v>
      </c>
      <c r="B301" s="98" t="s">
        <v>3904</v>
      </c>
      <c r="C301" s="99" t="s">
        <v>3884</v>
      </c>
      <c r="D301" s="99" t="s">
        <v>3885</v>
      </c>
      <c r="E301" s="99"/>
      <c r="F301" s="99" t="s">
        <v>4462</v>
      </c>
      <c r="G301" s="98" t="s">
        <v>3897</v>
      </c>
      <c r="H301" s="99" t="s">
        <v>4463</v>
      </c>
      <c r="I301" s="98" t="s">
        <v>2620</v>
      </c>
      <c r="J301" s="159" t="s">
        <v>3464</v>
      </c>
      <c r="K301" s="99"/>
      <c r="L301" s="99" t="s">
        <v>4048</v>
      </c>
      <c r="M301" s="132" t="s">
        <v>4464</v>
      </c>
      <c r="N301" s="134">
        <v>300.0</v>
      </c>
    </row>
    <row r="302">
      <c r="A302" s="57" t="s">
        <v>4465</v>
      </c>
      <c r="B302" s="60" t="s">
        <v>2331</v>
      </c>
      <c r="C302" s="59" t="s">
        <v>3884</v>
      </c>
      <c r="D302" s="59" t="s">
        <v>3885</v>
      </c>
      <c r="E302" s="59"/>
      <c r="F302" s="59" t="s">
        <v>4466</v>
      </c>
      <c r="G302" s="60" t="s">
        <v>3503</v>
      </c>
      <c r="H302" s="59" t="s">
        <v>4467</v>
      </c>
      <c r="I302" s="60" t="s">
        <v>2632</v>
      </c>
      <c r="J302" s="160" t="s">
        <v>3464</v>
      </c>
      <c r="K302" s="59"/>
      <c r="L302" s="59" t="s">
        <v>4048</v>
      </c>
      <c r="M302" s="127" t="s">
        <v>4468</v>
      </c>
      <c r="N302" s="129">
        <v>301.0</v>
      </c>
    </row>
    <row r="303">
      <c r="A303" s="102" t="s">
        <v>4469</v>
      </c>
      <c r="B303" s="98" t="s">
        <v>2207</v>
      </c>
      <c r="C303" s="99" t="s">
        <v>3884</v>
      </c>
      <c r="D303" s="99" t="s">
        <v>3626</v>
      </c>
      <c r="E303" s="99"/>
      <c r="F303" s="99" t="s">
        <v>4470</v>
      </c>
      <c r="G303" s="98" t="s">
        <v>3499</v>
      </c>
      <c r="H303" s="99" t="s">
        <v>4471</v>
      </c>
      <c r="I303" s="98" t="s">
        <v>2608</v>
      </c>
      <c r="J303" s="159" t="s">
        <v>3464</v>
      </c>
      <c r="K303" s="99"/>
      <c r="L303" s="99" t="s">
        <v>4048</v>
      </c>
      <c r="M303" s="132" t="s">
        <v>4472</v>
      </c>
      <c r="N303" s="134">
        <v>302.0</v>
      </c>
    </row>
    <row r="304">
      <c r="A304" s="57" t="s">
        <v>4473</v>
      </c>
      <c r="B304" s="60" t="s">
        <v>2334</v>
      </c>
      <c r="C304" s="59" t="s">
        <v>3884</v>
      </c>
      <c r="D304" s="59" t="s">
        <v>3626</v>
      </c>
      <c r="E304" s="59"/>
      <c r="F304" s="59" t="s">
        <v>4474</v>
      </c>
      <c r="G304" s="60" t="s">
        <v>3893</v>
      </c>
      <c r="H304" s="59" t="s">
        <v>4475</v>
      </c>
      <c r="I304" s="60" t="s">
        <v>2608</v>
      </c>
      <c r="J304" s="160" t="s">
        <v>3464</v>
      </c>
      <c r="K304" s="59"/>
      <c r="L304" s="59" t="s">
        <v>4048</v>
      </c>
      <c r="M304" s="127" t="s">
        <v>4476</v>
      </c>
      <c r="N304" s="129">
        <v>303.0</v>
      </c>
    </row>
    <row r="305">
      <c r="A305" s="102" t="s">
        <v>4477</v>
      </c>
      <c r="B305" s="98" t="s">
        <v>2340</v>
      </c>
      <c r="C305" s="99" t="s">
        <v>3884</v>
      </c>
      <c r="D305" s="99" t="s">
        <v>3626</v>
      </c>
      <c r="E305" s="99"/>
      <c r="F305" s="99" t="s">
        <v>4478</v>
      </c>
      <c r="G305" s="98" t="s">
        <v>3897</v>
      </c>
      <c r="H305" s="99" t="s">
        <v>4479</v>
      </c>
      <c r="I305" s="98" t="s">
        <v>3328</v>
      </c>
      <c r="J305" s="159" t="s">
        <v>3464</v>
      </c>
      <c r="K305" s="99"/>
      <c r="L305" s="99" t="s">
        <v>4048</v>
      </c>
      <c r="M305" s="132" t="s">
        <v>4480</v>
      </c>
      <c r="N305" s="134">
        <v>304.0</v>
      </c>
    </row>
    <row r="306">
      <c r="A306" s="57" t="s">
        <v>4481</v>
      </c>
      <c r="B306" s="60" t="s">
        <v>2014</v>
      </c>
      <c r="C306" s="59" t="s">
        <v>3884</v>
      </c>
      <c r="D306" s="59" t="s">
        <v>3885</v>
      </c>
      <c r="E306" s="59"/>
      <c r="F306" s="59" t="s">
        <v>4482</v>
      </c>
      <c r="G306" s="60" t="s">
        <v>3503</v>
      </c>
      <c r="H306" s="59" t="s">
        <v>4483</v>
      </c>
      <c r="I306" s="60" t="s">
        <v>2600</v>
      </c>
      <c r="J306" s="160" t="s">
        <v>2614</v>
      </c>
      <c r="K306" s="59"/>
      <c r="L306" s="59" t="s">
        <v>4048</v>
      </c>
      <c r="M306" s="127" t="s">
        <v>4484</v>
      </c>
      <c r="N306" s="129">
        <v>305.0</v>
      </c>
    </row>
    <row r="307">
      <c r="A307" s="102" t="s">
        <v>4485</v>
      </c>
      <c r="B307" s="98" t="s">
        <v>2005</v>
      </c>
      <c r="C307" s="99" t="s">
        <v>3884</v>
      </c>
      <c r="D307" s="99" t="s">
        <v>3885</v>
      </c>
      <c r="E307" s="99"/>
      <c r="F307" s="99" t="s">
        <v>4486</v>
      </c>
      <c r="G307" s="98" t="s">
        <v>3499</v>
      </c>
      <c r="H307" s="99" t="s">
        <v>4487</v>
      </c>
      <c r="I307" s="98" t="s">
        <v>2600</v>
      </c>
      <c r="J307" s="159" t="s">
        <v>2614</v>
      </c>
      <c r="K307" s="99"/>
      <c r="L307" s="99" t="s">
        <v>4048</v>
      </c>
      <c r="M307" s="132" t="s">
        <v>4484</v>
      </c>
      <c r="N307" s="134">
        <v>306.0</v>
      </c>
    </row>
    <row r="308">
      <c r="A308" s="57" t="s">
        <v>4488</v>
      </c>
      <c r="B308" s="60" t="s">
        <v>2132</v>
      </c>
      <c r="C308" s="59" t="s">
        <v>3884</v>
      </c>
      <c r="D308" s="59" t="s">
        <v>3885</v>
      </c>
      <c r="E308" s="59"/>
      <c r="F308" s="59" t="s">
        <v>4489</v>
      </c>
      <c r="G308" s="60" t="s">
        <v>3893</v>
      </c>
      <c r="H308" s="59" t="s">
        <v>4490</v>
      </c>
      <c r="I308" s="60" t="s">
        <v>2604</v>
      </c>
      <c r="J308" s="160" t="s">
        <v>2614</v>
      </c>
      <c r="K308" s="59"/>
      <c r="L308" s="59" t="s">
        <v>4048</v>
      </c>
      <c r="M308" s="127" t="s">
        <v>4491</v>
      </c>
      <c r="N308" s="129">
        <v>307.0</v>
      </c>
    </row>
    <row r="309">
      <c r="A309" s="102" t="s">
        <v>4492</v>
      </c>
      <c r="B309" s="98" t="s">
        <v>3952</v>
      </c>
      <c r="C309" s="99" t="s">
        <v>3884</v>
      </c>
      <c r="D309" s="99" t="s">
        <v>3626</v>
      </c>
      <c r="E309" s="99"/>
      <c r="F309" s="99" t="s">
        <v>4493</v>
      </c>
      <c r="G309" s="98" t="s">
        <v>3897</v>
      </c>
      <c r="H309" s="99" t="s">
        <v>4494</v>
      </c>
      <c r="I309" s="98" t="s">
        <v>2600</v>
      </c>
      <c r="J309" s="159" t="s">
        <v>2614</v>
      </c>
      <c r="K309" s="99"/>
      <c r="L309" s="99" t="s">
        <v>4048</v>
      </c>
      <c r="M309" s="132" t="s">
        <v>4495</v>
      </c>
      <c r="N309" s="134">
        <v>308.0</v>
      </c>
    </row>
    <row r="310">
      <c r="A310" s="57" t="s">
        <v>4496</v>
      </c>
      <c r="B310" s="60" t="s">
        <v>3967</v>
      </c>
      <c r="C310" s="59" t="s">
        <v>3884</v>
      </c>
      <c r="D310" s="59" t="s">
        <v>3885</v>
      </c>
      <c r="E310" s="59"/>
      <c r="F310" s="59" t="s">
        <v>4497</v>
      </c>
      <c r="G310" s="60" t="s">
        <v>3503</v>
      </c>
      <c r="H310" s="59" t="s">
        <v>4498</v>
      </c>
      <c r="I310" s="60" t="s">
        <v>2638</v>
      </c>
      <c r="J310" s="160" t="s">
        <v>3464</v>
      </c>
      <c r="K310" s="59"/>
      <c r="L310" s="59" t="s">
        <v>4048</v>
      </c>
      <c r="M310" s="127" t="s">
        <v>4499</v>
      </c>
      <c r="N310" s="129">
        <v>309.0</v>
      </c>
    </row>
    <row r="311">
      <c r="A311" s="102" t="s">
        <v>4500</v>
      </c>
      <c r="B311" s="98" t="s">
        <v>2345</v>
      </c>
      <c r="C311" s="99" t="s">
        <v>3937</v>
      </c>
      <c r="D311" s="99" t="s">
        <v>3938</v>
      </c>
      <c r="E311" s="98" t="s">
        <v>1954</v>
      </c>
      <c r="F311" s="161" t="s">
        <v>3939</v>
      </c>
      <c r="G311" s="98" t="s">
        <v>3499</v>
      </c>
      <c r="H311" s="99" t="s">
        <v>4501</v>
      </c>
      <c r="I311" s="99"/>
      <c r="J311" s="159" t="s">
        <v>2628</v>
      </c>
      <c r="K311" s="99"/>
      <c r="L311" s="99" t="s">
        <v>4048</v>
      </c>
      <c r="M311" s="132" t="s">
        <v>4502</v>
      </c>
      <c r="N311" s="134">
        <v>310.0</v>
      </c>
    </row>
    <row r="312">
      <c r="A312" s="57" t="s">
        <v>4503</v>
      </c>
      <c r="B312" s="60" t="s">
        <v>2351</v>
      </c>
      <c r="C312" s="59" t="s">
        <v>3884</v>
      </c>
      <c r="D312" s="59" t="s">
        <v>3938</v>
      </c>
      <c r="E312" s="60" t="s">
        <v>2388</v>
      </c>
      <c r="F312" s="59" t="s">
        <v>4504</v>
      </c>
      <c r="G312" s="60" t="s">
        <v>3503</v>
      </c>
      <c r="H312" s="59" t="s">
        <v>4505</v>
      </c>
      <c r="I312" s="59"/>
      <c r="J312" s="160" t="s">
        <v>2628</v>
      </c>
      <c r="K312" s="59"/>
      <c r="L312" s="59" t="s">
        <v>4048</v>
      </c>
      <c r="M312" s="127" t="s">
        <v>4506</v>
      </c>
      <c r="N312" s="129">
        <v>311.0</v>
      </c>
    </row>
    <row r="313">
      <c r="A313" s="102" t="s">
        <v>4507</v>
      </c>
      <c r="B313" s="98" t="s">
        <v>2356</v>
      </c>
      <c r="C313" s="99" t="s">
        <v>3884</v>
      </c>
      <c r="D313" s="99" t="s">
        <v>3938</v>
      </c>
      <c r="E313" s="98" t="s">
        <v>2388</v>
      </c>
      <c r="F313" s="99" t="s">
        <v>4508</v>
      </c>
      <c r="G313" s="98" t="s">
        <v>3499</v>
      </c>
      <c r="H313" s="99" t="s">
        <v>4509</v>
      </c>
      <c r="I313" s="99"/>
      <c r="J313" s="159" t="s">
        <v>2628</v>
      </c>
      <c r="K313" s="99"/>
      <c r="L313" s="99" t="s">
        <v>4048</v>
      </c>
      <c r="M313" s="132" t="s">
        <v>4510</v>
      </c>
      <c r="N313" s="134">
        <v>312.0</v>
      </c>
    </row>
    <row r="314">
      <c r="A314" s="57"/>
      <c r="B314" s="59"/>
      <c r="C314" s="59"/>
      <c r="D314" s="59"/>
      <c r="E314" s="59"/>
      <c r="F314" s="59"/>
      <c r="G314" s="59"/>
      <c r="H314" s="59"/>
      <c r="I314" s="59"/>
      <c r="J314" s="82"/>
      <c r="K314" s="59"/>
      <c r="L314" s="59"/>
      <c r="M314" s="127"/>
      <c r="N314" s="129"/>
    </row>
    <row r="315">
      <c r="A315" s="102"/>
      <c r="B315" s="99"/>
      <c r="C315" s="99"/>
      <c r="D315" s="99"/>
      <c r="E315" s="99"/>
      <c r="F315" s="99"/>
      <c r="G315" s="99"/>
      <c r="H315" s="99"/>
      <c r="I315" s="99"/>
      <c r="J315" s="87"/>
      <c r="K315" s="99"/>
      <c r="L315" s="99"/>
      <c r="M315" s="132"/>
      <c r="N315" s="134"/>
    </row>
    <row r="316">
      <c r="A316" s="57" t="s">
        <v>4511</v>
      </c>
      <c r="B316" s="60" t="s">
        <v>3904</v>
      </c>
      <c r="C316" s="59" t="s">
        <v>3884</v>
      </c>
      <c r="D316" s="59" t="s">
        <v>3885</v>
      </c>
      <c r="E316" s="59"/>
      <c r="F316" s="59" t="s">
        <v>4512</v>
      </c>
      <c r="G316" s="60" t="s">
        <v>3499</v>
      </c>
      <c r="H316" s="59" t="s">
        <v>4513</v>
      </c>
      <c r="I316" s="60" t="s">
        <v>2634</v>
      </c>
      <c r="J316" s="160" t="s">
        <v>2634</v>
      </c>
      <c r="K316" s="59"/>
      <c r="L316" s="59" t="s">
        <v>4048</v>
      </c>
      <c r="M316" s="127" t="s">
        <v>4514</v>
      </c>
      <c r="N316" s="129"/>
    </row>
    <row r="317">
      <c r="A317" s="102" t="s">
        <v>4515</v>
      </c>
      <c r="B317" s="98" t="s">
        <v>1982</v>
      </c>
      <c r="C317" s="99" t="s">
        <v>3884</v>
      </c>
      <c r="D317" s="99" t="s">
        <v>3626</v>
      </c>
      <c r="E317" s="99"/>
      <c r="F317" s="99" t="s">
        <v>4516</v>
      </c>
      <c r="G317" s="98" t="s">
        <v>3893</v>
      </c>
      <c r="H317" s="99" t="s">
        <v>4517</v>
      </c>
      <c r="I317" s="98" t="s">
        <v>3328</v>
      </c>
      <c r="J317" s="159" t="s">
        <v>2634</v>
      </c>
      <c r="K317" s="99"/>
      <c r="L317" s="99" t="s">
        <v>4048</v>
      </c>
      <c r="M317" s="132" t="s">
        <v>4518</v>
      </c>
      <c r="N317" s="134"/>
    </row>
    <row r="318">
      <c r="A318" s="57" t="s">
        <v>4519</v>
      </c>
      <c r="B318" s="60" t="s">
        <v>2014</v>
      </c>
      <c r="C318" s="59" t="s">
        <v>3884</v>
      </c>
      <c r="D318" s="59" t="s">
        <v>3885</v>
      </c>
      <c r="E318" s="59"/>
      <c r="F318" s="59" t="s">
        <v>4520</v>
      </c>
      <c r="G318" s="60" t="s">
        <v>3897</v>
      </c>
      <c r="H318" s="59" t="s">
        <v>4521</v>
      </c>
      <c r="I318" s="60" t="s">
        <v>2600</v>
      </c>
      <c r="J318" s="160" t="s">
        <v>2634</v>
      </c>
      <c r="K318" s="59"/>
      <c r="L318" s="59" t="s">
        <v>4048</v>
      </c>
      <c r="M318" s="127" t="s">
        <v>4522</v>
      </c>
      <c r="N318" s="129"/>
    </row>
    <row r="319">
      <c r="A319" s="102" t="s">
        <v>4523</v>
      </c>
      <c r="B319" s="98" t="s">
        <v>2366</v>
      </c>
      <c r="C319" s="99" t="s">
        <v>3884</v>
      </c>
      <c r="D319" s="99" t="s">
        <v>3938</v>
      </c>
      <c r="E319" s="98" t="s">
        <v>4042</v>
      </c>
      <c r="F319" s="99" t="s">
        <v>4524</v>
      </c>
      <c r="G319" s="98" t="s">
        <v>3901</v>
      </c>
      <c r="H319" s="99" t="s">
        <v>4525</v>
      </c>
      <c r="I319" s="98" t="s">
        <v>2616</v>
      </c>
      <c r="J319" s="159" t="s">
        <v>2616</v>
      </c>
      <c r="K319" s="99"/>
      <c r="L319" s="99" t="s">
        <v>4048</v>
      </c>
      <c r="M319" s="132" t="s">
        <v>4526</v>
      </c>
      <c r="N319" s="134"/>
    </row>
    <row r="320">
      <c r="A320" s="57" t="s">
        <v>4527</v>
      </c>
      <c r="B320" s="60" t="s">
        <v>2286</v>
      </c>
      <c r="C320" s="59" t="s">
        <v>3884</v>
      </c>
      <c r="D320" s="59" t="s">
        <v>3938</v>
      </c>
      <c r="E320" s="60" t="s">
        <v>4042</v>
      </c>
      <c r="F320" s="59" t="s">
        <v>4528</v>
      </c>
      <c r="G320" s="60" t="s">
        <v>3906</v>
      </c>
      <c r="H320" s="59" t="s">
        <v>4529</v>
      </c>
      <c r="I320" s="60" t="s">
        <v>2616</v>
      </c>
      <c r="J320" s="160" t="s">
        <v>2616</v>
      </c>
      <c r="K320" s="59"/>
      <c r="L320" s="59" t="s">
        <v>4048</v>
      </c>
      <c r="M320" s="127" t="s">
        <v>4530</v>
      </c>
      <c r="N320" s="129"/>
    </row>
    <row r="321">
      <c r="A321" s="102" t="s">
        <v>4531</v>
      </c>
      <c r="B321" s="98" t="s">
        <v>2005</v>
      </c>
      <c r="C321" s="99" t="s">
        <v>3884</v>
      </c>
      <c r="D321" s="99" t="s">
        <v>3885</v>
      </c>
      <c r="E321" s="99"/>
      <c r="F321" s="99" t="s">
        <v>4532</v>
      </c>
      <c r="G321" s="98" t="s">
        <v>3910</v>
      </c>
      <c r="H321" s="99" t="s">
        <v>4533</v>
      </c>
      <c r="I321" s="98" t="s">
        <v>2600</v>
      </c>
      <c r="J321" s="159" t="s">
        <v>2634</v>
      </c>
      <c r="K321" s="99"/>
      <c r="L321" s="99" t="s">
        <v>4048</v>
      </c>
      <c r="M321" s="132" t="s">
        <v>4534</v>
      </c>
      <c r="N321" s="134"/>
    </row>
    <row r="322">
      <c r="A322" s="57" t="s">
        <v>4535</v>
      </c>
      <c r="B322" s="60" t="s">
        <v>2372</v>
      </c>
      <c r="C322" s="59" t="s">
        <v>3884</v>
      </c>
      <c r="D322" s="59" t="s">
        <v>3626</v>
      </c>
      <c r="E322" s="59"/>
      <c r="F322" s="59" t="s">
        <v>4536</v>
      </c>
      <c r="G322" s="60" t="s">
        <v>3503</v>
      </c>
      <c r="H322" s="59" t="s">
        <v>4537</v>
      </c>
      <c r="I322" s="60" t="s">
        <v>3328</v>
      </c>
      <c r="J322" s="160" t="s">
        <v>2632</v>
      </c>
      <c r="K322" s="59"/>
      <c r="L322" s="59" t="s">
        <v>4048</v>
      </c>
      <c r="M322" s="127" t="s">
        <v>4538</v>
      </c>
      <c r="N322" s="129"/>
    </row>
    <row r="323">
      <c r="A323" s="102" t="s">
        <v>4539</v>
      </c>
      <c r="B323" s="98" t="s">
        <v>3952</v>
      </c>
      <c r="C323" s="99" t="s">
        <v>3884</v>
      </c>
      <c r="D323" s="99" t="s">
        <v>3626</v>
      </c>
      <c r="E323" s="99"/>
      <c r="F323" s="99" t="s">
        <v>4540</v>
      </c>
      <c r="G323" s="98" t="s">
        <v>3499</v>
      </c>
      <c r="H323" s="99" t="s">
        <v>4541</v>
      </c>
      <c r="I323" s="98" t="s">
        <v>3328</v>
      </c>
      <c r="J323" s="159" t="s">
        <v>2632</v>
      </c>
      <c r="K323" s="99"/>
      <c r="L323" s="99" t="s">
        <v>4048</v>
      </c>
      <c r="M323" s="132" t="s">
        <v>4542</v>
      </c>
      <c r="N323" s="134"/>
    </row>
    <row r="324">
      <c r="A324" s="57" t="s">
        <v>4543</v>
      </c>
      <c r="B324" s="60" t="s">
        <v>2040</v>
      </c>
      <c r="C324" s="59" t="s">
        <v>3884</v>
      </c>
      <c r="D324" s="59" t="s">
        <v>3626</v>
      </c>
      <c r="E324" s="59"/>
      <c r="F324" s="59" t="s">
        <v>4544</v>
      </c>
      <c r="G324" s="60" t="s">
        <v>3893</v>
      </c>
      <c r="H324" s="59" t="s">
        <v>4545</v>
      </c>
      <c r="I324" s="60" t="s">
        <v>2630</v>
      </c>
      <c r="J324" s="160" t="s">
        <v>2632</v>
      </c>
      <c r="K324" s="59"/>
      <c r="L324" s="59" t="s">
        <v>4048</v>
      </c>
      <c r="M324" s="127" t="s">
        <v>4546</v>
      </c>
      <c r="N324" s="129"/>
    </row>
    <row r="325">
      <c r="A325" s="102" t="s">
        <v>4547</v>
      </c>
      <c r="B325" s="98" t="s">
        <v>2376</v>
      </c>
      <c r="C325" s="99" t="s">
        <v>3884</v>
      </c>
      <c r="D325" s="99" t="s">
        <v>3626</v>
      </c>
      <c r="E325" s="99"/>
      <c r="F325" s="99" t="s">
        <v>4548</v>
      </c>
      <c r="G325" s="98" t="s">
        <v>3897</v>
      </c>
      <c r="H325" s="99" t="s">
        <v>4549</v>
      </c>
      <c r="I325" s="98" t="s">
        <v>2630</v>
      </c>
      <c r="J325" s="159" t="s">
        <v>2632</v>
      </c>
      <c r="K325" s="99"/>
      <c r="L325" s="99" t="s">
        <v>4048</v>
      </c>
      <c r="M325" s="132" t="s">
        <v>4550</v>
      </c>
      <c r="N325" s="134"/>
    </row>
    <row r="326">
      <c r="A326" s="57" t="s">
        <v>4551</v>
      </c>
      <c r="B326" s="60" t="s">
        <v>2382</v>
      </c>
      <c r="C326" s="59" t="s">
        <v>3937</v>
      </c>
      <c r="D326" s="59" t="s">
        <v>3938</v>
      </c>
      <c r="E326" s="60" t="s">
        <v>1949</v>
      </c>
      <c r="F326" s="156" t="s">
        <v>3939</v>
      </c>
      <c r="G326" s="60" t="s">
        <v>3503</v>
      </c>
      <c r="H326" s="59" t="s">
        <v>4552</v>
      </c>
      <c r="I326" s="59"/>
      <c r="J326" s="160" t="s">
        <v>2632</v>
      </c>
      <c r="K326" s="59"/>
      <c r="L326" s="59" t="s">
        <v>4048</v>
      </c>
      <c r="M326" s="127" t="s">
        <v>4553</v>
      </c>
      <c r="N326" s="129"/>
    </row>
    <row r="327">
      <c r="A327" s="102" t="s">
        <v>4554</v>
      </c>
      <c r="B327" s="98" t="s">
        <v>2388</v>
      </c>
      <c r="C327" s="99" t="s">
        <v>3884</v>
      </c>
      <c r="D327" s="99" t="s">
        <v>3626</v>
      </c>
      <c r="E327" s="99"/>
      <c r="F327" s="99" t="s">
        <v>4555</v>
      </c>
      <c r="G327" s="98" t="s">
        <v>3499</v>
      </c>
      <c r="H327" s="99" t="s">
        <v>4556</v>
      </c>
      <c r="I327" s="98" t="s">
        <v>3328</v>
      </c>
      <c r="J327" s="159" t="s">
        <v>2640</v>
      </c>
      <c r="K327" s="99"/>
      <c r="L327" s="99" t="s">
        <v>4048</v>
      </c>
      <c r="M327" s="132" t="s">
        <v>4557</v>
      </c>
      <c r="N327" s="134"/>
    </row>
    <row r="328">
      <c r="A328" s="57" t="s">
        <v>4558</v>
      </c>
      <c r="B328" s="60" t="s">
        <v>2394</v>
      </c>
      <c r="C328" s="59" t="s">
        <v>3884</v>
      </c>
      <c r="D328" s="59" t="s">
        <v>3626</v>
      </c>
      <c r="E328" s="59"/>
      <c r="F328" s="59" t="s">
        <v>4559</v>
      </c>
      <c r="G328" s="60" t="s">
        <v>3893</v>
      </c>
      <c r="H328" s="59" t="s">
        <v>4560</v>
      </c>
      <c r="I328" s="60" t="s">
        <v>3328</v>
      </c>
      <c r="J328" s="160" t="s">
        <v>2640</v>
      </c>
      <c r="K328" s="59"/>
      <c r="L328" s="59" t="s">
        <v>4048</v>
      </c>
      <c r="M328" s="127" t="s">
        <v>4561</v>
      </c>
      <c r="N328" s="129"/>
    </row>
    <row r="329">
      <c r="A329" s="102" t="s">
        <v>4562</v>
      </c>
      <c r="B329" s="98" t="s">
        <v>2032</v>
      </c>
      <c r="C329" s="99" t="s">
        <v>3884</v>
      </c>
      <c r="D329" s="99" t="s">
        <v>3626</v>
      </c>
      <c r="E329" s="99"/>
      <c r="F329" s="99" t="s">
        <v>4563</v>
      </c>
      <c r="G329" s="98" t="s">
        <v>3897</v>
      </c>
      <c r="H329" s="99" t="s">
        <v>4564</v>
      </c>
      <c r="I329" s="98" t="s">
        <v>3328</v>
      </c>
      <c r="J329" s="159" t="s">
        <v>2640</v>
      </c>
      <c r="K329" s="99"/>
      <c r="L329" s="99" t="s">
        <v>4048</v>
      </c>
      <c r="M329" s="132" t="s">
        <v>4565</v>
      </c>
      <c r="N329" s="134"/>
    </row>
    <row r="330">
      <c r="A330" s="57" t="s">
        <v>4566</v>
      </c>
      <c r="B330" s="60" t="s">
        <v>1981</v>
      </c>
      <c r="C330" s="59" t="s">
        <v>3884</v>
      </c>
      <c r="D330" s="59" t="s">
        <v>3626</v>
      </c>
      <c r="E330" s="59"/>
      <c r="F330" s="59" t="s">
        <v>4567</v>
      </c>
      <c r="G330" s="60" t="s">
        <v>3901</v>
      </c>
      <c r="H330" s="59" t="s">
        <v>4568</v>
      </c>
      <c r="I330" s="60" t="s">
        <v>3328</v>
      </c>
      <c r="J330" s="160" t="s">
        <v>2640</v>
      </c>
      <c r="K330" s="59"/>
      <c r="L330" s="59" t="s">
        <v>4048</v>
      </c>
      <c r="M330" s="127" t="s">
        <v>4569</v>
      </c>
      <c r="N330" s="129"/>
    </row>
    <row r="331">
      <c r="A331" s="102" t="s">
        <v>4570</v>
      </c>
      <c r="B331" s="98" t="s">
        <v>2400</v>
      </c>
      <c r="C331" s="99" t="s">
        <v>3884</v>
      </c>
      <c r="D331" s="99" t="s">
        <v>3626</v>
      </c>
      <c r="E331" s="99"/>
      <c r="F331" s="99" t="s">
        <v>4571</v>
      </c>
      <c r="G331" s="98" t="s">
        <v>3906</v>
      </c>
      <c r="H331" s="99" t="s">
        <v>4572</v>
      </c>
      <c r="I331" s="98" t="s">
        <v>3328</v>
      </c>
      <c r="J331" s="159" t="s">
        <v>2640</v>
      </c>
      <c r="K331" s="99"/>
      <c r="L331" s="99" t="s">
        <v>4048</v>
      </c>
      <c r="M331" s="132" t="s">
        <v>4573</v>
      </c>
      <c r="N331" s="134"/>
    </row>
    <row r="332">
      <c r="A332" s="57" t="s">
        <v>4574</v>
      </c>
      <c r="B332" s="60" t="s">
        <v>2405</v>
      </c>
      <c r="C332" s="59" t="s">
        <v>3884</v>
      </c>
      <c r="D332" s="59" t="s">
        <v>3626</v>
      </c>
      <c r="E332" s="59"/>
      <c r="F332" s="59" t="s">
        <v>4575</v>
      </c>
      <c r="G332" s="60" t="s">
        <v>3910</v>
      </c>
      <c r="H332" s="59" t="s">
        <v>4576</v>
      </c>
      <c r="I332" s="60" t="s">
        <v>3328</v>
      </c>
      <c r="J332" s="160" t="s">
        <v>2640</v>
      </c>
      <c r="K332" s="59"/>
      <c r="L332" s="59" t="s">
        <v>4048</v>
      </c>
      <c r="M332" s="127" t="s">
        <v>4577</v>
      </c>
      <c r="N332" s="129"/>
    </row>
    <row r="333">
      <c r="A333" s="102" t="s">
        <v>4578</v>
      </c>
      <c r="B333" s="98" t="s">
        <v>2409</v>
      </c>
      <c r="C333" s="99" t="s">
        <v>3884</v>
      </c>
      <c r="D333" s="99" t="s">
        <v>3626</v>
      </c>
      <c r="E333" s="99"/>
      <c r="F333" s="99" t="s">
        <v>4579</v>
      </c>
      <c r="G333" s="98" t="s">
        <v>3914</v>
      </c>
      <c r="H333" s="99" t="s">
        <v>4580</v>
      </c>
      <c r="I333" s="98" t="s">
        <v>3328</v>
      </c>
      <c r="J333" s="159" t="s">
        <v>2640</v>
      </c>
      <c r="K333" s="99"/>
      <c r="L333" s="99" t="s">
        <v>4048</v>
      </c>
      <c r="M333" s="132" t="s">
        <v>4581</v>
      </c>
      <c r="N333" s="134"/>
    </row>
    <row r="334">
      <c r="A334" s="57" t="s">
        <v>4582</v>
      </c>
      <c r="B334" s="60" t="s">
        <v>2413</v>
      </c>
      <c r="C334" s="59" t="s">
        <v>3884</v>
      </c>
      <c r="D334" s="59" t="s">
        <v>3626</v>
      </c>
      <c r="E334" s="59"/>
      <c r="F334" s="59" t="s">
        <v>4583</v>
      </c>
      <c r="G334" s="60" t="s">
        <v>3918</v>
      </c>
      <c r="H334" s="59" t="s">
        <v>4584</v>
      </c>
      <c r="I334" s="60" t="s">
        <v>3328</v>
      </c>
      <c r="J334" s="160" t="s">
        <v>2640</v>
      </c>
      <c r="K334" s="59"/>
      <c r="L334" s="59" t="s">
        <v>4048</v>
      </c>
      <c r="M334" s="127" t="s">
        <v>4585</v>
      </c>
      <c r="N334" s="129"/>
    </row>
    <row r="335">
      <c r="A335" s="102" t="s">
        <v>4586</v>
      </c>
      <c r="B335" s="98" t="s">
        <v>2417</v>
      </c>
      <c r="C335" s="99" t="s">
        <v>3884</v>
      </c>
      <c r="D335" s="99" t="s">
        <v>3626</v>
      </c>
      <c r="E335" s="99"/>
      <c r="F335" s="99" t="s">
        <v>4587</v>
      </c>
      <c r="G335" s="98" t="s">
        <v>3922</v>
      </c>
      <c r="H335" s="99" t="s">
        <v>4588</v>
      </c>
      <c r="I335" s="98" t="s">
        <v>3328</v>
      </c>
      <c r="J335" s="159" t="s">
        <v>2640</v>
      </c>
      <c r="K335" s="99"/>
      <c r="L335" s="99" t="s">
        <v>4048</v>
      </c>
      <c r="M335" s="132" t="s">
        <v>4589</v>
      </c>
      <c r="N335" s="134"/>
    </row>
    <row r="336">
      <c r="A336" s="57" t="s">
        <v>4590</v>
      </c>
      <c r="B336" s="60" t="s">
        <v>2421</v>
      </c>
      <c r="C336" s="59" t="s">
        <v>3884</v>
      </c>
      <c r="D336" s="59" t="s">
        <v>3626</v>
      </c>
      <c r="E336" s="59"/>
      <c r="F336" s="59" t="s">
        <v>4591</v>
      </c>
      <c r="G336" s="60" t="s">
        <v>3926</v>
      </c>
      <c r="H336" s="59" t="s">
        <v>4592</v>
      </c>
      <c r="I336" s="60" t="s">
        <v>3328</v>
      </c>
      <c r="J336" s="160" t="s">
        <v>2640</v>
      </c>
      <c r="K336" s="59"/>
      <c r="L336" s="59" t="s">
        <v>4048</v>
      </c>
      <c r="M336" s="127" t="s">
        <v>4593</v>
      </c>
      <c r="N336" s="129"/>
    </row>
    <row r="337">
      <c r="A337" s="102" t="s">
        <v>4594</v>
      </c>
      <c r="B337" s="98" t="s">
        <v>4020</v>
      </c>
      <c r="C337" s="99" t="s">
        <v>3884</v>
      </c>
      <c r="D337" s="99" t="s">
        <v>3626</v>
      </c>
      <c r="E337" s="99"/>
      <c r="F337" s="99" t="s">
        <v>4595</v>
      </c>
      <c r="G337" s="98" t="s">
        <v>3930</v>
      </c>
      <c r="H337" s="99" t="s">
        <v>4596</v>
      </c>
      <c r="I337" s="98" t="s">
        <v>3328</v>
      </c>
      <c r="J337" s="159" t="s">
        <v>2640</v>
      </c>
      <c r="K337" s="99"/>
      <c r="L337" s="99" t="s">
        <v>4048</v>
      </c>
      <c r="M337" s="132" t="s">
        <v>4597</v>
      </c>
      <c r="N337" s="134"/>
    </row>
    <row r="338">
      <c r="A338" s="57" t="s">
        <v>4598</v>
      </c>
      <c r="B338" s="60" t="s">
        <v>2426</v>
      </c>
      <c r="C338" s="59" t="s">
        <v>3884</v>
      </c>
      <c r="D338" s="59" t="s">
        <v>3626</v>
      </c>
      <c r="E338" s="59"/>
      <c r="F338" s="59" t="s">
        <v>4599</v>
      </c>
      <c r="G338" s="60" t="s">
        <v>3934</v>
      </c>
      <c r="H338" s="59" t="s">
        <v>4600</v>
      </c>
      <c r="I338" s="60" t="s">
        <v>3328</v>
      </c>
      <c r="J338" s="160" t="s">
        <v>2640</v>
      </c>
      <c r="K338" s="59"/>
      <c r="L338" s="59" t="s">
        <v>4048</v>
      </c>
      <c r="M338" s="127" t="s">
        <v>4601</v>
      </c>
      <c r="N338" s="129"/>
    </row>
    <row r="339">
      <c r="A339" s="102" t="s">
        <v>4602</v>
      </c>
      <c r="B339" s="98" t="s">
        <v>2430</v>
      </c>
      <c r="C339" s="99" t="s">
        <v>3884</v>
      </c>
      <c r="D339" s="99" t="s">
        <v>3626</v>
      </c>
      <c r="E339" s="99"/>
      <c r="F339" s="99" t="s">
        <v>4603</v>
      </c>
      <c r="G339" s="98" t="s">
        <v>4017</v>
      </c>
      <c r="H339" s="99" t="s">
        <v>4604</v>
      </c>
      <c r="I339" s="98" t="s">
        <v>3328</v>
      </c>
      <c r="J339" s="159" t="s">
        <v>2640</v>
      </c>
      <c r="K339" s="99"/>
      <c r="L339" s="99" t="s">
        <v>4048</v>
      </c>
      <c r="M339" s="132" t="s">
        <v>4605</v>
      </c>
      <c r="N339" s="134"/>
    </row>
    <row r="340">
      <c r="A340" s="57" t="s">
        <v>4606</v>
      </c>
      <c r="B340" s="60" t="s">
        <v>2435</v>
      </c>
      <c r="C340" s="59" t="s">
        <v>3884</v>
      </c>
      <c r="D340" s="59" t="s">
        <v>3626</v>
      </c>
      <c r="E340" s="59"/>
      <c r="F340" s="59" t="s">
        <v>4607</v>
      </c>
      <c r="G340" s="60" t="s">
        <v>4022</v>
      </c>
      <c r="H340" s="59" t="s">
        <v>4608</v>
      </c>
      <c r="I340" s="60" t="s">
        <v>3328</v>
      </c>
      <c r="J340" s="160" t="s">
        <v>2640</v>
      </c>
      <c r="K340" s="59"/>
      <c r="L340" s="59" t="s">
        <v>4048</v>
      </c>
      <c r="M340" s="127" t="s">
        <v>4609</v>
      </c>
      <c r="N340" s="129"/>
    </row>
    <row r="341">
      <c r="A341" s="102" t="s">
        <v>4610</v>
      </c>
      <c r="B341" s="98" t="s">
        <v>2440</v>
      </c>
      <c r="C341" s="99" t="s">
        <v>3884</v>
      </c>
      <c r="D341" s="99" t="s">
        <v>3626</v>
      </c>
      <c r="E341" s="99"/>
      <c r="F341" s="99" t="s">
        <v>4611</v>
      </c>
      <c r="G341" s="98" t="s">
        <v>4026</v>
      </c>
      <c r="H341" s="99" t="s">
        <v>4612</v>
      </c>
      <c r="I341" s="98" t="s">
        <v>3328</v>
      </c>
      <c r="J341" s="159" t="s">
        <v>2640</v>
      </c>
      <c r="K341" s="99"/>
      <c r="L341" s="99" t="s">
        <v>4048</v>
      </c>
      <c r="M341" s="132" t="s">
        <v>4613</v>
      </c>
      <c r="N341" s="134"/>
    </row>
    <row r="342">
      <c r="A342" s="57" t="s">
        <v>4614</v>
      </c>
      <c r="B342" s="60" t="s">
        <v>2444</v>
      </c>
      <c r="C342" s="59" t="s">
        <v>3884</v>
      </c>
      <c r="D342" s="59" t="s">
        <v>3626</v>
      </c>
      <c r="E342" s="59"/>
      <c r="F342" s="59" t="s">
        <v>4615</v>
      </c>
      <c r="G342" s="60" t="s">
        <v>4180</v>
      </c>
      <c r="H342" s="59" t="s">
        <v>4616</v>
      </c>
      <c r="I342" s="60" t="s">
        <v>3328</v>
      </c>
      <c r="J342" s="160" t="s">
        <v>2640</v>
      </c>
      <c r="K342" s="59"/>
      <c r="L342" s="59" t="s">
        <v>4048</v>
      </c>
      <c r="M342" s="127" t="s">
        <v>4617</v>
      </c>
      <c r="N342" s="129"/>
    </row>
    <row r="343">
      <c r="A343" s="102" t="s">
        <v>4618</v>
      </c>
      <c r="B343" s="98" t="s">
        <v>4619</v>
      </c>
      <c r="C343" s="99" t="s">
        <v>3937</v>
      </c>
      <c r="D343" s="99" t="s">
        <v>3938</v>
      </c>
      <c r="E343" s="98" t="s">
        <v>2435</v>
      </c>
      <c r="F343" s="161" t="s">
        <v>3939</v>
      </c>
      <c r="G343" s="98" t="s">
        <v>3503</v>
      </c>
      <c r="H343" s="99" t="s">
        <v>4620</v>
      </c>
      <c r="I343" s="99"/>
      <c r="J343" s="159" t="s">
        <v>2602</v>
      </c>
      <c r="K343" s="99"/>
      <c r="L343" s="99" t="s">
        <v>4048</v>
      </c>
      <c r="M343" s="132" t="s">
        <v>4621</v>
      </c>
      <c r="N343" s="134"/>
    </row>
    <row r="344">
      <c r="A344" s="57" t="s">
        <v>4622</v>
      </c>
      <c r="B344" s="60" t="s">
        <v>2449</v>
      </c>
      <c r="C344" s="59" t="s">
        <v>3937</v>
      </c>
      <c r="D344" s="59" t="s">
        <v>3938</v>
      </c>
      <c r="E344" s="60" t="s">
        <v>1954</v>
      </c>
      <c r="F344" s="156" t="s">
        <v>3939</v>
      </c>
      <c r="G344" s="60" t="s">
        <v>3499</v>
      </c>
      <c r="H344" s="59" t="s">
        <v>4623</v>
      </c>
      <c r="I344" s="59"/>
      <c r="J344" s="160" t="s">
        <v>2602</v>
      </c>
      <c r="K344" s="59"/>
      <c r="L344" s="59" t="s">
        <v>4048</v>
      </c>
      <c r="M344" s="127" t="s">
        <v>4624</v>
      </c>
      <c r="N344" s="129"/>
    </row>
    <row r="345">
      <c r="A345" s="102" t="s">
        <v>4625</v>
      </c>
      <c r="B345" s="98" t="s">
        <v>3967</v>
      </c>
      <c r="C345" s="99" t="s">
        <v>3884</v>
      </c>
      <c r="D345" s="99" t="s">
        <v>3885</v>
      </c>
      <c r="E345" s="99"/>
      <c r="F345" s="99" t="s">
        <v>4626</v>
      </c>
      <c r="G345" s="98" t="s">
        <v>3893</v>
      </c>
      <c r="H345" s="99" t="s">
        <v>4627</v>
      </c>
      <c r="I345" s="98" t="s">
        <v>2624</v>
      </c>
      <c r="J345" s="159" t="s">
        <v>2602</v>
      </c>
      <c r="K345" s="99"/>
      <c r="L345" s="99" t="s">
        <v>4048</v>
      </c>
      <c r="M345" s="132" t="s">
        <v>4628</v>
      </c>
      <c r="N345" s="134"/>
    </row>
    <row r="346">
      <c r="A346" s="57" t="s">
        <v>4629</v>
      </c>
      <c r="B346" s="60" t="s">
        <v>2454</v>
      </c>
      <c r="C346" s="59" t="s">
        <v>3884</v>
      </c>
      <c r="D346" s="59" t="s">
        <v>3626</v>
      </c>
      <c r="E346" s="59"/>
      <c r="F346" s="59" t="s">
        <v>4630</v>
      </c>
      <c r="G346" s="60" t="s">
        <v>3503</v>
      </c>
      <c r="H346" s="59" t="s">
        <v>4631</v>
      </c>
      <c r="I346" s="60" t="s">
        <v>3328</v>
      </c>
      <c r="J346" s="160" t="s">
        <v>2608</v>
      </c>
      <c r="K346" s="59"/>
      <c r="L346" s="59" t="s">
        <v>4048</v>
      </c>
      <c r="M346" s="127" t="s">
        <v>4632</v>
      </c>
      <c r="N346" s="129"/>
    </row>
    <row r="347">
      <c r="A347" s="102" t="s">
        <v>4633</v>
      </c>
      <c r="B347" s="98" t="s">
        <v>2224</v>
      </c>
      <c r="C347" s="99" t="s">
        <v>3937</v>
      </c>
      <c r="D347" s="99" t="s">
        <v>3626</v>
      </c>
      <c r="E347" s="99"/>
      <c r="F347" s="161" t="s">
        <v>3939</v>
      </c>
      <c r="G347" s="98" t="s">
        <v>3503</v>
      </c>
      <c r="H347" s="99" t="s">
        <v>4634</v>
      </c>
      <c r="I347" s="98" t="s">
        <v>3228</v>
      </c>
      <c r="J347" s="159" t="s">
        <v>2630</v>
      </c>
      <c r="K347" s="99"/>
      <c r="L347" s="99" t="s">
        <v>4048</v>
      </c>
      <c r="M347" s="132" t="s">
        <v>4635</v>
      </c>
      <c r="N347" s="134"/>
    </row>
    <row r="348">
      <c r="A348" s="57" t="s">
        <v>4636</v>
      </c>
      <c r="B348" s="60" t="s">
        <v>3904</v>
      </c>
      <c r="C348" s="59" t="s">
        <v>3884</v>
      </c>
      <c r="D348" s="59" t="s">
        <v>3885</v>
      </c>
      <c r="E348" s="59"/>
      <c r="F348" s="59" t="s">
        <v>4637</v>
      </c>
      <c r="G348" s="60" t="s">
        <v>3503</v>
      </c>
      <c r="H348" s="59" t="s">
        <v>4638</v>
      </c>
      <c r="I348" s="60" t="s">
        <v>2638</v>
      </c>
      <c r="J348" s="160" t="s">
        <v>2638</v>
      </c>
      <c r="K348" s="59"/>
      <c r="L348" s="59" t="s">
        <v>4048</v>
      </c>
      <c r="M348" s="127" t="s">
        <v>4639</v>
      </c>
      <c r="N348" s="129"/>
    </row>
    <row r="349">
      <c r="A349" s="102" t="s">
        <v>4640</v>
      </c>
      <c r="B349" s="98" t="s">
        <v>3967</v>
      </c>
      <c r="C349" s="99" t="s">
        <v>3884</v>
      </c>
      <c r="D349" s="99" t="s">
        <v>3885</v>
      </c>
      <c r="E349" s="99"/>
      <c r="F349" s="99" t="s">
        <v>4641</v>
      </c>
      <c r="G349" s="98" t="s">
        <v>3499</v>
      </c>
      <c r="H349" s="99" t="s">
        <v>4642</v>
      </c>
      <c r="I349" s="98" t="s">
        <v>2638</v>
      </c>
      <c r="J349" s="159" t="s">
        <v>2634</v>
      </c>
      <c r="K349" s="99"/>
      <c r="L349" s="99" t="s">
        <v>4048</v>
      </c>
      <c r="M349" s="132" t="s">
        <v>4643</v>
      </c>
      <c r="N349" s="134"/>
    </row>
    <row r="350">
      <c r="A350" s="57" t="s">
        <v>4644</v>
      </c>
      <c r="B350" s="60" t="s">
        <v>4116</v>
      </c>
      <c r="C350" s="59" t="s">
        <v>3884</v>
      </c>
      <c r="D350" s="59" t="s">
        <v>3885</v>
      </c>
      <c r="E350" s="59"/>
      <c r="F350" s="59" t="s">
        <v>4645</v>
      </c>
      <c r="G350" s="60" t="s">
        <v>3893</v>
      </c>
      <c r="H350" s="59" t="s">
        <v>4646</v>
      </c>
      <c r="I350" s="60" t="s">
        <v>2640</v>
      </c>
      <c r="J350" s="160" t="s">
        <v>2634</v>
      </c>
      <c r="K350" s="59"/>
      <c r="L350" s="59" t="s">
        <v>4048</v>
      </c>
      <c r="M350" s="127" t="s">
        <v>4647</v>
      </c>
      <c r="N350" s="129"/>
    </row>
    <row r="351">
      <c r="A351" s="102" t="s">
        <v>4648</v>
      </c>
      <c r="B351" s="98" t="s">
        <v>3967</v>
      </c>
      <c r="C351" s="99" t="s">
        <v>3884</v>
      </c>
      <c r="D351" s="99" t="s">
        <v>3885</v>
      </c>
      <c r="E351" s="99"/>
      <c r="F351" s="99" t="s">
        <v>4649</v>
      </c>
      <c r="G351" s="98" t="s">
        <v>3503</v>
      </c>
      <c r="H351" s="99" t="s">
        <v>4650</v>
      </c>
      <c r="I351" s="98" t="s">
        <v>2612</v>
      </c>
      <c r="J351" s="159" t="s">
        <v>2640</v>
      </c>
      <c r="K351" s="99"/>
      <c r="L351" s="99" t="s">
        <v>4048</v>
      </c>
      <c r="M351" s="132" t="s">
        <v>4651</v>
      </c>
      <c r="N351" s="134"/>
    </row>
    <row r="352">
      <c r="A352" s="57" t="s">
        <v>4652</v>
      </c>
      <c r="B352" s="60" t="s">
        <v>3904</v>
      </c>
      <c r="C352" s="59" t="s">
        <v>3884</v>
      </c>
      <c r="D352" s="59" t="s">
        <v>3885</v>
      </c>
      <c r="E352" s="59"/>
      <c r="F352" s="59" t="s">
        <v>4653</v>
      </c>
      <c r="G352" s="60" t="s">
        <v>3503</v>
      </c>
      <c r="H352" s="59" t="s">
        <v>4654</v>
      </c>
      <c r="I352" s="60" t="s">
        <v>2598</v>
      </c>
      <c r="J352" s="160" t="s">
        <v>2598</v>
      </c>
      <c r="K352" s="59"/>
      <c r="L352" s="59" t="s">
        <v>4048</v>
      </c>
      <c r="M352" s="127" t="s">
        <v>4655</v>
      </c>
      <c r="N352" s="129"/>
    </row>
    <row r="353">
      <c r="A353" s="102" t="s">
        <v>4656</v>
      </c>
      <c r="B353" s="98" t="s">
        <v>2058</v>
      </c>
      <c r="C353" s="99" t="s">
        <v>3937</v>
      </c>
      <c r="D353" s="99" t="s">
        <v>3938</v>
      </c>
      <c r="E353" s="98" t="s">
        <v>1954</v>
      </c>
      <c r="F353" s="161" t="s">
        <v>3939</v>
      </c>
      <c r="G353" s="98" t="s">
        <v>3499</v>
      </c>
      <c r="H353" s="99" t="s">
        <v>4657</v>
      </c>
      <c r="I353" s="99"/>
      <c r="J353" s="159" t="s">
        <v>2598</v>
      </c>
      <c r="K353" s="99"/>
      <c r="L353" s="99" t="s">
        <v>4048</v>
      </c>
      <c r="M353" s="132" t="s">
        <v>4658</v>
      </c>
      <c r="N353" s="134"/>
    </row>
    <row r="354">
      <c r="A354" s="57" t="s">
        <v>4659</v>
      </c>
      <c r="B354" s="60" t="s">
        <v>2005</v>
      </c>
      <c r="C354" s="59" t="s">
        <v>3884</v>
      </c>
      <c r="D354" s="59" t="s">
        <v>3885</v>
      </c>
      <c r="E354" s="59"/>
      <c r="F354" s="59" t="s">
        <v>4660</v>
      </c>
      <c r="G354" s="60" t="s">
        <v>3503</v>
      </c>
      <c r="H354" s="59" t="s">
        <v>4661</v>
      </c>
      <c r="I354" s="60" t="s">
        <v>2628</v>
      </c>
      <c r="J354" s="160" t="s">
        <v>2608</v>
      </c>
      <c r="K354" s="59"/>
      <c r="L354" s="59" t="s">
        <v>4048</v>
      </c>
      <c r="M354" s="127" t="s">
        <v>4662</v>
      </c>
      <c r="N354" s="129"/>
    </row>
    <row r="355">
      <c r="A355" s="102" t="s">
        <v>4663</v>
      </c>
      <c r="B355" s="98" t="s">
        <v>3904</v>
      </c>
      <c r="C355" s="99" t="s">
        <v>3884</v>
      </c>
      <c r="D355" s="99" t="s">
        <v>3885</v>
      </c>
      <c r="E355" s="99"/>
      <c r="F355" s="99" t="s">
        <v>4664</v>
      </c>
      <c r="G355" s="98" t="s">
        <v>3499</v>
      </c>
      <c r="H355" s="99" t="s">
        <v>4665</v>
      </c>
      <c r="I355" s="98" t="s">
        <v>2638</v>
      </c>
      <c r="J355" s="159" t="s">
        <v>2608</v>
      </c>
      <c r="K355" s="99"/>
      <c r="L355" s="99" t="s">
        <v>4048</v>
      </c>
      <c r="M355" s="132" t="s">
        <v>4666</v>
      </c>
      <c r="N355" s="134"/>
    </row>
    <row r="356">
      <c r="A356" s="57" t="s">
        <v>4667</v>
      </c>
      <c r="B356" s="60" t="s">
        <v>2459</v>
      </c>
      <c r="C356" s="59" t="s">
        <v>3884</v>
      </c>
      <c r="D356" s="59" t="s">
        <v>3885</v>
      </c>
      <c r="E356" s="59"/>
      <c r="F356" s="59" t="s">
        <v>4668</v>
      </c>
      <c r="G356" s="60" t="s">
        <v>3893</v>
      </c>
      <c r="H356" s="59" t="s">
        <v>4669</v>
      </c>
      <c r="I356" s="60" t="s">
        <v>2612</v>
      </c>
      <c r="J356" s="160" t="s">
        <v>2614</v>
      </c>
      <c r="K356" s="59"/>
      <c r="L356" s="59" t="s">
        <v>4048</v>
      </c>
      <c r="M356" s="127" t="s">
        <v>4670</v>
      </c>
      <c r="N356" s="129"/>
    </row>
    <row r="357">
      <c r="A357" s="102" t="s">
        <v>4671</v>
      </c>
      <c r="B357" s="98" t="s">
        <v>2076</v>
      </c>
      <c r="C357" s="99" t="s">
        <v>3884</v>
      </c>
      <c r="D357" s="99" t="s">
        <v>3885</v>
      </c>
      <c r="E357" s="99"/>
      <c r="F357" s="99" t="s">
        <v>4672</v>
      </c>
      <c r="G357" s="98" t="s">
        <v>3897</v>
      </c>
      <c r="H357" s="99" t="s">
        <v>4673</v>
      </c>
      <c r="I357" s="98" t="s">
        <v>2600</v>
      </c>
      <c r="J357" s="159" t="s">
        <v>2614</v>
      </c>
      <c r="K357" s="99"/>
      <c r="L357" s="99" t="s">
        <v>4048</v>
      </c>
      <c r="M357" s="132" t="s">
        <v>4674</v>
      </c>
      <c r="N357" s="134"/>
    </row>
    <row r="358">
      <c r="A358" s="57" t="s">
        <v>4675</v>
      </c>
      <c r="B358" s="60" t="s">
        <v>4322</v>
      </c>
      <c r="C358" s="59" t="s">
        <v>3884</v>
      </c>
      <c r="D358" s="59" t="s">
        <v>3885</v>
      </c>
      <c r="E358" s="59"/>
      <c r="F358" s="59" t="s">
        <v>4676</v>
      </c>
      <c r="G358" s="60" t="s">
        <v>3901</v>
      </c>
      <c r="H358" s="59" t="s">
        <v>4677</v>
      </c>
      <c r="I358" s="60" t="s">
        <v>2600</v>
      </c>
      <c r="J358" s="160" t="s">
        <v>2614</v>
      </c>
      <c r="K358" s="59"/>
      <c r="L358" s="59" t="s">
        <v>4048</v>
      </c>
      <c r="M358" s="127" t="s">
        <v>4678</v>
      </c>
      <c r="N358" s="129"/>
    </row>
    <row r="359">
      <c r="A359" s="102" t="s">
        <v>4679</v>
      </c>
      <c r="B359" s="98" t="s">
        <v>2463</v>
      </c>
      <c r="C359" s="99" t="s">
        <v>3884</v>
      </c>
      <c r="D359" s="99" t="s">
        <v>3885</v>
      </c>
      <c r="E359" s="99"/>
      <c r="F359" s="99" t="s">
        <v>4680</v>
      </c>
      <c r="G359" s="98" t="s">
        <v>3503</v>
      </c>
      <c r="H359" s="99" t="s">
        <v>4681</v>
      </c>
      <c r="I359" s="98" t="s">
        <v>2608</v>
      </c>
      <c r="J359" s="159" t="s">
        <v>2610</v>
      </c>
      <c r="K359" s="99"/>
      <c r="L359" s="99" t="s">
        <v>4048</v>
      </c>
      <c r="M359" s="132" t="s">
        <v>4682</v>
      </c>
      <c r="N359" s="134"/>
    </row>
    <row r="360">
      <c r="A360" s="57" t="s">
        <v>4683</v>
      </c>
      <c r="B360" s="60" t="s">
        <v>3967</v>
      </c>
      <c r="C360" s="59" t="s">
        <v>3884</v>
      </c>
      <c r="D360" s="59" t="s">
        <v>3885</v>
      </c>
      <c r="E360" s="59"/>
      <c r="F360" s="59" t="s">
        <v>4684</v>
      </c>
      <c r="G360" s="60" t="s">
        <v>3499</v>
      </c>
      <c r="H360" s="59" t="s">
        <v>4685</v>
      </c>
      <c r="I360" s="60" t="s">
        <v>2608</v>
      </c>
      <c r="J360" s="160" t="s">
        <v>2616</v>
      </c>
      <c r="K360" s="59"/>
      <c r="L360" s="59" t="s">
        <v>4048</v>
      </c>
      <c r="M360" s="127" t="s">
        <v>4686</v>
      </c>
      <c r="N360" s="129"/>
    </row>
    <row r="361">
      <c r="A361" s="102" t="s">
        <v>4687</v>
      </c>
      <c r="B361" s="98" t="s">
        <v>2147</v>
      </c>
      <c r="C361" s="99" t="s">
        <v>3884</v>
      </c>
      <c r="D361" s="99" t="s">
        <v>3885</v>
      </c>
      <c r="E361" s="99"/>
      <c r="F361" s="99" t="s">
        <v>4688</v>
      </c>
      <c r="G361" s="98" t="s">
        <v>3893</v>
      </c>
      <c r="H361" s="99" t="s">
        <v>4689</v>
      </c>
      <c r="I361" s="98" t="s">
        <v>2608</v>
      </c>
      <c r="J361" s="159" t="s">
        <v>2616</v>
      </c>
      <c r="K361" s="99"/>
      <c r="L361" s="99" t="s">
        <v>4048</v>
      </c>
      <c r="M361" s="132" t="s">
        <v>4690</v>
      </c>
      <c r="N361" s="134"/>
    </row>
    <row r="362">
      <c r="A362" s="57" t="s">
        <v>4690</v>
      </c>
      <c r="B362" s="60" t="s">
        <v>4031</v>
      </c>
      <c r="C362" s="59" t="s">
        <v>3884</v>
      </c>
      <c r="D362" s="59" t="s">
        <v>3885</v>
      </c>
      <c r="E362" s="59"/>
      <c r="F362" s="59" t="s">
        <v>4691</v>
      </c>
      <c r="G362" s="60" t="s">
        <v>3897</v>
      </c>
      <c r="H362" s="59" t="s">
        <v>4692</v>
      </c>
      <c r="I362" s="60" t="s">
        <v>2608</v>
      </c>
      <c r="J362" s="160" t="s">
        <v>2616</v>
      </c>
      <c r="K362" s="59"/>
      <c r="L362" s="59" t="s">
        <v>4048</v>
      </c>
      <c r="M362" s="127" t="s">
        <v>4693</v>
      </c>
      <c r="N362" s="129"/>
    </row>
    <row r="363">
      <c r="A363" s="102" t="s">
        <v>4694</v>
      </c>
      <c r="B363" s="98" t="s">
        <v>2468</v>
      </c>
      <c r="C363" s="99" t="s">
        <v>3884</v>
      </c>
      <c r="D363" s="99" t="s">
        <v>3885</v>
      </c>
      <c r="E363" s="99"/>
      <c r="F363" s="99" t="s">
        <v>4695</v>
      </c>
      <c r="G363" s="98" t="s">
        <v>3901</v>
      </c>
      <c r="H363" s="99" t="s">
        <v>4696</v>
      </c>
      <c r="I363" s="98" t="s">
        <v>2608</v>
      </c>
      <c r="J363" s="159" t="s">
        <v>2616</v>
      </c>
      <c r="K363" s="99"/>
      <c r="L363" s="99" t="s">
        <v>4048</v>
      </c>
      <c r="M363" s="132" t="s">
        <v>4697</v>
      </c>
      <c r="N363" s="134"/>
    </row>
    <row r="364">
      <c r="A364" s="57" t="s">
        <v>4698</v>
      </c>
      <c r="B364" s="60" t="s">
        <v>2473</v>
      </c>
      <c r="C364" s="59" t="s">
        <v>3884</v>
      </c>
      <c r="D364" s="59" t="s">
        <v>3885</v>
      </c>
      <c r="E364" s="59"/>
      <c r="F364" s="59" t="s">
        <v>4699</v>
      </c>
      <c r="G364" s="60" t="s">
        <v>3906</v>
      </c>
      <c r="H364" s="59" t="s">
        <v>4700</v>
      </c>
      <c r="I364" s="60" t="s">
        <v>2608</v>
      </c>
      <c r="J364" s="160" t="s">
        <v>2616</v>
      </c>
      <c r="K364" s="59"/>
      <c r="L364" s="59" t="s">
        <v>4048</v>
      </c>
      <c r="M364" s="127" t="s">
        <v>4701</v>
      </c>
      <c r="N364" s="129"/>
    </row>
    <row r="365">
      <c r="A365" s="102" t="s">
        <v>4702</v>
      </c>
      <c r="B365" s="98" t="s">
        <v>4133</v>
      </c>
      <c r="C365" s="99" t="s">
        <v>3884</v>
      </c>
      <c r="D365" s="99" t="s">
        <v>3885</v>
      </c>
      <c r="E365" s="99"/>
      <c r="F365" s="99" t="s">
        <v>4703</v>
      </c>
      <c r="G365" s="98" t="s">
        <v>3910</v>
      </c>
      <c r="H365" s="99" t="s">
        <v>4704</v>
      </c>
      <c r="I365" s="98" t="s">
        <v>2608</v>
      </c>
      <c r="J365" s="159" t="s">
        <v>2616</v>
      </c>
      <c r="K365" s="99"/>
      <c r="L365" s="99" t="s">
        <v>4048</v>
      </c>
      <c r="M365" s="132" t="s">
        <v>4705</v>
      </c>
      <c r="N365" s="134"/>
    </row>
    <row r="366">
      <c r="A366" s="57" t="s">
        <v>4706</v>
      </c>
      <c r="B366" s="60" t="s">
        <v>2005</v>
      </c>
      <c r="C366" s="59" t="s">
        <v>3884</v>
      </c>
      <c r="D366" s="59" t="s">
        <v>3885</v>
      </c>
      <c r="E366" s="59"/>
      <c r="F366" s="59" t="s">
        <v>4707</v>
      </c>
      <c r="G366" s="60" t="s">
        <v>3914</v>
      </c>
      <c r="H366" s="59" t="s">
        <v>4708</v>
      </c>
      <c r="I366" s="60" t="s">
        <v>2608</v>
      </c>
      <c r="J366" s="160" t="s">
        <v>2616</v>
      </c>
      <c r="K366" s="59"/>
      <c r="L366" s="59" t="s">
        <v>4048</v>
      </c>
      <c r="M366" s="127" t="s">
        <v>4709</v>
      </c>
      <c r="N366" s="129"/>
    </row>
    <row r="367">
      <c r="A367" s="102" t="s">
        <v>4710</v>
      </c>
      <c r="B367" s="98" t="s">
        <v>4193</v>
      </c>
      <c r="C367" s="99" t="s">
        <v>3884</v>
      </c>
      <c r="D367" s="99" t="s">
        <v>3885</v>
      </c>
      <c r="E367" s="99"/>
      <c r="F367" s="99" t="s">
        <v>4711</v>
      </c>
      <c r="G367" s="98" t="s">
        <v>3918</v>
      </c>
      <c r="H367" s="99" t="s">
        <v>4712</v>
      </c>
      <c r="I367" s="98" t="s">
        <v>2608</v>
      </c>
      <c r="J367" s="159" t="s">
        <v>2616</v>
      </c>
      <c r="K367" s="99"/>
      <c r="L367" s="99" t="s">
        <v>4048</v>
      </c>
      <c r="M367" s="132" t="s">
        <v>4713</v>
      </c>
      <c r="N367" s="134"/>
    </row>
    <row r="368">
      <c r="A368" s="57" t="s">
        <v>4714</v>
      </c>
      <c r="B368" s="60" t="s">
        <v>4715</v>
      </c>
      <c r="C368" s="59" t="s">
        <v>3884</v>
      </c>
      <c r="D368" s="59" t="s">
        <v>3885</v>
      </c>
      <c r="E368" s="59"/>
      <c r="F368" s="59" t="s">
        <v>4716</v>
      </c>
      <c r="G368" s="60" t="s">
        <v>3922</v>
      </c>
      <c r="H368" s="59" t="s">
        <v>4717</v>
      </c>
      <c r="I368" s="60" t="s">
        <v>2608</v>
      </c>
      <c r="J368" s="160" t="s">
        <v>2616</v>
      </c>
      <c r="K368" s="59"/>
      <c r="L368" s="59" t="s">
        <v>4048</v>
      </c>
      <c r="M368" s="127" t="s">
        <v>4718</v>
      </c>
      <c r="N368" s="129"/>
    </row>
    <row r="369">
      <c r="A369" s="102" t="s">
        <v>4719</v>
      </c>
      <c r="B369" s="98" t="s">
        <v>2463</v>
      </c>
      <c r="C369" s="99" t="s">
        <v>3884</v>
      </c>
      <c r="D369" s="99" t="s">
        <v>3885</v>
      </c>
      <c r="E369" s="99"/>
      <c r="F369" s="99" t="s">
        <v>4720</v>
      </c>
      <c r="G369" s="98" t="s">
        <v>3503</v>
      </c>
      <c r="H369" s="99" t="s">
        <v>4721</v>
      </c>
      <c r="I369" s="98" t="s">
        <v>2608</v>
      </c>
      <c r="J369" s="159" t="s">
        <v>2632</v>
      </c>
      <c r="K369" s="99"/>
      <c r="L369" s="99" t="s">
        <v>4048</v>
      </c>
      <c r="M369" s="132" t="s">
        <v>4722</v>
      </c>
      <c r="N369" s="134"/>
    </row>
    <row r="370">
      <c r="A370" s="57" t="s">
        <v>4723</v>
      </c>
      <c r="B370" s="60" t="s">
        <v>4111</v>
      </c>
      <c r="C370" s="59" t="s">
        <v>3884</v>
      </c>
      <c r="D370" s="59" t="s">
        <v>3885</v>
      </c>
      <c r="E370" s="59"/>
      <c r="F370" s="59" t="s">
        <v>4724</v>
      </c>
      <c r="G370" s="60" t="s">
        <v>3499</v>
      </c>
      <c r="H370" s="59" t="s">
        <v>4725</v>
      </c>
      <c r="I370" s="60" t="s">
        <v>2608</v>
      </c>
      <c r="J370" s="160" t="s">
        <v>2632</v>
      </c>
      <c r="K370" s="59"/>
      <c r="L370" s="59" t="s">
        <v>4048</v>
      </c>
      <c r="M370" s="127" t="s">
        <v>4726</v>
      </c>
      <c r="N370" s="129"/>
    </row>
    <row r="371">
      <c r="A371" s="102" t="s">
        <v>4727</v>
      </c>
      <c r="B371" s="98" t="s">
        <v>4031</v>
      </c>
      <c r="C371" s="99" t="s">
        <v>3884</v>
      </c>
      <c r="D371" s="99" t="s">
        <v>3885</v>
      </c>
      <c r="E371" s="99"/>
      <c r="F371" s="99" t="s">
        <v>4728</v>
      </c>
      <c r="G371" s="98" t="s">
        <v>3893</v>
      </c>
      <c r="H371" s="99" t="s">
        <v>4729</v>
      </c>
      <c r="I371" s="98" t="s">
        <v>2608</v>
      </c>
      <c r="J371" s="159" t="s">
        <v>2632</v>
      </c>
      <c r="K371" s="99"/>
      <c r="L371" s="99" t="s">
        <v>4048</v>
      </c>
      <c r="M371" s="132" t="s">
        <v>4730</v>
      </c>
      <c r="N371" s="134"/>
    </row>
    <row r="372">
      <c r="A372" s="57" t="s">
        <v>4731</v>
      </c>
      <c r="B372" s="60" t="s">
        <v>3967</v>
      </c>
      <c r="C372" s="59" t="s">
        <v>3884</v>
      </c>
      <c r="D372" s="59" t="s">
        <v>3885</v>
      </c>
      <c r="E372" s="59"/>
      <c r="F372" s="59" t="s">
        <v>4732</v>
      </c>
      <c r="G372" s="60" t="s">
        <v>3897</v>
      </c>
      <c r="H372" s="59" t="s">
        <v>4733</v>
      </c>
      <c r="I372" s="60" t="s">
        <v>2608</v>
      </c>
      <c r="J372" s="160" t="s">
        <v>2632</v>
      </c>
      <c r="K372" s="59"/>
      <c r="L372" s="59" t="s">
        <v>4048</v>
      </c>
      <c r="M372" s="127" t="s">
        <v>4734</v>
      </c>
      <c r="N372" s="129"/>
    </row>
    <row r="373">
      <c r="A373" s="102" t="s">
        <v>4735</v>
      </c>
      <c r="B373" s="98" t="s">
        <v>2468</v>
      </c>
      <c r="C373" s="99" t="s">
        <v>3884</v>
      </c>
      <c r="D373" s="99" t="s">
        <v>3885</v>
      </c>
      <c r="E373" s="99"/>
      <c r="F373" s="99" t="s">
        <v>4736</v>
      </c>
      <c r="G373" s="98" t="s">
        <v>3901</v>
      </c>
      <c r="H373" s="99" t="s">
        <v>4737</v>
      </c>
      <c r="I373" s="98" t="s">
        <v>2608</v>
      </c>
      <c r="J373" s="159" t="s">
        <v>2632</v>
      </c>
      <c r="K373" s="99"/>
      <c r="L373" s="99" t="s">
        <v>4048</v>
      </c>
      <c r="M373" s="132" t="s">
        <v>4738</v>
      </c>
      <c r="N373" s="134"/>
    </row>
    <row r="374">
      <c r="A374" s="57" t="s">
        <v>4739</v>
      </c>
      <c r="B374" s="60" t="s">
        <v>2473</v>
      </c>
      <c r="C374" s="59" t="s">
        <v>3884</v>
      </c>
      <c r="D374" s="59" t="s">
        <v>3885</v>
      </c>
      <c r="E374" s="59"/>
      <c r="F374" s="59" t="s">
        <v>4740</v>
      </c>
      <c r="G374" s="60" t="s">
        <v>3906</v>
      </c>
      <c r="H374" s="59" t="s">
        <v>4741</v>
      </c>
      <c r="I374" s="60" t="s">
        <v>2608</v>
      </c>
      <c r="J374" s="160" t="s">
        <v>2632</v>
      </c>
      <c r="K374" s="59"/>
      <c r="L374" s="59" t="s">
        <v>4048</v>
      </c>
      <c r="M374" s="127" t="s">
        <v>4738</v>
      </c>
      <c r="N374" s="129"/>
    </row>
    <row r="375">
      <c r="A375" s="102" t="s">
        <v>4742</v>
      </c>
      <c r="B375" s="98" t="s">
        <v>4193</v>
      </c>
      <c r="C375" s="99" t="s">
        <v>3884</v>
      </c>
      <c r="D375" s="99" t="s">
        <v>3885</v>
      </c>
      <c r="E375" s="99"/>
      <c r="F375" s="99" t="s">
        <v>4743</v>
      </c>
      <c r="G375" s="98" t="s">
        <v>3910</v>
      </c>
      <c r="H375" s="99" t="s">
        <v>4744</v>
      </c>
      <c r="I375" s="98" t="s">
        <v>2608</v>
      </c>
      <c r="J375" s="159" t="s">
        <v>2632</v>
      </c>
      <c r="K375" s="99"/>
      <c r="L375" s="99" t="s">
        <v>4048</v>
      </c>
      <c r="M375" s="132" t="s">
        <v>4745</v>
      </c>
      <c r="N375" s="134"/>
    </row>
    <row r="376">
      <c r="A376" s="57" t="s">
        <v>4746</v>
      </c>
      <c r="B376" s="60" t="s">
        <v>2147</v>
      </c>
      <c r="C376" s="59" t="s">
        <v>3884</v>
      </c>
      <c r="D376" s="59" t="s">
        <v>3885</v>
      </c>
      <c r="E376" s="59"/>
      <c r="F376" s="59" t="s">
        <v>4747</v>
      </c>
      <c r="G376" s="60" t="s">
        <v>3914</v>
      </c>
      <c r="H376" s="59" t="s">
        <v>4748</v>
      </c>
      <c r="I376" s="60" t="s">
        <v>2608</v>
      </c>
      <c r="J376" s="160" t="s">
        <v>2632</v>
      </c>
      <c r="K376" s="59"/>
      <c r="L376" s="59" t="s">
        <v>4048</v>
      </c>
      <c r="M376" s="127" t="s">
        <v>4745</v>
      </c>
      <c r="N376" s="129"/>
    </row>
    <row r="377">
      <c r="A377" s="102" t="s">
        <v>4749</v>
      </c>
      <c r="B377" s="98" t="s">
        <v>2005</v>
      </c>
      <c r="C377" s="99" t="s">
        <v>3884</v>
      </c>
      <c r="D377" s="99" t="s">
        <v>3885</v>
      </c>
      <c r="E377" s="99"/>
      <c r="F377" s="99" t="s">
        <v>4750</v>
      </c>
      <c r="G377" s="98" t="s">
        <v>3918</v>
      </c>
      <c r="H377" s="99" t="s">
        <v>4751</v>
      </c>
      <c r="I377" s="98" t="s">
        <v>2608</v>
      </c>
      <c r="J377" s="159" t="s">
        <v>2632</v>
      </c>
      <c r="K377" s="99"/>
      <c r="L377" s="99" t="s">
        <v>4048</v>
      </c>
      <c r="M377" s="132" t="s">
        <v>4752</v>
      </c>
      <c r="N377" s="134"/>
    </row>
    <row r="378">
      <c r="A378" s="57" t="s">
        <v>4753</v>
      </c>
      <c r="B378" s="60" t="s">
        <v>4133</v>
      </c>
      <c r="C378" s="59" t="s">
        <v>3884</v>
      </c>
      <c r="D378" s="59" t="s">
        <v>3885</v>
      </c>
      <c r="E378" s="59"/>
      <c r="F378" s="59" t="s">
        <v>4754</v>
      </c>
      <c r="G378" s="60" t="s">
        <v>3922</v>
      </c>
      <c r="H378" s="59" t="s">
        <v>4755</v>
      </c>
      <c r="I378" s="60" t="s">
        <v>2608</v>
      </c>
      <c r="J378" s="160" t="s">
        <v>2632</v>
      </c>
      <c r="K378" s="59"/>
      <c r="L378" s="59" t="s">
        <v>4048</v>
      </c>
      <c r="M378" s="127" t="s">
        <v>4756</v>
      </c>
      <c r="N378" s="129"/>
    </row>
    <row r="379">
      <c r="A379" s="102" t="s">
        <v>4757</v>
      </c>
      <c r="B379" s="98" t="s">
        <v>2157</v>
      </c>
      <c r="C379" s="99" t="s">
        <v>3884</v>
      </c>
      <c r="D379" s="99" t="s">
        <v>3885</v>
      </c>
      <c r="E379" s="99"/>
      <c r="F379" s="99" t="s">
        <v>4758</v>
      </c>
      <c r="G379" s="98" t="s">
        <v>3926</v>
      </c>
      <c r="H379" s="99" t="s">
        <v>4759</v>
      </c>
      <c r="I379" s="98" t="s">
        <v>2608</v>
      </c>
      <c r="J379" s="159" t="s">
        <v>2632</v>
      </c>
      <c r="K379" s="99"/>
      <c r="L379" s="99" t="s">
        <v>4048</v>
      </c>
      <c r="M379" s="132" t="s">
        <v>4760</v>
      </c>
      <c r="N379" s="134"/>
    </row>
    <row r="380">
      <c r="A380" s="57" t="s">
        <v>4761</v>
      </c>
      <c r="B380" s="60" t="s">
        <v>2177</v>
      </c>
      <c r="C380" s="59" t="s">
        <v>3884</v>
      </c>
      <c r="D380" s="59" t="s">
        <v>3885</v>
      </c>
      <c r="E380" s="59"/>
      <c r="F380" s="59" t="s">
        <v>4762</v>
      </c>
      <c r="G380" s="60" t="s">
        <v>3930</v>
      </c>
      <c r="H380" s="59" t="s">
        <v>4763</v>
      </c>
      <c r="I380" s="60" t="s">
        <v>2608</v>
      </c>
      <c r="J380" s="160" t="s">
        <v>2632</v>
      </c>
      <c r="K380" s="59"/>
      <c r="L380" s="59" t="s">
        <v>4048</v>
      </c>
      <c r="M380" s="127" t="s">
        <v>4764</v>
      </c>
      <c r="N380" s="129"/>
    </row>
    <row r="381">
      <c r="A381" s="102" t="s">
        <v>4765</v>
      </c>
      <c r="B381" s="98" t="s">
        <v>4715</v>
      </c>
      <c r="C381" s="99" t="s">
        <v>3884</v>
      </c>
      <c r="D381" s="99" t="s">
        <v>3885</v>
      </c>
      <c r="E381" s="99"/>
      <c r="F381" s="99" t="s">
        <v>4766</v>
      </c>
      <c r="G381" s="98" t="s">
        <v>3934</v>
      </c>
      <c r="H381" s="99" t="s">
        <v>4767</v>
      </c>
      <c r="I381" s="98" t="s">
        <v>2608</v>
      </c>
      <c r="J381" s="159" t="s">
        <v>2632</v>
      </c>
      <c r="K381" s="99"/>
      <c r="L381" s="99" t="s">
        <v>4048</v>
      </c>
      <c r="M381" s="132" t="s">
        <v>4768</v>
      </c>
      <c r="N381" s="134"/>
    </row>
    <row r="382">
      <c r="A382" s="57" t="s">
        <v>4769</v>
      </c>
      <c r="B382" s="60" t="s">
        <v>2478</v>
      </c>
      <c r="C382" s="59" t="s">
        <v>3884</v>
      </c>
      <c r="D382" s="59" t="s">
        <v>3885</v>
      </c>
      <c r="E382" s="59"/>
      <c r="F382" s="59" t="s">
        <v>4770</v>
      </c>
      <c r="G382" s="60" t="s">
        <v>4017</v>
      </c>
      <c r="H382" s="59" t="s">
        <v>4771</v>
      </c>
      <c r="I382" s="60" t="s">
        <v>2608</v>
      </c>
      <c r="J382" s="160" t="s">
        <v>2632</v>
      </c>
      <c r="K382" s="59"/>
      <c r="L382" s="59" t="s">
        <v>4048</v>
      </c>
      <c r="M382" s="127" t="s">
        <v>4772</v>
      </c>
      <c r="N382" s="129"/>
    </row>
    <row r="383">
      <c r="A383" s="102" t="s">
        <v>4773</v>
      </c>
      <c r="B383" s="98" t="s">
        <v>2482</v>
      </c>
      <c r="C383" s="99" t="s">
        <v>3884</v>
      </c>
      <c r="D383" s="99" t="s">
        <v>3885</v>
      </c>
      <c r="E383" s="99"/>
      <c r="F383" s="99" t="s">
        <v>4774</v>
      </c>
      <c r="G383" s="98" t="s">
        <v>4022</v>
      </c>
      <c r="H383" s="99" t="s">
        <v>4775</v>
      </c>
      <c r="I383" s="98" t="s">
        <v>2640</v>
      </c>
      <c r="J383" s="159" t="s">
        <v>2632</v>
      </c>
      <c r="K383" s="99"/>
      <c r="L383" s="99" t="s">
        <v>4048</v>
      </c>
      <c r="M383" s="132" t="s">
        <v>4776</v>
      </c>
      <c r="N383" s="134"/>
    </row>
    <row r="384">
      <c r="A384" s="57" t="s">
        <v>4777</v>
      </c>
      <c r="B384" s="60" t="s">
        <v>2487</v>
      </c>
      <c r="C384" s="59" t="s">
        <v>3884</v>
      </c>
      <c r="D384" s="59" t="s">
        <v>3626</v>
      </c>
      <c r="E384" s="59"/>
      <c r="F384" s="59" t="s">
        <v>4778</v>
      </c>
      <c r="G384" s="60" t="s">
        <v>4026</v>
      </c>
      <c r="H384" s="59" t="s">
        <v>4779</v>
      </c>
      <c r="I384" s="60" t="s">
        <v>2636</v>
      </c>
      <c r="J384" s="160" t="s">
        <v>2632</v>
      </c>
      <c r="K384" s="59"/>
      <c r="L384" s="59" t="s">
        <v>4048</v>
      </c>
      <c r="M384" s="127" t="s">
        <v>4780</v>
      </c>
      <c r="N384" s="129"/>
    </row>
    <row r="385">
      <c r="A385" s="102" t="s">
        <v>4781</v>
      </c>
      <c r="B385" s="98" t="s">
        <v>2493</v>
      </c>
      <c r="C385" s="99" t="s">
        <v>3884</v>
      </c>
      <c r="D385" s="99" t="s">
        <v>3626</v>
      </c>
      <c r="E385" s="99"/>
      <c r="F385" s="99" t="s">
        <v>4782</v>
      </c>
      <c r="G385" s="98" t="s">
        <v>4180</v>
      </c>
      <c r="H385" s="99" t="s">
        <v>4783</v>
      </c>
      <c r="I385" s="98" t="s">
        <v>2636</v>
      </c>
      <c r="J385" s="159" t="s">
        <v>2632</v>
      </c>
      <c r="K385" s="99"/>
      <c r="L385" s="99" t="s">
        <v>4048</v>
      </c>
      <c r="M385" s="132" t="s">
        <v>4784</v>
      </c>
      <c r="N385" s="134"/>
    </row>
    <row r="386">
      <c r="A386" s="57" t="s">
        <v>4785</v>
      </c>
      <c r="B386" s="60" t="s">
        <v>2498</v>
      </c>
      <c r="C386" s="59" t="s">
        <v>3884</v>
      </c>
      <c r="D386" s="59" t="s">
        <v>3885</v>
      </c>
      <c r="E386" s="59"/>
      <c r="F386" s="59" t="s">
        <v>4786</v>
      </c>
      <c r="G386" s="60" t="s">
        <v>4185</v>
      </c>
      <c r="H386" s="59" t="s">
        <v>4787</v>
      </c>
      <c r="I386" s="60" t="s">
        <v>2636</v>
      </c>
      <c r="J386" s="160" t="s">
        <v>2632</v>
      </c>
      <c r="K386" s="59"/>
      <c r="L386" s="59" t="s">
        <v>4048</v>
      </c>
      <c r="M386" s="127" t="s">
        <v>4788</v>
      </c>
      <c r="N386" s="129"/>
    </row>
    <row r="387">
      <c r="A387" s="102" t="s">
        <v>4789</v>
      </c>
      <c r="B387" s="98" t="s">
        <v>2503</v>
      </c>
      <c r="C387" s="99" t="s">
        <v>3884</v>
      </c>
      <c r="D387" s="99" t="s">
        <v>3885</v>
      </c>
      <c r="E387" s="99"/>
      <c r="F387" s="99" t="s">
        <v>4790</v>
      </c>
      <c r="G387" s="98" t="s">
        <v>4189</v>
      </c>
      <c r="H387" s="99" t="s">
        <v>4791</v>
      </c>
      <c r="I387" s="98" t="s">
        <v>2636</v>
      </c>
      <c r="J387" s="159" t="s">
        <v>2632</v>
      </c>
      <c r="K387" s="99"/>
      <c r="L387" s="99" t="s">
        <v>4048</v>
      </c>
      <c r="M387" s="132" t="s">
        <v>4792</v>
      </c>
      <c r="N387" s="134"/>
    </row>
    <row r="388">
      <c r="A388" s="57" t="s">
        <v>4793</v>
      </c>
      <c r="B388" s="60" t="s">
        <v>2507</v>
      </c>
      <c r="C388" s="59" t="s">
        <v>3884</v>
      </c>
      <c r="D388" s="59" t="s">
        <v>3626</v>
      </c>
      <c r="E388" s="59"/>
      <c r="F388" s="59" t="s">
        <v>4794</v>
      </c>
      <c r="G388" s="60" t="s">
        <v>4195</v>
      </c>
      <c r="H388" s="59" t="s">
        <v>4795</v>
      </c>
      <c r="I388" s="60" t="s">
        <v>2636</v>
      </c>
      <c r="J388" s="160" t="s">
        <v>2632</v>
      </c>
      <c r="K388" s="59"/>
      <c r="L388" s="59" t="s">
        <v>4048</v>
      </c>
      <c r="M388" s="127" t="s">
        <v>4796</v>
      </c>
      <c r="N388" s="129"/>
    </row>
    <row r="389">
      <c r="A389" s="102" t="s">
        <v>4797</v>
      </c>
      <c r="B389" s="98" t="s">
        <v>2511</v>
      </c>
      <c r="C389" s="99" t="s">
        <v>3884</v>
      </c>
      <c r="D389" s="99" t="s">
        <v>3885</v>
      </c>
      <c r="E389" s="99"/>
      <c r="F389" s="99" t="s">
        <v>4798</v>
      </c>
      <c r="G389" s="98" t="s">
        <v>4200</v>
      </c>
      <c r="H389" s="99" t="s">
        <v>4799</v>
      </c>
      <c r="I389" s="98" t="s">
        <v>2636</v>
      </c>
      <c r="J389" s="159" t="s">
        <v>2632</v>
      </c>
      <c r="K389" s="99"/>
      <c r="L389" s="99" t="s">
        <v>4048</v>
      </c>
      <c r="M389" s="132" t="s">
        <v>4800</v>
      </c>
      <c r="N389" s="134"/>
    </row>
    <row r="390">
      <c r="A390" s="57" t="s">
        <v>4801</v>
      </c>
      <c r="B390" s="60" t="s">
        <v>2516</v>
      </c>
      <c r="C390" s="59" t="s">
        <v>3884</v>
      </c>
      <c r="D390" s="59" t="s">
        <v>3885</v>
      </c>
      <c r="E390" s="59"/>
      <c r="F390" s="59" t="s">
        <v>4802</v>
      </c>
      <c r="G390" s="60" t="s">
        <v>4205</v>
      </c>
      <c r="H390" s="59" t="s">
        <v>4803</v>
      </c>
      <c r="I390" s="60" t="s">
        <v>2636</v>
      </c>
      <c r="J390" s="160" t="s">
        <v>2632</v>
      </c>
      <c r="K390" s="59"/>
      <c r="L390" s="59" t="s">
        <v>4048</v>
      </c>
      <c r="M390" s="127" t="s">
        <v>4804</v>
      </c>
      <c r="N390" s="129"/>
    </row>
    <row r="391">
      <c r="A391" s="102" t="s">
        <v>4805</v>
      </c>
      <c r="B391" s="98" t="s">
        <v>2521</v>
      </c>
      <c r="C391" s="99" t="s">
        <v>3884</v>
      </c>
      <c r="D391" s="99" t="s">
        <v>3938</v>
      </c>
      <c r="E391" s="98" t="s">
        <v>2388</v>
      </c>
      <c r="F391" s="99" t="s">
        <v>4806</v>
      </c>
      <c r="G391" s="98" t="s">
        <v>3503</v>
      </c>
      <c r="H391" s="99" t="s">
        <v>4807</v>
      </c>
      <c r="I391" s="98" t="s">
        <v>2598</v>
      </c>
      <c r="J391" s="159" t="s">
        <v>2636</v>
      </c>
      <c r="K391" s="99"/>
      <c r="L391" s="99" t="s">
        <v>4048</v>
      </c>
      <c r="M391" s="132" t="s">
        <v>4808</v>
      </c>
      <c r="N391" s="134"/>
    </row>
    <row r="392">
      <c r="A392" s="57" t="s">
        <v>4809</v>
      </c>
      <c r="B392" s="60" t="s">
        <v>2525</v>
      </c>
      <c r="C392" s="59" t="s">
        <v>3937</v>
      </c>
      <c r="D392" s="59" t="s">
        <v>3938</v>
      </c>
      <c r="E392" s="60" t="s">
        <v>2435</v>
      </c>
      <c r="F392" s="156" t="s">
        <v>3939</v>
      </c>
      <c r="G392" s="60" t="s">
        <v>3499</v>
      </c>
      <c r="H392" s="59" t="s">
        <v>4810</v>
      </c>
      <c r="I392" s="59"/>
      <c r="J392" s="160" t="s">
        <v>2618</v>
      </c>
      <c r="K392" s="59"/>
      <c r="L392" s="59" t="s">
        <v>4048</v>
      </c>
      <c r="M392" s="127" t="s">
        <v>4811</v>
      </c>
      <c r="N392" s="129"/>
    </row>
    <row r="393">
      <c r="A393" s="102" t="s">
        <v>4812</v>
      </c>
      <c r="B393" s="98" t="s">
        <v>4031</v>
      </c>
      <c r="C393" s="99" t="s">
        <v>3884</v>
      </c>
      <c r="D393" s="99" t="s">
        <v>3885</v>
      </c>
      <c r="E393" s="99"/>
      <c r="F393" s="99" t="s">
        <v>4813</v>
      </c>
      <c r="G393" s="98" t="s">
        <v>3503</v>
      </c>
      <c r="H393" s="99" t="s">
        <v>4814</v>
      </c>
      <c r="I393" s="98" t="s">
        <v>2602</v>
      </c>
      <c r="J393" s="159" t="s">
        <v>2638</v>
      </c>
      <c r="K393" s="99"/>
      <c r="L393" s="99" t="s">
        <v>4048</v>
      </c>
      <c r="M393" s="132" t="s">
        <v>4815</v>
      </c>
      <c r="N393" s="134"/>
    </row>
    <row r="394">
      <c r="A394" s="57" t="s">
        <v>4816</v>
      </c>
      <c r="B394" s="60" t="s">
        <v>3967</v>
      </c>
      <c r="C394" s="59" t="s">
        <v>3884</v>
      </c>
      <c r="D394" s="59" t="s">
        <v>3885</v>
      </c>
      <c r="E394" s="59"/>
      <c r="F394" s="59" t="s">
        <v>4817</v>
      </c>
      <c r="G394" s="60" t="s">
        <v>3499</v>
      </c>
      <c r="H394" s="59" t="s">
        <v>4818</v>
      </c>
      <c r="I394" s="60" t="s">
        <v>2614</v>
      </c>
      <c r="J394" s="160" t="s">
        <v>2638</v>
      </c>
      <c r="K394" s="59"/>
      <c r="L394" s="59" t="s">
        <v>4048</v>
      </c>
      <c r="M394" s="127" t="s">
        <v>4819</v>
      </c>
      <c r="N394" s="129"/>
    </row>
    <row r="395">
      <c r="A395" s="102" t="s">
        <v>4820</v>
      </c>
      <c r="B395" s="98" t="s">
        <v>3967</v>
      </c>
      <c r="C395" s="99" t="s">
        <v>3884</v>
      </c>
      <c r="D395" s="99" t="s">
        <v>3885</v>
      </c>
      <c r="E395" s="99"/>
      <c r="F395" s="99" t="s">
        <v>4821</v>
      </c>
      <c r="G395" s="98" t="s">
        <v>3503</v>
      </c>
      <c r="H395" s="99" t="s">
        <v>4822</v>
      </c>
      <c r="I395" s="98" t="s">
        <v>2612</v>
      </c>
      <c r="J395" s="159" t="s">
        <v>2598</v>
      </c>
      <c r="K395" s="99"/>
      <c r="L395" s="99" t="s">
        <v>4048</v>
      </c>
      <c r="M395" s="132" t="s">
        <v>4823</v>
      </c>
      <c r="N395" s="134"/>
    </row>
    <row r="396">
      <c r="A396" s="57" t="s">
        <v>4824</v>
      </c>
      <c r="B396" s="60" t="s">
        <v>2530</v>
      </c>
      <c r="C396" s="59" t="s">
        <v>3937</v>
      </c>
      <c r="D396" s="59" t="s">
        <v>3938</v>
      </c>
      <c r="E396" s="60" t="s">
        <v>1949</v>
      </c>
      <c r="F396" s="156" t="s">
        <v>3939</v>
      </c>
      <c r="G396" s="60" t="s">
        <v>3499</v>
      </c>
      <c r="H396" s="59" t="s">
        <v>4825</v>
      </c>
      <c r="I396" s="59"/>
      <c r="J396" s="160" t="s">
        <v>2598</v>
      </c>
      <c r="K396" s="59"/>
      <c r="L396" s="59" t="s">
        <v>4048</v>
      </c>
      <c r="M396" s="127" t="s">
        <v>4826</v>
      </c>
      <c r="N396" s="129"/>
    </row>
    <row r="397">
      <c r="A397" s="102" t="s">
        <v>4827</v>
      </c>
      <c r="B397" s="98" t="s">
        <v>2536</v>
      </c>
      <c r="C397" s="99" t="s">
        <v>3937</v>
      </c>
      <c r="D397" s="99" t="s">
        <v>3938</v>
      </c>
      <c r="E397" s="98" t="s">
        <v>1954</v>
      </c>
      <c r="F397" s="161" t="s">
        <v>3939</v>
      </c>
      <c r="G397" s="98" t="s">
        <v>3893</v>
      </c>
      <c r="H397" s="99" t="s">
        <v>4828</v>
      </c>
      <c r="I397" s="99"/>
      <c r="J397" s="159" t="s">
        <v>2598</v>
      </c>
      <c r="K397" s="99"/>
      <c r="L397" s="99" t="s">
        <v>4048</v>
      </c>
      <c r="M397" s="132" t="s">
        <v>4829</v>
      </c>
      <c r="N397" s="134"/>
    </row>
    <row r="398">
      <c r="A398" s="57" t="s">
        <v>4830</v>
      </c>
      <c r="B398" s="60" t="s">
        <v>2540</v>
      </c>
      <c r="C398" s="59" t="s">
        <v>3884</v>
      </c>
      <c r="D398" s="59" t="s">
        <v>3885</v>
      </c>
      <c r="E398" s="59"/>
      <c r="F398" s="59" t="s">
        <v>4831</v>
      </c>
      <c r="G398" s="60" t="s">
        <v>3897</v>
      </c>
      <c r="H398" s="59" t="s">
        <v>4832</v>
      </c>
      <c r="I398" s="60" t="s">
        <v>2598</v>
      </c>
      <c r="J398" s="160" t="s">
        <v>2598</v>
      </c>
      <c r="K398" s="59"/>
      <c r="L398" s="59" t="s">
        <v>4048</v>
      </c>
      <c r="M398" s="127" t="s">
        <v>4833</v>
      </c>
      <c r="N398" s="129"/>
    </row>
    <row r="399">
      <c r="A399" s="102" t="s">
        <v>4834</v>
      </c>
      <c r="B399" s="98" t="s">
        <v>1954</v>
      </c>
      <c r="C399" s="99" t="s">
        <v>3884</v>
      </c>
      <c r="D399" s="99" t="s">
        <v>3885</v>
      </c>
      <c r="E399" s="99"/>
      <c r="F399" s="99" t="s">
        <v>4835</v>
      </c>
      <c r="G399" s="98" t="s">
        <v>3503</v>
      </c>
      <c r="H399" s="99" t="s">
        <v>4836</v>
      </c>
      <c r="I399" s="98" t="s">
        <v>2640</v>
      </c>
      <c r="J399" s="159" t="s">
        <v>2614</v>
      </c>
      <c r="K399" s="99"/>
      <c r="L399" s="99" t="s">
        <v>4048</v>
      </c>
      <c r="M399" s="132" t="s">
        <v>4837</v>
      </c>
      <c r="N399" s="134"/>
    </row>
    <row r="400">
      <c r="A400" s="57" t="s">
        <v>4838</v>
      </c>
      <c r="B400" s="60" t="s">
        <v>2009</v>
      </c>
      <c r="C400" s="59" t="s">
        <v>3884</v>
      </c>
      <c r="D400" s="59" t="s">
        <v>3626</v>
      </c>
      <c r="E400" s="59"/>
      <c r="F400" s="59" t="s">
        <v>4839</v>
      </c>
      <c r="G400" s="60" t="s">
        <v>3503</v>
      </c>
      <c r="H400" s="59" t="s">
        <v>4840</v>
      </c>
      <c r="I400" s="60" t="s">
        <v>2618</v>
      </c>
      <c r="J400" s="160" t="s">
        <v>2598</v>
      </c>
      <c r="K400" s="59"/>
      <c r="L400" s="59" t="s">
        <v>4048</v>
      </c>
      <c r="M400" s="127" t="s">
        <v>4841</v>
      </c>
      <c r="N400" s="129"/>
    </row>
    <row r="401">
      <c r="A401" s="102" t="s">
        <v>4842</v>
      </c>
      <c r="B401" s="98" t="s">
        <v>4031</v>
      </c>
      <c r="C401" s="99" t="s">
        <v>3884</v>
      </c>
      <c r="D401" s="99" t="s">
        <v>3885</v>
      </c>
      <c r="E401" s="99"/>
      <c r="F401" s="99" t="s">
        <v>4843</v>
      </c>
      <c r="G401" s="98" t="s">
        <v>3499</v>
      </c>
      <c r="H401" s="99" t="s">
        <v>4844</v>
      </c>
      <c r="I401" s="98" t="s">
        <v>2612</v>
      </c>
      <c r="J401" s="159" t="s">
        <v>2598</v>
      </c>
      <c r="K401" s="99"/>
      <c r="L401" s="99" t="s">
        <v>4048</v>
      </c>
      <c r="M401" s="132" t="s">
        <v>4845</v>
      </c>
      <c r="N401" s="134"/>
    </row>
    <row r="402">
      <c r="A402" s="57" t="s">
        <v>4846</v>
      </c>
      <c r="B402" s="60" t="s">
        <v>2544</v>
      </c>
      <c r="C402" s="59" t="s">
        <v>3884</v>
      </c>
      <c r="D402" s="59" t="s">
        <v>3626</v>
      </c>
      <c r="E402" s="59"/>
      <c r="F402" s="59" t="s">
        <v>4847</v>
      </c>
      <c r="G402" s="60" t="s">
        <v>3503</v>
      </c>
      <c r="H402" s="59" t="s">
        <v>4848</v>
      </c>
      <c r="I402" s="60" t="s">
        <v>2943</v>
      </c>
      <c r="J402" s="160" t="s">
        <v>2943</v>
      </c>
      <c r="K402" s="59"/>
      <c r="L402" s="59" t="s">
        <v>4048</v>
      </c>
      <c r="M402" s="127" t="s">
        <v>4849</v>
      </c>
      <c r="N402" s="129"/>
    </row>
    <row r="403">
      <c r="A403" s="102" t="s">
        <v>4850</v>
      </c>
      <c r="B403" s="98" t="s">
        <v>2550</v>
      </c>
      <c r="C403" s="99" t="s">
        <v>3884</v>
      </c>
      <c r="D403" s="99" t="s">
        <v>3626</v>
      </c>
      <c r="E403" s="99"/>
      <c r="F403" s="99" t="s">
        <v>4851</v>
      </c>
      <c r="G403" s="98" t="s">
        <v>3499</v>
      </c>
      <c r="H403" s="99" t="s">
        <v>4852</v>
      </c>
      <c r="I403" s="98" t="s">
        <v>2598</v>
      </c>
      <c r="J403" s="159" t="s">
        <v>2943</v>
      </c>
      <c r="K403" s="99"/>
      <c r="L403" s="99" t="s">
        <v>4048</v>
      </c>
      <c r="M403" s="132" t="s">
        <v>4853</v>
      </c>
      <c r="N403" s="134"/>
    </row>
    <row r="404">
      <c r="A404" s="57" t="s">
        <v>4854</v>
      </c>
      <c r="B404" s="60" t="s">
        <v>2556</v>
      </c>
      <c r="C404" s="59" t="s">
        <v>3884</v>
      </c>
      <c r="D404" s="59" t="s">
        <v>3938</v>
      </c>
      <c r="E404" s="60" t="s">
        <v>2388</v>
      </c>
      <c r="F404" s="59" t="s">
        <v>4855</v>
      </c>
      <c r="G404" s="60" t="s">
        <v>3893</v>
      </c>
      <c r="H404" s="59" t="s">
        <v>4856</v>
      </c>
      <c r="I404" s="59"/>
      <c r="J404" s="160" t="s">
        <v>2943</v>
      </c>
      <c r="K404" s="59"/>
      <c r="L404" s="59" t="s">
        <v>4048</v>
      </c>
      <c r="M404" s="127" t="s">
        <v>4857</v>
      </c>
      <c r="N404" s="129"/>
    </row>
    <row r="405">
      <c r="A405" s="102" t="s">
        <v>4858</v>
      </c>
      <c r="B405" s="98" t="s">
        <v>4031</v>
      </c>
      <c r="C405" s="99" t="s">
        <v>3884</v>
      </c>
      <c r="D405" s="99" t="s">
        <v>3885</v>
      </c>
      <c r="E405" s="99"/>
      <c r="F405" s="99" t="s">
        <v>4859</v>
      </c>
      <c r="G405" s="98" t="s">
        <v>3897</v>
      </c>
      <c r="H405" s="99" t="s">
        <v>4860</v>
      </c>
      <c r="I405" s="98" t="s">
        <v>2612</v>
      </c>
      <c r="J405" s="159" t="s">
        <v>2634</v>
      </c>
      <c r="K405" s="99"/>
      <c r="L405" s="99" t="s">
        <v>4048</v>
      </c>
      <c r="M405" s="132" t="s">
        <v>4861</v>
      </c>
      <c r="N405" s="134"/>
    </row>
    <row r="406">
      <c r="A406" s="57" t="s">
        <v>4862</v>
      </c>
      <c r="B406" s="60" t="s">
        <v>2560</v>
      </c>
      <c r="C406" s="59" t="s">
        <v>3884</v>
      </c>
      <c r="D406" s="59" t="s">
        <v>3626</v>
      </c>
      <c r="E406" s="59"/>
      <c r="F406" s="59" t="s">
        <v>4863</v>
      </c>
      <c r="G406" s="60" t="s">
        <v>3503</v>
      </c>
      <c r="H406" s="59" t="s">
        <v>4864</v>
      </c>
      <c r="I406" s="60" t="s">
        <v>3328</v>
      </c>
      <c r="J406" s="160" t="s">
        <v>2614</v>
      </c>
      <c r="K406" s="59"/>
      <c r="L406" s="59" t="s">
        <v>4048</v>
      </c>
      <c r="M406" s="127" t="s">
        <v>4865</v>
      </c>
      <c r="N406" s="129"/>
    </row>
    <row r="407">
      <c r="A407" s="102" t="s">
        <v>4866</v>
      </c>
      <c r="B407" s="98" t="s">
        <v>2565</v>
      </c>
      <c r="C407" s="99" t="s">
        <v>3884</v>
      </c>
      <c r="D407" s="99" t="s">
        <v>3626</v>
      </c>
      <c r="E407" s="99"/>
      <c r="F407" s="99" t="s">
        <v>4867</v>
      </c>
      <c r="G407" s="98" t="s">
        <v>3499</v>
      </c>
      <c r="H407" s="99" t="s">
        <v>4868</v>
      </c>
      <c r="I407" s="98" t="s">
        <v>3328</v>
      </c>
      <c r="J407" s="159" t="s">
        <v>2614</v>
      </c>
      <c r="K407" s="99"/>
      <c r="L407" s="99" t="s">
        <v>4048</v>
      </c>
      <c r="M407" s="132" t="s">
        <v>4869</v>
      </c>
      <c r="N407" s="134"/>
    </row>
    <row r="408">
      <c r="A408" s="57" t="s">
        <v>4870</v>
      </c>
      <c r="B408" s="60" t="s">
        <v>3967</v>
      </c>
      <c r="C408" s="59" t="s">
        <v>3884</v>
      </c>
      <c r="D408" s="59" t="s">
        <v>3885</v>
      </c>
      <c r="E408" s="59"/>
      <c r="F408" s="59" t="s">
        <v>4871</v>
      </c>
      <c r="G408" s="60" t="s">
        <v>3893</v>
      </c>
      <c r="H408" s="59" t="s">
        <v>4872</v>
      </c>
      <c r="I408" s="60" t="s">
        <v>2612</v>
      </c>
      <c r="J408" s="160" t="s">
        <v>2614</v>
      </c>
      <c r="K408" s="59"/>
      <c r="L408" s="59" t="s">
        <v>4048</v>
      </c>
      <c r="M408" s="127" t="s">
        <v>4873</v>
      </c>
      <c r="N408" s="129"/>
    </row>
    <row r="409">
      <c r="A409" s="102" t="s">
        <v>4874</v>
      </c>
      <c r="B409" s="98" t="s">
        <v>2570</v>
      </c>
      <c r="C409" s="99" t="s">
        <v>3884</v>
      </c>
      <c r="D409" s="99" t="s">
        <v>3626</v>
      </c>
      <c r="E409" s="99"/>
      <c r="F409" s="99" t="s">
        <v>4875</v>
      </c>
      <c r="G409" s="98" t="s">
        <v>3897</v>
      </c>
      <c r="H409" s="99" t="s">
        <v>4876</v>
      </c>
      <c r="I409" s="98" t="s">
        <v>2624</v>
      </c>
      <c r="J409" s="159" t="s">
        <v>2600</v>
      </c>
      <c r="K409" s="99"/>
      <c r="L409" s="99" t="s">
        <v>4048</v>
      </c>
      <c r="M409" s="132" t="s">
        <v>4877</v>
      </c>
      <c r="N409" s="134"/>
    </row>
    <row r="410">
      <c r="A410" s="57" t="s">
        <v>4878</v>
      </c>
      <c r="B410" s="60" t="s">
        <v>2473</v>
      </c>
      <c r="C410" s="59" t="s">
        <v>3884</v>
      </c>
      <c r="D410" s="59" t="s">
        <v>3885</v>
      </c>
      <c r="E410" s="59"/>
      <c r="F410" s="59" t="s">
        <v>4879</v>
      </c>
      <c r="G410" s="60" t="s">
        <v>3901</v>
      </c>
      <c r="H410" s="59" t="s">
        <v>4880</v>
      </c>
      <c r="I410" s="60" t="s">
        <v>2618</v>
      </c>
      <c r="J410" s="160" t="s">
        <v>2600</v>
      </c>
      <c r="K410" s="59"/>
      <c r="L410" s="59" t="s">
        <v>4048</v>
      </c>
      <c r="M410" s="127" t="s">
        <v>4881</v>
      </c>
      <c r="N410" s="129"/>
    </row>
    <row r="411">
      <c r="A411" s="102" t="s">
        <v>4882</v>
      </c>
      <c r="B411" s="98" t="s">
        <v>2468</v>
      </c>
      <c r="C411" s="99" t="s">
        <v>3884</v>
      </c>
      <c r="D411" s="99" t="s">
        <v>3885</v>
      </c>
      <c r="E411" s="99"/>
      <c r="F411" s="99" t="s">
        <v>4883</v>
      </c>
      <c r="G411" s="98" t="s">
        <v>3906</v>
      </c>
      <c r="H411" s="99" t="s">
        <v>4884</v>
      </c>
      <c r="I411" s="98" t="s">
        <v>2618</v>
      </c>
      <c r="J411" s="159" t="s">
        <v>2600</v>
      </c>
      <c r="K411" s="99"/>
      <c r="L411" s="99" t="s">
        <v>4048</v>
      </c>
      <c r="M411" s="132" t="s">
        <v>4885</v>
      </c>
      <c r="N411" s="134"/>
    </row>
    <row r="412">
      <c r="A412" s="57" t="s">
        <v>4886</v>
      </c>
      <c r="B412" s="60" t="s">
        <v>2005</v>
      </c>
      <c r="C412" s="59" t="s">
        <v>3884</v>
      </c>
      <c r="D412" s="59" t="s">
        <v>3885</v>
      </c>
      <c r="E412" s="59"/>
      <c r="F412" s="59" t="s">
        <v>4887</v>
      </c>
      <c r="G412" s="60" t="s">
        <v>3910</v>
      </c>
      <c r="H412" s="59" t="s">
        <v>4888</v>
      </c>
      <c r="I412" s="60" t="s">
        <v>2628</v>
      </c>
      <c r="J412" s="160" t="s">
        <v>2600</v>
      </c>
      <c r="K412" s="59"/>
      <c r="L412" s="59" t="s">
        <v>4048</v>
      </c>
      <c r="M412" s="127" t="s">
        <v>4889</v>
      </c>
      <c r="N412" s="129"/>
    </row>
    <row r="413">
      <c r="A413" s="102" t="s">
        <v>4890</v>
      </c>
      <c r="B413" s="98" t="s">
        <v>2575</v>
      </c>
      <c r="C413" s="99" t="s">
        <v>3937</v>
      </c>
      <c r="D413" s="99" t="s">
        <v>3938</v>
      </c>
      <c r="E413" s="98" t="s">
        <v>1954</v>
      </c>
      <c r="F413" s="161" t="s">
        <v>3939</v>
      </c>
      <c r="G413" s="98" t="s">
        <v>3503</v>
      </c>
      <c r="H413" s="99" t="s">
        <v>4891</v>
      </c>
      <c r="I413" s="99"/>
      <c r="J413" s="159" t="s">
        <v>2638</v>
      </c>
      <c r="K413" s="99"/>
      <c r="L413" s="99" t="s">
        <v>4048</v>
      </c>
      <c r="M413" s="132" t="s">
        <v>4892</v>
      </c>
      <c r="N413" s="134"/>
    </row>
    <row r="414">
      <c r="A414" s="57" t="s">
        <v>4893</v>
      </c>
      <c r="B414" s="60" t="s">
        <v>2014</v>
      </c>
      <c r="C414" s="59" t="s">
        <v>3884</v>
      </c>
      <c r="D414" s="59" t="s">
        <v>3885</v>
      </c>
      <c r="E414" s="59"/>
      <c r="F414" s="59" t="s">
        <v>4894</v>
      </c>
      <c r="G414" s="60" t="s">
        <v>3499</v>
      </c>
      <c r="H414" s="59" t="s">
        <v>4895</v>
      </c>
      <c r="I414" s="60" t="s">
        <v>2600</v>
      </c>
      <c r="J414" s="160" t="s">
        <v>2604</v>
      </c>
      <c r="K414" s="59"/>
      <c r="L414" s="59" t="s">
        <v>4048</v>
      </c>
      <c r="M414" s="127" t="s">
        <v>4896</v>
      </c>
      <c r="N414" s="129"/>
    </row>
    <row r="415">
      <c r="A415" s="102" t="s">
        <v>4897</v>
      </c>
      <c r="B415" s="98" t="s">
        <v>2005</v>
      </c>
      <c r="C415" s="99" t="s">
        <v>3884</v>
      </c>
      <c r="D415" s="99" t="s">
        <v>3885</v>
      </c>
      <c r="E415" s="99"/>
      <c r="F415" s="99" t="s">
        <v>4898</v>
      </c>
      <c r="G415" s="98" t="s">
        <v>3893</v>
      </c>
      <c r="H415" s="99" t="s">
        <v>4899</v>
      </c>
      <c r="I415" s="98" t="s">
        <v>2600</v>
      </c>
      <c r="J415" s="159" t="s">
        <v>2604</v>
      </c>
      <c r="K415" s="99"/>
      <c r="L415" s="99" t="s">
        <v>4048</v>
      </c>
      <c r="M415" s="132" t="s">
        <v>4900</v>
      </c>
      <c r="N415" s="134"/>
    </row>
    <row r="416">
      <c r="A416" s="57" t="s">
        <v>4901</v>
      </c>
      <c r="B416" s="60" t="s">
        <v>4031</v>
      </c>
      <c r="C416" s="59" t="s">
        <v>3884</v>
      </c>
      <c r="D416" s="59" t="s">
        <v>3885</v>
      </c>
      <c r="E416" s="59"/>
      <c r="F416" s="59" t="s">
        <v>4902</v>
      </c>
      <c r="G416" s="60" t="s">
        <v>3897</v>
      </c>
      <c r="H416" s="59" t="s">
        <v>4903</v>
      </c>
      <c r="I416" s="60" t="s">
        <v>2612</v>
      </c>
      <c r="J416" s="160" t="s">
        <v>2604</v>
      </c>
      <c r="K416" s="59"/>
      <c r="L416" s="59" t="s">
        <v>4048</v>
      </c>
      <c r="M416" s="127" t="s">
        <v>4904</v>
      </c>
      <c r="N416" s="129"/>
    </row>
    <row r="417">
      <c r="A417" s="102" t="s">
        <v>4905</v>
      </c>
      <c r="B417" s="98" t="s">
        <v>2270</v>
      </c>
      <c r="C417" s="99" t="s">
        <v>3884</v>
      </c>
      <c r="D417" s="99" t="s">
        <v>3885</v>
      </c>
      <c r="E417" s="99"/>
      <c r="F417" s="99" t="s">
        <v>4906</v>
      </c>
      <c r="G417" s="98" t="s">
        <v>3503</v>
      </c>
      <c r="H417" s="99" t="s">
        <v>4907</v>
      </c>
      <c r="I417" s="98" t="s">
        <v>2943</v>
      </c>
      <c r="J417" s="159" t="s">
        <v>2600</v>
      </c>
      <c r="K417" s="99"/>
      <c r="L417" s="99" t="s">
        <v>4048</v>
      </c>
      <c r="M417" s="132" t="s">
        <v>4908</v>
      </c>
      <c r="N417" s="134"/>
    </row>
    <row r="418">
      <c r="A418" s="57" t="s">
        <v>4909</v>
      </c>
      <c r="B418" s="60" t="s">
        <v>2275</v>
      </c>
      <c r="C418" s="59" t="s">
        <v>3884</v>
      </c>
      <c r="D418" s="59" t="s">
        <v>3885</v>
      </c>
      <c r="E418" s="59"/>
      <c r="F418" s="59" t="s">
        <v>4910</v>
      </c>
      <c r="G418" s="60" t="s">
        <v>3499</v>
      </c>
      <c r="H418" s="59" t="s">
        <v>4911</v>
      </c>
      <c r="I418" s="60" t="s">
        <v>2943</v>
      </c>
      <c r="J418" s="160" t="s">
        <v>2600</v>
      </c>
      <c r="K418" s="59"/>
      <c r="L418" s="59" t="s">
        <v>4048</v>
      </c>
      <c r="M418" s="127" t="s">
        <v>4912</v>
      </c>
      <c r="N418" s="129"/>
    </row>
    <row r="419">
      <c r="A419" s="102" t="s">
        <v>4913</v>
      </c>
      <c r="B419" s="98" t="s">
        <v>3904</v>
      </c>
      <c r="C419" s="99" t="s">
        <v>3884</v>
      </c>
      <c r="D419" s="99" t="s">
        <v>3885</v>
      </c>
      <c r="E419" s="99"/>
      <c r="F419" s="99" t="s">
        <v>4914</v>
      </c>
      <c r="G419" s="98" t="s">
        <v>3893</v>
      </c>
      <c r="H419" s="99" t="s">
        <v>4915</v>
      </c>
      <c r="I419" s="98" t="s">
        <v>2624</v>
      </c>
      <c r="J419" s="159" t="s">
        <v>2600</v>
      </c>
      <c r="K419" s="99"/>
      <c r="L419" s="99" t="s">
        <v>4048</v>
      </c>
      <c r="M419" s="132" t="s">
        <v>4916</v>
      </c>
      <c r="N419" s="134"/>
    </row>
    <row r="420">
      <c r="A420" s="57" t="s">
        <v>4917</v>
      </c>
      <c r="B420" s="60" t="s">
        <v>2468</v>
      </c>
      <c r="C420" s="59" t="s">
        <v>3884</v>
      </c>
      <c r="D420" s="59" t="s">
        <v>3885</v>
      </c>
      <c r="E420" s="59"/>
      <c r="F420" s="59" t="s">
        <v>4918</v>
      </c>
      <c r="G420" s="60" t="s">
        <v>3897</v>
      </c>
      <c r="H420" s="59" t="s">
        <v>4919</v>
      </c>
      <c r="I420" s="60" t="s">
        <v>2618</v>
      </c>
      <c r="J420" s="160" t="s">
        <v>2600</v>
      </c>
      <c r="K420" s="59"/>
      <c r="L420" s="59" t="s">
        <v>4048</v>
      </c>
      <c r="M420" s="127" t="s">
        <v>4920</v>
      </c>
      <c r="N420" s="129"/>
    </row>
    <row r="421">
      <c r="A421" s="102" t="s">
        <v>4921</v>
      </c>
      <c r="B421" s="98" t="s">
        <v>2482</v>
      </c>
      <c r="C421" s="99" t="s">
        <v>3884</v>
      </c>
      <c r="D421" s="99" t="s">
        <v>3885</v>
      </c>
      <c r="E421" s="99"/>
      <c r="F421" s="99" t="s">
        <v>4922</v>
      </c>
      <c r="G421" s="98" t="s">
        <v>3901</v>
      </c>
      <c r="H421" s="99" t="s">
        <v>4923</v>
      </c>
      <c r="I421" s="98" t="s">
        <v>2640</v>
      </c>
      <c r="J421" s="159" t="s">
        <v>2640</v>
      </c>
      <c r="K421" s="99"/>
      <c r="L421" s="99" t="s">
        <v>4048</v>
      </c>
      <c r="M421" s="132" t="s">
        <v>4924</v>
      </c>
      <c r="N421" s="134"/>
    </row>
    <row r="422">
      <c r="A422" s="57" t="s">
        <v>4925</v>
      </c>
      <c r="B422" s="60" t="s">
        <v>2570</v>
      </c>
      <c r="C422" s="59" t="s">
        <v>3884</v>
      </c>
      <c r="D422" s="59" t="s">
        <v>3626</v>
      </c>
      <c r="E422" s="59"/>
      <c r="F422" s="59" t="s">
        <v>4926</v>
      </c>
      <c r="G422" s="60" t="s">
        <v>3906</v>
      </c>
      <c r="H422" s="59" t="s">
        <v>4927</v>
      </c>
      <c r="I422" s="60" t="s">
        <v>3228</v>
      </c>
      <c r="J422" s="160" t="s">
        <v>2640</v>
      </c>
      <c r="K422" s="59"/>
      <c r="L422" s="59" t="s">
        <v>4048</v>
      </c>
      <c r="M422" s="127" t="s">
        <v>4928</v>
      </c>
      <c r="N422" s="129"/>
    </row>
    <row r="423">
      <c r="A423" s="102" t="s">
        <v>4929</v>
      </c>
      <c r="B423" s="98" t="s">
        <v>3967</v>
      </c>
      <c r="C423" s="99" t="s">
        <v>3884</v>
      </c>
      <c r="D423" s="99" t="s">
        <v>3885</v>
      </c>
      <c r="E423" s="99"/>
      <c r="F423" s="99" t="s">
        <v>4930</v>
      </c>
      <c r="G423" s="98" t="s">
        <v>3910</v>
      </c>
      <c r="H423" s="99" t="s">
        <v>4931</v>
      </c>
      <c r="I423" s="98" t="s">
        <v>2612</v>
      </c>
      <c r="J423" s="159" t="s">
        <v>2640</v>
      </c>
      <c r="K423" s="99"/>
      <c r="L423" s="99" t="s">
        <v>4048</v>
      </c>
      <c r="M423" s="132" t="s">
        <v>4932</v>
      </c>
      <c r="N423" s="134"/>
    </row>
    <row r="424">
      <c r="A424" s="57" t="s">
        <v>4933</v>
      </c>
      <c r="B424" s="60" t="s">
        <v>2147</v>
      </c>
      <c r="C424" s="59" t="s">
        <v>3884</v>
      </c>
      <c r="D424" s="59" t="s">
        <v>3885</v>
      </c>
      <c r="E424" s="59"/>
      <c r="F424" s="59" t="s">
        <v>4934</v>
      </c>
      <c r="G424" s="60" t="s">
        <v>3914</v>
      </c>
      <c r="H424" s="59" t="s">
        <v>4935</v>
      </c>
      <c r="I424" s="60" t="s">
        <v>2626</v>
      </c>
      <c r="J424" s="160" t="s">
        <v>2640</v>
      </c>
      <c r="K424" s="59"/>
      <c r="L424" s="59" t="s">
        <v>4048</v>
      </c>
      <c r="M424" s="127" t="s">
        <v>4936</v>
      </c>
      <c r="N424" s="129"/>
    </row>
    <row r="425">
      <c r="A425" s="102" t="s">
        <v>4937</v>
      </c>
      <c r="B425" s="98" t="s">
        <v>4031</v>
      </c>
      <c r="C425" s="99" t="s">
        <v>3884</v>
      </c>
      <c r="D425" s="99" t="s">
        <v>3885</v>
      </c>
      <c r="E425" s="99"/>
      <c r="F425" s="99" t="s">
        <v>4938</v>
      </c>
      <c r="G425" s="98" t="s">
        <v>3918</v>
      </c>
      <c r="H425" s="99" t="s">
        <v>4939</v>
      </c>
      <c r="I425" s="98" t="s">
        <v>2612</v>
      </c>
      <c r="J425" s="159" t="s">
        <v>2640</v>
      </c>
      <c r="K425" s="99"/>
      <c r="L425" s="99" t="s">
        <v>4048</v>
      </c>
      <c r="M425" s="132" t="s">
        <v>4940</v>
      </c>
      <c r="N425" s="134"/>
    </row>
    <row r="426">
      <c r="A426" s="57" t="s">
        <v>4941</v>
      </c>
      <c r="B426" s="60" t="s">
        <v>2270</v>
      </c>
      <c r="C426" s="59" t="s">
        <v>3884</v>
      </c>
      <c r="D426" s="59" t="s">
        <v>3885</v>
      </c>
      <c r="E426" s="59"/>
      <c r="F426" s="59" t="s">
        <v>4942</v>
      </c>
      <c r="G426" s="60" t="s">
        <v>3503</v>
      </c>
      <c r="H426" s="59" t="s">
        <v>4943</v>
      </c>
      <c r="I426" s="60" t="s">
        <v>2943</v>
      </c>
      <c r="J426" s="160" t="s">
        <v>2604</v>
      </c>
      <c r="K426" s="59"/>
      <c r="L426" s="59" t="s">
        <v>4048</v>
      </c>
      <c r="M426" s="127" t="s">
        <v>4944</v>
      </c>
      <c r="N426" s="129"/>
    </row>
    <row r="427">
      <c r="A427" s="162" t="s">
        <v>4945</v>
      </c>
      <c r="B427" s="163" t="s">
        <v>2275</v>
      </c>
      <c r="C427" s="164" t="s">
        <v>3884</v>
      </c>
      <c r="D427" s="164" t="s">
        <v>3885</v>
      </c>
      <c r="E427" s="164"/>
      <c r="F427" s="164" t="s">
        <v>4946</v>
      </c>
      <c r="G427" s="163" t="s">
        <v>3499</v>
      </c>
      <c r="H427" s="164" t="s">
        <v>4947</v>
      </c>
      <c r="I427" s="163" t="s">
        <v>2943</v>
      </c>
      <c r="J427" s="165" t="s">
        <v>2604</v>
      </c>
      <c r="K427" s="164"/>
      <c r="L427" s="164" t="s">
        <v>4048</v>
      </c>
      <c r="M427" s="166" t="s">
        <v>4948</v>
      </c>
      <c r="N427" s="140"/>
    </row>
  </sheetData>
  <hyperlinks>
    <hyperlink r:id="rId1" ref="F152"/>
    <hyperlink r:id="rId2" ref="F234"/>
    <hyperlink r:id="rId3" ref="F240"/>
    <hyperlink r:id="rId4" ref="F280"/>
    <hyperlink r:id="rId5" ref="F282"/>
    <hyperlink r:id="rId6" ref="F311"/>
    <hyperlink r:id="rId7" ref="F326"/>
    <hyperlink r:id="rId8" ref="F343"/>
    <hyperlink r:id="rId9" ref="F344"/>
    <hyperlink r:id="rId10" ref="F347"/>
    <hyperlink r:id="rId11" ref="F353"/>
    <hyperlink r:id="rId12" ref="F392"/>
    <hyperlink r:id="rId13" ref="F396"/>
    <hyperlink r:id="rId14" ref="F397"/>
    <hyperlink r:id="rId15" ref="F413"/>
  </hyperlinks>
  <drawing r:id="rId16"/>
  <tableParts count="1">
    <tablePart r:id="rId18"/>
  </tableParts>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5.25"/>
    <col customWidth="1" min="4" max="4" width="18.13"/>
    <col customWidth="1" min="5" max="5" width="18.38"/>
    <col customWidth="1" min="6" max="6" width="29.38"/>
  </cols>
  <sheetData>
    <row r="1">
      <c r="A1" s="54" t="s">
        <v>2579</v>
      </c>
      <c r="B1" s="55" t="s">
        <v>3619</v>
      </c>
      <c r="C1" s="55" t="s">
        <v>4949</v>
      </c>
      <c r="D1" s="55" t="s">
        <v>3299</v>
      </c>
      <c r="E1" s="55" t="s">
        <v>4950</v>
      </c>
      <c r="F1" s="146" t="s">
        <v>4951</v>
      </c>
    </row>
    <row r="2">
      <c r="A2" s="103">
        <v>1.0</v>
      </c>
      <c r="B2" s="69">
        <v>312.0</v>
      </c>
      <c r="C2" s="167" t="s">
        <v>2620</v>
      </c>
      <c r="D2" s="105">
        <v>10.0</v>
      </c>
      <c r="E2" s="69" t="s">
        <v>4510</v>
      </c>
      <c r="F2" s="71" t="s">
        <v>4952</v>
      </c>
    </row>
  </sheetData>
  <drawing r:id="rId1"/>
  <tableParts count="1">
    <tablePart r:id="rId3"/>
  </tableParts>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75"/>
    <col customWidth="1" min="3" max="3" width="20.13"/>
    <col customWidth="1" min="4" max="4" width="24.5"/>
  </cols>
  <sheetData>
    <row r="1">
      <c r="A1" s="4" t="str">
        <f>IFERROR(__xludf.DUMMYFUNCTION("QUERY(dbkunjungan!A:L, ""SELECT G, L, D WHERE A starts with '"" &amp; TEXT(TODAY(), ""dd/MM/yyyy"") &amp; ""'"", 1)"),"Nomor Antrian")</f>
        <v>Nomor Antrian</v>
      </c>
      <c r="B1" s="13" t="str">
        <f>IFERROR(__xludf.DUMMYFUNCTION("""COMPUTED_VALUE"""),"status antrian")</f>
        <v>status antrian</v>
      </c>
      <c r="C1" s="4" t="str">
        <f>IFERROR(__xludf.DUMMYFUNCTION("""COMPUTED_VALUE"""),"Tujuan Kunjungan")</f>
        <v>Tujuan Kunjungan</v>
      </c>
      <c r="D1" s="4" t="s">
        <v>3612</v>
      </c>
    </row>
    <row r="2">
      <c r="A2" s="13" t="str">
        <f>IFERROR(__xludf.DUMMYFUNCTION("""COMPUTED_VALUE"""),"1")</f>
        <v>1</v>
      </c>
      <c r="B2" s="13" t="str">
        <f>IFERROR(__xludf.DUMMYFUNCTION("""COMPUTED_VALUE"""),"Dilayani")</f>
        <v>Dilayani</v>
      </c>
      <c r="C2" s="13" t="str">
        <f>IFERROR(__xludf.DUMMYFUNCTION("""COMPUTED_VALUE"""),"Pekerjaan Statistik (Mitra)")</f>
        <v>Pekerjaan Statistik (Mitra)</v>
      </c>
      <c r="D2" s="13" t="str">
        <f t="array" ref="D2:D1000">IF(A2:A1000="", "", if(C2:C1000="Pelayanan Publik", "B-" &amp; A2:A1000,"A-"&amp;A2:A1000))</f>
        <v>A-1</v>
      </c>
    </row>
    <row r="3">
      <c r="A3" s="13" t="str">
        <f>IFERROR(__xludf.DUMMYFUNCTION("""COMPUTED_VALUE"""),"2")</f>
        <v>2</v>
      </c>
      <c r="B3" s="13" t="str">
        <f>IFERROR(__xludf.DUMMYFUNCTION("""COMPUTED_VALUE"""),"Dilayani")</f>
        <v>Dilayani</v>
      </c>
      <c r="C3" s="13" t="str">
        <f>IFERROR(__xludf.DUMMYFUNCTION("""COMPUTED_VALUE"""),"Pekerjaan Statistik (Mitra)")</f>
        <v>Pekerjaan Statistik (Mitra)</v>
      </c>
      <c r="D3" s="13" t="s">
        <v>4953</v>
      </c>
    </row>
    <row r="4">
      <c r="D4" s="13" t="s">
        <v>4954</v>
      </c>
    </row>
    <row r="5">
      <c r="D5" s="13" t="s">
        <v>4954</v>
      </c>
    </row>
    <row r="6">
      <c r="D6" s="13" t="s">
        <v>4954</v>
      </c>
    </row>
    <row r="7">
      <c r="D7" s="13" t="s">
        <v>4954</v>
      </c>
    </row>
    <row r="8">
      <c r="D8" s="13" t="s">
        <v>4954</v>
      </c>
    </row>
    <row r="9">
      <c r="D9" s="13" t="s">
        <v>4954</v>
      </c>
    </row>
    <row r="10">
      <c r="D10" s="13" t="s">
        <v>4954</v>
      </c>
    </row>
    <row r="11">
      <c r="D11" s="13" t="s">
        <v>4954</v>
      </c>
    </row>
    <row r="12">
      <c r="D12" s="13" t="s">
        <v>4954</v>
      </c>
    </row>
    <row r="13">
      <c r="D13" s="13" t="s">
        <v>4954</v>
      </c>
    </row>
    <row r="14">
      <c r="D14" s="13" t="s">
        <v>4954</v>
      </c>
    </row>
    <row r="15">
      <c r="D15" s="13" t="s">
        <v>4954</v>
      </c>
    </row>
    <row r="16">
      <c r="D16" s="13" t="s">
        <v>4954</v>
      </c>
    </row>
    <row r="17">
      <c r="D17" s="13" t="s">
        <v>4954</v>
      </c>
    </row>
    <row r="18">
      <c r="D18" s="13" t="s">
        <v>4954</v>
      </c>
    </row>
    <row r="19">
      <c r="D19" s="13" t="s">
        <v>4954</v>
      </c>
    </row>
    <row r="20">
      <c r="D20" s="13" t="s">
        <v>4954</v>
      </c>
    </row>
    <row r="21">
      <c r="D21" s="13" t="s">
        <v>4954</v>
      </c>
    </row>
    <row r="22">
      <c r="D22" s="13" t="s">
        <v>4954</v>
      </c>
    </row>
    <row r="23">
      <c r="D23" s="13" t="s">
        <v>4954</v>
      </c>
    </row>
    <row r="24">
      <c r="D24" s="13" t="s">
        <v>4954</v>
      </c>
    </row>
    <row r="25">
      <c r="D25" s="13" t="s">
        <v>4954</v>
      </c>
    </row>
    <row r="26">
      <c r="D26" s="13" t="s">
        <v>4954</v>
      </c>
    </row>
    <row r="27">
      <c r="D27" s="13" t="s">
        <v>4954</v>
      </c>
    </row>
    <row r="28">
      <c r="D28" s="13" t="s">
        <v>4954</v>
      </c>
    </row>
    <row r="29">
      <c r="D29" s="13" t="s">
        <v>4954</v>
      </c>
    </row>
    <row r="30">
      <c r="D30" s="13" t="s">
        <v>4954</v>
      </c>
    </row>
    <row r="31">
      <c r="D31" s="13" t="s">
        <v>4954</v>
      </c>
    </row>
    <row r="32">
      <c r="D32" s="13" t="s">
        <v>4954</v>
      </c>
    </row>
    <row r="33">
      <c r="D33" s="13" t="s">
        <v>4954</v>
      </c>
    </row>
    <row r="34">
      <c r="D34" s="13" t="s">
        <v>4954</v>
      </c>
    </row>
    <row r="35">
      <c r="D35" s="13" t="s">
        <v>4954</v>
      </c>
    </row>
    <row r="36">
      <c r="D36" s="13" t="s">
        <v>4954</v>
      </c>
    </row>
    <row r="37">
      <c r="D37" s="13" t="s">
        <v>4954</v>
      </c>
    </row>
    <row r="38">
      <c r="D38" s="13" t="s">
        <v>4954</v>
      </c>
    </row>
    <row r="39">
      <c r="D39" s="13" t="s">
        <v>4954</v>
      </c>
    </row>
    <row r="40">
      <c r="D40" s="13" t="s">
        <v>4954</v>
      </c>
    </row>
    <row r="41">
      <c r="D41" s="13" t="s">
        <v>4954</v>
      </c>
    </row>
    <row r="42">
      <c r="D42" s="13" t="s">
        <v>4954</v>
      </c>
    </row>
    <row r="43">
      <c r="D43" s="13" t="s">
        <v>4954</v>
      </c>
    </row>
    <row r="44">
      <c r="D44" s="13" t="s">
        <v>4954</v>
      </c>
    </row>
    <row r="45">
      <c r="D45" s="13" t="s">
        <v>4954</v>
      </c>
    </row>
    <row r="46">
      <c r="D46" s="13" t="s">
        <v>4954</v>
      </c>
    </row>
    <row r="47">
      <c r="D47" s="13" t="s">
        <v>4954</v>
      </c>
    </row>
    <row r="48">
      <c r="D48" s="13" t="s">
        <v>4954</v>
      </c>
    </row>
    <row r="49">
      <c r="D49" s="13" t="s">
        <v>4954</v>
      </c>
    </row>
    <row r="50">
      <c r="D50" s="13" t="s">
        <v>4954</v>
      </c>
    </row>
    <row r="51">
      <c r="D51" s="13" t="s">
        <v>4954</v>
      </c>
    </row>
    <row r="52">
      <c r="D52" s="13" t="s">
        <v>4954</v>
      </c>
    </row>
    <row r="53">
      <c r="D53" s="13" t="s">
        <v>4954</v>
      </c>
    </row>
    <row r="54">
      <c r="D54" s="13" t="s">
        <v>4954</v>
      </c>
    </row>
    <row r="55">
      <c r="D55" s="13" t="s">
        <v>4954</v>
      </c>
    </row>
    <row r="56">
      <c r="D56" s="13" t="s">
        <v>4954</v>
      </c>
    </row>
    <row r="57">
      <c r="D57" s="13" t="s">
        <v>4954</v>
      </c>
    </row>
    <row r="58">
      <c r="D58" s="13" t="s">
        <v>4954</v>
      </c>
    </row>
    <row r="59">
      <c r="D59" s="13" t="s">
        <v>4954</v>
      </c>
    </row>
    <row r="60">
      <c r="D60" s="13" t="s">
        <v>4954</v>
      </c>
    </row>
    <row r="61">
      <c r="D61" s="13" t="s">
        <v>4954</v>
      </c>
    </row>
    <row r="62">
      <c r="D62" s="13" t="s">
        <v>4954</v>
      </c>
    </row>
    <row r="63">
      <c r="D63" s="13" t="s">
        <v>4954</v>
      </c>
    </row>
    <row r="64">
      <c r="D64" s="13" t="s">
        <v>4954</v>
      </c>
    </row>
    <row r="65">
      <c r="D65" s="13" t="s">
        <v>4954</v>
      </c>
    </row>
    <row r="66">
      <c r="D66" s="13" t="s">
        <v>4954</v>
      </c>
    </row>
    <row r="67">
      <c r="D67" s="13" t="s">
        <v>4954</v>
      </c>
    </row>
    <row r="68">
      <c r="D68" s="13" t="s">
        <v>4954</v>
      </c>
    </row>
    <row r="69">
      <c r="D69" s="13" t="s">
        <v>4954</v>
      </c>
    </row>
    <row r="70">
      <c r="D70" s="13" t="s">
        <v>4954</v>
      </c>
    </row>
    <row r="71">
      <c r="D71" s="13" t="s">
        <v>4954</v>
      </c>
    </row>
    <row r="72">
      <c r="D72" s="13" t="s">
        <v>4954</v>
      </c>
    </row>
    <row r="73">
      <c r="D73" s="13" t="s">
        <v>4954</v>
      </c>
    </row>
    <row r="74">
      <c r="D74" s="13" t="s">
        <v>4954</v>
      </c>
    </row>
    <row r="75">
      <c r="D75" s="13" t="s">
        <v>4954</v>
      </c>
    </row>
    <row r="76">
      <c r="D76" s="13" t="s">
        <v>4954</v>
      </c>
    </row>
    <row r="77">
      <c r="D77" s="13" t="s">
        <v>4954</v>
      </c>
    </row>
    <row r="78">
      <c r="D78" s="13" t="s">
        <v>4954</v>
      </c>
    </row>
    <row r="79">
      <c r="D79" s="13" t="s">
        <v>4954</v>
      </c>
    </row>
    <row r="80">
      <c r="D80" s="13" t="s">
        <v>4954</v>
      </c>
    </row>
    <row r="81">
      <c r="D81" s="13" t="s">
        <v>4954</v>
      </c>
    </row>
    <row r="82">
      <c r="D82" s="13" t="s">
        <v>4954</v>
      </c>
    </row>
    <row r="83">
      <c r="D83" s="13" t="s">
        <v>4954</v>
      </c>
    </row>
    <row r="84">
      <c r="D84" s="13" t="s">
        <v>4954</v>
      </c>
    </row>
    <row r="85">
      <c r="D85" s="13" t="s">
        <v>4954</v>
      </c>
    </row>
    <row r="86">
      <c r="D86" s="13" t="s">
        <v>4954</v>
      </c>
    </row>
    <row r="87">
      <c r="D87" s="13" t="s">
        <v>4954</v>
      </c>
    </row>
    <row r="88">
      <c r="D88" s="13" t="s">
        <v>4954</v>
      </c>
    </row>
    <row r="89">
      <c r="D89" s="13" t="s">
        <v>4954</v>
      </c>
    </row>
    <row r="90">
      <c r="D90" s="13" t="s">
        <v>4954</v>
      </c>
    </row>
    <row r="91">
      <c r="D91" s="13" t="s">
        <v>4954</v>
      </c>
    </row>
    <row r="92">
      <c r="D92" s="13" t="s">
        <v>4954</v>
      </c>
    </row>
    <row r="93">
      <c r="D93" s="13" t="s">
        <v>4954</v>
      </c>
    </row>
    <row r="94">
      <c r="D94" s="13" t="s">
        <v>4954</v>
      </c>
    </row>
    <row r="95">
      <c r="D95" s="13" t="s">
        <v>4954</v>
      </c>
    </row>
    <row r="96">
      <c r="D96" s="13" t="s">
        <v>4954</v>
      </c>
    </row>
    <row r="97">
      <c r="D97" s="13" t="s">
        <v>4954</v>
      </c>
    </row>
    <row r="98">
      <c r="D98" s="13" t="s">
        <v>4954</v>
      </c>
    </row>
    <row r="99">
      <c r="D99" s="13" t="s">
        <v>4954</v>
      </c>
    </row>
    <row r="100">
      <c r="D100" s="13" t="s">
        <v>4954</v>
      </c>
    </row>
    <row r="101">
      <c r="D101" s="13" t="s">
        <v>4954</v>
      </c>
    </row>
    <row r="102">
      <c r="D102" s="13" t="s">
        <v>4954</v>
      </c>
    </row>
    <row r="103">
      <c r="D103" s="13" t="s">
        <v>4954</v>
      </c>
    </row>
    <row r="104">
      <c r="D104" s="13" t="s">
        <v>4954</v>
      </c>
    </row>
    <row r="105">
      <c r="D105" s="13" t="s">
        <v>4954</v>
      </c>
    </row>
    <row r="106">
      <c r="D106" s="13" t="s">
        <v>4954</v>
      </c>
    </row>
    <row r="107">
      <c r="D107" s="13" t="s">
        <v>4954</v>
      </c>
    </row>
    <row r="108">
      <c r="D108" s="13" t="s">
        <v>4954</v>
      </c>
    </row>
    <row r="109">
      <c r="D109" s="13" t="s">
        <v>4954</v>
      </c>
    </row>
    <row r="110">
      <c r="D110" s="13" t="s">
        <v>4954</v>
      </c>
    </row>
    <row r="111">
      <c r="D111" s="13" t="s">
        <v>4954</v>
      </c>
    </row>
    <row r="112">
      <c r="D112" s="13" t="s">
        <v>4954</v>
      </c>
    </row>
    <row r="113">
      <c r="D113" s="13" t="s">
        <v>4954</v>
      </c>
    </row>
    <row r="114">
      <c r="D114" s="13" t="s">
        <v>4954</v>
      </c>
    </row>
    <row r="115">
      <c r="D115" s="13" t="s">
        <v>4954</v>
      </c>
    </row>
    <row r="116">
      <c r="D116" s="13" t="s">
        <v>4954</v>
      </c>
    </row>
    <row r="117">
      <c r="D117" s="13" t="s">
        <v>4954</v>
      </c>
    </row>
    <row r="118">
      <c r="D118" s="13" t="s">
        <v>4954</v>
      </c>
    </row>
    <row r="119">
      <c r="D119" s="13" t="s">
        <v>4954</v>
      </c>
    </row>
    <row r="120">
      <c r="D120" s="13" t="s">
        <v>4954</v>
      </c>
    </row>
    <row r="121">
      <c r="D121" s="13" t="s">
        <v>4954</v>
      </c>
    </row>
    <row r="122">
      <c r="D122" s="13" t="s">
        <v>4954</v>
      </c>
    </row>
    <row r="123">
      <c r="D123" s="13" t="s">
        <v>4954</v>
      </c>
    </row>
    <row r="124">
      <c r="D124" s="13" t="s">
        <v>4954</v>
      </c>
    </row>
    <row r="125">
      <c r="D125" s="13" t="s">
        <v>4954</v>
      </c>
    </row>
    <row r="126">
      <c r="D126" s="13" t="s">
        <v>4954</v>
      </c>
    </row>
    <row r="127">
      <c r="D127" s="13" t="s">
        <v>4954</v>
      </c>
    </row>
    <row r="128">
      <c r="D128" s="13" t="s">
        <v>4954</v>
      </c>
    </row>
    <row r="129">
      <c r="D129" s="13" t="s">
        <v>4954</v>
      </c>
    </row>
    <row r="130">
      <c r="D130" s="13" t="s">
        <v>4954</v>
      </c>
    </row>
    <row r="131">
      <c r="D131" s="13" t="s">
        <v>4954</v>
      </c>
    </row>
    <row r="132">
      <c r="D132" s="13" t="s">
        <v>4954</v>
      </c>
    </row>
    <row r="133">
      <c r="D133" s="13" t="s">
        <v>4954</v>
      </c>
    </row>
    <row r="134">
      <c r="D134" s="13" t="s">
        <v>4954</v>
      </c>
    </row>
    <row r="135">
      <c r="D135" s="13" t="s">
        <v>4954</v>
      </c>
    </row>
    <row r="136">
      <c r="D136" s="13" t="s">
        <v>4954</v>
      </c>
    </row>
    <row r="137">
      <c r="D137" s="13" t="s">
        <v>4954</v>
      </c>
    </row>
    <row r="138">
      <c r="D138" s="13" t="s">
        <v>4954</v>
      </c>
    </row>
    <row r="139">
      <c r="D139" s="13" t="s">
        <v>4954</v>
      </c>
    </row>
    <row r="140">
      <c r="D140" s="13" t="s">
        <v>4954</v>
      </c>
    </row>
    <row r="141">
      <c r="D141" s="13" t="s">
        <v>4954</v>
      </c>
    </row>
    <row r="142">
      <c r="D142" s="13" t="s">
        <v>4954</v>
      </c>
    </row>
    <row r="143">
      <c r="D143" s="13" t="s">
        <v>4954</v>
      </c>
    </row>
    <row r="144">
      <c r="D144" s="13" t="s">
        <v>4954</v>
      </c>
    </row>
    <row r="145">
      <c r="D145" s="13" t="s">
        <v>4954</v>
      </c>
    </row>
    <row r="146">
      <c r="D146" s="13" t="s">
        <v>4954</v>
      </c>
    </row>
    <row r="147">
      <c r="D147" s="13" t="s">
        <v>4954</v>
      </c>
    </row>
    <row r="148">
      <c r="D148" s="13" t="s">
        <v>4954</v>
      </c>
    </row>
    <row r="149">
      <c r="D149" s="13" t="s">
        <v>4954</v>
      </c>
    </row>
    <row r="150">
      <c r="D150" s="13" t="s">
        <v>4954</v>
      </c>
    </row>
    <row r="151">
      <c r="D151" s="13" t="s">
        <v>4954</v>
      </c>
    </row>
    <row r="152">
      <c r="D152" s="13" t="s">
        <v>4954</v>
      </c>
    </row>
    <row r="153">
      <c r="D153" s="13" t="s">
        <v>4954</v>
      </c>
    </row>
    <row r="154">
      <c r="D154" s="13" t="s">
        <v>4954</v>
      </c>
    </row>
    <row r="155">
      <c r="D155" s="13" t="s">
        <v>4954</v>
      </c>
    </row>
    <row r="156">
      <c r="D156" s="13" t="s">
        <v>4954</v>
      </c>
    </row>
    <row r="157">
      <c r="D157" s="13" t="s">
        <v>4954</v>
      </c>
    </row>
    <row r="158">
      <c r="D158" s="13" t="s">
        <v>4954</v>
      </c>
    </row>
    <row r="159">
      <c r="D159" s="13" t="s">
        <v>4954</v>
      </c>
    </row>
    <row r="160">
      <c r="D160" s="13" t="s">
        <v>4954</v>
      </c>
    </row>
    <row r="161">
      <c r="D161" s="13" t="s">
        <v>4954</v>
      </c>
    </row>
    <row r="162">
      <c r="D162" s="13" t="s">
        <v>4954</v>
      </c>
    </row>
    <row r="163">
      <c r="D163" s="13" t="s">
        <v>4954</v>
      </c>
    </row>
    <row r="164">
      <c r="D164" s="13" t="s">
        <v>4954</v>
      </c>
    </row>
    <row r="165">
      <c r="D165" s="13" t="s">
        <v>4954</v>
      </c>
    </row>
    <row r="166">
      <c r="D166" s="13" t="s">
        <v>4954</v>
      </c>
    </row>
    <row r="167">
      <c r="D167" s="13" t="s">
        <v>4954</v>
      </c>
    </row>
    <row r="168">
      <c r="D168" s="13" t="s">
        <v>4954</v>
      </c>
    </row>
    <row r="169">
      <c r="D169" s="13" t="s">
        <v>4954</v>
      </c>
    </row>
    <row r="170">
      <c r="D170" s="13" t="s">
        <v>4954</v>
      </c>
    </row>
    <row r="171">
      <c r="D171" s="13" t="s">
        <v>4954</v>
      </c>
    </row>
    <row r="172">
      <c r="D172" s="13" t="s">
        <v>4954</v>
      </c>
    </row>
    <row r="173">
      <c r="D173" s="13" t="s">
        <v>4954</v>
      </c>
    </row>
    <row r="174">
      <c r="D174" s="13" t="s">
        <v>4954</v>
      </c>
    </row>
    <row r="175">
      <c r="D175" s="13" t="s">
        <v>4954</v>
      </c>
    </row>
    <row r="176">
      <c r="D176" s="13" t="s">
        <v>4954</v>
      </c>
    </row>
    <row r="177">
      <c r="D177" s="13" t="s">
        <v>4954</v>
      </c>
    </row>
    <row r="178">
      <c r="D178" s="13" t="s">
        <v>4954</v>
      </c>
    </row>
    <row r="179">
      <c r="D179" s="13" t="s">
        <v>4954</v>
      </c>
    </row>
    <row r="180">
      <c r="D180" s="13" t="s">
        <v>4954</v>
      </c>
    </row>
    <row r="181">
      <c r="D181" s="13" t="s">
        <v>4954</v>
      </c>
    </row>
    <row r="182">
      <c r="D182" s="13" t="s">
        <v>4954</v>
      </c>
    </row>
    <row r="183">
      <c r="D183" s="13" t="s">
        <v>4954</v>
      </c>
    </row>
    <row r="184">
      <c r="D184" s="13" t="s">
        <v>4954</v>
      </c>
    </row>
    <row r="185">
      <c r="D185" s="13" t="s">
        <v>4954</v>
      </c>
    </row>
    <row r="186">
      <c r="D186" s="13" t="s">
        <v>4954</v>
      </c>
    </row>
    <row r="187">
      <c r="D187" s="13" t="s">
        <v>4954</v>
      </c>
    </row>
    <row r="188">
      <c r="D188" s="13" t="s">
        <v>4954</v>
      </c>
    </row>
    <row r="189">
      <c r="D189" s="13" t="s">
        <v>4954</v>
      </c>
    </row>
    <row r="190">
      <c r="D190" s="13" t="s">
        <v>4954</v>
      </c>
    </row>
    <row r="191">
      <c r="D191" s="13" t="s">
        <v>4954</v>
      </c>
    </row>
    <row r="192">
      <c r="D192" s="13" t="s">
        <v>4954</v>
      </c>
    </row>
    <row r="193">
      <c r="D193" s="13" t="s">
        <v>4954</v>
      </c>
    </row>
    <row r="194">
      <c r="D194" s="13" t="s">
        <v>4954</v>
      </c>
    </row>
    <row r="195">
      <c r="D195" s="13" t="s">
        <v>4954</v>
      </c>
    </row>
    <row r="196">
      <c r="D196" s="13" t="s">
        <v>4954</v>
      </c>
    </row>
    <row r="197">
      <c r="D197" s="13" t="s">
        <v>4954</v>
      </c>
    </row>
    <row r="198">
      <c r="D198" s="13" t="s">
        <v>4954</v>
      </c>
    </row>
    <row r="199">
      <c r="D199" s="13" t="s">
        <v>4954</v>
      </c>
    </row>
    <row r="200">
      <c r="D200" s="13" t="s">
        <v>4954</v>
      </c>
    </row>
    <row r="201">
      <c r="D201" s="13" t="s">
        <v>4954</v>
      </c>
    </row>
    <row r="202">
      <c r="D202" s="13" t="s">
        <v>4954</v>
      </c>
    </row>
    <row r="203">
      <c r="D203" s="13" t="s">
        <v>4954</v>
      </c>
    </row>
    <row r="204">
      <c r="D204" s="13" t="s">
        <v>4954</v>
      </c>
    </row>
    <row r="205">
      <c r="D205" s="13" t="s">
        <v>4954</v>
      </c>
    </row>
    <row r="206">
      <c r="D206" s="13" t="s">
        <v>4954</v>
      </c>
    </row>
    <row r="207">
      <c r="D207" s="13" t="s">
        <v>4954</v>
      </c>
    </row>
    <row r="208">
      <c r="D208" s="13" t="s">
        <v>4954</v>
      </c>
    </row>
    <row r="209">
      <c r="D209" s="13" t="s">
        <v>4954</v>
      </c>
    </row>
    <row r="210">
      <c r="D210" s="13" t="s">
        <v>4954</v>
      </c>
    </row>
    <row r="211">
      <c r="D211" s="13" t="s">
        <v>4954</v>
      </c>
    </row>
    <row r="212">
      <c r="D212" s="13" t="s">
        <v>4954</v>
      </c>
    </row>
    <row r="213">
      <c r="D213" s="13" t="s">
        <v>4954</v>
      </c>
    </row>
    <row r="214">
      <c r="D214" s="13" t="s">
        <v>4954</v>
      </c>
    </row>
    <row r="215">
      <c r="D215" s="13" t="s">
        <v>4954</v>
      </c>
    </row>
    <row r="216">
      <c r="D216" s="13" t="s">
        <v>4954</v>
      </c>
    </row>
    <row r="217">
      <c r="D217" s="13" t="s">
        <v>4954</v>
      </c>
    </row>
    <row r="218">
      <c r="D218" s="13" t="s">
        <v>4954</v>
      </c>
    </row>
    <row r="219">
      <c r="D219" s="13" t="s">
        <v>4954</v>
      </c>
    </row>
    <row r="220">
      <c r="D220" s="13" t="s">
        <v>4954</v>
      </c>
    </row>
    <row r="221">
      <c r="D221" s="13" t="s">
        <v>4954</v>
      </c>
    </row>
    <row r="222">
      <c r="D222" s="13" t="s">
        <v>4954</v>
      </c>
    </row>
    <row r="223">
      <c r="D223" s="13" t="s">
        <v>4954</v>
      </c>
    </row>
    <row r="224">
      <c r="D224" s="13" t="s">
        <v>4954</v>
      </c>
    </row>
    <row r="225">
      <c r="D225" s="13" t="s">
        <v>4954</v>
      </c>
    </row>
    <row r="226">
      <c r="D226" s="13" t="s">
        <v>4954</v>
      </c>
    </row>
    <row r="227">
      <c r="D227" s="13" t="s">
        <v>4954</v>
      </c>
    </row>
    <row r="228">
      <c r="D228" s="13" t="s">
        <v>4954</v>
      </c>
    </row>
    <row r="229">
      <c r="D229" s="13" t="s">
        <v>4954</v>
      </c>
    </row>
    <row r="230">
      <c r="D230" s="13" t="s">
        <v>4954</v>
      </c>
    </row>
    <row r="231">
      <c r="D231" s="13" t="s">
        <v>4954</v>
      </c>
    </row>
    <row r="232">
      <c r="D232" s="13" t="s">
        <v>4954</v>
      </c>
    </row>
    <row r="233">
      <c r="D233" s="13" t="s">
        <v>4954</v>
      </c>
    </row>
    <row r="234">
      <c r="D234" s="13" t="s">
        <v>4954</v>
      </c>
    </row>
    <row r="235">
      <c r="D235" s="13" t="s">
        <v>4954</v>
      </c>
    </row>
    <row r="236">
      <c r="D236" s="13" t="s">
        <v>4954</v>
      </c>
    </row>
    <row r="237">
      <c r="D237" s="13" t="s">
        <v>4954</v>
      </c>
    </row>
    <row r="238">
      <c r="D238" s="13" t="s">
        <v>4954</v>
      </c>
    </row>
    <row r="239">
      <c r="D239" s="13" t="s">
        <v>4954</v>
      </c>
    </row>
    <row r="240">
      <c r="D240" s="13" t="s">
        <v>4954</v>
      </c>
    </row>
    <row r="241">
      <c r="D241" s="13" t="s">
        <v>4954</v>
      </c>
    </row>
    <row r="242">
      <c r="D242" s="13" t="s">
        <v>4954</v>
      </c>
    </row>
    <row r="243">
      <c r="D243" s="13" t="s">
        <v>4954</v>
      </c>
    </row>
    <row r="244">
      <c r="D244" s="13" t="s">
        <v>4954</v>
      </c>
    </row>
    <row r="245">
      <c r="D245" s="13" t="s">
        <v>4954</v>
      </c>
    </row>
    <row r="246">
      <c r="D246" s="13" t="s">
        <v>4954</v>
      </c>
    </row>
    <row r="247">
      <c r="D247" s="13" t="s">
        <v>4954</v>
      </c>
    </row>
    <row r="248">
      <c r="D248" s="13" t="s">
        <v>4954</v>
      </c>
    </row>
    <row r="249">
      <c r="D249" s="13" t="s">
        <v>4954</v>
      </c>
    </row>
    <row r="250">
      <c r="D250" s="13" t="s">
        <v>4954</v>
      </c>
    </row>
    <row r="251">
      <c r="D251" s="13" t="s">
        <v>4954</v>
      </c>
    </row>
    <row r="252">
      <c r="D252" s="13" t="s">
        <v>4954</v>
      </c>
    </row>
    <row r="253">
      <c r="D253" s="13" t="s">
        <v>4954</v>
      </c>
    </row>
    <row r="254">
      <c r="D254" s="13" t="s">
        <v>4954</v>
      </c>
    </row>
    <row r="255">
      <c r="D255" s="13" t="s">
        <v>4954</v>
      </c>
    </row>
    <row r="256">
      <c r="D256" s="13" t="s">
        <v>4954</v>
      </c>
    </row>
    <row r="257">
      <c r="D257" s="13" t="s">
        <v>4954</v>
      </c>
    </row>
    <row r="258">
      <c r="D258" s="13" t="s">
        <v>4954</v>
      </c>
    </row>
    <row r="259">
      <c r="D259" s="13" t="s">
        <v>4954</v>
      </c>
    </row>
    <row r="260">
      <c r="D260" s="13" t="s">
        <v>4954</v>
      </c>
    </row>
    <row r="261">
      <c r="D261" s="13" t="s">
        <v>4954</v>
      </c>
    </row>
    <row r="262">
      <c r="D262" s="13" t="s">
        <v>4954</v>
      </c>
    </row>
    <row r="263">
      <c r="D263" s="13" t="s">
        <v>4954</v>
      </c>
    </row>
    <row r="264">
      <c r="D264" s="13" t="s">
        <v>4954</v>
      </c>
    </row>
    <row r="265">
      <c r="D265" s="13" t="s">
        <v>4954</v>
      </c>
    </row>
    <row r="266">
      <c r="D266" s="13" t="s">
        <v>4954</v>
      </c>
    </row>
    <row r="267">
      <c r="D267" s="13" t="s">
        <v>4954</v>
      </c>
    </row>
    <row r="268">
      <c r="D268" s="13" t="s">
        <v>4954</v>
      </c>
    </row>
    <row r="269">
      <c r="D269" s="13" t="s">
        <v>4954</v>
      </c>
    </row>
    <row r="270">
      <c r="D270" s="13" t="s">
        <v>4954</v>
      </c>
    </row>
    <row r="271">
      <c r="D271" s="13" t="s">
        <v>4954</v>
      </c>
    </row>
    <row r="272">
      <c r="D272" s="13" t="s">
        <v>4954</v>
      </c>
    </row>
    <row r="273">
      <c r="D273" s="13" t="s">
        <v>4954</v>
      </c>
    </row>
    <row r="274">
      <c r="D274" s="13" t="s">
        <v>4954</v>
      </c>
    </row>
    <row r="275">
      <c r="D275" s="13" t="s">
        <v>4954</v>
      </c>
    </row>
    <row r="276">
      <c r="D276" s="13" t="s">
        <v>4954</v>
      </c>
    </row>
    <row r="277">
      <c r="D277" s="13" t="s">
        <v>4954</v>
      </c>
    </row>
    <row r="278">
      <c r="D278" s="13" t="s">
        <v>4954</v>
      </c>
    </row>
    <row r="279">
      <c r="D279" s="13" t="s">
        <v>4954</v>
      </c>
    </row>
    <row r="280">
      <c r="D280" s="13" t="s">
        <v>4954</v>
      </c>
    </row>
    <row r="281">
      <c r="D281" s="13" t="s">
        <v>4954</v>
      </c>
    </row>
    <row r="282">
      <c r="D282" s="13" t="s">
        <v>4954</v>
      </c>
    </row>
    <row r="283">
      <c r="D283" s="13" t="s">
        <v>4954</v>
      </c>
    </row>
    <row r="284">
      <c r="D284" s="13" t="s">
        <v>4954</v>
      </c>
    </row>
    <row r="285">
      <c r="D285" s="13" t="s">
        <v>4954</v>
      </c>
    </row>
    <row r="286">
      <c r="D286" s="13" t="s">
        <v>4954</v>
      </c>
    </row>
    <row r="287">
      <c r="D287" s="13" t="s">
        <v>4954</v>
      </c>
    </row>
    <row r="288">
      <c r="D288" s="13" t="s">
        <v>4954</v>
      </c>
    </row>
    <row r="289">
      <c r="D289" s="13" t="s">
        <v>4954</v>
      </c>
    </row>
    <row r="290">
      <c r="D290" s="13" t="s">
        <v>4954</v>
      </c>
    </row>
    <row r="291">
      <c r="D291" s="13" t="s">
        <v>4954</v>
      </c>
    </row>
    <row r="292">
      <c r="D292" s="13" t="s">
        <v>4954</v>
      </c>
    </row>
    <row r="293">
      <c r="D293" s="13" t="s">
        <v>4954</v>
      </c>
    </row>
    <row r="294">
      <c r="D294" s="13" t="s">
        <v>4954</v>
      </c>
    </row>
    <row r="295">
      <c r="D295" s="13" t="s">
        <v>4954</v>
      </c>
    </row>
    <row r="296">
      <c r="D296" s="13" t="s">
        <v>4954</v>
      </c>
    </row>
    <row r="297">
      <c r="D297" s="13" t="s">
        <v>4954</v>
      </c>
    </row>
    <row r="298">
      <c r="D298" s="13" t="s">
        <v>4954</v>
      </c>
    </row>
    <row r="299">
      <c r="D299" s="13" t="s">
        <v>4954</v>
      </c>
    </row>
    <row r="300">
      <c r="D300" s="13" t="s">
        <v>4954</v>
      </c>
    </row>
    <row r="301">
      <c r="D301" s="13" t="s">
        <v>4954</v>
      </c>
    </row>
    <row r="302">
      <c r="D302" s="13" t="s">
        <v>4954</v>
      </c>
    </row>
    <row r="303">
      <c r="D303" s="13" t="s">
        <v>4954</v>
      </c>
    </row>
    <row r="304">
      <c r="D304" s="13" t="s">
        <v>4954</v>
      </c>
    </row>
    <row r="305">
      <c r="D305" s="13" t="s">
        <v>4954</v>
      </c>
    </row>
    <row r="306">
      <c r="D306" s="13" t="s">
        <v>4954</v>
      </c>
    </row>
    <row r="307">
      <c r="D307" s="13" t="s">
        <v>4954</v>
      </c>
    </row>
    <row r="308">
      <c r="D308" s="13" t="s">
        <v>4954</v>
      </c>
    </row>
    <row r="309">
      <c r="D309" s="13" t="s">
        <v>4954</v>
      </c>
    </row>
    <row r="310">
      <c r="D310" s="13" t="s">
        <v>4954</v>
      </c>
    </row>
    <row r="311">
      <c r="D311" s="13" t="s">
        <v>4954</v>
      </c>
    </row>
    <row r="312">
      <c r="D312" s="13" t="s">
        <v>4954</v>
      </c>
    </row>
    <row r="313">
      <c r="D313" s="13" t="s">
        <v>4954</v>
      </c>
    </row>
    <row r="314">
      <c r="D314" s="13" t="s">
        <v>4954</v>
      </c>
    </row>
    <row r="315">
      <c r="D315" s="13" t="s">
        <v>4954</v>
      </c>
    </row>
    <row r="316">
      <c r="D316" s="13" t="s">
        <v>4954</v>
      </c>
    </row>
    <row r="317">
      <c r="D317" s="13" t="s">
        <v>4954</v>
      </c>
    </row>
    <row r="318">
      <c r="D318" s="13" t="s">
        <v>4954</v>
      </c>
    </row>
    <row r="319">
      <c r="D319" s="13" t="s">
        <v>4954</v>
      </c>
    </row>
    <row r="320">
      <c r="D320" s="13" t="s">
        <v>4954</v>
      </c>
    </row>
    <row r="321">
      <c r="D321" s="13" t="s">
        <v>4954</v>
      </c>
    </row>
    <row r="322">
      <c r="D322" s="13" t="s">
        <v>4954</v>
      </c>
    </row>
    <row r="323">
      <c r="D323" s="13" t="s">
        <v>4954</v>
      </c>
    </row>
    <row r="324">
      <c r="D324" s="13" t="s">
        <v>4954</v>
      </c>
    </row>
    <row r="325">
      <c r="D325" s="13" t="s">
        <v>4954</v>
      </c>
    </row>
    <row r="326">
      <c r="D326" s="13" t="s">
        <v>4954</v>
      </c>
    </row>
    <row r="327">
      <c r="D327" s="13" t="s">
        <v>4954</v>
      </c>
    </row>
    <row r="328">
      <c r="D328" s="13" t="s">
        <v>4954</v>
      </c>
    </row>
    <row r="329">
      <c r="D329" s="13" t="s">
        <v>4954</v>
      </c>
    </row>
    <row r="330">
      <c r="D330" s="13" t="s">
        <v>4954</v>
      </c>
    </row>
    <row r="331">
      <c r="D331" s="13" t="s">
        <v>4954</v>
      </c>
    </row>
    <row r="332">
      <c r="D332" s="13" t="s">
        <v>4954</v>
      </c>
    </row>
    <row r="333">
      <c r="D333" s="13" t="s">
        <v>4954</v>
      </c>
    </row>
    <row r="334">
      <c r="D334" s="13" t="s">
        <v>4954</v>
      </c>
    </row>
    <row r="335">
      <c r="D335" s="13" t="s">
        <v>4954</v>
      </c>
    </row>
    <row r="336">
      <c r="D336" s="13" t="s">
        <v>4954</v>
      </c>
    </row>
    <row r="337">
      <c r="D337" s="13" t="s">
        <v>4954</v>
      </c>
    </row>
    <row r="338">
      <c r="D338" s="13" t="s">
        <v>4954</v>
      </c>
    </row>
    <row r="339">
      <c r="D339" s="13" t="s">
        <v>4954</v>
      </c>
    </row>
    <row r="340">
      <c r="D340" s="13" t="s">
        <v>4954</v>
      </c>
    </row>
    <row r="341">
      <c r="D341" s="13" t="s">
        <v>4954</v>
      </c>
    </row>
    <row r="342">
      <c r="D342" s="13" t="s">
        <v>4954</v>
      </c>
    </row>
    <row r="343">
      <c r="D343" s="13" t="s">
        <v>4954</v>
      </c>
    </row>
    <row r="344">
      <c r="D344" s="13" t="s">
        <v>4954</v>
      </c>
    </row>
    <row r="345">
      <c r="D345" s="13" t="s">
        <v>4954</v>
      </c>
    </row>
    <row r="346">
      <c r="D346" s="13" t="s">
        <v>4954</v>
      </c>
    </row>
    <row r="347">
      <c r="D347" s="13" t="s">
        <v>4954</v>
      </c>
    </row>
    <row r="348">
      <c r="D348" s="13" t="s">
        <v>4954</v>
      </c>
    </row>
    <row r="349">
      <c r="D349" s="13" t="s">
        <v>4954</v>
      </c>
    </row>
    <row r="350">
      <c r="D350" s="13" t="s">
        <v>4954</v>
      </c>
    </row>
    <row r="351">
      <c r="D351" s="13" t="s">
        <v>4954</v>
      </c>
    </row>
    <row r="352">
      <c r="D352" s="13" t="s">
        <v>4954</v>
      </c>
    </row>
    <row r="353">
      <c r="D353" s="13" t="s">
        <v>4954</v>
      </c>
    </row>
    <row r="354">
      <c r="D354" s="13" t="s">
        <v>4954</v>
      </c>
    </row>
    <row r="355">
      <c r="D355" s="13" t="s">
        <v>4954</v>
      </c>
    </row>
    <row r="356">
      <c r="D356" s="13" t="s">
        <v>4954</v>
      </c>
    </row>
    <row r="357">
      <c r="D357" s="13" t="s">
        <v>4954</v>
      </c>
    </row>
    <row r="358">
      <c r="D358" s="13" t="s">
        <v>4954</v>
      </c>
    </row>
    <row r="359">
      <c r="D359" s="13" t="s">
        <v>4954</v>
      </c>
    </row>
    <row r="360">
      <c r="D360" s="13" t="s">
        <v>4954</v>
      </c>
    </row>
    <row r="361">
      <c r="D361" s="13" t="s">
        <v>4954</v>
      </c>
    </row>
    <row r="362">
      <c r="D362" s="13" t="s">
        <v>4954</v>
      </c>
    </row>
    <row r="363">
      <c r="D363" s="13" t="s">
        <v>4954</v>
      </c>
    </row>
    <row r="364">
      <c r="D364" s="13" t="s">
        <v>4954</v>
      </c>
    </row>
    <row r="365">
      <c r="D365" s="13" t="s">
        <v>4954</v>
      </c>
    </row>
    <row r="366">
      <c r="D366" s="13" t="s">
        <v>4954</v>
      </c>
    </row>
    <row r="367">
      <c r="D367" s="13" t="s">
        <v>4954</v>
      </c>
    </row>
    <row r="368">
      <c r="D368" s="13" t="s">
        <v>4954</v>
      </c>
    </row>
    <row r="369">
      <c r="D369" s="13" t="s">
        <v>4954</v>
      </c>
    </row>
    <row r="370">
      <c r="D370" s="13" t="s">
        <v>4954</v>
      </c>
    </row>
    <row r="371">
      <c r="D371" s="13" t="s">
        <v>4954</v>
      </c>
    </row>
    <row r="372">
      <c r="D372" s="13" t="s">
        <v>4954</v>
      </c>
    </row>
    <row r="373">
      <c r="D373" s="13" t="s">
        <v>4954</v>
      </c>
    </row>
    <row r="374">
      <c r="D374" s="13" t="s">
        <v>4954</v>
      </c>
    </row>
    <row r="375">
      <c r="D375" s="13" t="s">
        <v>4954</v>
      </c>
    </row>
    <row r="376">
      <c r="D376" s="13" t="s">
        <v>4954</v>
      </c>
    </row>
    <row r="377">
      <c r="D377" s="13" t="s">
        <v>4954</v>
      </c>
    </row>
    <row r="378">
      <c r="D378" s="13" t="s">
        <v>4954</v>
      </c>
    </row>
    <row r="379">
      <c r="D379" s="13" t="s">
        <v>4954</v>
      </c>
    </row>
    <row r="380">
      <c r="D380" s="13" t="s">
        <v>4954</v>
      </c>
    </row>
    <row r="381">
      <c r="D381" s="13" t="s">
        <v>4954</v>
      </c>
    </row>
    <row r="382">
      <c r="D382" s="13" t="s">
        <v>4954</v>
      </c>
    </row>
    <row r="383">
      <c r="D383" s="13" t="s">
        <v>4954</v>
      </c>
    </row>
    <row r="384">
      <c r="D384" s="13" t="s">
        <v>4954</v>
      </c>
    </row>
    <row r="385">
      <c r="D385" s="13" t="s">
        <v>4954</v>
      </c>
    </row>
    <row r="386">
      <c r="D386" s="13" t="s">
        <v>4954</v>
      </c>
    </row>
    <row r="387">
      <c r="D387" s="13" t="s">
        <v>4954</v>
      </c>
    </row>
    <row r="388">
      <c r="D388" s="13" t="s">
        <v>4954</v>
      </c>
    </row>
    <row r="389">
      <c r="D389" s="13" t="s">
        <v>4954</v>
      </c>
    </row>
    <row r="390">
      <c r="D390" s="13" t="s">
        <v>4954</v>
      </c>
    </row>
    <row r="391">
      <c r="D391" s="13" t="s">
        <v>4954</v>
      </c>
    </row>
    <row r="392">
      <c r="D392" s="13" t="s">
        <v>4954</v>
      </c>
    </row>
    <row r="393">
      <c r="D393" s="13" t="s">
        <v>4954</v>
      </c>
    </row>
    <row r="394">
      <c r="D394" s="13" t="s">
        <v>4954</v>
      </c>
    </row>
    <row r="395">
      <c r="D395" s="13" t="s">
        <v>4954</v>
      </c>
    </row>
    <row r="396">
      <c r="D396" s="13" t="s">
        <v>4954</v>
      </c>
    </row>
    <row r="397">
      <c r="D397" s="13" t="s">
        <v>4954</v>
      </c>
    </row>
    <row r="398">
      <c r="D398" s="13" t="s">
        <v>4954</v>
      </c>
    </row>
    <row r="399">
      <c r="D399" s="13" t="s">
        <v>4954</v>
      </c>
    </row>
    <row r="400">
      <c r="D400" s="13" t="s">
        <v>4954</v>
      </c>
    </row>
    <row r="401">
      <c r="D401" s="13" t="s">
        <v>4954</v>
      </c>
    </row>
    <row r="402">
      <c r="D402" s="13" t="s">
        <v>4954</v>
      </c>
    </row>
    <row r="403">
      <c r="D403" s="13" t="s">
        <v>4954</v>
      </c>
    </row>
    <row r="404">
      <c r="D404" s="13" t="s">
        <v>4954</v>
      </c>
    </row>
    <row r="405">
      <c r="D405" s="13" t="s">
        <v>4954</v>
      </c>
    </row>
    <row r="406">
      <c r="D406" s="13" t="s">
        <v>4954</v>
      </c>
    </row>
    <row r="407">
      <c r="D407" s="13" t="s">
        <v>4954</v>
      </c>
    </row>
    <row r="408">
      <c r="D408" s="13" t="s">
        <v>4954</v>
      </c>
    </row>
    <row r="409">
      <c r="D409" s="13" t="s">
        <v>4954</v>
      </c>
    </row>
    <row r="410">
      <c r="D410" s="13" t="s">
        <v>4954</v>
      </c>
    </row>
    <row r="411">
      <c r="D411" s="13" t="s">
        <v>4954</v>
      </c>
    </row>
    <row r="412">
      <c r="D412" s="13" t="s">
        <v>4954</v>
      </c>
    </row>
    <row r="413">
      <c r="D413" s="13" t="s">
        <v>4954</v>
      </c>
    </row>
    <row r="414">
      <c r="D414" s="13" t="s">
        <v>4954</v>
      </c>
    </row>
    <row r="415">
      <c r="D415" s="13" t="s">
        <v>4954</v>
      </c>
    </row>
    <row r="416">
      <c r="D416" s="13" t="s">
        <v>4954</v>
      </c>
    </row>
    <row r="417">
      <c r="D417" s="13" t="s">
        <v>4954</v>
      </c>
    </row>
    <row r="418">
      <c r="D418" s="13" t="s">
        <v>4954</v>
      </c>
    </row>
    <row r="419">
      <c r="D419" s="13" t="s">
        <v>4954</v>
      </c>
    </row>
    <row r="420">
      <c r="D420" s="13" t="s">
        <v>4954</v>
      </c>
    </row>
    <row r="421">
      <c r="D421" s="13" t="s">
        <v>4954</v>
      </c>
    </row>
    <row r="422">
      <c r="D422" s="13" t="s">
        <v>4954</v>
      </c>
    </row>
    <row r="423">
      <c r="D423" s="13" t="s">
        <v>4954</v>
      </c>
    </row>
    <row r="424">
      <c r="D424" s="13" t="s">
        <v>4954</v>
      </c>
    </row>
    <row r="425">
      <c r="D425" s="13" t="s">
        <v>4954</v>
      </c>
    </row>
    <row r="426">
      <c r="D426" s="13" t="s">
        <v>4954</v>
      </c>
    </row>
    <row r="427">
      <c r="D427" s="13" t="s">
        <v>4954</v>
      </c>
    </row>
    <row r="428">
      <c r="D428" s="13" t="s">
        <v>4954</v>
      </c>
    </row>
    <row r="429">
      <c r="D429" s="13" t="s">
        <v>4954</v>
      </c>
    </row>
    <row r="430">
      <c r="D430" s="13" t="s">
        <v>4954</v>
      </c>
    </row>
    <row r="431">
      <c r="D431" s="13" t="s">
        <v>4954</v>
      </c>
    </row>
    <row r="432">
      <c r="D432" s="13" t="s">
        <v>4954</v>
      </c>
    </row>
    <row r="433">
      <c r="D433" s="13" t="s">
        <v>4954</v>
      </c>
    </row>
    <row r="434">
      <c r="D434" s="13" t="s">
        <v>4954</v>
      </c>
    </row>
    <row r="435">
      <c r="D435" s="13" t="s">
        <v>4954</v>
      </c>
    </row>
    <row r="436">
      <c r="D436" s="13" t="s">
        <v>4954</v>
      </c>
    </row>
    <row r="437">
      <c r="D437" s="13" t="s">
        <v>4954</v>
      </c>
    </row>
    <row r="438">
      <c r="D438" s="13" t="s">
        <v>4954</v>
      </c>
    </row>
    <row r="439">
      <c r="D439" s="13" t="s">
        <v>4954</v>
      </c>
    </row>
    <row r="440">
      <c r="D440" s="13" t="s">
        <v>4954</v>
      </c>
    </row>
    <row r="441">
      <c r="D441" s="13" t="s">
        <v>4954</v>
      </c>
    </row>
    <row r="442">
      <c r="D442" s="13" t="s">
        <v>4954</v>
      </c>
    </row>
    <row r="443">
      <c r="D443" s="13" t="s">
        <v>4954</v>
      </c>
    </row>
    <row r="444">
      <c r="D444" s="13" t="s">
        <v>4954</v>
      </c>
    </row>
    <row r="445">
      <c r="D445" s="13" t="s">
        <v>4954</v>
      </c>
    </row>
    <row r="446">
      <c r="D446" s="13" t="s">
        <v>4954</v>
      </c>
    </row>
    <row r="447">
      <c r="D447" s="13" t="s">
        <v>4954</v>
      </c>
    </row>
    <row r="448">
      <c r="D448" s="13" t="s">
        <v>4954</v>
      </c>
    </row>
    <row r="449">
      <c r="D449" s="13" t="s">
        <v>4954</v>
      </c>
    </row>
    <row r="450">
      <c r="D450" s="13" t="s">
        <v>4954</v>
      </c>
    </row>
    <row r="451">
      <c r="D451" s="13" t="s">
        <v>4954</v>
      </c>
    </row>
    <row r="452">
      <c r="D452" s="13" t="s">
        <v>4954</v>
      </c>
    </row>
    <row r="453">
      <c r="D453" s="13" t="s">
        <v>4954</v>
      </c>
    </row>
    <row r="454">
      <c r="D454" s="13" t="s">
        <v>4954</v>
      </c>
    </row>
    <row r="455">
      <c r="D455" s="13" t="s">
        <v>4954</v>
      </c>
    </row>
    <row r="456">
      <c r="D456" s="13" t="s">
        <v>4954</v>
      </c>
    </row>
    <row r="457">
      <c r="D457" s="13" t="s">
        <v>4954</v>
      </c>
    </row>
    <row r="458">
      <c r="D458" s="13" t="s">
        <v>4954</v>
      </c>
    </row>
    <row r="459">
      <c r="D459" s="13" t="s">
        <v>4954</v>
      </c>
    </row>
    <row r="460">
      <c r="D460" s="13" t="s">
        <v>4954</v>
      </c>
    </row>
    <row r="461">
      <c r="D461" s="13" t="s">
        <v>4954</v>
      </c>
    </row>
    <row r="462">
      <c r="D462" s="13" t="s">
        <v>4954</v>
      </c>
    </row>
    <row r="463">
      <c r="D463" s="13" t="s">
        <v>4954</v>
      </c>
    </row>
    <row r="464">
      <c r="D464" s="13" t="s">
        <v>4954</v>
      </c>
    </row>
    <row r="465">
      <c r="D465" s="13" t="s">
        <v>4954</v>
      </c>
    </row>
    <row r="466">
      <c r="D466" s="13" t="s">
        <v>4954</v>
      </c>
    </row>
    <row r="467">
      <c r="D467" s="13" t="s">
        <v>4954</v>
      </c>
    </row>
    <row r="468">
      <c r="D468" s="13" t="s">
        <v>4954</v>
      </c>
    </row>
    <row r="469">
      <c r="D469" s="13" t="s">
        <v>4954</v>
      </c>
    </row>
    <row r="470">
      <c r="D470" s="13" t="s">
        <v>4954</v>
      </c>
    </row>
    <row r="471">
      <c r="D471" s="13" t="s">
        <v>4954</v>
      </c>
    </row>
    <row r="472">
      <c r="D472" s="13" t="s">
        <v>4954</v>
      </c>
    </row>
    <row r="473">
      <c r="D473" s="13" t="s">
        <v>4954</v>
      </c>
    </row>
    <row r="474">
      <c r="D474" s="13" t="s">
        <v>4954</v>
      </c>
    </row>
    <row r="475">
      <c r="D475" s="13" t="s">
        <v>4954</v>
      </c>
    </row>
    <row r="476">
      <c r="D476" s="13" t="s">
        <v>4954</v>
      </c>
    </row>
    <row r="477">
      <c r="D477" s="13" t="s">
        <v>4954</v>
      </c>
    </row>
    <row r="478">
      <c r="D478" s="13" t="s">
        <v>4954</v>
      </c>
    </row>
    <row r="479">
      <c r="D479" s="13" t="s">
        <v>4954</v>
      </c>
    </row>
    <row r="480">
      <c r="D480" s="13" t="s">
        <v>4954</v>
      </c>
    </row>
    <row r="481">
      <c r="D481" s="13" t="s">
        <v>4954</v>
      </c>
    </row>
    <row r="482">
      <c r="D482" s="13" t="s">
        <v>4954</v>
      </c>
    </row>
    <row r="483">
      <c r="D483" s="13" t="s">
        <v>4954</v>
      </c>
    </row>
    <row r="484">
      <c r="D484" s="13" t="s">
        <v>4954</v>
      </c>
    </row>
    <row r="485">
      <c r="D485" s="13" t="s">
        <v>4954</v>
      </c>
    </row>
    <row r="486">
      <c r="D486" s="13" t="s">
        <v>4954</v>
      </c>
    </row>
    <row r="487">
      <c r="D487" s="13" t="s">
        <v>4954</v>
      </c>
    </row>
    <row r="488">
      <c r="D488" s="13" t="s">
        <v>4954</v>
      </c>
    </row>
    <row r="489">
      <c r="D489" s="13" t="s">
        <v>4954</v>
      </c>
    </row>
    <row r="490">
      <c r="D490" s="13" t="s">
        <v>4954</v>
      </c>
    </row>
    <row r="491">
      <c r="D491" s="13" t="s">
        <v>4954</v>
      </c>
    </row>
    <row r="492">
      <c r="D492" s="13" t="s">
        <v>4954</v>
      </c>
    </row>
    <row r="493">
      <c r="D493" s="13" t="s">
        <v>4954</v>
      </c>
    </row>
    <row r="494">
      <c r="D494" s="13" t="s">
        <v>4954</v>
      </c>
    </row>
    <row r="495">
      <c r="D495" s="13" t="s">
        <v>4954</v>
      </c>
    </row>
    <row r="496">
      <c r="D496" s="13" t="s">
        <v>4954</v>
      </c>
    </row>
    <row r="497">
      <c r="D497" s="13" t="s">
        <v>4954</v>
      </c>
    </row>
    <row r="498">
      <c r="D498" s="13" t="s">
        <v>4954</v>
      </c>
    </row>
    <row r="499">
      <c r="D499" s="13" t="s">
        <v>4954</v>
      </c>
    </row>
    <row r="500">
      <c r="D500" s="13" t="s">
        <v>4954</v>
      </c>
    </row>
    <row r="501">
      <c r="D501" s="13" t="s">
        <v>4954</v>
      </c>
    </row>
    <row r="502">
      <c r="D502" s="13" t="s">
        <v>4954</v>
      </c>
    </row>
    <row r="503">
      <c r="D503" s="13" t="s">
        <v>4954</v>
      </c>
    </row>
    <row r="504">
      <c r="D504" s="13" t="s">
        <v>4954</v>
      </c>
    </row>
    <row r="505">
      <c r="D505" s="13" t="s">
        <v>4954</v>
      </c>
    </row>
    <row r="506">
      <c r="D506" s="13" t="s">
        <v>4954</v>
      </c>
    </row>
    <row r="507">
      <c r="D507" s="13" t="s">
        <v>4954</v>
      </c>
    </row>
    <row r="508">
      <c r="D508" s="13" t="s">
        <v>4954</v>
      </c>
    </row>
    <row r="509">
      <c r="D509" s="13" t="s">
        <v>4954</v>
      </c>
    </row>
    <row r="510">
      <c r="D510" s="13" t="s">
        <v>4954</v>
      </c>
    </row>
    <row r="511">
      <c r="D511" s="13" t="s">
        <v>4954</v>
      </c>
    </row>
    <row r="512">
      <c r="D512" s="13" t="s">
        <v>4954</v>
      </c>
    </row>
    <row r="513">
      <c r="D513" s="13" t="s">
        <v>4954</v>
      </c>
    </row>
    <row r="514">
      <c r="D514" s="13" t="s">
        <v>4954</v>
      </c>
    </row>
    <row r="515">
      <c r="D515" s="13" t="s">
        <v>4954</v>
      </c>
    </row>
    <row r="516">
      <c r="D516" s="13" t="s">
        <v>4954</v>
      </c>
    </row>
    <row r="517">
      <c r="D517" s="13" t="s">
        <v>4954</v>
      </c>
    </row>
    <row r="518">
      <c r="D518" s="13" t="s">
        <v>4954</v>
      </c>
    </row>
    <row r="519">
      <c r="D519" s="13" t="s">
        <v>4954</v>
      </c>
    </row>
    <row r="520">
      <c r="D520" s="13" t="s">
        <v>4954</v>
      </c>
    </row>
    <row r="521">
      <c r="D521" s="13" t="s">
        <v>4954</v>
      </c>
    </row>
    <row r="522">
      <c r="D522" s="13" t="s">
        <v>4954</v>
      </c>
    </row>
    <row r="523">
      <c r="D523" s="13" t="s">
        <v>4954</v>
      </c>
    </row>
    <row r="524">
      <c r="D524" s="13" t="s">
        <v>4954</v>
      </c>
    </row>
    <row r="525">
      <c r="D525" s="13" t="s">
        <v>4954</v>
      </c>
    </row>
    <row r="526">
      <c r="D526" s="13" t="s">
        <v>4954</v>
      </c>
    </row>
    <row r="527">
      <c r="D527" s="13" t="s">
        <v>4954</v>
      </c>
    </row>
    <row r="528">
      <c r="D528" s="13" t="s">
        <v>4954</v>
      </c>
    </row>
    <row r="529">
      <c r="D529" s="13" t="s">
        <v>4954</v>
      </c>
    </row>
    <row r="530">
      <c r="D530" s="13" t="s">
        <v>4954</v>
      </c>
    </row>
    <row r="531">
      <c r="D531" s="13" t="s">
        <v>4954</v>
      </c>
    </row>
    <row r="532">
      <c r="D532" s="13" t="s">
        <v>4954</v>
      </c>
    </row>
    <row r="533">
      <c r="D533" s="13" t="s">
        <v>4954</v>
      </c>
    </row>
    <row r="534">
      <c r="D534" s="13" t="s">
        <v>4954</v>
      </c>
    </row>
    <row r="535">
      <c r="D535" s="13" t="s">
        <v>4954</v>
      </c>
    </row>
    <row r="536">
      <c r="D536" s="13" t="s">
        <v>4954</v>
      </c>
    </row>
    <row r="537">
      <c r="D537" s="13" t="s">
        <v>4954</v>
      </c>
    </row>
    <row r="538">
      <c r="D538" s="13" t="s">
        <v>4954</v>
      </c>
    </row>
    <row r="539">
      <c r="D539" s="13" t="s">
        <v>4954</v>
      </c>
    </row>
    <row r="540">
      <c r="D540" s="13" t="s">
        <v>4954</v>
      </c>
    </row>
    <row r="541">
      <c r="D541" s="13" t="s">
        <v>4954</v>
      </c>
    </row>
    <row r="542">
      <c r="D542" s="13" t="s">
        <v>4954</v>
      </c>
    </row>
    <row r="543">
      <c r="D543" s="13" t="s">
        <v>4954</v>
      </c>
    </row>
    <row r="544">
      <c r="D544" s="13" t="s">
        <v>4954</v>
      </c>
    </row>
    <row r="545">
      <c r="D545" s="13" t="s">
        <v>4954</v>
      </c>
    </row>
    <row r="546">
      <c r="D546" s="13" t="s">
        <v>4954</v>
      </c>
    </row>
    <row r="547">
      <c r="D547" s="13" t="s">
        <v>4954</v>
      </c>
    </row>
    <row r="548">
      <c r="D548" s="13" t="s">
        <v>4954</v>
      </c>
    </row>
    <row r="549">
      <c r="D549" s="13" t="s">
        <v>4954</v>
      </c>
    </row>
    <row r="550">
      <c r="D550" s="13" t="s">
        <v>4954</v>
      </c>
    </row>
    <row r="551">
      <c r="D551" s="13" t="s">
        <v>4954</v>
      </c>
    </row>
    <row r="552">
      <c r="D552" s="13" t="s">
        <v>4954</v>
      </c>
    </row>
    <row r="553">
      <c r="D553" s="13" t="s">
        <v>4954</v>
      </c>
    </row>
    <row r="554">
      <c r="D554" s="13" t="s">
        <v>4954</v>
      </c>
    </row>
    <row r="555">
      <c r="D555" s="13" t="s">
        <v>4954</v>
      </c>
    </row>
    <row r="556">
      <c r="D556" s="13" t="s">
        <v>4954</v>
      </c>
    </row>
    <row r="557">
      <c r="D557" s="13" t="s">
        <v>4954</v>
      </c>
    </row>
    <row r="558">
      <c r="D558" s="13" t="s">
        <v>4954</v>
      </c>
    </row>
    <row r="559">
      <c r="D559" s="13" t="s">
        <v>4954</v>
      </c>
    </row>
    <row r="560">
      <c r="D560" s="13" t="s">
        <v>4954</v>
      </c>
    </row>
    <row r="561">
      <c r="D561" s="13" t="s">
        <v>4954</v>
      </c>
    </row>
    <row r="562">
      <c r="D562" s="13" t="s">
        <v>4954</v>
      </c>
    </row>
    <row r="563">
      <c r="D563" s="13" t="s">
        <v>4954</v>
      </c>
    </row>
    <row r="564">
      <c r="D564" s="13" t="s">
        <v>4954</v>
      </c>
    </row>
    <row r="565">
      <c r="D565" s="13" t="s">
        <v>4954</v>
      </c>
    </row>
    <row r="566">
      <c r="D566" s="13" t="s">
        <v>4954</v>
      </c>
    </row>
    <row r="567">
      <c r="D567" s="13" t="s">
        <v>4954</v>
      </c>
    </row>
    <row r="568">
      <c r="D568" s="13" t="s">
        <v>4954</v>
      </c>
    </row>
    <row r="569">
      <c r="D569" s="13" t="s">
        <v>4954</v>
      </c>
    </row>
    <row r="570">
      <c r="D570" s="13" t="s">
        <v>4954</v>
      </c>
    </row>
    <row r="571">
      <c r="D571" s="13" t="s">
        <v>4954</v>
      </c>
    </row>
    <row r="572">
      <c r="D572" s="13" t="s">
        <v>4954</v>
      </c>
    </row>
    <row r="573">
      <c r="D573" s="13" t="s">
        <v>4954</v>
      </c>
    </row>
    <row r="574">
      <c r="D574" s="13" t="s">
        <v>4954</v>
      </c>
    </row>
    <row r="575">
      <c r="D575" s="13" t="s">
        <v>4954</v>
      </c>
    </row>
    <row r="576">
      <c r="D576" s="13" t="s">
        <v>4954</v>
      </c>
    </row>
    <row r="577">
      <c r="D577" s="13" t="s">
        <v>4954</v>
      </c>
    </row>
    <row r="578">
      <c r="D578" s="13" t="s">
        <v>4954</v>
      </c>
    </row>
    <row r="579">
      <c r="D579" s="13" t="s">
        <v>4954</v>
      </c>
    </row>
    <row r="580">
      <c r="D580" s="13" t="s">
        <v>4954</v>
      </c>
    </row>
    <row r="581">
      <c r="D581" s="13" t="s">
        <v>4954</v>
      </c>
    </row>
    <row r="582">
      <c r="D582" s="13" t="s">
        <v>4954</v>
      </c>
    </row>
    <row r="583">
      <c r="D583" s="13" t="s">
        <v>4954</v>
      </c>
    </row>
    <row r="584">
      <c r="D584" s="13" t="s">
        <v>4954</v>
      </c>
    </row>
    <row r="585">
      <c r="D585" s="13" t="s">
        <v>4954</v>
      </c>
    </row>
    <row r="586">
      <c r="D586" s="13" t="s">
        <v>4954</v>
      </c>
    </row>
    <row r="587">
      <c r="D587" s="13" t="s">
        <v>4954</v>
      </c>
    </row>
    <row r="588">
      <c r="D588" s="13" t="s">
        <v>4954</v>
      </c>
    </row>
    <row r="589">
      <c r="D589" s="13" t="s">
        <v>4954</v>
      </c>
    </row>
    <row r="590">
      <c r="D590" s="13" t="s">
        <v>4954</v>
      </c>
    </row>
    <row r="591">
      <c r="D591" s="13" t="s">
        <v>4954</v>
      </c>
    </row>
    <row r="592">
      <c r="D592" s="13" t="s">
        <v>4954</v>
      </c>
    </row>
    <row r="593">
      <c r="D593" s="13" t="s">
        <v>4954</v>
      </c>
    </row>
    <row r="594">
      <c r="D594" s="13" t="s">
        <v>4954</v>
      </c>
    </row>
    <row r="595">
      <c r="D595" s="13" t="s">
        <v>4954</v>
      </c>
    </row>
    <row r="596">
      <c r="D596" s="13" t="s">
        <v>4954</v>
      </c>
    </row>
    <row r="597">
      <c r="D597" s="13" t="s">
        <v>4954</v>
      </c>
    </row>
    <row r="598">
      <c r="D598" s="13" t="s">
        <v>4954</v>
      </c>
    </row>
    <row r="599">
      <c r="D599" s="13" t="s">
        <v>4954</v>
      </c>
    </row>
    <row r="600">
      <c r="D600" s="13" t="s">
        <v>4954</v>
      </c>
    </row>
    <row r="601">
      <c r="D601" s="13" t="s">
        <v>4954</v>
      </c>
    </row>
    <row r="602">
      <c r="D602" s="13" t="s">
        <v>4954</v>
      </c>
    </row>
    <row r="603">
      <c r="D603" s="13" t="s">
        <v>4954</v>
      </c>
    </row>
    <row r="604">
      <c r="D604" s="13" t="s">
        <v>4954</v>
      </c>
    </row>
    <row r="605">
      <c r="D605" s="13" t="s">
        <v>4954</v>
      </c>
    </row>
    <row r="606">
      <c r="D606" s="13" t="s">
        <v>4954</v>
      </c>
    </row>
    <row r="607">
      <c r="D607" s="13" t="s">
        <v>4954</v>
      </c>
    </row>
    <row r="608">
      <c r="D608" s="13" t="s">
        <v>4954</v>
      </c>
    </row>
    <row r="609">
      <c r="D609" s="13" t="s">
        <v>4954</v>
      </c>
    </row>
    <row r="610">
      <c r="D610" s="13" t="s">
        <v>4954</v>
      </c>
    </row>
    <row r="611">
      <c r="D611" s="13" t="s">
        <v>4954</v>
      </c>
    </row>
    <row r="612">
      <c r="D612" s="13" t="s">
        <v>4954</v>
      </c>
    </row>
    <row r="613">
      <c r="D613" s="13" t="s">
        <v>4954</v>
      </c>
    </row>
    <row r="614">
      <c r="D614" s="13" t="s">
        <v>4954</v>
      </c>
    </row>
    <row r="615">
      <c r="D615" s="13" t="s">
        <v>4954</v>
      </c>
    </row>
    <row r="616">
      <c r="D616" s="13" t="s">
        <v>4954</v>
      </c>
    </row>
    <row r="617">
      <c r="D617" s="13" t="s">
        <v>4954</v>
      </c>
    </row>
    <row r="618">
      <c r="D618" s="13" t="s">
        <v>4954</v>
      </c>
    </row>
    <row r="619">
      <c r="D619" s="13" t="s">
        <v>4954</v>
      </c>
    </row>
    <row r="620">
      <c r="D620" s="13" t="s">
        <v>4954</v>
      </c>
    </row>
    <row r="621">
      <c r="D621" s="13" t="s">
        <v>4954</v>
      </c>
    </row>
    <row r="622">
      <c r="D622" s="13" t="s">
        <v>4954</v>
      </c>
    </row>
    <row r="623">
      <c r="D623" s="13" t="s">
        <v>4954</v>
      </c>
    </row>
    <row r="624">
      <c r="D624" s="13" t="s">
        <v>4954</v>
      </c>
    </row>
    <row r="625">
      <c r="D625" s="13" t="s">
        <v>4954</v>
      </c>
    </row>
    <row r="626">
      <c r="D626" s="13" t="s">
        <v>4954</v>
      </c>
    </row>
    <row r="627">
      <c r="D627" s="13" t="s">
        <v>4954</v>
      </c>
    </row>
    <row r="628">
      <c r="D628" s="13" t="s">
        <v>4954</v>
      </c>
    </row>
    <row r="629">
      <c r="D629" s="13" t="s">
        <v>4954</v>
      </c>
    </row>
    <row r="630">
      <c r="D630" s="13" t="s">
        <v>4954</v>
      </c>
    </row>
    <row r="631">
      <c r="D631" s="13" t="s">
        <v>4954</v>
      </c>
    </row>
    <row r="632">
      <c r="D632" s="13" t="s">
        <v>4954</v>
      </c>
    </row>
    <row r="633">
      <c r="D633" s="13" t="s">
        <v>4954</v>
      </c>
    </row>
    <row r="634">
      <c r="D634" s="13" t="s">
        <v>4954</v>
      </c>
    </row>
    <row r="635">
      <c r="D635" s="13" t="s">
        <v>4954</v>
      </c>
    </row>
    <row r="636">
      <c r="D636" s="13" t="s">
        <v>4954</v>
      </c>
    </row>
    <row r="637">
      <c r="D637" s="13" t="s">
        <v>4954</v>
      </c>
    </row>
    <row r="638">
      <c r="D638" s="13" t="s">
        <v>4954</v>
      </c>
    </row>
    <row r="639">
      <c r="D639" s="13" t="s">
        <v>4954</v>
      </c>
    </row>
    <row r="640">
      <c r="D640" s="13" t="s">
        <v>4954</v>
      </c>
    </row>
    <row r="641">
      <c r="D641" s="13" t="s">
        <v>4954</v>
      </c>
    </row>
    <row r="642">
      <c r="D642" s="13" t="s">
        <v>4954</v>
      </c>
    </row>
    <row r="643">
      <c r="D643" s="13" t="s">
        <v>4954</v>
      </c>
    </row>
    <row r="644">
      <c r="D644" s="13" t="s">
        <v>4954</v>
      </c>
    </row>
    <row r="645">
      <c r="D645" s="13" t="s">
        <v>4954</v>
      </c>
    </row>
    <row r="646">
      <c r="D646" s="13" t="s">
        <v>4954</v>
      </c>
    </row>
    <row r="647">
      <c r="D647" s="13" t="s">
        <v>4954</v>
      </c>
    </row>
    <row r="648">
      <c r="D648" s="13" t="s">
        <v>4954</v>
      </c>
    </row>
    <row r="649">
      <c r="D649" s="13" t="s">
        <v>4954</v>
      </c>
    </row>
    <row r="650">
      <c r="D650" s="13" t="s">
        <v>4954</v>
      </c>
    </row>
    <row r="651">
      <c r="D651" s="13" t="s">
        <v>4954</v>
      </c>
    </row>
    <row r="652">
      <c r="D652" s="13" t="s">
        <v>4954</v>
      </c>
    </row>
    <row r="653">
      <c r="D653" s="13" t="s">
        <v>4954</v>
      </c>
    </row>
    <row r="654">
      <c r="D654" s="13" t="s">
        <v>4954</v>
      </c>
    </row>
    <row r="655">
      <c r="D655" s="13" t="s">
        <v>4954</v>
      </c>
    </row>
    <row r="656">
      <c r="D656" s="13" t="s">
        <v>4954</v>
      </c>
    </row>
    <row r="657">
      <c r="D657" s="13" t="s">
        <v>4954</v>
      </c>
    </row>
    <row r="658">
      <c r="D658" s="13" t="s">
        <v>4954</v>
      </c>
    </row>
    <row r="659">
      <c r="D659" s="13" t="s">
        <v>4954</v>
      </c>
    </row>
    <row r="660">
      <c r="D660" s="13" t="s">
        <v>4954</v>
      </c>
    </row>
    <row r="661">
      <c r="D661" s="13" t="s">
        <v>4954</v>
      </c>
    </row>
    <row r="662">
      <c r="D662" s="13" t="s">
        <v>4954</v>
      </c>
    </row>
    <row r="663">
      <c r="D663" s="13" t="s">
        <v>4954</v>
      </c>
    </row>
    <row r="664">
      <c r="D664" s="13" t="s">
        <v>4954</v>
      </c>
    </row>
    <row r="665">
      <c r="D665" s="13" t="s">
        <v>4954</v>
      </c>
    </row>
    <row r="666">
      <c r="D666" s="13" t="s">
        <v>4954</v>
      </c>
    </row>
    <row r="667">
      <c r="D667" s="13" t="s">
        <v>4954</v>
      </c>
    </row>
    <row r="668">
      <c r="D668" s="13" t="s">
        <v>4954</v>
      </c>
    </row>
    <row r="669">
      <c r="D669" s="13" t="s">
        <v>4954</v>
      </c>
    </row>
    <row r="670">
      <c r="D670" s="13" t="s">
        <v>4954</v>
      </c>
    </row>
    <row r="671">
      <c r="D671" s="13" t="s">
        <v>4954</v>
      </c>
    </row>
    <row r="672">
      <c r="D672" s="13" t="s">
        <v>4954</v>
      </c>
    </row>
    <row r="673">
      <c r="D673" s="13" t="s">
        <v>4954</v>
      </c>
    </row>
    <row r="674">
      <c r="D674" s="13" t="s">
        <v>4954</v>
      </c>
    </row>
    <row r="675">
      <c r="D675" s="13" t="s">
        <v>4954</v>
      </c>
    </row>
    <row r="676">
      <c r="D676" s="13" t="s">
        <v>4954</v>
      </c>
    </row>
    <row r="677">
      <c r="D677" s="13" t="s">
        <v>4954</v>
      </c>
    </row>
    <row r="678">
      <c r="D678" s="13" t="s">
        <v>4954</v>
      </c>
    </row>
    <row r="679">
      <c r="D679" s="13" t="s">
        <v>4954</v>
      </c>
    </row>
    <row r="680">
      <c r="D680" s="13" t="s">
        <v>4954</v>
      </c>
    </row>
    <row r="681">
      <c r="D681" s="13" t="s">
        <v>4954</v>
      </c>
    </row>
    <row r="682">
      <c r="D682" s="13" t="s">
        <v>4954</v>
      </c>
    </row>
    <row r="683">
      <c r="D683" s="13" t="s">
        <v>4954</v>
      </c>
    </row>
    <row r="684">
      <c r="D684" s="13" t="s">
        <v>4954</v>
      </c>
    </row>
    <row r="685">
      <c r="D685" s="13" t="s">
        <v>4954</v>
      </c>
    </row>
    <row r="686">
      <c r="D686" s="13" t="s">
        <v>4954</v>
      </c>
    </row>
    <row r="687">
      <c r="D687" s="13" t="s">
        <v>4954</v>
      </c>
    </row>
    <row r="688">
      <c r="D688" s="13" t="s">
        <v>4954</v>
      </c>
    </row>
    <row r="689">
      <c r="D689" s="13" t="s">
        <v>4954</v>
      </c>
    </row>
    <row r="690">
      <c r="D690" s="13" t="s">
        <v>4954</v>
      </c>
    </row>
    <row r="691">
      <c r="D691" s="13" t="s">
        <v>4954</v>
      </c>
    </row>
    <row r="692">
      <c r="D692" s="13" t="s">
        <v>4954</v>
      </c>
    </row>
    <row r="693">
      <c r="D693" s="13" t="s">
        <v>4954</v>
      </c>
    </row>
    <row r="694">
      <c r="D694" s="13" t="s">
        <v>4954</v>
      </c>
    </row>
    <row r="695">
      <c r="D695" s="13" t="s">
        <v>4954</v>
      </c>
    </row>
    <row r="696">
      <c r="D696" s="13" t="s">
        <v>4954</v>
      </c>
    </row>
    <row r="697">
      <c r="D697" s="13" t="s">
        <v>4954</v>
      </c>
    </row>
    <row r="698">
      <c r="D698" s="13" t="s">
        <v>4954</v>
      </c>
    </row>
    <row r="699">
      <c r="D699" s="13" t="s">
        <v>4954</v>
      </c>
    </row>
    <row r="700">
      <c r="D700" s="13" t="s">
        <v>4954</v>
      </c>
    </row>
    <row r="701">
      <c r="D701" s="13" t="s">
        <v>4954</v>
      </c>
    </row>
    <row r="702">
      <c r="D702" s="13" t="s">
        <v>4954</v>
      </c>
    </row>
    <row r="703">
      <c r="D703" s="13" t="s">
        <v>4954</v>
      </c>
    </row>
    <row r="704">
      <c r="D704" s="13" t="s">
        <v>4954</v>
      </c>
    </row>
    <row r="705">
      <c r="D705" s="13" t="s">
        <v>4954</v>
      </c>
    </row>
    <row r="706">
      <c r="D706" s="13" t="s">
        <v>4954</v>
      </c>
    </row>
    <row r="707">
      <c r="D707" s="13" t="s">
        <v>4954</v>
      </c>
    </row>
    <row r="708">
      <c r="D708" s="13" t="s">
        <v>4954</v>
      </c>
    </row>
    <row r="709">
      <c r="D709" s="13" t="s">
        <v>4954</v>
      </c>
    </row>
    <row r="710">
      <c r="D710" s="13" t="s">
        <v>4954</v>
      </c>
    </row>
    <row r="711">
      <c r="D711" s="13" t="s">
        <v>4954</v>
      </c>
    </row>
    <row r="712">
      <c r="D712" s="13" t="s">
        <v>4954</v>
      </c>
    </row>
    <row r="713">
      <c r="D713" s="13" t="s">
        <v>4954</v>
      </c>
    </row>
    <row r="714">
      <c r="D714" s="13" t="s">
        <v>4954</v>
      </c>
    </row>
    <row r="715">
      <c r="D715" s="13" t="s">
        <v>4954</v>
      </c>
    </row>
    <row r="716">
      <c r="D716" s="13" t="s">
        <v>4954</v>
      </c>
    </row>
    <row r="717">
      <c r="D717" s="13" t="s">
        <v>4954</v>
      </c>
    </row>
    <row r="718">
      <c r="D718" s="13" t="s">
        <v>4954</v>
      </c>
    </row>
    <row r="719">
      <c r="D719" s="13" t="s">
        <v>4954</v>
      </c>
    </row>
    <row r="720">
      <c r="D720" s="13" t="s">
        <v>4954</v>
      </c>
    </row>
    <row r="721">
      <c r="D721" s="13" t="s">
        <v>4954</v>
      </c>
    </row>
    <row r="722">
      <c r="D722" s="13" t="s">
        <v>4954</v>
      </c>
    </row>
    <row r="723">
      <c r="D723" s="13" t="s">
        <v>4954</v>
      </c>
    </row>
    <row r="724">
      <c r="D724" s="13" t="s">
        <v>4954</v>
      </c>
    </row>
    <row r="725">
      <c r="D725" s="13" t="s">
        <v>4954</v>
      </c>
    </row>
    <row r="726">
      <c r="D726" s="13" t="s">
        <v>4954</v>
      </c>
    </row>
    <row r="727">
      <c r="D727" s="13" t="s">
        <v>4954</v>
      </c>
    </row>
    <row r="728">
      <c r="D728" s="13" t="s">
        <v>4954</v>
      </c>
    </row>
    <row r="729">
      <c r="D729" s="13" t="s">
        <v>4954</v>
      </c>
    </row>
    <row r="730">
      <c r="D730" s="13" t="s">
        <v>4954</v>
      </c>
    </row>
    <row r="731">
      <c r="D731" s="13" t="s">
        <v>4954</v>
      </c>
    </row>
    <row r="732">
      <c r="D732" s="13" t="s">
        <v>4954</v>
      </c>
    </row>
    <row r="733">
      <c r="D733" s="13" t="s">
        <v>4954</v>
      </c>
    </row>
    <row r="734">
      <c r="D734" s="13" t="s">
        <v>4954</v>
      </c>
    </row>
    <row r="735">
      <c r="D735" s="13" t="s">
        <v>4954</v>
      </c>
    </row>
    <row r="736">
      <c r="D736" s="13" t="s">
        <v>4954</v>
      </c>
    </row>
    <row r="737">
      <c r="D737" s="13" t="s">
        <v>4954</v>
      </c>
    </row>
    <row r="738">
      <c r="D738" s="13" t="s">
        <v>4954</v>
      </c>
    </row>
    <row r="739">
      <c r="D739" s="13" t="s">
        <v>4954</v>
      </c>
    </row>
    <row r="740">
      <c r="D740" s="13" t="s">
        <v>4954</v>
      </c>
    </row>
    <row r="741">
      <c r="D741" s="13" t="s">
        <v>4954</v>
      </c>
    </row>
    <row r="742">
      <c r="D742" s="13" t="s">
        <v>4954</v>
      </c>
    </row>
    <row r="743">
      <c r="D743" s="13" t="s">
        <v>4954</v>
      </c>
    </row>
    <row r="744">
      <c r="D744" s="13" t="s">
        <v>4954</v>
      </c>
    </row>
    <row r="745">
      <c r="D745" s="13" t="s">
        <v>4954</v>
      </c>
    </row>
    <row r="746">
      <c r="D746" s="13" t="s">
        <v>4954</v>
      </c>
    </row>
    <row r="747">
      <c r="D747" s="13" t="s">
        <v>4954</v>
      </c>
    </row>
    <row r="748">
      <c r="D748" s="13" t="s">
        <v>4954</v>
      </c>
    </row>
    <row r="749">
      <c r="D749" s="13" t="s">
        <v>4954</v>
      </c>
    </row>
    <row r="750">
      <c r="D750" s="13" t="s">
        <v>4954</v>
      </c>
    </row>
    <row r="751">
      <c r="D751" s="13" t="s">
        <v>4954</v>
      </c>
    </row>
    <row r="752">
      <c r="D752" s="13" t="s">
        <v>4954</v>
      </c>
    </row>
    <row r="753">
      <c r="D753" s="13" t="s">
        <v>4954</v>
      </c>
    </row>
    <row r="754">
      <c r="D754" s="13" t="s">
        <v>4954</v>
      </c>
    </row>
    <row r="755">
      <c r="D755" s="13" t="s">
        <v>4954</v>
      </c>
    </row>
    <row r="756">
      <c r="D756" s="13" t="s">
        <v>4954</v>
      </c>
    </row>
    <row r="757">
      <c r="D757" s="13" t="s">
        <v>4954</v>
      </c>
    </row>
    <row r="758">
      <c r="D758" s="13" t="s">
        <v>4954</v>
      </c>
    </row>
    <row r="759">
      <c r="D759" s="13" t="s">
        <v>4954</v>
      </c>
    </row>
    <row r="760">
      <c r="D760" s="13" t="s">
        <v>4954</v>
      </c>
    </row>
    <row r="761">
      <c r="D761" s="13" t="s">
        <v>4954</v>
      </c>
    </row>
    <row r="762">
      <c r="D762" s="13" t="s">
        <v>4954</v>
      </c>
    </row>
    <row r="763">
      <c r="D763" s="13" t="s">
        <v>4954</v>
      </c>
    </row>
    <row r="764">
      <c r="D764" s="13" t="s">
        <v>4954</v>
      </c>
    </row>
    <row r="765">
      <c r="D765" s="13" t="s">
        <v>4954</v>
      </c>
    </row>
    <row r="766">
      <c r="D766" s="13" t="s">
        <v>4954</v>
      </c>
    </row>
    <row r="767">
      <c r="D767" s="13" t="s">
        <v>4954</v>
      </c>
    </row>
    <row r="768">
      <c r="D768" s="13" t="s">
        <v>4954</v>
      </c>
    </row>
    <row r="769">
      <c r="D769" s="13" t="s">
        <v>4954</v>
      </c>
    </row>
    <row r="770">
      <c r="D770" s="13" t="s">
        <v>4954</v>
      </c>
    </row>
    <row r="771">
      <c r="D771" s="13" t="s">
        <v>4954</v>
      </c>
    </row>
    <row r="772">
      <c r="D772" s="13" t="s">
        <v>4954</v>
      </c>
    </row>
    <row r="773">
      <c r="D773" s="13" t="s">
        <v>4954</v>
      </c>
    </row>
    <row r="774">
      <c r="D774" s="13" t="s">
        <v>4954</v>
      </c>
    </row>
    <row r="775">
      <c r="D775" s="13" t="s">
        <v>4954</v>
      </c>
    </row>
    <row r="776">
      <c r="D776" s="13" t="s">
        <v>4954</v>
      </c>
    </row>
    <row r="777">
      <c r="D777" s="13" t="s">
        <v>4954</v>
      </c>
    </row>
    <row r="778">
      <c r="D778" s="13" t="s">
        <v>4954</v>
      </c>
    </row>
    <row r="779">
      <c r="D779" s="13" t="s">
        <v>4954</v>
      </c>
    </row>
    <row r="780">
      <c r="D780" s="13" t="s">
        <v>4954</v>
      </c>
    </row>
    <row r="781">
      <c r="D781" s="13" t="s">
        <v>4954</v>
      </c>
    </row>
    <row r="782">
      <c r="D782" s="13" t="s">
        <v>4954</v>
      </c>
    </row>
    <row r="783">
      <c r="D783" s="13" t="s">
        <v>4954</v>
      </c>
    </row>
    <row r="784">
      <c r="D784" s="13" t="s">
        <v>4954</v>
      </c>
    </row>
    <row r="785">
      <c r="D785" s="13" t="s">
        <v>4954</v>
      </c>
    </row>
    <row r="786">
      <c r="D786" s="13" t="s">
        <v>4954</v>
      </c>
    </row>
    <row r="787">
      <c r="D787" s="13" t="s">
        <v>4954</v>
      </c>
    </row>
    <row r="788">
      <c r="D788" s="13" t="s">
        <v>4954</v>
      </c>
    </row>
    <row r="789">
      <c r="D789" s="13" t="s">
        <v>4954</v>
      </c>
    </row>
    <row r="790">
      <c r="D790" s="13" t="s">
        <v>4954</v>
      </c>
    </row>
    <row r="791">
      <c r="D791" s="13" t="s">
        <v>4954</v>
      </c>
    </row>
    <row r="792">
      <c r="D792" s="13" t="s">
        <v>4954</v>
      </c>
    </row>
    <row r="793">
      <c r="D793" s="13" t="s">
        <v>4954</v>
      </c>
    </row>
    <row r="794">
      <c r="D794" s="13" t="s">
        <v>4954</v>
      </c>
    </row>
    <row r="795">
      <c r="D795" s="13" t="s">
        <v>4954</v>
      </c>
    </row>
    <row r="796">
      <c r="D796" s="13" t="s">
        <v>4954</v>
      </c>
    </row>
    <row r="797">
      <c r="D797" s="13" t="s">
        <v>4954</v>
      </c>
    </row>
    <row r="798">
      <c r="D798" s="13" t="s">
        <v>4954</v>
      </c>
    </row>
    <row r="799">
      <c r="D799" s="13" t="s">
        <v>4954</v>
      </c>
    </row>
    <row r="800">
      <c r="D800" s="13" t="s">
        <v>4954</v>
      </c>
    </row>
    <row r="801">
      <c r="D801" s="13" t="s">
        <v>4954</v>
      </c>
    </row>
    <row r="802">
      <c r="D802" s="13" t="s">
        <v>4954</v>
      </c>
    </row>
    <row r="803">
      <c r="D803" s="13" t="s">
        <v>4954</v>
      </c>
    </row>
    <row r="804">
      <c r="D804" s="13" t="s">
        <v>4954</v>
      </c>
    </row>
    <row r="805">
      <c r="D805" s="13" t="s">
        <v>4954</v>
      </c>
    </row>
    <row r="806">
      <c r="D806" s="13" t="s">
        <v>4954</v>
      </c>
    </row>
    <row r="807">
      <c r="D807" s="13" t="s">
        <v>4954</v>
      </c>
    </row>
    <row r="808">
      <c r="D808" s="13" t="s">
        <v>4954</v>
      </c>
    </row>
    <row r="809">
      <c r="D809" s="13" t="s">
        <v>4954</v>
      </c>
    </row>
    <row r="810">
      <c r="D810" s="13" t="s">
        <v>4954</v>
      </c>
    </row>
    <row r="811">
      <c r="D811" s="13" t="s">
        <v>4954</v>
      </c>
    </row>
    <row r="812">
      <c r="D812" s="13" t="s">
        <v>4954</v>
      </c>
    </row>
    <row r="813">
      <c r="D813" s="13" t="s">
        <v>4954</v>
      </c>
    </row>
    <row r="814">
      <c r="D814" s="13" t="s">
        <v>4954</v>
      </c>
    </row>
    <row r="815">
      <c r="D815" s="13" t="s">
        <v>4954</v>
      </c>
    </row>
    <row r="816">
      <c r="D816" s="13" t="s">
        <v>4954</v>
      </c>
    </row>
    <row r="817">
      <c r="D817" s="13" t="s">
        <v>4954</v>
      </c>
    </row>
    <row r="818">
      <c r="D818" s="13" t="s">
        <v>4954</v>
      </c>
    </row>
    <row r="819">
      <c r="D819" s="13" t="s">
        <v>4954</v>
      </c>
    </row>
    <row r="820">
      <c r="D820" s="13" t="s">
        <v>4954</v>
      </c>
    </row>
    <row r="821">
      <c r="D821" s="13" t="s">
        <v>4954</v>
      </c>
    </row>
    <row r="822">
      <c r="D822" s="13" t="s">
        <v>4954</v>
      </c>
    </row>
    <row r="823">
      <c r="D823" s="13" t="s">
        <v>4954</v>
      </c>
    </row>
    <row r="824">
      <c r="D824" s="13" t="s">
        <v>4954</v>
      </c>
    </row>
    <row r="825">
      <c r="D825" s="13" t="s">
        <v>4954</v>
      </c>
    </row>
    <row r="826">
      <c r="D826" s="13" t="s">
        <v>4954</v>
      </c>
    </row>
    <row r="827">
      <c r="D827" s="13" t="s">
        <v>4954</v>
      </c>
    </row>
    <row r="828">
      <c r="D828" s="13" t="s">
        <v>4954</v>
      </c>
    </row>
    <row r="829">
      <c r="D829" s="13" t="s">
        <v>4954</v>
      </c>
    </row>
    <row r="830">
      <c r="D830" s="13" t="s">
        <v>4954</v>
      </c>
    </row>
    <row r="831">
      <c r="D831" s="13" t="s">
        <v>4954</v>
      </c>
    </row>
    <row r="832">
      <c r="D832" s="13" t="s">
        <v>4954</v>
      </c>
    </row>
    <row r="833">
      <c r="D833" s="13" t="s">
        <v>4954</v>
      </c>
    </row>
    <row r="834">
      <c r="D834" s="13" t="s">
        <v>4954</v>
      </c>
    </row>
    <row r="835">
      <c r="D835" s="13" t="s">
        <v>4954</v>
      </c>
    </row>
    <row r="836">
      <c r="D836" s="13" t="s">
        <v>4954</v>
      </c>
    </row>
    <row r="837">
      <c r="D837" s="13" t="s">
        <v>4954</v>
      </c>
    </row>
    <row r="838">
      <c r="D838" s="13" t="s">
        <v>4954</v>
      </c>
    </row>
    <row r="839">
      <c r="D839" s="13" t="s">
        <v>4954</v>
      </c>
    </row>
    <row r="840">
      <c r="D840" s="13" t="s">
        <v>4954</v>
      </c>
    </row>
    <row r="841">
      <c r="D841" s="13" t="s">
        <v>4954</v>
      </c>
    </row>
    <row r="842">
      <c r="D842" s="13" t="s">
        <v>4954</v>
      </c>
    </row>
    <row r="843">
      <c r="D843" s="13" t="s">
        <v>4954</v>
      </c>
    </row>
    <row r="844">
      <c r="D844" s="13" t="s">
        <v>4954</v>
      </c>
    </row>
    <row r="845">
      <c r="D845" s="13" t="s">
        <v>4954</v>
      </c>
    </row>
    <row r="846">
      <c r="D846" s="13" t="s">
        <v>4954</v>
      </c>
    </row>
    <row r="847">
      <c r="D847" s="13" t="s">
        <v>4954</v>
      </c>
    </row>
    <row r="848">
      <c r="D848" s="13" t="s">
        <v>4954</v>
      </c>
    </row>
    <row r="849">
      <c r="D849" s="13" t="s">
        <v>4954</v>
      </c>
    </row>
    <row r="850">
      <c r="D850" s="13" t="s">
        <v>4954</v>
      </c>
    </row>
    <row r="851">
      <c r="D851" s="13" t="s">
        <v>4954</v>
      </c>
    </row>
    <row r="852">
      <c r="D852" s="13" t="s">
        <v>4954</v>
      </c>
    </row>
    <row r="853">
      <c r="D853" s="13" t="s">
        <v>4954</v>
      </c>
    </row>
    <row r="854">
      <c r="D854" s="13" t="s">
        <v>4954</v>
      </c>
    </row>
    <row r="855">
      <c r="D855" s="13" t="s">
        <v>4954</v>
      </c>
    </row>
    <row r="856">
      <c r="D856" s="13" t="s">
        <v>4954</v>
      </c>
    </row>
    <row r="857">
      <c r="D857" s="13" t="s">
        <v>4954</v>
      </c>
    </row>
    <row r="858">
      <c r="D858" s="13" t="s">
        <v>4954</v>
      </c>
    </row>
    <row r="859">
      <c r="D859" s="13" t="s">
        <v>4954</v>
      </c>
    </row>
    <row r="860">
      <c r="D860" s="13" t="s">
        <v>4954</v>
      </c>
    </row>
    <row r="861">
      <c r="D861" s="13" t="s">
        <v>4954</v>
      </c>
    </row>
    <row r="862">
      <c r="D862" s="13" t="s">
        <v>4954</v>
      </c>
    </row>
    <row r="863">
      <c r="D863" s="13" t="s">
        <v>4954</v>
      </c>
    </row>
    <row r="864">
      <c r="D864" s="13" t="s">
        <v>4954</v>
      </c>
    </row>
    <row r="865">
      <c r="D865" s="13" t="s">
        <v>4954</v>
      </c>
    </row>
    <row r="866">
      <c r="D866" s="13" t="s">
        <v>4954</v>
      </c>
    </row>
    <row r="867">
      <c r="D867" s="13" t="s">
        <v>4954</v>
      </c>
    </row>
    <row r="868">
      <c r="D868" s="13" t="s">
        <v>4954</v>
      </c>
    </row>
    <row r="869">
      <c r="D869" s="13" t="s">
        <v>4954</v>
      </c>
    </row>
    <row r="870">
      <c r="D870" s="13" t="s">
        <v>4954</v>
      </c>
    </row>
    <row r="871">
      <c r="D871" s="13" t="s">
        <v>4954</v>
      </c>
    </row>
    <row r="872">
      <c r="D872" s="13" t="s">
        <v>4954</v>
      </c>
    </row>
    <row r="873">
      <c r="D873" s="13" t="s">
        <v>4954</v>
      </c>
    </row>
    <row r="874">
      <c r="D874" s="13" t="s">
        <v>4954</v>
      </c>
    </row>
    <row r="875">
      <c r="D875" s="13" t="s">
        <v>4954</v>
      </c>
    </row>
    <row r="876">
      <c r="D876" s="13" t="s">
        <v>4954</v>
      </c>
    </row>
    <row r="877">
      <c r="D877" s="13" t="s">
        <v>4954</v>
      </c>
    </row>
    <row r="878">
      <c r="D878" s="13" t="s">
        <v>4954</v>
      </c>
    </row>
    <row r="879">
      <c r="D879" s="13" t="s">
        <v>4954</v>
      </c>
    </row>
    <row r="880">
      <c r="D880" s="13" t="s">
        <v>4954</v>
      </c>
    </row>
    <row r="881">
      <c r="D881" s="13" t="s">
        <v>4954</v>
      </c>
    </row>
    <row r="882">
      <c r="D882" s="13" t="s">
        <v>4954</v>
      </c>
    </row>
    <row r="883">
      <c r="D883" s="13" t="s">
        <v>4954</v>
      </c>
    </row>
    <row r="884">
      <c r="D884" s="13" t="s">
        <v>4954</v>
      </c>
    </row>
    <row r="885">
      <c r="D885" s="13" t="s">
        <v>4954</v>
      </c>
    </row>
    <row r="886">
      <c r="D886" s="13" t="s">
        <v>4954</v>
      </c>
    </row>
    <row r="887">
      <c r="D887" s="13" t="s">
        <v>4954</v>
      </c>
    </row>
    <row r="888">
      <c r="D888" s="13" t="s">
        <v>4954</v>
      </c>
    </row>
    <row r="889">
      <c r="D889" s="13" t="s">
        <v>4954</v>
      </c>
    </row>
    <row r="890">
      <c r="D890" s="13" t="s">
        <v>4954</v>
      </c>
    </row>
    <row r="891">
      <c r="D891" s="13" t="s">
        <v>4954</v>
      </c>
    </row>
    <row r="892">
      <c r="D892" s="13" t="s">
        <v>4954</v>
      </c>
    </row>
    <row r="893">
      <c r="D893" s="13" t="s">
        <v>4954</v>
      </c>
    </row>
    <row r="894">
      <c r="D894" s="13" t="s">
        <v>4954</v>
      </c>
    </row>
    <row r="895">
      <c r="D895" s="13" t="s">
        <v>4954</v>
      </c>
    </row>
    <row r="896">
      <c r="D896" s="13" t="s">
        <v>4954</v>
      </c>
    </row>
    <row r="897">
      <c r="D897" s="13" t="s">
        <v>4954</v>
      </c>
    </row>
    <row r="898">
      <c r="D898" s="13" t="s">
        <v>4954</v>
      </c>
    </row>
    <row r="899">
      <c r="D899" s="13" t="s">
        <v>4954</v>
      </c>
    </row>
    <row r="900">
      <c r="D900" s="13" t="s">
        <v>4954</v>
      </c>
    </row>
    <row r="901">
      <c r="D901" s="13" t="s">
        <v>4954</v>
      </c>
    </row>
    <row r="902">
      <c r="D902" s="13" t="s">
        <v>4954</v>
      </c>
    </row>
    <row r="903">
      <c r="D903" s="13" t="s">
        <v>4954</v>
      </c>
    </row>
    <row r="904">
      <c r="D904" s="13" t="s">
        <v>4954</v>
      </c>
    </row>
    <row r="905">
      <c r="D905" s="13" t="s">
        <v>4954</v>
      </c>
    </row>
    <row r="906">
      <c r="D906" s="13" t="s">
        <v>4954</v>
      </c>
    </row>
    <row r="907">
      <c r="D907" s="13" t="s">
        <v>4954</v>
      </c>
    </row>
    <row r="908">
      <c r="D908" s="13" t="s">
        <v>4954</v>
      </c>
    </row>
    <row r="909">
      <c r="D909" s="13" t="s">
        <v>4954</v>
      </c>
    </row>
    <row r="910">
      <c r="D910" s="13" t="s">
        <v>4954</v>
      </c>
    </row>
    <row r="911">
      <c r="D911" s="13" t="s">
        <v>4954</v>
      </c>
    </row>
    <row r="912">
      <c r="D912" s="13" t="s">
        <v>4954</v>
      </c>
    </row>
    <row r="913">
      <c r="D913" s="13" t="s">
        <v>4954</v>
      </c>
    </row>
    <row r="914">
      <c r="D914" s="13" t="s">
        <v>4954</v>
      </c>
    </row>
    <row r="915">
      <c r="D915" s="13" t="s">
        <v>4954</v>
      </c>
    </row>
    <row r="916">
      <c r="D916" s="13" t="s">
        <v>4954</v>
      </c>
    </row>
    <row r="917">
      <c r="D917" s="13" t="s">
        <v>4954</v>
      </c>
    </row>
    <row r="918">
      <c r="D918" s="13" t="s">
        <v>4954</v>
      </c>
    </row>
    <row r="919">
      <c r="D919" s="13" t="s">
        <v>4954</v>
      </c>
    </row>
    <row r="920">
      <c r="D920" s="13" t="s">
        <v>4954</v>
      </c>
    </row>
    <row r="921">
      <c r="D921" s="13" t="s">
        <v>4954</v>
      </c>
    </row>
    <row r="922">
      <c r="D922" s="13" t="s">
        <v>4954</v>
      </c>
    </row>
    <row r="923">
      <c r="D923" s="13" t="s">
        <v>4954</v>
      </c>
    </row>
    <row r="924">
      <c r="D924" s="13" t="s">
        <v>4954</v>
      </c>
    </row>
    <row r="925">
      <c r="D925" s="13" t="s">
        <v>4954</v>
      </c>
    </row>
    <row r="926">
      <c r="D926" s="13" t="s">
        <v>4954</v>
      </c>
    </row>
    <row r="927">
      <c r="D927" s="13" t="s">
        <v>4954</v>
      </c>
    </row>
    <row r="928">
      <c r="D928" s="13" t="s">
        <v>4954</v>
      </c>
    </row>
    <row r="929">
      <c r="D929" s="13" t="s">
        <v>4954</v>
      </c>
    </row>
    <row r="930">
      <c r="D930" s="13" t="s">
        <v>4954</v>
      </c>
    </row>
    <row r="931">
      <c r="D931" s="13" t="s">
        <v>4954</v>
      </c>
    </row>
    <row r="932">
      <c r="D932" s="13" t="s">
        <v>4954</v>
      </c>
    </row>
    <row r="933">
      <c r="D933" s="13" t="s">
        <v>4954</v>
      </c>
    </row>
    <row r="934">
      <c r="D934" s="13" t="s">
        <v>4954</v>
      </c>
    </row>
    <row r="935">
      <c r="D935" s="13" t="s">
        <v>4954</v>
      </c>
    </row>
    <row r="936">
      <c r="D936" s="13" t="s">
        <v>4954</v>
      </c>
    </row>
    <row r="937">
      <c r="D937" s="13" t="s">
        <v>4954</v>
      </c>
    </row>
    <row r="938">
      <c r="D938" s="13" t="s">
        <v>4954</v>
      </c>
    </row>
    <row r="939">
      <c r="D939" s="13" t="s">
        <v>4954</v>
      </c>
    </row>
    <row r="940">
      <c r="D940" s="13" t="s">
        <v>4954</v>
      </c>
    </row>
    <row r="941">
      <c r="D941" s="13" t="s">
        <v>4954</v>
      </c>
    </row>
    <row r="942">
      <c r="D942" s="13" t="s">
        <v>4954</v>
      </c>
    </row>
    <row r="943">
      <c r="D943" s="13" t="s">
        <v>4954</v>
      </c>
    </row>
    <row r="944">
      <c r="D944" s="13" t="s">
        <v>4954</v>
      </c>
    </row>
    <row r="945">
      <c r="D945" s="13" t="s">
        <v>4954</v>
      </c>
    </row>
    <row r="946">
      <c r="D946" s="13" t="s">
        <v>4954</v>
      </c>
    </row>
    <row r="947">
      <c r="D947" s="13" t="s">
        <v>4954</v>
      </c>
    </row>
    <row r="948">
      <c r="D948" s="13" t="s">
        <v>4954</v>
      </c>
    </row>
    <row r="949">
      <c r="D949" s="13" t="s">
        <v>4954</v>
      </c>
    </row>
    <row r="950">
      <c r="D950" s="13" t="s">
        <v>4954</v>
      </c>
    </row>
    <row r="951">
      <c r="D951" s="13" t="s">
        <v>4954</v>
      </c>
    </row>
    <row r="952">
      <c r="D952" s="13" t="s">
        <v>4954</v>
      </c>
    </row>
    <row r="953">
      <c r="D953" s="13" t="s">
        <v>4954</v>
      </c>
    </row>
    <row r="954">
      <c r="D954" s="13" t="s">
        <v>4954</v>
      </c>
    </row>
    <row r="955">
      <c r="D955" s="13" t="s">
        <v>4954</v>
      </c>
    </row>
    <row r="956">
      <c r="D956" s="13" t="s">
        <v>4954</v>
      </c>
    </row>
    <row r="957">
      <c r="D957" s="13" t="s">
        <v>4954</v>
      </c>
    </row>
    <row r="958">
      <c r="D958" s="13" t="s">
        <v>4954</v>
      </c>
    </row>
    <row r="959">
      <c r="D959" s="13" t="s">
        <v>4954</v>
      </c>
    </row>
    <row r="960">
      <c r="D960" s="13" t="s">
        <v>4954</v>
      </c>
    </row>
    <row r="961">
      <c r="D961" s="13" t="s">
        <v>4954</v>
      </c>
    </row>
    <row r="962">
      <c r="D962" s="13" t="s">
        <v>4954</v>
      </c>
    </row>
    <row r="963">
      <c r="D963" s="13" t="s">
        <v>4954</v>
      </c>
    </row>
    <row r="964">
      <c r="D964" s="13" t="s">
        <v>4954</v>
      </c>
    </row>
    <row r="965">
      <c r="D965" s="13" t="s">
        <v>4954</v>
      </c>
    </row>
    <row r="966">
      <c r="D966" s="13" t="s">
        <v>4954</v>
      </c>
    </row>
    <row r="967">
      <c r="D967" s="13" t="s">
        <v>4954</v>
      </c>
    </row>
    <row r="968">
      <c r="D968" s="13" t="s">
        <v>4954</v>
      </c>
    </row>
    <row r="969">
      <c r="D969" s="13" t="s">
        <v>4954</v>
      </c>
    </row>
    <row r="970">
      <c r="D970" s="13" t="s">
        <v>4954</v>
      </c>
    </row>
    <row r="971">
      <c r="D971" s="13" t="s">
        <v>4954</v>
      </c>
    </row>
    <row r="972">
      <c r="D972" s="13" t="s">
        <v>4954</v>
      </c>
    </row>
    <row r="973">
      <c r="D973" s="13" t="s">
        <v>4954</v>
      </c>
    </row>
    <row r="974">
      <c r="D974" s="13" t="s">
        <v>4954</v>
      </c>
    </row>
    <row r="975">
      <c r="D975" s="13" t="s">
        <v>4954</v>
      </c>
    </row>
    <row r="976">
      <c r="D976" s="13" t="s">
        <v>4954</v>
      </c>
    </row>
    <row r="977">
      <c r="D977" s="13" t="s">
        <v>4954</v>
      </c>
    </row>
    <row r="978">
      <c r="D978" s="13" t="s">
        <v>4954</v>
      </c>
    </row>
    <row r="979">
      <c r="D979" s="13" t="s">
        <v>4954</v>
      </c>
    </row>
    <row r="980">
      <c r="D980" s="13" t="s">
        <v>4954</v>
      </c>
    </row>
    <row r="981">
      <c r="D981" s="13" t="s">
        <v>4954</v>
      </c>
    </row>
    <row r="982">
      <c r="D982" s="13" t="s">
        <v>4954</v>
      </c>
    </row>
    <row r="983">
      <c r="D983" s="13" t="s">
        <v>4954</v>
      </c>
    </row>
    <row r="984">
      <c r="D984" s="13" t="s">
        <v>4954</v>
      </c>
    </row>
    <row r="985">
      <c r="D985" s="13" t="s">
        <v>4954</v>
      </c>
    </row>
    <row r="986">
      <c r="D986" s="13" t="s">
        <v>4954</v>
      </c>
    </row>
    <row r="987">
      <c r="D987" s="13" t="s">
        <v>4954</v>
      </c>
    </row>
    <row r="988">
      <c r="D988" s="13" t="s">
        <v>4954</v>
      </c>
    </row>
    <row r="989">
      <c r="D989" s="13" t="s">
        <v>4954</v>
      </c>
    </row>
    <row r="990">
      <c r="D990" s="13" t="s">
        <v>4954</v>
      </c>
    </row>
    <row r="991">
      <c r="D991" s="13" t="s">
        <v>4954</v>
      </c>
    </row>
    <row r="992">
      <c r="D992" s="13" t="s">
        <v>4954</v>
      </c>
    </row>
    <row r="993">
      <c r="D993" s="13" t="s">
        <v>4954</v>
      </c>
    </row>
    <row r="994">
      <c r="D994" s="13" t="s">
        <v>4954</v>
      </c>
    </row>
    <row r="995">
      <c r="D995" s="13" t="s">
        <v>4954</v>
      </c>
    </row>
    <row r="996">
      <c r="D996" s="13" t="s">
        <v>4954</v>
      </c>
    </row>
    <row r="997">
      <c r="D997" s="13" t="s">
        <v>4954</v>
      </c>
    </row>
    <row r="998">
      <c r="D998" s="13" t="s">
        <v>4954</v>
      </c>
    </row>
    <row r="999">
      <c r="D999" s="13" t="s">
        <v>4954</v>
      </c>
    </row>
    <row r="1000">
      <c r="D1000" s="13" t="s">
        <v>4954</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0"/>
    <col customWidth="1" min="2" max="5" width="22.25"/>
    <col customWidth="1" min="6" max="6" width="31.75"/>
    <col customWidth="1" min="7" max="7" width="28.75"/>
    <col customWidth="1" min="8" max="10" width="26.13"/>
    <col customWidth="1" min="11" max="11" width="11.88"/>
    <col customWidth="1" min="12" max="12" width="13.88"/>
  </cols>
  <sheetData>
    <row r="1">
      <c r="A1" s="168" t="s">
        <v>4955</v>
      </c>
      <c r="B1" s="169" t="s">
        <v>3613</v>
      </c>
      <c r="C1" s="169" t="s">
        <v>1941</v>
      </c>
      <c r="D1" s="170" t="s">
        <v>3321</v>
      </c>
      <c r="E1" s="169" t="s">
        <v>4956</v>
      </c>
      <c r="F1" s="171" t="s">
        <v>3610</v>
      </c>
      <c r="G1" s="171" t="s">
        <v>4957</v>
      </c>
      <c r="H1" s="169" t="s">
        <v>4958</v>
      </c>
      <c r="I1" s="170" t="s">
        <v>4959</v>
      </c>
      <c r="J1" s="170" t="s">
        <v>4960</v>
      </c>
      <c r="K1" s="170" t="s">
        <v>4961</v>
      </c>
      <c r="L1" s="172" t="s">
        <v>4962</v>
      </c>
    </row>
    <row r="2">
      <c r="A2" s="173" t="s">
        <v>3940</v>
      </c>
      <c r="B2" s="174" t="s">
        <v>3940</v>
      </c>
      <c r="C2" s="175" t="s">
        <v>1994</v>
      </c>
      <c r="D2" s="176" t="s">
        <v>2638</v>
      </c>
      <c r="E2" s="177"/>
      <c r="F2" s="177" t="s">
        <v>1916</v>
      </c>
      <c r="G2" s="177" t="s">
        <v>4963</v>
      </c>
      <c r="H2" s="177" t="s">
        <v>4964</v>
      </c>
      <c r="I2" s="177" t="s">
        <v>4965</v>
      </c>
      <c r="J2" s="178"/>
      <c r="K2" s="179"/>
      <c r="L2" s="180"/>
    </row>
    <row r="3">
      <c r="A3" s="181" t="s">
        <v>4044</v>
      </c>
      <c r="B3" s="182" t="s">
        <v>4044</v>
      </c>
      <c r="C3" s="183" t="s">
        <v>2069</v>
      </c>
      <c r="D3" s="183" t="s">
        <v>2606</v>
      </c>
      <c r="E3" s="184"/>
      <c r="F3" s="184" t="s">
        <v>1916</v>
      </c>
      <c r="G3" s="184" t="s">
        <v>4966</v>
      </c>
      <c r="H3" s="184" t="s">
        <v>912</v>
      </c>
      <c r="I3" s="184" t="s">
        <v>4967</v>
      </c>
      <c r="J3" s="185"/>
      <c r="K3" s="186"/>
      <c r="L3" s="187"/>
    </row>
    <row r="4">
      <c r="A4" s="173" t="s">
        <v>4018</v>
      </c>
      <c r="B4" s="174" t="s">
        <v>4018</v>
      </c>
      <c r="C4" s="176" t="s">
        <v>2058</v>
      </c>
      <c r="D4" s="176" t="s">
        <v>2614</v>
      </c>
      <c r="E4" s="177"/>
      <c r="F4" s="177" t="s">
        <v>28</v>
      </c>
      <c r="G4" s="177" t="s">
        <v>4968</v>
      </c>
      <c r="H4" s="178"/>
      <c r="I4" s="177" t="s">
        <v>4969</v>
      </c>
      <c r="J4" s="178"/>
      <c r="K4" s="179"/>
      <c r="L4" s="180"/>
    </row>
    <row r="5">
      <c r="A5" s="188" t="s">
        <v>4213</v>
      </c>
      <c r="B5" s="182" t="s">
        <v>4213</v>
      </c>
      <c r="C5" s="189" t="s">
        <v>2213</v>
      </c>
      <c r="D5" s="189" t="s">
        <v>2620</v>
      </c>
      <c r="E5" s="190" t="s">
        <v>4970</v>
      </c>
      <c r="F5" s="182" t="s">
        <v>1916</v>
      </c>
      <c r="G5" s="182" t="s">
        <v>4971</v>
      </c>
      <c r="H5" s="184"/>
      <c r="I5" s="182" t="s">
        <v>4972</v>
      </c>
      <c r="J5" s="185"/>
      <c r="K5" s="190"/>
      <c r="L5" s="191"/>
    </row>
    <row r="6">
      <c r="A6" s="192" t="s">
        <v>4095</v>
      </c>
      <c r="B6" s="174" t="s">
        <v>4201</v>
      </c>
      <c r="C6" s="175" t="s">
        <v>2114</v>
      </c>
      <c r="D6" s="175" t="s">
        <v>2626</v>
      </c>
      <c r="E6" s="174"/>
      <c r="F6" s="175" t="s">
        <v>1949</v>
      </c>
      <c r="G6" s="174" t="s">
        <v>4973</v>
      </c>
      <c r="H6" s="174" t="s">
        <v>137</v>
      </c>
      <c r="I6" s="174" t="s">
        <v>4974</v>
      </c>
      <c r="J6" s="178"/>
      <c r="K6" s="193"/>
      <c r="L6" s="194"/>
    </row>
    <row r="7">
      <c r="A7" s="188" t="s">
        <v>4975</v>
      </c>
      <c r="B7" s="182" t="s">
        <v>4233</v>
      </c>
      <c r="C7" s="189" t="s">
        <v>2224</v>
      </c>
      <c r="D7" s="189" t="s">
        <v>2620</v>
      </c>
      <c r="E7" s="190"/>
      <c r="F7" s="189" t="s">
        <v>1949</v>
      </c>
      <c r="G7" s="182" t="s">
        <v>4976</v>
      </c>
      <c r="H7" s="185"/>
      <c r="I7" s="182" t="s">
        <v>4977</v>
      </c>
      <c r="J7" s="185"/>
      <c r="K7" s="190"/>
      <c r="L7" s="191"/>
    </row>
    <row r="8">
      <c r="A8" s="192" t="s">
        <v>4978</v>
      </c>
      <c r="B8" s="174" t="s">
        <v>4257</v>
      </c>
      <c r="C8" s="175" t="s">
        <v>2230</v>
      </c>
      <c r="D8" s="175" t="s">
        <v>2620</v>
      </c>
      <c r="E8" s="193"/>
      <c r="F8" s="175" t="s">
        <v>4042</v>
      </c>
      <c r="G8" s="174" t="s">
        <v>4976</v>
      </c>
      <c r="H8" s="178"/>
      <c r="I8" s="174" t="s">
        <v>4979</v>
      </c>
      <c r="J8" s="178"/>
      <c r="K8" s="193"/>
      <c r="L8" s="194"/>
    </row>
    <row r="9">
      <c r="A9" s="188"/>
      <c r="B9" s="190"/>
      <c r="C9" s="182"/>
      <c r="D9" s="184"/>
      <c r="E9" s="190"/>
      <c r="F9" s="184"/>
      <c r="G9" s="184"/>
      <c r="H9" s="184"/>
      <c r="I9" s="184"/>
      <c r="J9" s="185"/>
      <c r="K9" s="190"/>
      <c r="L9" s="191"/>
    </row>
    <row r="10">
      <c r="A10" s="192" t="s">
        <v>4980</v>
      </c>
      <c r="B10" s="174" t="s">
        <v>4314</v>
      </c>
      <c r="C10" s="175" t="s">
        <v>4317</v>
      </c>
      <c r="D10" s="175" t="s">
        <v>2614</v>
      </c>
      <c r="E10" s="175" t="s">
        <v>2677</v>
      </c>
      <c r="F10" s="175" t="s">
        <v>3974</v>
      </c>
      <c r="G10" s="174" t="s">
        <v>4981</v>
      </c>
      <c r="H10" s="174" t="s">
        <v>4982</v>
      </c>
      <c r="I10" s="174" t="s">
        <v>4983</v>
      </c>
      <c r="J10" s="178"/>
      <c r="K10" s="193"/>
      <c r="L10" s="194"/>
    </row>
    <row r="11">
      <c r="A11" s="188" t="s">
        <v>4984</v>
      </c>
      <c r="B11" s="182" t="s">
        <v>4319</v>
      </c>
      <c r="C11" s="189" t="s">
        <v>2292</v>
      </c>
      <c r="D11" s="189" t="s">
        <v>2614</v>
      </c>
      <c r="E11" s="189" t="s">
        <v>2677</v>
      </c>
      <c r="F11" s="189" t="s">
        <v>3974</v>
      </c>
      <c r="G11" s="182" t="s">
        <v>4985</v>
      </c>
      <c r="H11" s="182" t="s">
        <v>4982</v>
      </c>
      <c r="I11" s="182" t="s">
        <v>4986</v>
      </c>
      <c r="J11" s="185"/>
      <c r="K11" s="190"/>
      <c r="L11" s="191"/>
    </row>
    <row r="12">
      <c r="A12" s="192" t="s">
        <v>4987</v>
      </c>
      <c r="B12" s="174" t="s">
        <v>4367</v>
      </c>
      <c r="C12" s="175" t="s">
        <v>2303</v>
      </c>
      <c r="D12" s="177" t="s">
        <v>2630</v>
      </c>
      <c r="E12" s="193"/>
      <c r="F12" s="175" t="s">
        <v>4042</v>
      </c>
      <c r="G12" s="174" t="s">
        <v>4988</v>
      </c>
      <c r="H12" s="174" t="s">
        <v>4989</v>
      </c>
      <c r="I12" s="174" t="s">
        <v>4990</v>
      </c>
      <c r="J12" s="178"/>
      <c r="K12" s="193"/>
      <c r="L12" s="194"/>
    </row>
    <row r="13">
      <c r="A13" s="188" t="s">
        <v>4991</v>
      </c>
      <c r="B13" s="182" t="s">
        <v>4387</v>
      </c>
      <c r="C13" s="189" t="s">
        <v>2309</v>
      </c>
      <c r="D13" s="189" t="s">
        <v>2612</v>
      </c>
      <c r="E13" s="190"/>
      <c r="F13" s="189" t="s">
        <v>4042</v>
      </c>
      <c r="G13" s="182" t="s">
        <v>4992</v>
      </c>
      <c r="H13" s="182" t="s">
        <v>912</v>
      </c>
      <c r="I13" s="182" t="s">
        <v>4993</v>
      </c>
      <c r="J13" s="185"/>
      <c r="K13" s="190"/>
      <c r="L13" s="191"/>
    </row>
    <row r="14">
      <c r="A14" s="192" t="s">
        <v>4994</v>
      </c>
      <c r="B14" s="174" t="s">
        <v>4390</v>
      </c>
      <c r="C14" s="175" t="s">
        <v>2314</v>
      </c>
      <c r="D14" s="175" t="s">
        <v>2612</v>
      </c>
      <c r="E14" s="193"/>
      <c r="F14" s="175" t="s">
        <v>1949</v>
      </c>
      <c r="G14" s="174" t="s">
        <v>4995</v>
      </c>
      <c r="H14" s="174" t="s">
        <v>912</v>
      </c>
      <c r="I14" s="174" t="s">
        <v>4996</v>
      </c>
      <c r="J14" s="178"/>
      <c r="K14" s="193"/>
      <c r="L14" s="194"/>
    </row>
    <row r="15">
      <c r="A15" s="188" t="s">
        <v>4997</v>
      </c>
      <c r="B15" s="182" t="s">
        <v>4396</v>
      </c>
      <c r="C15" s="189" t="s">
        <v>2320</v>
      </c>
      <c r="D15" s="189" t="s">
        <v>3464</v>
      </c>
      <c r="E15" s="190"/>
      <c r="F15" s="189" t="s">
        <v>1949</v>
      </c>
      <c r="G15" s="182" t="s">
        <v>4998</v>
      </c>
      <c r="H15" s="182" t="s">
        <v>912</v>
      </c>
      <c r="I15" s="182" t="s">
        <v>4999</v>
      </c>
      <c r="J15" s="185"/>
      <c r="K15" s="190"/>
      <c r="L15" s="191"/>
    </row>
    <row r="16">
      <c r="A16" s="192" t="s">
        <v>5000</v>
      </c>
      <c r="B16" s="174" t="s">
        <v>4501</v>
      </c>
      <c r="C16" s="175" t="s">
        <v>2345</v>
      </c>
      <c r="D16" s="175" t="s">
        <v>2628</v>
      </c>
      <c r="E16" s="193"/>
      <c r="F16" s="175" t="s">
        <v>1954</v>
      </c>
      <c r="G16" s="174" t="s">
        <v>5001</v>
      </c>
      <c r="H16" s="174" t="s">
        <v>5002</v>
      </c>
      <c r="I16" s="174" t="s">
        <v>5003</v>
      </c>
      <c r="J16" s="178"/>
      <c r="K16" s="193"/>
      <c r="L16" s="194"/>
    </row>
    <row r="17">
      <c r="A17" s="188" t="s">
        <v>5004</v>
      </c>
      <c r="B17" s="182" t="s">
        <v>4505</v>
      </c>
      <c r="C17" s="189" t="s">
        <v>2351</v>
      </c>
      <c r="D17" s="182"/>
      <c r="E17" s="190"/>
      <c r="F17" s="189" t="s">
        <v>2388</v>
      </c>
      <c r="G17" s="182" t="s">
        <v>4976</v>
      </c>
      <c r="H17" s="182"/>
      <c r="I17" s="182" t="s">
        <v>5005</v>
      </c>
      <c r="J17" s="182" t="s">
        <v>5006</v>
      </c>
      <c r="K17" s="195">
        <v>3.0</v>
      </c>
      <c r="L17" s="196">
        <v>45875.87403935185</v>
      </c>
    </row>
    <row r="18">
      <c r="A18" s="192" t="s">
        <v>5007</v>
      </c>
      <c r="B18" s="174" t="s">
        <v>4525</v>
      </c>
      <c r="C18" s="175" t="s">
        <v>2366</v>
      </c>
      <c r="D18" s="175" t="s">
        <v>2616</v>
      </c>
      <c r="E18" s="193"/>
      <c r="F18" s="175" t="s">
        <v>4042</v>
      </c>
      <c r="G18" s="174" t="s">
        <v>5008</v>
      </c>
      <c r="H18" s="174" t="s">
        <v>5009</v>
      </c>
      <c r="I18" s="174" t="s">
        <v>5010</v>
      </c>
      <c r="J18" s="174"/>
      <c r="K18" s="197"/>
      <c r="L18" s="198" t="s">
        <v>5010</v>
      </c>
    </row>
    <row r="19">
      <c r="A19" s="188" t="s">
        <v>5011</v>
      </c>
      <c r="B19" s="182" t="s">
        <v>4529</v>
      </c>
      <c r="C19" s="189" t="s">
        <v>2286</v>
      </c>
      <c r="D19" s="189" t="s">
        <v>2616</v>
      </c>
      <c r="E19" s="190"/>
      <c r="F19" s="189" t="s">
        <v>4042</v>
      </c>
      <c r="G19" s="182" t="s">
        <v>5012</v>
      </c>
      <c r="H19" s="182" t="s">
        <v>5013</v>
      </c>
      <c r="I19" s="182" t="s">
        <v>5014</v>
      </c>
      <c r="J19" s="182" t="s">
        <v>5015</v>
      </c>
      <c r="K19" s="195">
        <v>5.0</v>
      </c>
      <c r="L19" s="196">
        <v>45876.66930555556</v>
      </c>
    </row>
    <row r="20">
      <c r="A20" s="192" t="s">
        <v>5016</v>
      </c>
      <c r="B20" s="174" t="s">
        <v>4552</v>
      </c>
      <c r="C20" s="175" t="s">
        <v>2382</v>
      </c>
      <c r="D20" s="177" t="s">
        <v>2636</v>
      </c>
      <c r="E20" s="193"/>
      <c r="F20" s="175" t="s">
        <v>1949</v>
      </c>
      <c r="G20" s="174" t="s">
        <v>5017</v>
      </c>
      <c r="H20" s="174" t="s">
        <v>5018</v>
      </c>
      <c r="I20" s="174" t="s">
        <v>5019</v>
      </c>
      <c r="J20" s="174"/>
      <c r="K20" s="197"/>
      <c r="L20" s="198" t="s">
        <v>5019</v>
      </c>
    </row>
    <row r="21">
      <c r="A21" s="188" t="s">
        <v>5020</v>
      </c>
      <c r="B21" s="182" t="s">
        <v>4620</v>
      </c>
      <c r="C21" s="189" t="s">
        <v>4619</v>
      </c>
      <c r="D21" s="183" t="s">
        <v>2602</v>
      </c>
      <c r="E21" s="190"/>
      <c r="F21" s="189" t="s">
        <v>2435</v>
      </c>
      <c r="G21" s="182" t="s">
        <v>5021</v>
      </c>
      <c r="H21" s="182" t="s">
        <v>34</v>
      </c>
      <c r="I21" s="182" t="s">
        <v>5022</v>
      </c>
      <c r="J21" s="182"/>
      <c r="K21" s="195"/>
      <c r="L21" s="196">
        <v>45901.68125</v>
      </c>
    </row>
    <row r="22">
      <c r="A22" s="192" t="s">
        <v>5023</v>
      </c>
      <c r="B22" s="174" t="s">
        <v>4623</v>
      </c>
      <c r="C22" s="175" t="s">
        <v>2449</v>
      </c>
      <c r="D22" s="176" t="s">
        <v>2602</v>
      </c>
      <c r="E22" s="174" t="s">
        <v>2781</v>
      </c>
      <c r="F22" s="175" t="s">
        <v>1954</v>
      </c>
      <c r="G22" s="174" t="s">
        <v>5024</v>
      </c>
      <c r="H22" s="174"/>
      <c r="I22" s="174" t="s">
        <v>5025</v>
      </c>
      <c r="J22" s="174" t="s">
        <v>5026</v>
      </c>
      <c r="K22" s="197">
        <v>5.0</v>
      </c>
      <c r="L22" s="199">
        <v>45882.42643518518</v>
      </c>
    </row>
    <row r="23">
      <c r="A23" s="188" t="s">
        <v>5027</v>
      </c>
      <c r="B23" s="182" t="s">
        <v>4657</v>
      </c>
      <c r="C23" s="189" t="s">
        <v>2058</v>
      </c>
      <c r="D23" s="183" t="s">
        <v>2598</v>
      </c>
      <c r="E23" s="182">
        <v>2.02508222E8</v>
      </c>
      <c r="F23" s="189" t="s">
        <v>1954</v>
      </c>
      <c r="G23" s="182" t="s">
        <v>5028</v>
      </c>
      <c r="H23" s="182"/>
      <c r="I23" s="182" t="s">
        <v>5029</v>
      </c>
      <c r="J23" s="182" t="s">
        <v>5030</v>
      </c>
      <c r="K23" s="195">
        <v>5.0</v>
      </c>
      <c r="L23" s="196">
        <v>45891.653032407405</v>
      </c>
    </row>
    <row r="24">
      <c r="A24" s="192" t="s">
        <v>5031</v>
      </c>
      <c r="B24" s="174" t="s">
        <v>4810</v>
      </c>
      <c r="C24" s="175" t="s">
        <v>2525</v>
      </c>
      <c r="D24" s="177" t="s">
        <v>2636</v>
      </c>
      <c r="E24" s="174">
        <v>2.02509021E8</v>
      </c>
      <c r="F24" s="175" t="s">
        <v>2388</v>
      </c>
      <c r="G24" s="174" t="s">
        <v>5032</v>
      </c>
      <c r="H24" s="174"/>
      <c r="I24" s="174" t="s">
        <v>5033</v>
      </c>
      <c r="J24" s="174" t="s">
        <v>5034</v>
      </c>
      <c r="K24" s="174">
        <v>5.0</v>
      </c>
      <c r="L24" s="198" t="s">
        <v>5033</v>
      </c>
    </row>
    <row r="25">
      <c r="A25" s="188" t="s">
        <v>5035</v>
      </c>
      <c r="B25" s="182" t="s">
        <v>4825</v>
      </c>
      <c r="C25" s="189" t="s">
        <v>2530</v>
      </c>
      <c r="D25" s="183" t="s">
        <v>2598</v>
      </c>
      <c r="E25" s="182">
        <v>2.02509041E8</v>
      </c>
      <c r="F25" s="189" t="s">
        <v>1949</v>
      </c>
      <c r="G25" s="182" t="s">
        <v>5036</v>
      </c>
      <c r="H25" s="182" t="s">
        <v>5037</v>
      </c>
      <c r="I25" s="182" t="s">
        <v>5038</v>
      </c>
      <c r="J25" s="182" t="s">
        <v>5039</v>
      </c>
      <c r="K25" s="182">
        <v>5.0</v>
      </c>
      <c r="L25" s="196">
        <v>45904.4396875</v>
      </c>
    </row>
    <row r="26">
      <c r="A26" s="192" t="s">
        <v>5040</v>
      </c>
      <c r="B26" s="174" t="s">
        <v>4828</v>
      </c>
      <c r="C26" s="175" t="s">
        <v>2536</v>
      </c>
      <c r="D26" s="176" t="s">
        <v>2598</v>
      </c>
      <c r="E26" s="174">
        <v>2.02509041E8</v>
      </c>
      <c r="F26" s="175" t="s">
        <v>1954</v>
      </c>
      <c r="G26" s="174" t="s">
        <v>5041</v>
      </c>
      <c r="H26" s="174"/>
      <c r="I26" s="174" t="s">
        <v>5042</v>
      </c>
      <c r="J26" s="174" t="s">
        <v>5043</v>
      </c>
      <c r="K26" s="174">
        <v>5.0</v>
      </c>
      <c r="L26" s="199">
        <v>45904.65982638889</v>
      </c>
    </row>
    <row r="27">
      <c r="A27" s="200" t="s">
        <v>5044</v>
      </c>
      <c r="B27" s="201" t="s">
        <v>4891</v>
      </c>
      <c r="C27" s="202" t="s">
        <v>2575</v>
      </c>
      <c r="D27" s="203" t="s">
        <v>2604</v>
      </c>
      <c r="E27" s="201">
        <v>2.02509162E8</v>
      </c>
      <c r="F27" s="202" t="s">
        <v>1954</v>
      </c>
      <c r="G27" s="201" t="s">
        <v>4976</v>
      </c>
      <c r="H27" s="201"/>
      <c r="I27" s="201" t="s">
        <v>5045</v>
      </c>
      <c r="J27" s="201"/>
      <c r="K27" s="201"/>
      <c r="L27" s="204" t="s">
        <v>5045</v>
      </c>
    </row>
  </sheetData>
  <dataValidations>
    <dataValidation allowBlank="1" showDropDown="1" sqref="D2:D27 F2:J27"/>
  </dataValidations>
  <drawing r:id="rId1"/>
  <tableParts count="1">
    <tablePart r:id="rId3"/>
  </tableParts>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1891</v>
      </c>
    </row>
    <row r="2">
      <c r="A2" s="205">
        <f>TODAY()</f>
        <v>45918</v>
      </c>
    </row>
    <row r="3">
      <c r="A3" s="205">
        <f t="shared" ref="A3:A11" si="1">A2-1</f>
        <v>45917</v>
      </c>
    </row>
    <row r="4">
      <c r="A4" s="205">
        <f t="shared" si="1"/>
        <v>45916</v>
      </c>
    </row>
    <row r="5">
      <c r="A5" s="205">
        <f t="shared" si="1"/>
        <v>45915</v>
      </c>
    </row>
    <row r="6">
      <c r="A6" s="205">
        <f t="shared" si="1"/>
        <v>45914</v>
      </c>
    </row>
    <row r="7">
      <c r="A7" s="205">
        <f t="shared" si="1"/>
        <v>45913</v>
      </c>
    </row>
    <row r="8">
      <c r="A8" s="205">
        <f t="shared" si="1"/>
        <v>45912</v>
      </c>
    </row>
    <row r="9">
      <c r="A9" s="205">
        <f t="shared" si="1"/>
        <v>45911</v>
      </c>
    </row>
    <row r="10">
      <c r="A10" s="205">
        <f t="shared" si="1"/>
        <v>45910</v>
      </c>
    </row>
    <row r="11">
      <c r="A11" s="205">
        <f t="shared" si="1"/>
        <v>45909</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8"/>
  </cols>
  <sheetData>
    <row r="1">
      <c r="A1" s="4" t="s">
        <v>1890</v>
      </c>
    </row>
    <row r="2">
      <c r="A2" s="205">
        <f t="array" ref="A2:A7">EDATE(TODAY(), -SEQUENCE(6, 1, 0, 1))</f>
        <v>45918</v>
      </c>
    </row>
    <row r="3">
      <c r="A3" s="205">
        <v>45887.0</v>
      </c>
    </row>
    <row r="4">
      <c r="A4" s="205">
        <v>45856.0</v>
      </c>
    </row>
    <row r="5">
      <c r="A5" s="205">
        <v>45826.0</v>
      </c>
    </row>
    <row r="6">
      <c r="A6" s="205">
        <v>45795.0</v>
      </c>
    </row>
    <row r="7">
      <c r="A7" s="205">
        <v>45765.0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0"/>
    <col customWidth="1" min="3" max="3" width="34.0"/>
    <col customWidth="1" min="4" max="4" width="27.88"/>
  </cols>
  <sheetData>
    <row r="1">
      <c r="A1" s="206">
        <v>45797.62684027778</v>
      </c>
      <c r="B1" s="6" t="s">
        <v>2014</v>
      </c>
      <c r="C1" s="4" t="s">
        <v>5046</v>
      </c>
      <c r="D1" s="4" t="s">
        <v>3626</v>
      </c>
      <c r="F1" s="4" t="s">
        <v>4036</v>
      </c>
      <c r="G1" s="6" t="s">
        <v>3910</v>
      </c>
      <c r="H1" s="4" t="s">
        <v>4037</v>
      </c>
      <c r="I1" s="6" t="s">
        <v>2628</v>
      </c>
      <c r="M1" s="207"/>
    </row>
    <row r="2">
      <c r="A2" s="206">
        <v>45797.6278125</v>
      </c>
      <c r="B2" s="6" t="s">
        <v>2005</v>
      </c>
      <c r="C2" s="4" t="s">
        <v>5046</v>
      </c>
      <c r="D2" s="4" t="s">
        <v>3626</v>
      </c>
      <c r="F2" s="4" t="s">
        <v>4039</v>
      </c>
      <c r="G2" s="6" t="s">
        <v>3914</v>
      </c>
      <c r="H2" s="4" t="s">
        <v>4040</v>
      </c>
      <c r="I2" s="6" t="s">
        <v>2628</v>
      </c>
      <c r="M2" s="207"/>
    </row>
    <row r="3">
      <c r="A3" s="206">
        <v>45799.50326388889</v>
      </c>
      <c r="B3" s="6" t="s">
        <v>2069</v>
      </c>
      <c r="C3" s="4" t="s">
        <v>5046</v>
      </c>
      <c r="D3" s="4" t="s">
        <v>3938</v>
      </c>
      <c r="E3" s="4" t="s">
        <v>1916</v>
      </c>
      <c r="F3" s="4" t="s">
        <v>4043</v>
      </c>
      <c r="G3" s="6" t="s">
        <v>3503</v>
      </c>
      <c r="H3" s="4" t="s">
        <v>4044</v>
      </c>
      <c r="M3" s="207"/>
    </row>
    <row r="4">
      <c r="A4" s="206">
        <v>45803.32643518518</v>
      </c>
      <c r="B4" s="6" t="s">
        <v>2073</v>
      </c>
      <c r="C4" s="4" t="s">
        <v>5046</v>
      </c>
      <c r="D4" s="4" t="s">
        <v>3885</v>
      </c>
      <c r="F4" s="4" t="s">
        <v>4046</v>
      </c>
      <c r="G4" s="6" t="s">
        <v>3503</v>
      </c>
      <c r="H4" s="4" t="s">
        <v>4047</v>
      </c>
      <c r="I4" s="6" t="s">
        <v>2614</v>
      </c>
      <c r="J4" s="4" t="s">
        <v>5047</v>
      </c>
      <c r="L4" s="4" t="s">
        <v>4048</v>
      </c>
      <c r="M4" s="206">
        <v>45803.98030092593</v>
      </c>
    </row>
    <row r="5">
      <c r="A5" s="206">
        <v>45803.32869212963</v>
      </c>
      <c r="B5" s="6" t="s">
        <v>2076</v>
      </c>
      <c r="C5" s="4" t="s">
        <v>5046</v>
      </c>
      <c r="D5" s="4" t="s">
        <v>3885</v>
      </c>
      <c r="F5" s="4" t="s">
        <v>4050</v>
      </c>
      <c r="G5" s="6" t="s">
        <v>3499</v>
      </c>
      <c r="H5" s="4" t="s">
        <v>4051</v>
      </c>
      <c r="I5" s="6" t="s">
        <v>2614</v>
      </c>
      <c r="J5" s="4" t="s">
        <v>5047</v>
      </c>
      <c r="L5" s="4" t="s">
        <v>4048</v>
      </c>
      <c r="M5" s="206">
        <v>45803.98185185185</v>
      </c>
    </row>
    <row r="6">
      <c r="A6" s="4"/>
      <c r="B6" s="4"/>
      <c r="C6" s="4"/>
      <c r="D6" s="4"/>
      <c r="F6" s="4"/>
      <c r="G6" s="4"/>
      <c r="H6" s="4"/>
      <c r="I6" s="4"/>
    </row>
    <row r="7">
      <c r="A7" s="206">
        <v>45803.33142361111</v>
      </c>
      <c r="B7" s="6" t="s">
        <v>2079</v>
      </c>
      <c r="C7" s="4" t="s">
        <v>5046</v>
      </c>
      <c r="D7" s="4" t="s">
        <v>3885</v>
      </c>
      <c r="F7" s="4" t="s">
        <v>4053</v>
      </c>
      <c r="G7" s="6" t="s">
        <v>3893</v>
      </c>
      <c r="H7" s="4" t="s">
        <v>4054</v>
      </c>
      <c r="I7" s="6" t="s">
        <v>2614</v>
      </c>
      <c r="J7" s="4" t="s">
        <v>3467</v>
      </c>
      <c r="L7" s="4" t="s">
        <v>4048</v>
      </c>
      <c r="M7" s="206">
        <v>45804.31486111111</v>
      </c>
    </row>
    <row r="8">
      <c r="A8" s="206">
        <v>45803.332280092596</v>
      </c>
      <c r="B8" s="6" t="s">
        <v>2084</v>
      </c>
      <c r="C8" s="4" t="s">
        <v>5046</v>
      </c>
      <c r="D8" s="4" t="s">
        <v>3885</v>
      </c>
      <c r="F8" s="4" t="s">
        <v>4056</v>
      </c>
      <c r="G8" s="6" t="s">
        <v>3897</v>
      </c>
      <c r="H8" s="4" t="s">
        <v>4057</v>
      </c>
      <c r="I8" s="6" t="s">
        <v>2614</v>
      </c>
      <c r="J8" s="4" t="s">
        <v>3467</v>
      </c>
      <c r="L8" s="4" t="s">
        <v>4048</v>
      </c>
      <c r="M8" s="206">
        <v>45804.31489583333</v>
      </c>
    </row>
    <row r="9">
      <c r="A9" s="206">
        <v>45803.33447916667</v>
      </c>
      <c r="B9" s="6" t="s">
        <v>2088</v>
      </c>
      <c r="C9" s="4" t="s">
        <v>5046</v>
      </c>
      <c r="D9" s="4" t="s">
        <v>3885</v>
      </c>
      <c r="F9" s="4" t="s">
        <v>4059</v>
      </c>
      <c r="G9" s="6" t="s">
        <v>3901</v>
      </c>
      <c r="H9" s="4" t="s">
        <v>4060</v>
      </c>
      <c r="I9" s="6" t="s">
        <v>2614</v>
      </c>
      <c r="J9" s="4" t="s">
        <v>3467</v>
      </c>
      <c r="L9" s="4" t="s">
        <v>4048</v>
      </c>
      <c r="M9" s="206">
        <v>45804.314884259256</v>
      </c>
    </row>
    <row r="10">
      <c r="A10" s="4"/>
      <c r="B10" s="4"/>
      <c r="C10" s="4"/>
      <c r="D10" s="4"/>
      <c r="F10" s="4"/>
      <c r="G10" s="4"/>
      <c r="H10" s="4"/>
      <c r="I10" s="4"/>
    </row>
    <row r="11">
      <c r="A11" s="206">
        <v>45803.33912037037</v>
      </c>
      <c r="B11" s="6" t="s">
        <v>2095</v>
      </c>
      <c r="C11" s="4" t="s">
        <v>5046</v>
      </c>
      <c r="D11" s="4" t="s">
        <v>3885</v>
      </c>
      <c r="F11" s="4" t="s">
        <v>4062</v>
      </c>
      <c r="G11" s="208" t="s">
        <v>3906</v>
      </c>
      <c r="H11" s="4" t="s">
        <v>4063</v>
      </c>
      <c r="I11" s="6" t="s">
        <v>2614</v>
      </c>
      <c r="J11" s="4" t="s">
        <v>5047</v>
      </c>
      <c r="L11" s="4" t="s">
        <v>4048</v>
      </c>
      <c r="M11" s="206">
        <v>45803.981886574074</v>
      </c>
    </row>
    <row r="12">
      <c r="A12" s="206">
        <v>45803.377071759256</v>
      </c>
      <c r="B12" s="6" t="s">
        <v>3967</v>
      </c>
      <c r="C12" s="4" t="s">
        <v>5046</v>
      </c>
      <c r="D12" s="4" t="s">
        <v>3885</v>
      </c>
      <c r="F12" s="4" t="s">
        <v>4065</v>
      </c>
      <c r="G12" s="6" t="s">
        <v>3910</v>
      </c>
      <c r="H12" s="4" t="s">
        <v>4066</v>
      </c>
      <c r="I12" s="6" t="s">
        <v>2622</v>
      </c>
      <c r="J12" s="4" t="s">
        <v>5047</v>
      </c>
      <c r="L12" s="4" t="s">
        <v>4048</v>
      </c>
      <c r="M12" s="206">
        <v>45803.98186342593</v>
      </c>
    </row>
    <row r="13">
      <c r="A13" s="206">
        <v>45803.963842592595</v>
      </c>
      <c r="B13" s="6" t="s">
        <v>5048</v>
      </c>
      <c r="C13" s="4" t="s">
        <v>5049</v>
      </c>
      <c r="D13" s="4" t="s">
        <v>3885</v>
      </c>
      <c r="G13" s="6" t="s">
        <v>3914</v>
      </c>
      <c r="H13" s="4" t="s">
        <v>5050</v>
      </c>
      <c r="I13" s="6" t="s">
        <v>2624</v>
      </c>
      <c r="J13" s="4" t="s">
        <v>5047</v>
      </c>
      <c r="L13" s="4" t="s">
        <v>4048</v>
      </c>
      <c r="M13" s="206">
        <v>45803.97318287037</v>
      </c>
    </row>
    <row r="14">
      <c r="A14" s="206">
        <v>45804.43640046296</v>
      </c>
      <c r="B14" s="6" t="s">
        <v>2096</v>
      </c>
      <c r="C14" s="4" t="s">
        <v>5046</v>
      </c>
      <c r="D14" s="4" t="s">
        <v>3626</v>
      </c>
      <c r="F14" s="4" t="s">
        <v>4068</v>
      </c>
      <c r="G14" s="6" t="s">
        <v>3503</v>
      </c>
      <c r="H14" s="4" t="s">
        <v>4069</v>
      </c>
      <c r="I14" s="6" t="s">
        <v>2598</v>
      </c>
      <c r="J14" s="4" t="s">
        <v>3467</v>
      </c>
      <c r="L14" s="4" t="s">
        <v>4048</v>
      </c>
      <c r="M14" s="206">
        <v>45804.449525462966</v>
      </c>
    </row>
    <row r="15">
      <c r="A15" s="206">
        <v>45804.44900462963</v>
      </c>
      <c r="B15" s="6" t="s">
        <v>2040</v>
      </c>
      <c r="C15" s="4" t="s">
        <v>5046</v>
      </c>
      <c r="D15" s="4" t="s">
        <v>3626</v>
      </c>
      <c r="F15" s="4" t="s">
        <v>4071</v>
      </c>
      <c r="G15" s="6" t="s">
        <v>3499</v>
      </c>
      <c r="H15" s="4" t="s">
        <v>4072</v>
      </c>
      <c r="I15" s="6" t="s">
        <v>2598</v>
      </c>
      <c r="J15" s="4" t="s">
        <v>3467</v>
      </c>
      <c r="L15" s="4" t="s">
        <v>4048</v>
      </c>
      <c r="M15" s="206">
        <v>45804.44956018519</v>
      </c>
    </row>
    <row r="16">
      <c r="A16" s="206">
        <v>45804.45298611111</v>
      </c>
      <c r="B16" s="6" t="s">
        <v>3883</v>
      </c>
      <c r="C16" s="4" t="s">
        <v>5046</v>
      </c>
      <c r="D16" s="4" t="s">
        <v>3885</v>
      </c>
      <c r="F16" s="4" t="s">
        <v>4074</v>
      </c>
      <c r="G16" s="6" t="s">
        <v>3893</v>
      </c>
      <c r="H16" s="4" t="s">
        <v>4075</v>
      </c>
      <c r="I16" s="6" t="s">
        <v>2622</v>
      </c>
      <c r="J16" s="4" t="s">
        <v>3467</v>
      </c>
      <c r="L16" s="4" t="s">
        <v>4048</v>
      </c>
      <c r="M16" s="206">
        <v>45804.45457175926</v>
      </c>
    </row>
    <row r="17">
      <c r="A17" s="206">
        <v>45804.49717592593</v>
      </c>
      <c r="B17" s="6" t="s">
        <v>2065</v>
      </c>
      <c r="C17" s="4" t="s">
        <v>5046</v>
      </c>
      <c r="D17" s="4" t="s">
        <v>3938</v>
      </c>
      <c r="E17" s="4" t="s">
        <v>28</v>
      </c>
      <c r="F17" s="4" t="s">
        <v>4077</v>
      </c>
      <c r="G17" s="6" t="s">
        <v>3897</v>
      </c>
      <c r="H17" s="4" t="s">
        <v>4078</v>
      </c>
      <c r="J17" s="4" t="s">
        <v>3394</v>
      </c>
      <c r="L17" s="4" t="s">
        <v>4048</v>
      </c>
      <c r="M17" s="206">
        <v>45804.498125</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3" max="3" width="16.75"/>
    <col customWidth="1" min="4" max="4" width="17.5"/>
  </cols>
  <sheetData>
    <row r="1">
      <c r="A1" s="4" t="s">
        <v>5051</v>
      </c>
      <c r="B1" s="4" t="s">
        <v>5052</v>
      </c>
      <c r="C1" s="4" t="s">
        <v>5053</v>
      </c>
      <c r="D1" s="4" t="s">
        <v>5054</v>
      </c>
    </row>
    <row r="2">
      <c r="A2" s="4">
        <v>111.0</v>
      </c>
      <c r="B2" s="4" t="s">
        <v>5055</v>
      </c>
      <c r="C2" s="4" t="s">
        <v>3884</v>
      </c>
      <c r="D2" s="4" t="s">
        <v>1916</v>
      </c>
    </row>
    <row r="3">
      <c r="A3" s="4">
        <v>112.0</v>
      </c>
      <c r="B3" s="4" t="s">
        <v>5055</v>
      </c>
      <c r="C3" s="4" t="s">
        <v>3884</v>
      </c>
      <c r="D3" s="4" t="s">
        <v>1924</v>
      </c>
    </row>
    <row r="4">
      <c r="A4" s="4">
        <v>113.0</v>
      </c>
      <c r="B4" s="4" t="s">
        <v>5055</v>
      </c>
      <c r="C4" s="4" t="s">
        <v>3884</v>
      </c>
      <c r="D4" s="4" t="s">
        <v>919</v>
      </c>
    </row>
    <row r="5">
      <c r="A5" s="4">
        <v>121.0</v>
      </c>
      <c r="B5" s="4" t="s">
        <v>5055</v>
      </c>
      <c r="C5" s="4" t="s">
        <v>3937</v>
      </c>
      <c r="D5" s="4" t="s">
        <v>1916</v>
      </c>
    </row>
    <row r="6">
      <c r="A6" s="4">
        <v>122.0</v>
      </c>
      <c r="B6" s="4" t="s">
        <v>5055</v>
      </c>
      <c r="C6" s="4" t="s">
        <v>3937</v>
      </c>
      <c r="D6" s="4" t="s">
        <v>1924</v>
      </c>
    </row>
    <row r="7">
      <c r="A7" s="4">
        <v>123.0</v>
      </c>
      <c r="B7" s="4" t="s">
        <v>5055</v>
      </c>
      <c r="C7" s="4" t="s">
        <v>3937</v>
      </c>
      <c r="D7" s="4" t="s">
        <v>919</v>
      </c>
    </row>
    <row r="8">
      <c r="A8" s="4">
        <v>214.0</v>
      </c>
      <c r="B8" s="4" t="s">
        <v>1931</v>
      </c>
      <c r="C8" s="4" t="s">
        <v>3884</v>
      </c>
      <c r="D8" s="4" t="s">
        <v>1930</v>
      </c>
    </row>
    <row r="9">
      <c r="A9" s="4">
        <v>224.0</v>
      </c>
      <c r="B9" s="4" t="s">
        <v>1931</v>
      </c>
      <c r="C9" s="4" t="s">
        <v>3937</v>
      </c>
      <c r="D9" s="4" t="s">
        <v>1930</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
    <col customWidth="1" min="2" max="2" width="28.75"/>
  </cols>
  <sheetData>
    <row r="1">
      <c r="A1" s="4">
        <v>1.0</v>
      </c>
      <c r="B1" s="4" t="s">
        <v>5056</v>
      </c>
      <c r="C1" s="4" t="s">
        <v>5057</v>
      </c>
    </row>
    <row r="2">
      <c r="A2" s="4">
        <v>2.0</v>
      </c>
      <c r="B2" s="4" t="s">
        <v>5058</v>
      </c>
    </row>
    <row r="3">
      <c r="A3" s="4">
        <v>3.0</v>
      </c>
      <c r="B3" s="4" t="s">
        <v>5059</v>
      </c>
      <c r="C3" s="4" t="s">
        <v>5057</v>
      </c>
    </row>
    <row r="4">
      <c r="A4" s="4">
        <v>4.0</v>
      </c>
      <c r="B4" s="4" t="s">
        <v>5060</v>
      </c>
      <c r="C4" s="4" t="s">
        <v>5057</v>
      </c>
    </row>
    <row r="5">
      <c r="A5" s="4">
        <v>5.0</v>
      </c>
      <c r="B5" s="4" t="s">
        <v>5061</v>
      </c>
    </row>
    <row r="6">
      <c r="A6" s="4">
        <v>6.0</v>
      </c>
      <c r="B6" s="4" t="s">
        <v>5062</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5"/>
    <col customWidth="1" min="3" max="3" width="18.75"/>
    <col customWidth="1" min="4" max="4" width="15.25"/>
    <col customWidth="1" min="5" max="5" width="26.13"/>
    <col customWidth="1" min="6" max="6" width="18.5"/>
    <col customWidth="1" min="7" max="7" width="27.5"/>
    <col customWidth="1" min="8" max="8" width="18.75"/>
    <col customWidth="1" min="9" max="9" width="20.5"/>
  </cols>
  <sheetData>
    <row r="1">
      <c r="A1" s="54" t="s">
        <v>1886</v>
      </c>
      <c r="B1" s="55" t="s">
        <v>1899</v>
      </c>
      <c r="C1" s="55" t="s">
        <v>5063</v>
      </c>
      <c r="D1" s="55" t="s">
        <v>5064</v>
      </c>
      <c r="E1" s="55" t="s">
        <v>5065</v>
      </c>
      <c r="F1" s="55" t="s">
        <v>5066</v>
      </c>
      <c r="G1" s="55" t="s">
        <v>5067</v>
      </c>
      <c r="H1" s="55" t="s">
        <v>5068</v>
      </c>
      <c r="I1" s="56" t="s">
        <v>5069</v>
      </c>
    </row>
  </sheetData>
  <drawing r:id="rId1"/>
  <tableParts count="1">
    <tablePart r:id="rId3"/>
  </tableParts>
</worksheet>
</file>